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5" yWindow="60" windowWidth="12120" windowHeight="8085" tabRatio="869"/>
  </bookViews>
  <sheets>
    <sheet name="St of Net Assets - GA" sheetId="16" r:id="rId1"/>
    <sheet name="St of Activites - GA Rev" sheetId="15" r:id="rId2"/>
    <sheet name="St of Activities - GA Exp" sheetId="17" r:id="rId3"/>
    <sheet name="Gen Fd BS" sheetId="14" r:id="rId4"/>
    <sheet name="GenRev" sheetId="1" r:id="rId5"/>
    <sheet name="GenExp" sheetId="2" r:id="rId6"/>
    <sheet name="Gov Fd BS" sheetId="26" r:id="rId7"/>
    <sheet name="Gov Fd Rv" sheetId="22" r:id="rId8"/>
    <sheet name="Gov Fnd Exp" sheetId="25" r:id="rId9"/>
    <sheet name="LT _Lia - GA" sheetId="10" r:id="rId10"/>
  </sheets>
  <definedNames>
    <definedName name="_xlnm.Print_Area" localSheetId="3">'Gen Fd BS'!$A$1:$AA$637</definedName>
    <definedName name="_xlnm.Print_Area" localSheetId="5">GenExp!$A$1:$BS$638</definedName>
    <definedName name="_xlnm.Print_Area" localSheetId="4">GenRev!$A$1:$AM$636</definedName>
    <definedName name="_xlnm.Print_Area" localSheetId="6">'Gov Fd BS'!$A$1:$AA$637</definedName>
    <definedName name="_xlnm.Print_Area" localSheetId="7">'Gov Fd Rv'!$A$1:$AO$636</definedName>
    <definedName name="_xlnm.Print_Area" localSheetId="8">'Gov Fnd Exp'!$A$1:$BT$637</definedName>
    <definedName name="_xlnm.Print_Area" localSheetId="9">'LT _Lia - GA'!$A$1:$U$637</definedName>
    <definedName name="_xlnm.Print_Area" localSheetId="1">'St of Activites - GA Rev'!$A$1:$AI$637</definedName>
    <definedName name="_xlnm.Print_Area" localSheetId="2">'St of Activities - GA Exp'!$A$1:$BC$637</definedName>
    <definedName name="_xlnm.Print_Area" localSheetId="0">'St of Net Assets - GA'!$A$1:$AA$637</definedName>
    <definedName name="_xlnm.Print_Titles" localSheetId="3">'Gen Fd BS'!$1:$10</definedName>
    <definedName name="_xlnm.Print_Titles" localSheetId="5">GenExp!$1:$10</definedName>
    <definedName name="_xlnm.Print_Titles" localSheetId="4">GenRev!$1:$10</definedName>
    <definedName name="_xlnm.Print_Titles" localSheetId="6">'Gov Fd BS'!$1:$10</definedName>
    <definedName name="_xlnm.Print_Titles" localSheetId="7">'Gov Fd Rv'!$1:$10</definedName>
    <definedName name="_xlnm.Print_Titles" localSheetId="8">'Gov Fnd Exp'!$1:$10</definedName>
    <definedName name="_xlnm.Print_Titles" localSheetId="9">'LT _Lia - GA'!$1:$10</definedName>
    <definedName name="_xlnm.Print_Titles" localSheetId="1">'St of Activites - GA Rev'!$1:$10</definedName>
    <definedName name="_xlnm.Print_Titles" localSheetId="2">'St of Activities - GA Exp'!$1:$10</definedName>
    <definedName name="_xlnm.Print_Titles" localSheetId="0">'St of Net Assets - GA'!$1:$10</definedName>
  </definedNames>
  <calcPr calcId="125725"/>
</workbook>
</file>

<file path=xl/calcChain.xml><?xml version="1.0" encoding="utf-8"?>
<calcChain xmlns="http://schemas.openxmlformats.org/spreadsheetml/2006/main">
  <c r="M11" i="25"/>
  <c r="AZ11" s="1"/>
  <c r="BJ11" s="1"/>
  <c r="AZ12"/>
  <c r="BJ12" s="1"/>
  <c r="M13"/>
  <c r="AZ13" s="1"/>
  <c r="BJ13" s="1"/>
  <c r="AZ14"/>
  <c r="BJ14" s="1"/>
  <c r="M15"/>
  <c r="AZ15" s="1"/>
  <c r="BJ15" s="1"/>
  <c r="AI15"/>
  <c r="AV15"/>
  <c r="M16"/>
  <c r="AZ16" s="1"/>
  <c r="BJ16" s="1"/>
  <c r="AZ17"/>
  <c r="BJ17" s="1"/>
  <c r="AZ18"/>
  <c r="BJ18" s="1"/>
  <c r="AZ19"/>
  <c r="BJ19"/>
  <c r="AZ20"/>
  <c r="BJ20" s="1"/>
  <c r="AZ21"/>
  <c r="BJ21" s="1"/>
  <c r="AZ22"/>
  <c r="BJ22" s="1"/>
  <c r="M23"/>
  <c r="AZ23"/>
  <c r="BJ23" s="1"/>
  <c r="AV24"/>
  <c r="AZ24"/>
  <c r="BJ24" s="1"/>
  <c r="M25"/>
  <c r="AZ25"/>
  <c r="BJ25" s="1"/>
  <c r="AZ26"/>
  <c r="BJ26"/>
  <c r="AZ27"/>
  <c r="BJ27" s="1"/>
  <c r="AZ28"/>
  <c r="BJ28" s="1"/>
  <c r="AZ29"/>
  <c r="BJ29" s="1"/>
  <c r="M30"/>
  <c r="AZ30"/>
  <c r="BJ30" s="1"/>
  <c r="AI31"/>
  <c r="AZ31"/>
  <c r="BJ31" s="1"/>
  <c r="AZ32"/>
  <c r="BJ32"/>
  <c r="AV33"/>
  <c r="AZ33" s="1"/>
  <c r="BJ33" s="1"/>
  <c r="AV34"/>
  <c r="AZ34" s="1"/>
  <c r="BJ34" s="1"/>
  <c r="AZ35"/>
  <c r="BJ35" s="1"/>
  <c r="AZ36"/>
  <c r="BJ36" s="1"/>
  <c r="AI37"/>
  <c r="AN37"/>
  <c r="AZ37"/>
  <c r="BJ37" s="1"/>
  <c r="M38"/>
  <c r="AV38"/>
  <c r="AZ38" s="1"/>
  <c r="BJ38" s="1"/>
  <c r="M39"/>
  <c r="AZ39" s="1"/>
  <c r="BJ39" s="1"/>
  <c r="M40"/>
  <c r="AI40"/>
  <c r="AN40"/>
  <c r="AP40"/>
  <c r="AZ40"/>
  <c r="BJ40" s="1"/>
  <c r="AZ41"/>
  <c r="BJ41"/>
  <c r="AZ42"/>
  <c r="BJ42" s="1"/>
  <c r="AZ43"/>
  <c r="BJ43" s="1"/>
  <c r="M44"/>
  <c r="AP44"/>
  <c r="AV44"/>
  <c r="AZ45"/>
  <c r="BJ45" s="1"/>
  <c r="M46"/>
  <c r="AZ46" s="1"/>
  <c r="BJ46" s="1"/>
  <c r="AV47"/>
  <c r="AZ47" s="1"/>
  <c r="BJ47" s="1"/>
  <c r="AZ48"/>
  <c r="BJ48" s="1"/>
  <c r="AZ49"/>
  <c r="BJ49" s="1"/>
  <c r="AZ50"/>
  <c r="BJ50"/>
  <c r="AZ51"/>
  <c r="BJ51" s="1"/>
  <c r="AZ52"/>
  <c r="BJ52" s="1"/>
  <c r="AZ53"/>
  <c r="BJ53" s="1"/>
  <c r="AZ54"/>
  <c r="BJ54"/>
  <c r="AV55"/>
  <c r="AZ55" s="1"/>
  <c r="BJ55" s="1"/>
  <c r="AZ56"/>
  <c r="BJ56" s="1"/>
  <c r="AZ57"/>
  <c r="BJ57"/>
  <c r="M58"/>
  <c r="AZ58" s="1"/>
  <c r="BJ58" s="1"/>
  <c r="AV59"/>
  <c r="AZ59" s="1"/>
  <c r="BJ59" s="1"/>
  <c r="AZ60"/>
  <c r="BJ60" s="1"/>
  <c r="AZ61"/>
  <c r="BJ61" s="1"/>
  <c r="AZ62"/>
  <c r="BJ62" s="1"/>
  <c r="AZ63"/>
  <c r="BJ63"/>
  <c r="AZ64"/>
  <c r="BJ64" s="1"/>
  <c r="AZ65"/>
  <c r="BJ65" s="1"/>
  <c r="M66"/>
  <c r="AI66"/>
  <c r="AZ66"/>
  <c r="BJ66" s="1"/>
  <c r="AZ67"/>
  <c r="BJ67"/>
  <c r="AV68"/>
  <c r="AZ68" s="1"/>
  <c r="BJ68" s="1"/>
  <c r="AZ69"/>
  <c r="BJ69" s="1"/>
  <c r="AZ70"/>
  <c r="BJ70"/>
  <c r="AZ71"/>
  <c r="BJ71" s="1"/>
  <c r="AZ72"/>
  <c r="BJ72" s="1"/>
  <c r="AZ73"/>
  <c r="BJ73" s="1"/>
  <c r="AZ74"/>
  <c r="BJ74"/>
  <c r="AZ75"/>
  <c r="BJ75" s="1"/>
  <c r="AP76"/>
  <c r="AZ76" s="1"/>
  <c r="BJ76" s="1"/>
  <c r="AZ77"/>
  <c r="BJ77" s="1"/>
  <c r="AV78"/>
  <c r="AZ78" s="1"/>
  <c r="BJ78" s="1"/>
  <c r="AV79"/>
  <c r="AZ79" s="1"/>
  <c r="BJ79" s="1"/>
  <c r="G80"/>
  <c r="AZ80" s="1"/>
  <c r="BJ80" s="1"/>
  <c r="AV80"/>
  <c r="AX80"/>
  <c r="AZ81"/>
  <c r="BJ81" s="1"/>
  <c r="AZ82"/>
  <c r="BJ82" s="1"/>
  <c r="M83"/>
  <c r="AZ83" s="1"/>
  <c r="BJ83" s="1"/>
  <c r="M84"/>
  <c r="AI84"/>
  <c r="AV85"/>
  <c r="AZ85" s="1"/>
  <c r="BJ85" s="1"/>
  <c r="AV86"/>
  <c r="AZ86" s="1"/>
  <c r="BJ86" s="1"/>
  <c r="Y398" i="26"/>
  <c r="U398"/>
  <c r="AZ84" i="25" l="1"/>
  <c r="BJ84" s="1"/>
  <c r="AZ44"/>
  <c r="BJ44" s="1"/>
  <c r="S11" i="10"/>
  <c r="X11"/>
  <c r="G12"/>
  <c r="S12" s="1"/>
  <c r="X12"/>
  <c r="S13"/>
  <c r="X13"/>
  <c r="S14"/>
  <c r="X14"/>
  <c r="G15"/>
  <c r="S15"/>
  <c r="X15"/>
  <c r="G16"/>
  <c r="S16" s="1"/>
  <c r="X16"/>
  <c r="G17"/>
  <c r="S17" s="1"/>
  <c r="X17"/>
  <c r="S18"/>
  <c r="X18"/>
  <c r="S19"/>
  <c r="X19"/>
  <c r="S20"/>
  <c r="X20"/>
  <c r="S21"/>
  <c r="X21"/>
  <c r="S22"/>
  <c r="X22"/>
  <c r="S23"/>
  <c r="X23"/>
  <c r="S24"/>
  <c r="X24"/>
  <c r="S25"/>
  <c r="X25"/>
  <c r="G26"/>
  <c r="S26" s="1"/>
  <c r="X26"/>
  <c r="G27"/>
  <c r="S27"/>
  <c r="X27"/>
  <c r="S28"/>
  <c r="X28"/>
  <c r="O29"/>
  <c r="S29" s="1"/>
  <c r="U29"/>
  <c r="K30"/>
  <c r="S30" s="1"/>
  <c r="X30"/>
  <c r="G31"/>
  <c r="S31" s="1"/>
  <c r="X31"/>
  <c r="M32"/>
  <c r="S32" s="1"/>
  <c r="X32"/>
  <c r="S33"/>
  <c r="X33"/>
  <c r="G34"/>
  <c r="S34"/>
  <c r="X34"/>
  <c r="G35"/>
  <c r="O35"/>
  <c r="S35"/>
  <c r="U35"/>
  <c r="S36"/>
  <c r="X36"/>
  <c r="S37"/>
  <c r="X37"/>
  <c r="S38"/>
  <c r="X38"/>
  <c r="I39"/>
  <c r="S39" s="1"/>
  <c r="X39"/>
  <c r="G40"/>
  <c r="S40" s="1"/>
  <c r="X40"/>
  <c r="S41"/>
  <c r="X41"/>
  <c r="S42"/>
  <c r="X42"/>
  <c r="S43"/>
  <c r="X43"/>
  <c r="G44"/>
  <c r="S44"/>
  <c r="X44"/>
  <c r="O45"/>
  <c r="S45" s="1"/>
  <c r="X45"/>
  <c r="S46"/>
  <c r="X46"/>
  <c r="S47"/>
  <c r="X47"/>
  <c r="S48"/>
  <c r="X48"/>
  <c r="S49"/>
  <c r="X49"/>
  <c r="G50"/>
  <c r="S50" s="1"/>
  <c r="X50"/>
  <c r="S51"/>
  <c r="X51"/>
  <c r="S52"/>
  <c r="X52"/>
  <c r="S53"/>
  <c r="X53"/>
  <c r="S54"/>
  <c r="X54"/>
  <c r="S55"/>
  <c r="X55"/>
  <c r="G56"/>
  <c r="S56" s="1"/>
  <c r="X56"/>
  <c r="S57"/>
  <c r="X57"/>
  <c r="G58"/>
  <c r="S58"/>
  <c r="X58"/>
  <c r="S59"/>
  <c r="X59"/>
  <c r="S60"/>
  <c r="X60"/>
  <c r="S61"/>
  <c r="X61"/>
  <c r="K62"/>
  <c r="O62"/>
  <c r="S62"/>
  <c r="X62"/>
  <c r="S63"/>
  <c r="X63"/>
  <c r="G64"/>
  <c r="O64"/>
  <c r="S64"/>
  <c r="X64"/>
  <c r="S65"/>
  <c r="X65"/>
  <c r="G66"/>
  <c r="S66" s="1"/>
  <c r="X66"/>
  <c r="G67"/>
  <c r="O67"/>
  <c r="X67"/>
  <c r="S68"/>
  <c r="X68"/>
  <c r="S69"/>
  <c r="X69"/>
  <c r="G70"/>
  <c r="O70"/>
  <c r="S70" s="1"/>
  <c r="X70"/>
  <c r="S71"/>
  <c r="X71"/>
  <c r="S72"/>
  <c r="X72"/>
  <c r="S73"/>
  <c r="X73"/>
  <c r="S74"/>
  <c r="X74"/>
  <c r="S75"/>
  <c r="X75"/>
  <c r="S76"/>
  <c r="X76"/>
  <c r="S77"/>
  <c r="X77"/>
  <c r="S78"/>
  <c r="X78"/>
  <c r="S79"/>
  <c r="X79"/>
  <c r="S80"/>
  <c r="X80"/>
  <c r="S81"/>
  <c r="X81"/>
  <c r="S82"/>
  <c r="X82"/>
  <c r="S83"/>
  <c r="X83"/>
  <c r="S84"/>
  <c r="X84"/>
  <c r="S85"/>
  <c r="X85"/>
  <c r="M86"/>
  <c r="S86" s="1"/>
  <c r="X86"/>
  <c r="M11" i="2"/>
  <c r="AZ11"/>
  <c r="BJ11" s="1"/>
  <c r="AZ12"/>
  <c r="BJ12" s="1"/>
  <c r="M13"/>
  <c r="AZ13" s="1"/>
  <c r="BJ13" s="1"/>
  <c r="AZ14"/>
  <c r="BJ14" s="1"/>
  <c r="M15"/>
  <c r="AV15"/>
  <c r="AZ15"/>
  <c r="BJ15" s="1"/>
  <c r="M16"/>
  <c r="AZ16"/>
  <c r="BJ16" s="1"/>
  <c r="AZ17"/>
  <c r="BJ17"/>
  <c r="AZ18"/>
  <c r="BJ18" s="1"/>
  <c r="AZ19"/>
  <c r="BJ19" s="1"/>
  <c r="AZ20"/>
  <c r="BJ20" s="1"/>
  <c r="AZ21"/>
  <c r="BJ21"/>
  <c r="AZ22"/>
  <c r="BJ22" s="1"/>
  <c r="M23"/>
  <c r="AZ23" s="1"/>
  <c r="BJ23" s="1"/>
  <c r="AZ24"/>
  <c r="BJ24" s="1"/>
  <c r="M25"/>
  <c r="AZ25" s="1"/>
  <c r="BJ25" s="1"/>
  <c r="AZ26"/>
  <c r="BJ26" s="1"/>
  <c r="AZ27"/>
  <c r="BJ27" s="1"/>
  <c r="AZ28"/>
  <c r="BJ28" s="1"/>
  <c r="AZ29"/>
  <c r="BJ29"/>
  <c r="M30"/>
  <c r="AZ30" s="1"/>
  <c r="BJ30" s="1"/>
  <c r="AZ31"/>
  <c r="BJ31" s="1"/>
  <c r="AZ32"/>
  <c r="BJ32"/>
  <c r="AZ33"/>
  <c r="BJ33" s="1"/>
  <c r="AZ34"/>
  <c r="BJ34" s="1"/>
  <c r="AZ35"/>
  <c r="BJ35" s="1"/>
  <c r="AZ36"/>
  <c r="BJ36"/>
  <c r="AN37"/>
  <c r="AZ37" s="1"/>
  <c r="BJ37" s="1"/>
  <c r="M38"/>
  <c r="AZ38" s="1"/>
  <c r="BJ38" s="1"/>
  <c r="M39"/>
  <c r="AZ39" s="1"/>
  <c r="BJ39" s="1"/>
  <c r="M40"/>
  <c r="AN40"/>
  <c r="AP40"/>
  <c r="AZ41"/>
  <c r="BJ41" s="1"/>
  <c r="AZ42"/>
  <c r="BJ42" s="1"/>
  <c r="AZ43"/>
  <c r="BJ43" s="1"/>
  <c r="M44"/>
  <c r="AP44"/>
  <c r="AZ44" s="1"/>
  <c r="BJ44" s="1"/>
  <c r="AZ45"/>
  <c r="BJ45" s="1"/>
  <c r="AZ46"/>
  <c r="BJ46" s="1"/>
  <c r="AZ47"/>
  <c r="BJ47" s="1"/>
  <c r="AZ48"/>
  <c r="BJ48"/>
  <c r="AZ49"/>
  <c r="BJ49" s="1"/>
  <c r="AZ50"/>
  <c r="BJ50" s="1"/>
  <c r="AZ51"/>
  <c r="BJ51" s="1"/>
  <c r="AZ52"/>
  <c r="BJ52"/>
  <c r="AZ53"/>
  <c r="BJ53" s="1"/>
  <c r="AZ54"/>
  <c r="BJ54" s="1"/>
  <c r="AZ55"/>
  <c r="BJ55" s="1"/>
  <c r="AZ56"/>
  <c r="BJ56"/>
  <c r="AZ57"/>
  <c r="BJ57" s="1"/>
  <c r="M58"/>
  <c r="AZ58" s="1"/>
  <c r="BJ58" s="1"/>
  <c r="AZ59"/>
  <c r="BJ59" s="1"/>
  <c r="AZ60"/>
  <c r="BJ60" s="1"/>
  <c r="AZ61"/>
  <c r="BJ61"/>
  <c r="AZ62"/>
  <c r="BJ62" s="1"/>
  <c r="AZ63"/>
  <c r="BJ63" s="1"/>
  <c r="AZ64"/>
  <c r="BJ64" s="1"/>
  <c r="AZ65"/>
  <c r="BJ65"/>
  <c r="AZ66"/>
  <c r="BJ66" s="1"/>
  <c r="AZ67"/>
  <c r="BJ67" s="1"/>
  <c r="AZ68"/>
  <c r="BJ68" s="1"/>
  <c r="AZ69"/>
  <c r="BJ69"/>
  <c r="AZ70"/>
  <c r="BJ70" s="1"/>
  <c r="AZ71"/>
  <c r="BJ71" s="1"/>
  <c r="AZ72"/>
  <c r="BJ72" s="1"/>
  <c r="AZ73"/>
  <c r="BJ73"/>
  <c r="AZ74"/>
  <c r="BJ74" s="1"/>
  <c r="AZ75"/>
  <c r="BJ75" s="1"/>
  <c r="AP76"/>
  <c r="AZ76" s="1"/>
  <c r="BJ76" s="1"/>
  <c r="AZ77"/>
  <c r="BJ77" s="1"/>
  <c r="AZ78"/>
  <c r="BJ78" s="1"/>
  <c r="AZ79"/>
  <c r="BJ79" s="1"/>
  <c r="G80"/>
  <c r="AV80"/>
  <c r="AX80"/>
  <c r="AZ80"/>
  <c r="BJ80" s="1"/>
  <c r="AZ81"/>
  <c r="BJ81"/>
  <c r="AZ82"/>
  <c r="BJ82" s="1"/>
  <c r="M83"/>
  <c r="AZ83" s="1"/>
  <c r="BJ83" s="1"/>
  <c r="M84"/>
  <c r="AI84"/>
  <c r="AZ85"/>
  <c r="BJ85" s="1"/>
  <c r="AZ86"/>
  <c r="BJ86"/>
  <c r="M11" i="17"/>
  <c r="AW11"/>
  <c r="AW12"/>
  <c r="M13"/>
  <c r="AW13" s="1"/>
  <c r="AW14"/>
  <c r="M15"/>
  <c r="AI15"/>
  <c r="M16"/>
  <c r="AW16" s="1"/>
  <c r="AW17"/>
  <c r="AW18"/>
  <c r="AW19"/>
  <c r="AW20"/>
  <c r="AW21"/>
  <c r="AW22"/>
  <c r="M23"/>
  <c r="AU23"/>
  <c r="AW23"/>
  <c r="AW24"/>
  <c r="M25"/>
  <c r="AW25" s="1"/>
  <c r="AW26"/>
  <c r="AW27"/>
  <c r="AW28"/>
  <c r="AW29"/>
  <c r="M30"/>
  <c r="AW30"/>
  <c r="AI31"/>
  <c r="AO31"/>
  <c r="AW31" s="1"/>
  <c r="AW32"/>
  <c r="AW33"/>
  <c r="AW34"/>
  <c r="AW35"/>
  <c r="AW36"/>
  <c r="AI37"/>
  <c r="AO37"/>
  <c r="AW37" s="1"/>
  <c r="M38"/>
  <c r="AW38" s="1"/>
  <c r="M39"/>
  <c r="AW39"/>
  <c r="M40"/>
  <c r="AW40" s="1"/>
  <c r="AW41"/>
  <c r="AW42"/>
  <c r="AW43"/>
  <c r="M44"/>
  <c r="AW44"/>
  <c r="AW45"/>
  <c r="M46"/>
  <c r="AW46" s="1"/>
  <c r="AW47"/>
  <c r="AW48"/>
  <c r="AW49"/>
  <c r="AW50"/>
  <c r="AW51"/>
  <c r="AW52"/>
  <c r="AW53"/>
  <c r="AW54"/>
  <c r="AW55"/>
  <c r="AW56"/>
  <c r="AW57"/>
  <c r="M58"/>
  <c r="AW58" s="1"/>
  <c r="AW59"/>
  <c r="AW60"/>
  <c r="AW61"/>
  <c r="AW62"/>
  <c r="AW63"/>
  <c r="AI64"/>
  <c r="AU64"/>
  <c r="AW64" s="1"/>
  <c r="BA64"/>
  <c r="AW65"/>
  <c r="M66"/>
  <c r="AI66"/>
  <c r="AW67"/>
  <c r="AW68"/>
  <c r="AW69"/>
  <c r="AW70"/>
  <c r="AW71"/>
  <c r="AW72"/>
  <c r="AW73"/>
  <c r="AW74"/>
  <c r="AW75"/>
  <c r="AW76"/>
  <c r="AW77"/>
  <c r="AW78"/>
  <c r="AW79"/>
  <c r="G80"/>
  <c r="AQ80"/>
  <c r="AU80"/>
  <c r="AW80"/>
  <c r="AW81"/>
  <c r="AW82"/>
  <c r="M83"/>
  <c r="AW83" s="1"/>
  <c r="M84"/>
  <c r="AI84"/>
  <c r="AW85"/>
  <c r="AW86"/>
  <c r="M11" i="15"/>
  <c r="AG11"/>
  <c r="AI11"/>
  <c r="AY11" i="17" s="1"/>
  <c r="BC11" s="1"/>
  <c r="BE11" s="1"/>
  <c r="M12" i="15"/>
  <c r="AG12"/>
  <c r="AI12" s="1"/>
  <c r="M13"/>
  <c r="AG13"/>
  <c r="AI13" s="1"/>
  <c r="M14"/>
  <c r="AG14"/>
  <c r="M15"/>
  <c r="O15"/>
  <c r="AG15"/>
  <c r="AI15" s="1"/>
  <c r="M16"/>
  <c r="AG16"/>
  <c r="AI16" s="1"/>
  <c r="M17"/>
  <c r="AG17"/>
  <c r="M18"/>
  <c r="AG18"/>
  <c r="AI18"/>
  <c r="M19"/>
  <c r="AG19"/>
  <c r="AI19" s="1"/>
  <c r="M20"/>
  <c r="AG20"/>
  <c r="AI20" s="1"/>
  <c r="M21"/>
  <c r="AG21"/>
  <c r="M22"/>
  <c r="AG22"/>
  <c r="AI22"/>
  <c r="M23"/>
  <c r="O23"/>
  <c r="AA23"/>
  <c r="AG23"/>
  <c r="AI23" s="1"/>
  <c r="M24"/>
  <c r="O24"/>
  <c r="AG24" s="1"/>
  <c r="AI24" s="1"/>
  <c r="M25"/>
  <c r="AG25"/>
  <c r="AI25"/>
  <c r="M26"/>
  <c r="O26"/>
  <c r="S26"/>
  <c r="AA26"/>
  <c r="M27"/>
  <c r="AG27"/>
  <c r="AI27" s="1"/>
  <c r="AY27" i="17" s="1"/>
  <c r="BC27" s="1"/>
  <c r="BE27" s="1"/>
  <c r="M28" i="15"/>
  <c r="AG28"/>
  <c r="AI28" s="1"/>
  <c r="AY28" i="17" s="1"/>
  <c r="BC28" s="1"/>
  <c r="BE28" s="1"/>
  <c r="M29" i="15"/>
  <c r="AG29"/>
  <c r="M30"/>
  <c r="O30"/>
  <c r="AG30"/>
  <c r="AI30" s="1"/>
  <c r="M31"/>
  <c r="O31"/>
  <c r="AG31" s="1"/>
  <c r="AI31" s="1"/>
  <c r="M32"/>
  <c r="AG32"/>
  <c r="AI32"/>
  <c r="M33"/>
  <c r="AG33"/>
  <c r="AI33" s="1"/>
  <c r="M34"/>
  <c r="AG34"/>
  <c r="AI34" s="1"/>
  <c r="M35"/>
  <c r="O35"/>
  <c r="AG35" s="1"/>
  <c r="M36"/>
  <c r="AG36"/>
  <c r="M37"/>
  <c r="O37"/>
  <c r="AG37"/>
  <c r="AI37" s="1"/>
  <c r="M38"/>
  <c r="AG38"/>
  <c r="AI38" s="1"/>
  <c r="M39"/>
  <c r="AA39"/>
  <c r="AG39" s="1"/>
  <c r="M40"/>
  <c r="AG40"/>
  <c r="M41"/>
  <c r="AG41"/>
  <c r="AI41"/>
  <c r="AY41" i="17" s="1"/>
  <c r="BC41" s="1"/>
  <c r="BE41" s="1"/>
  <c r="M42" i="15"/>
  <c r="AG42"/>
  <c r="AI42" s="1"/>
  <c r="AY42" i="17" s="1"/>
  <c r="BC42" s="1"/>
  <c r="BE42" s="1"/>
  <c r="M43" i="15"/>
  <c r="O43"/>
  <c r="AG43" s="1"/>
  <c r="AI43" s="1"/>
  <c r="AY43" i="17" s="1"/>
  <c r="BC43" s="1"/>
  <c r="BE43" s="1"/>
  <c r="M44" i="15"/>
  <c r="AG44"/>
  <c r="AI44"/>
  <c r="M45"/>
  <c r="AG45"/>
  <c r="AI45" s="1"/>
  <c r="M46"/>
  <c r="AG46"/>
  <c r="AI46" s="1"/>
  <c r="M47"/>
  <c r="O47"/>
  <c r="AG47" s="1"/>
  <c r="M48"/>
  <c r="AI48" s="1"/>
  <c r="AY48" i="17" s="1"/>
  <c r="BC48" s="1"/>
  <c r="BE48" s="1"/>
  <c r="AG48" i="15"/>
  <c r="M49"/>
  <c r="AG49"/>
  <c r="M50"/>
  <c r="AG50"/>
  <c r="AI50"/>
  <c r="AY50" i="17" s="1"/>
  <c r="BC50" s="1"/>
  <c r="BE50" s="1"/>
  <c r="M51" i="15"/>
  <c r="AG51"/>
  <c r="AI51" s="1"/>
  <c r="AY51" i="17" s="1"/>
  <c r="BC51" s="1"/>
  <c r="BE51" s="1"/>
  <c r="M52" i="15"/>
  <c r="AA52"/>
  <c r="AG52" s="1"/>
  <c r="AI52" s="1"/>
  <c r="AY52" i="17" s="1"/>
  <c r="BC52" s="1"/>
  <c r="BE52" s="1"/>
  <c r="M53" i="15"/>
  <c r="AG53"/>
  <c r="AI53"/>
  <c r="AY53" i="17" s="1"/>
  <c r="BC53" s="1"/>
  <c r="BE53" s="1"/>
  <c r="M54" i="15"/>
  <c r="AG54"/>
  <c r="AI54" s="1"/>
  <c r="AY54" i="17" s="1"/>
  <c r="BC54" s="1"/>
  <c r="BE54" s="1"/>
  <c r="M55" i="15"/>
  <c r="O55"/>
  <c r="AG55" s="1"/>
  <c r="AI55" s="1"/>
  <c r="AY55" i="17" s="1"/>
  <c r="BC55" s="1"/>
  <c r="BE55" s="1"/>
  <c r="M56" i="15"/>
  <c r="O56"/>
  <c r="AG56"/>
  <c r="AI56" s="1"/>
  <c r="M57"/>
  <c r="O57"/>
  <c r="AG57" s="1"/>
  <c r="AI57" s="1"/>
  <c r="M58"/>
  <c r="AG58"/>
  <c r="AI58"/>
  <c r="M59"/>
  <c r="AG59"/>
  <c r="AI59" s="1"/>
  <c r="M60"/>
  <c r="AA60"/>
  <c r="AG60" s="1"/>
  <c r="AI60" s="1"/>
  <c r="M61"/>
  <c r="AG61"/>
  <c r="AI61"/>
  <c r="M62"/>
  <c r="AG62"/>
  <c r="AI62" s="1"/>
  <c r="M63"/>
  <c r="AG63"/>
  <c r="AI63" s="1"/>
  <c r="G64"/>
  <c r="M64" s="1"/>
  <c r="O64"/>
  <c r="AG64" s="1"/>
  <c r="AI64" s="1"/>
  <c r="U64"/>
  <c r="AA64"/>
  <c r="M65"/>
  <c r="AG65"/>
  <c r="AI65"/>
  <c r="AY65" i="17" s="1"/>
  <c r="BC65" s="1"/>
  <c r="BE65" s="1"/>
  <c r="M66" i="15"/>
  <c r="AG66"/>
  <c r="AI66" s="1"/>
  <c r="M67"/>
  <c r="AG67"/>
  <c r="AI67" s="1"/>
  <c r="AY67" i="17" s="1"/>
  <c r="BC67" s="1"/>
  <c r="BE67" s="1"/>
  <c r="M68" i="15"/>
  <c r="AG68"/>
  <c r="M69"/>
  <c r="AG69"/>
  <c r="AI69"/>
  <c r="M70"/>
  <c r="AG70"/>
  <c r="AI70" s="1"/>
  <c r="M71"/>
  <c r="AG71"/>
  <c r="AI71" s="1"/>
  <c r="M72"/>
  <c r="O72"/>
  <c r="AG72" s="1"/>
  <c r="M73"/>
  <c r="AG73"/>
  <c r="M74"/>
  <c r="AG74"/>
  <c r="AI74"/>
  <c r="M75"/>
  <c r="AG75"/>
  <c r="AI75" s="1"/>
  <c r="M76"/>
  <c r="AG76"/>
  <c r="AI76" s="1"/>
  <c r="M77"/>
  <c r="AG77"/>
  <c r="M78"/>
  <c r="AG78"/>
  <c r="AI78"/>
  <c r="M79"/>
  <c r="O79"/>
  <c r="S79"/>
  <c r="AG79"/>
  <c r="AI79" s="1"/>
  <c r="I80"/>
  <c r="M80" s="1"/>
  <c r="AG80"/>
  <c r="M81"/>
  <c r="AG81"/>
  <c r="AI81" s="1"/>
  <c r="M82"/>
  <c r="O82"/>
  <c r="AG82" s="1"/>
  <c r="M83"/>
  <c r="AG83"/>
  <c r="M84"/>
  <c r="AG84"/>
  <c r="AI84"/>
  <c r="M85"/>
  <c r="AG85"/>
  <c r="AI85" s="1"/>
  <c r="AY85" i="17" s="1"/>
  <c r="BC85" s="1"/>
  <c r="BE85" s="1"/>
  <c r="M86" i="15"/>
  <c r="AG86"/>
  <c r="AI86" s="1"/>
  <c r="AY86" i="17" s="1"/>
  <c r="BC86" s="1"/>
  <c r="BE86" s="1"/>
  <c r="W11" i="22"/>
  <c r="Y11" s="1"/>
  <c r="AO11" s="1"/>
  <c r="BL11" i="25" s="1"/>
  <c r="BT11" s="1"/>
  <c r="AM11" i="22"/>
  <c r="W12"/>
  <c r="Y12" s="1"/>
  <c r="AO12" s="1"/>
  <c r="BL12" i="25" s="1"/>
  <c r="BT12" s="1"/>
  <c r="AM12" i="22"/>
  <c r="W13"/>
  <c r="Y13" s="1"/>
  <c r="AO13" s="1"/>
  <c r="BL13" i="25" s="1"/>
  <c r="BT13" s="1"/>
  <c r="AM13" i="22"/>
  <c r="Y14"/>
  <c r="AM14"/>
  <c r="W15"/>
  <c r="Y15" s="1"/>
  <c r="AM15"/>
  <c r="W16"/>
  <c r="Y16"/>
  <c r="AM16"/>
  <c r="AO16"/>
  <c r="BL16" i="25" s="1"/>
  <c r="BT16" s="1"/>
  <c r="W17" i="22"/>
  <c r="Y17"/>
  <c r="AM17"/>
  <c r="AO17"/>
  <c r="BL17" i="25" s="1"/>
  <c r="BT17" s="1"/>
  <c r="Y18" i="22"/>
  <c r="AM18"/>
  <c r="AO18" s="1"/>
  <c r="BL18" i="25" s="1"/>
  <c r="BT18" s="1"/>
  <c r="Y19" i="22"/>
  <c r="AM19"/>
  <c r="AO19" s="1"/>
  <c r="BL19" i="25" s="1"/>
  <c r="BT19" s="1"/>
  <c r="K20" i="22"/>
  <c r="W20"/>
  <c r="Y20" s="1"/>
  <c r="AO20" s="1"/>
  <c r="BL20" i="25" s="1"/>
  <c r="BT20" s="1"/>
  <c r="AM20" i="22"/>
  <c r="W21"/>
  <c r="Y21" s="1"/>
  <c r="AO21" s="1"/>
  <c r="BL21" i="25" s="1"/>
  <c r="BT21" s="1"/>
  <c r="AM21" i="22"/>
  <c r="Y22"/>
  <c r="AM22"/>
  <c r="W23"/>
  <c r="Y23" s="1"/>
  <c r="AO23" s="1"/>
  <c r="BL23" i="25" s="1"/>
  <c r="BT23" s="1"/>
  <c r="AM23" i="22"/>
  <c r="W24"/>
  <c r="Y24" s="1"/>
  <c r="AO24" s="1"/>
  <c r="BL24" i="25" s="1"/>
  <c r="BT24" s="1"/>
  <c r="AM24" i="22"/>
  <c r="W25"/>
  <c r="Y25" s="1"/>
  <c r="AO25" s="1"/>
  <c r="BL25" i="25" s="1"/>
  <c r="BT25" s="1"/>
  <c r="AM25" i="22"/>
  <c r="W26"/>
  <c r="Y26" s="1"/>
  <c r="AI26"/>
  <c r="AM26" s="1"/>
  <c r="W27"/>
  <c r="Y27" s="1"/>
  <c r="AO27" s="1"/>
  <c r="BL27" i="25" s="1"/>
  <c r="BT27" s="1"/>
  <c r="AM27" i="22"/>
  <c r="W28"/>
  <c r="Y28" s="1"/>
  <c r="AO28" s="1"/>
  <c r="BL28" i="25" s="1"/>
  <c r="BT28" s="1"/>
  <c r="AM28" i="22"/>
  <c r="K29"/>
  <c r="W29"/>
  <c r="Y29"/>
  <c r="AM29"/>
  <c r="AO29"/>
  <c r="BL29" i="25" s="1"/>
  <c r="BT29" s="1"/>
  <c r="W30" i="22"/>
  <c r="Y30"/>
  <c r="AM30"/>
  <c r="AO30"/>
  <c r="BL30" i="25" s="1"/>
  <c r="BT30" s="1"/>
  <c r="W31" i="22"/>
  <c r="Y31"/>
  <c r="AM31"/>
  <c r="AO31"/>
  <c r="BL31" i="25" s="1"/>
  <c r="BT31" s="1"/>
  <c r="K32" i="22"/>
  <c r="W32"/>
  <c r="Y32" s="1"/>
  <c r="AO32" s="1"/>
  <c r="BL32" i="25" s="1"/>
  <c r="BT32" s="1"/>
  <c r="AM32" i="22"/>
  <c r="K33"/>
  <c r="W33"/>
  <c r="Y33"/>
  <c r="AM33"/>
  <c r="AO33"/>
  <c r="BL33" i="25" s="1"/>
  <c r="BT33" s="1"/>
  <c r="W34" i="22"/>
  <c r="Y34"/>
  <c r="AM34"/>
  <c r="AO34"/>
  <c r="BL34" i="25" s="1"/>
  <c r="BT34" s="1"/>
  <c r="Y35" i="22"/>
  <c r="AM35"/>
  <c r="AO35" s="1"/>
  <c r="BL35" i="25" s="1"/>
  <c r="BT35" s="1"/>
  <c r="Y36" i="22"/>
  <c r="AM36"/>
  <c r="AO36" s="1"/>
  <c r="BL36" i="25" s="1"/>
  <c r="BT36" s="1"/>
  <c r="W37" i="22"/>
  <c r="Y37" s="1"/>
  <c r="AO37" s="1"/>
  <c r="BL37" i="25" s="1"/>
  <c r="BT37" s="1"/>
  <c r="AM37" i="22"/>
  <c r="W38"/>
  <c r="Y38" s="1"/>
  <c r="AO38" s="1"/>
  <c r="BL38" i="25" s="1"/>
  <c r="BT38" s="1"/>
  <c r="AM38" i="22"/>
  <c r="W39"/>
  <c r="Y39" s="1"/>
  <c r="AO39" s="1"/>
  <c r="BL39" i="25" s="1"/>
  <c r="BT39" s="1"/>
  <c r="AM39" i="22"/>
  <c r="W40"/>
  <c r="Y40" s="1"/>
  <c r="AO40" s="1"/>
  <c r="BL40" i="25" s="1"/>
  <c r="BT40" s="1"/>
  <c r="AM40" i="22"/>
  <c r="W41"/>
  <c r="Y41" s="1"/>
  <c r="AO41" s="1"/>
  <c r="BL41" i="25" s="1"/>
  <c r="BT41" s="1"/>
  <c r="AM41" i="22"/>
  <c r="W42"/>
  <c r="Y42" s="1"/>
  <c r="AO42" s="1"/>
  <c r="BL42" i="25" s="1"/>
  <c r="BT42" s="1"/>
  <c r="AM42" i="22"/>
  <c r="W43"/>
  <c r="Y43" s="1"/>
  <c r="AO43" s="1"/>
  <c r="BL43" i="25" s="1"/>
  <c r="BT43" s="1"/>
  <c r="AI43" i="22"/>
  <c r="AM43" s="1"/>
  <c r="K44"/>
  <c r="W44"/>
  <c r="Y44"/>
  <c r="AE44"/>
  <c r="AM44"/>
  <c r="Y45"/>
  <c r="AM45"/>
  <c r="AO45" s="1"/>
  <c r="BL45" i="25" s="1"/>
  <c r="BT45" s="1"/>
  <c r="K46" i="22"/>
  <c r="W46"/>
  <c r="AM46"/>
  <c r="W47"/>
  <c r="Y47" s="1"/>
  <c r="AE47"/>
  <c r="AM47" s="1"/>
  <c r="W48"/>
  <c r="Y48"/>
  <c r="AM48"/>
  <c r="AO48"/>
  <c r="BL48" i="25" s="1"/>
  <c r="BT48" s="1"/>
  <c r="K49" i="22"/>
  <c r="W49"/>
  <c r="Y49" s="1"/>
  <c r="AO49" s="1"/>
  <c r="BL49" i="25" s="1"/>
  <c r="BT49" s="1"/>
  <c r="AM49" i="22"/>
  <c r="W50"/>
  <c r="Y50" s="1"/>
  <c r="AO50" s="1"/>
  <c r="BL50" i="25" s="1"/>
  <c r="BT50" s="1"/>
  <c r="AM50" i="22"/>
  <c r="W51"/>
  <c r="Y51" s="1"/>
  <c r="AO51" s="1"/>
  <c r="BL51" i="25" s="1"/>
  <c r="BT51" s="1"/>
  <c r="AM51" i="22"/>
  <c r="W52"/>
  <c r="Y52" s="1"/>
  <c r="AI52"/>
  <c r="AM52"/>
  <c r="Y53"/>
  <c r="AM53"/>
  <c r="AO53" s="1"/>
  <c r="BL53" i="25" s="1"/>
  <c r="BT53" s="1"/>
  <c r="K54" i="22"/>
  <c r="W54"/>
  <c r="Y54" s="1"/>
  <c r="AO54" s="1"/>
  <c r="BL54" i="25" s="1"/>
  <c r="BT54" s="1"/>
  <c r="AM54" i="22"/>
  <c r="W55"/>
  <c r="Y55" s="1"/>
  <c r="AO55" s="1"/>
  <c r="BL55" i="25" s="1"/>
  <c r="BT55" s="1"/>
  <c r="AM55" i="22"/>
  <c r="W56"/>
  <c r="Y56" s="1"/>
  <c r="AI56"/>
  <c r="AM56" s="1"/>
  <c r="W57"/>
  <c r="Y57" s="1"/>
  <c r="AO57" s="1"/>
  <c r="BL57" i="25" s="1"/>
  <c r="BT57" s="1"/>
  <c r="AM57" i="22"/>
  <c r="W58"/>
  <c r="Y58" s="1"/>
  <c r="AO58" s="1"/>
  <c r="BL58" i="25" s="1"/>
  <c r="BT58" s="1"/>
  <c r="AE58" i="22"/>
  <c r="AM58" s="1"/>
  <c r="K59"/>
  <c r="W59"/>
  <c r="Y59"/>
  <c r="AM59"/>
  <c r="AO59"/>
  <c r="BL59" i="25" s="1"/>
  <c r="BT59" s="1"/>
  <c r="W60" i="22"/>
  <c r="Y60"/>
  <c r="AM60"/>
  <c r="AO60"/>
  <c r="BL60" i="25" s="1"/>
  <c r="BT60" s="1"/>
  <c r="Y61" i="22"/>
  <c r="AM61"/>
  <c r="AO61" s="1"/>
  <c r="BL61" i="25" s="1"/>
  <c r="BT61" s="1"/>
  <c r="W62" i="22"/>
  <c r="Y62"/>
  <c r="AM62"/>
  <c r="AO62"/>
  <c r="BL62" i="25" s="1"/>
  <c r="BT62" s="1"/>
  <c r="Y63" i="22"/>
  <c r="AM63"/>
  <c r="AO63" s="1"/>
  <c r="BL63" i="25" s="1"/>
  <c r="BT63" s="1"/>
  <c r="W64" i="22"/>
  <c r="Y64"/>
  <c r="AI64"/>
  <c r="AM64"/>
  <c r="Y65"/>
  <c r="AM65"/>
  <c r="AO65" s="1"/>
  <c r="BL65" i="25" s="1"/>
  <c r="BT65" s="1"/>
  <c r="W66" i="22"/>
  <c r="Y66" s="1"/>
  <c r="AO66" s="1"/>
  <c r="BL66" i="25" s="1"/>
  <c r="BT66" s="1"/>
  <c r="AM66" i="22"/>
  <c r="K67"/>
  <c r="W67"/>
  <c r="AM67"/>
  <c r="W68"/>
  <c r="Y68"/>
  <c r="AM68"/>
  <c r="AO68"/>
  <c r="BL68" i="25" s="1"/>
  <c r="BT68" s="1"/>
  <c r="K69" i="22"/>
  <c r="W69"/>
  <c r="Y69" s="1"/>
  <c r="AO69" s="1"/>
  <c r="BL69" i="25" s="1"/>
  <c r="BT69" s="1"/>
  <c r="AM69" i="22"/>
  <c r="K70"/>
  <c r="W70"/>
  <c r="Y70"/>
  <c r="AM70"/>
  <c r="AO70"/>
  <c r="BL70" i="25" s="1"/>
  <c r="BT70" s="1"/>
  <c r="W71" i="22"/>
  <c r="Y71"/>
  <c r="AM71"/>
  <c r="AO71"/>
  <c r="BL71" i="25" s="1"/>
  <c r="BT71" s="1"/>
  <c r="W72" i="22"/>
  <c r="Y72"/>
  <c r="AM72"/>
  <c r="AO72"/>
  <c r="BL72" i="25" s="1"/>
  <c r="BT72" s="1"/>
  <c r="W73" i="22"/>
  <c r="Y73"/>
  <c r="AM73"/>
  <c r="AO73"/>
  <c r="BL73" i="25" s="1"/>
  <c r="BT73" s="1"/>
  <c r="W74" i="22"/>
  <c r="Y74"/>
  <c r="AM74"/>
  <c r="AO74"/>
  <c r="BL74" i="25" s="1"/>
  <c r="BT74" s="1"/>
  <c r="Y75" i="22"/>
  <c r="AM75"/>
  <c r="AO75" s="1"/>
  <c r="BL75" i="25" s="1"/>
  <c r="BT75" s="1"/>
  <c r="K76" i="22"/>
  <c r="W76"/>
  <c r="Y76" s="1"/>
  <c r="AO76" s="1"/>
  <c r="BL76" i="25" s="1"/>
  <c r="BT76" s="1"/>
  <c r="AM76" i="22"/>
  <c r="W77"/>
  <c r="Y77" s="1"/>
  <c r="AO77" s="1"/>
  <c r="BL77" i="25" s="1"/>
  <c r="BT77" s="1"/>
  <c r="AM77" i="22"/>
  <c r="W78"/>
  <c r="Y78" s="1"/>
  <c r="AO78" s="1"/>
  <c r="BL78" i="25" s="1"/>
  <c r="BT78" s="1"/>
  <c r="AM78" i="22"/>
  <c r="W79"/>
  <c r="Y79" s="1"/>
  <c r="AO79" s="1"/>
  <c r="BL79" i="25" s="1"/>
  <c r="BT79" s="1"/>
  <c r="AM79" i="22"/>
  <c r="K80"/>
  <c r="Y80" s="1"/>
  <c r="AO80" s="1"/>
  <c r="BL80" i="25" s="1"/>
  <c r="BT80" s="1"/>
  <c r="AM80" i="22"/>
  <c r="K81"/>
  <c r="W81"/>
  <c r="AM81"/>
  <c r="W82"/>
  <c r="Y82" s="1"/>
  <c r="AM82"/>
  <c r="W83"/>
  <c r="Y83" s="1"/>
  <c r="AM83"/>
  <c r="W84"/>
  <c r="Y84" s="1"/>
  <c r="AM84"/>
  <c r="W85"/>
  <c r="Y85"/>
  <c r="AM85"/>
  <c r="AO85"/>
  <c r="BL85" i="25" s="1"/>
  <c r="BT85" s="1"/>
  <c r="K86" i="22"/>
  <c r="W86"/>
  <c r="Y86" s="1"/>
  <c r="AO86" s="1"/>
  <c r="BL86" i="25" s="1"/>
  <c r="BT86" s="1"/>
  <c r="AM86" i="22"/>
  <c r="K11" i="26"/>
  <c r="O11"/>
  <c r="U11"/>
  <c r="Y11"/>
  <c r="AA11"/>
  <c r="AC11"/>
  <c r="K12"/>
  <c r="O12"/>
  <c r="U12"/>
  <c r="Y12"/>
  <c r="AA12" s="1"/>
  <c r="AC12"/>
  <c r="I13"/>
  <c r="K13"/>
  <c r="AC13" s="1"/>
  <c r="O13"/>
  <c r="U13"/>
  <c r="Y13"/>
  <c r="AA13"/>
  <c r="K14"/>
  <c r="AC14" s="1"/>
  <c r="O14"/>
  <c r="AA14"/>
  <c r="K15"/>
  <c r="O15"/>
  <c r="AC15" s="1"/>
  <c r="U15"/>
  <c r="Y15"/>
  <c r="AA15" s="1"/>
  <c r="K16"/>
  <c r="O16"/>
  <c r="U16"/>
  <c r="Y16"/>
  <c r="AC16"/>
  <c r="K17"/>
  <c r="O17"/>
  <c r="AC17" s="1"/>
  <c r="U17"/>
  <c r="Y17"/>
  <c r="AA17" s="1"/>
  <c r="K18"/>
  <c r="AC18" s="1"/>
  <c r="O18"/>
  <c r="AA18"/>
  <c r="K19"/>
  <c r="AA19"/>
  <c r="AC19"/>
  <c r="K20"/>
  <c r="O20"/>
  <c r="U20"/>
  <c r="Y20"/>
  <c r="AA20" s="1"/>
  <c r="AC20"/>
  <c r="K21"/>
  <c r="O21"/>
  <c r="U21"/>
  <c r="Y21"/>
  <c r="AA21" s="1"/>
  <c r="AC21"/>
  <c r="K22"/>
  <c r="O22"/>
  <c r="AA22"/>
  <c r="AC22"/>
  <c r="K23"/>
  <c r="O23"/>
  <c r="AC23" s="1"/>
  <c r="U23"/>
  <c r="Y23"/>
  <c r="AA23" s="1"/>
  <c r="K24"/>
  <c r="O24"/>
  <c r="U24"/>
  <c r="Y24"/>
  <c r="AC24"/>
  <c r="I25"/>
  <c r="K25"/>
  <c r="AC25" s="1"/>
  <c r="O25"/>
  <c r="U25"/>
  <c r="Y25"/>
  <c r="AA25"/>
  <c r="K26"/>
  <c r="O26"/>
  <c r="U26"/>
  <c r="Y26"/>
  <c r="AC26"/>
  <c r="K27"/>
  <c r="O27"/>
  <c r="AC27" s="1"/>
  <c r="U27"/>
  <c r="Y27"/>
  <c r="AA27" s="1"/>
  <c r="K28"/>
  <c r="O28"/>
  <c r="U28"/>
  <c r="Y28"/>
  <c r="AC28"/>
  <c r="K29"/>
  <c r="O29"/>
  <c r="AC29" s="1"/>
  <c r="U29"/>
  <c r="Y29"/>
  <c r="AA29" s="1"/>
  <c r="K30"/>
  <c r="O30"/>
  <c r="U30"/>
  <c r="Y30"/>
  <c r="AC30"/>
  <c r="K31"/>
  <c r="O31"/>
  <c r="AC31" s="1"/>
  <c r="U31"/>
  <c r="Y31"/>
  <c r="AA31" s="1"/>
  <c r="K32"/>
  <c r="O32"/>
  <c r="U32"/>
  <c r="Y32"/>
  <c r="AC32"/>
  <c r="K33"/>
  <c r="O33"/>
  <c r="AC33" s="1"/>
  <c r="U33"/>
  <c r="Y33"/>
  <c r="AA33" s="1"/>
  <c r="K34"/>
  <c r="O34"/>
  <c r="U34"/>
  <c r="Y34"/>
  <c r="AC34"/>
  <c r="K35"/>
  <c r="O35"/>
  <c r="AC35" s="1"/>
  <c r="U35"/>
  <c r="Y35"/>
  <c r="AA35" s="1"/>
  <c r="K36"/>
  <c r="AC36" s="1"/>
  <c r="O36"/>
  <c r="AA36"/>
  <c r="K37"/>
  <c r="O37"/>
  <c r="U37"/>
  <c r="Y37"/>
  <c r="AC37"/>
  <c r="K38"/>
  <c r="O38"/>
  <c r="AC38" s="1"/>
  <c r="U38"/>
  <c r="Y38"/>
  <c r="AA38" s="1"/>
  <c r="K39"/>
  <c r="O39"/>
  <c r="U39"/>
  <c r="Y39"/>
  <c r="AC39"/>
  <c r="K40"/>
  <c r="O40"/>
  <c r="AC40" s="1"/>
  <c r="U40"/>
  <c r="Y40"/>
  <c r="AA40" s="1"/>
  <c r="K41"/>
  <c r="O41"/>
  <c r="U41"/>
  <c r="Y41"/>
  <c r="AC41"/>
  <c r="K42"/>
  <c r="O42"/>
  <c r="AC42" s="1"/>
  <c r="U42"/>
  <c r="Y42"/>
  <c r="AA42" s="1"/>
  <c r="G43"/>
  <c r="K43" s="1"/>
  <c r="AC43" s="1"/>
  <c r="O43"/>
  <c r="U43"/>
  <c r="Y43"/>
  <c r="AA43" s="1"/>
  <c r="K44"/>
  <c r="Q44"/>
  <c r="O44" s="1"/>
  <c r="U44"/>
  <c r="Y44"/>
  <c r="K45"/>
  <c r="O45"/>
  <c r="U45"/>
  <c r="Y45"/>
  <c r="AC45"/>
  <c r="K46"/>
  <c r="O46"/>
  <c r="AC46" s="1"/>
  <c r="Q46"/>
  <c r="U46"/>
  <c r="W46"/>
  <c r="Y46"/>
  <c r="I47"/>
  <c r="K47" s="1"/>
  <c r="AC47" s="1"/>
  <c r="O47"/>
  <c r="U47"/>
  <c r="Y47"/>
  <c r="AA47" s="1"/>
  <c r="K48"/>
  <c r="O48"/>
  <c r="U48"/>
  <c r="Y48"/>
  <c r="AA48"/>
  <c r="K49"/>
  <c r="Q49"/>
  <c r="O49" s="1"/>
  <c r="U49"/>
  <c r="Y49"/>
  <c r="AA49" s="1"/>
  <c r="K50"/>
  <c r="O50"/>
  <c r="AC50" s="1"/>
  <c r="U50"/>
  <c r="Y50"/>
  <c r="AA50" s="1"/>
  <c r="K51"/>
  <c r="O51"/>
  <c r="U51"/>
  <c r="Y51"/>
  <c r="AC51"/>
  <c r="K52"/>
  <c r="O52"/>
  <c r="AC52" s="1"/>
  <c r="U52"/>
  <c r="Y52"/>
  <c r="AA52" s="1"/>
  <c r="K53"/>
  <c r="AC53" s="1"/>
  <c r="O53"/>
  <c r="AA53"/>
  <c r="K54"/>
  <c r="O54"/>
  <c r="U54"/>
  <c r="Y54"/>
  <c r="AC54"/>
  <c r="K55"/>
  <c r="O55"/>
  <c r="AC55" s="1"/>
  <c r="U55"/>
  <c r="Y55"/>
  <c r="AA55" s="1"/>
  <c r="G56"/>
  <c r="K56" s="1"/>
  <c r="AC56" s="1"/>
  <c r="O56"/>
  <c r="U56"/>
  <c r="Y56"/>
  <c r="AA56" s="1"/>
  <c r="K57"/>
  <c r="O57"/>
  <c r="U57"/>
  <c r="Y57"/>
  <c r="AA57"/>
  <c r="I58"/>
  <c r="K58" s="1"/>
  <c r="O58"/>
  <c r="U58"/>
  <c r="Y58"/>
  <c r="AA58" s="1"/>
  <c r="K59"/>
  <c r="O59"/>
  <c r="Q59"/>
  <c r="U59"/>
  <c r="Y59"/>
  <c r="AA59"/>
  <c r="K60"/>
  <c r="O60"/>
  <c r="U60"/>
  <c r="Y60"/>
  <c r="AA60" s="1"/>
  <c r="K61"/>
  <c r="AC61" s="1"/>
  <c r="O61"/>
  <c r="AA61"/>
  <c r="K62"/>
  <c r="Q62"/>
  <c r="O62" s="1"/>
  <c r="U62"/>
  <c r="Y62"/>
  <c r="AA62" s="1"/>
  <c r="K63"/>
  <c r="O63"/>
  <c r="AA63"/>
  <c r="AC63"/>
  <c r="K64"/>
  <c r="O64"/>
  <c r="AC64" s="1"/>
  <c r="U64"/>
  <c r="Y64"/>
  <c r="AA64" s="1"/>
  <c r="K65"/>
  <c r="AC65" s="1"/>
  <c r="O65"/>
  <c r="AA65"/>
  <c r="K66"/>
  <c r="O66"/>
  <c r="U66"/>
  <c r="AA66" s="1"/>
  <c r="K67"/>
  <c r="Q67"/>
  <c r="O67" s="1"/>
  <c r="U67"/>
  <c r="Y67"/>
  <c r="K68"/>
  <c r="O68"/>
  <c r="U68"/>
  <c r="Y68"/>
  <c r="AC68"/>
  <c r="K69"/>
  <c r="O69"/>
  <c r="Q69"/>
  <c r="U69"/>
  <c r="Y69"/>
  <c r="AA69"/>
  <c r="K70"/>
  <c r="Q70"/>
  <c r="O70" s="1"/>
  <c r="U70"/>
  <c r="Y70"/>
  <c r="AA70" s="1"/>
  <c r="K71"/>
  <c r="O71"/>
  <c r="AC71" s="1"/>
  <c r="U71"/>
  <c r="Y71"/>
  <c r="AA71" s="1"/>
  <c r="G72"/>
  <c r="K72" s="1"/>
  <c r="AC72" s="1"/>
  <c r="O72"/>
  <c r="U72"/>
  <c r="Y72"/>
  <c r="AA72" s="1"/>
  <c r="K73"/>
  <c r="AC73" s="1"/>
  <c r="O73"/>
  <c r="U73"/>
  <c r="AA73" s="1"/>
  <c r="K74"/>
  <c r="O74"/>
  <c r="U74"/>
  <c r="Y74"/>
  <c r="AC74"/>
  <c r="K75"/>
  <c r="O75"/>
  <c r="AA75"/>
  <c r="AC75"/>
  <c r="K76"/>
  <c r="O76"/>
  <c r="Q76"/>
  <c r="U76"/>
  <c r="Y76"/>
  <c r="AA76"/>
  <c r="K77"/>
  <c r="O77"/>
  <c r="U77"/>
  <c r="Y77"/>
  <c r="AA77" s="1"/>
  <c r="G78"/>
  <c r="K78" s="1"/>
  <c r="O78"/>
  <c r="U78"/>
  <c r="Y78"/>
  <c r="K79"/>
  <c r="O79"/>
  <c r="U79"/>
  <c r="Y79"/>
  <c r="AC79"/>
  <c r="K80"/>
  <c r="O80"/>
  <c r="AA80"/>
  <c r="AC80"/>
  <c r="K81"/>
  <c r="O81"/>
  <c r="Q81"/>
  <c r="U81"/>
  <c r="Y81"/>
  <c r="AA81"/>
  <c r="I82"/>
  <c r="K82" s="1"/>
  <c r="O82"/>
  <c r="U82"/>
  <c r="Y82"/>
  <c r="AA82" s="1"/>
  <c r="K83"/>
  <c r="O83"/>
  <c r="AC83" s="1"/>
  <c r="U83"/>
  <c r="Y83"/>
  <c r="AA83" s="1"/>
  <c r="I84"/>
  <c r="K84" s="1"/>
  <c r="AC84" s="1"/>
  <c r="O84"/>
  <c r="U84"/>
  <c r="Y84"/>
  <c r="AA84" s="1"/>
  <c r="K85"/>
  <c r="O85"/>
  <c r="U85"/>
  <c r="Y85"/>
  <c r="AA85"/>
  <c r="K86"/>
  <c r="Q86"/>
  <c r="O86" s="1"/>
  <c r="U86"/>
  <c r="Y86"/>
  <c r="AA86" s="1"/>
  <c r="W11" i="1"/>
  <c r="Y11"/>
  <c r="AK11"/>
  <c r="AM11"/>
  <c r="W12"/>
  <c r="Y12"/>
  <c r="AK12"/>
  <c r="AM12"/>
  <c r="W13"/>
  <c r="Y13"/>
  <c r="AK13"/>
  <c r="AM13"/>
  <c r="Y14"/>
  <c r="AK14"/>
  <c r="AM14" s="1"/>
  <c r="W15"/>
  <c r="Y15" s="1"/>
  <c r="AK15"/>
  <c r="W16"/>
  <c r="Y16" s="1"/>
  <c r="AK16"/>
  <c r="W17"/>
  <c r="Y17" s="1"/>
  <c r="AK17"/>
  <c r="Y18"/>
  <c r="AK18"/>
  <c r="AM18"/>
  <c r="Y19"/>
  <c r="AK19"/>
  <c r="AM19" s="1"/>
  <c r="W20"/>
  <c r="Y20" s="1"/>
  <c r="AK20"/>
  <c r="AM20" s="1"/>
  <c r="Y21"/>
  <c r="AK21"/>
  <c r="AM21" s="1"/>
  <c r="Y22"/>
  <c r="AK22"/>
  <c r="W23"/>
  <c r="Y23" s="1"/>
  <c r="AK23"/>
  <c r="Y24"/>
  <c r="AK24"/>
  <c r="W25"/>
  <c r="Y25"/>
  <c r="AK25"/>
  <c r="AM25"/>
  <c r="Y26"/>
  <c r="AG26"/>
  <c r="AK26" s="1"/>
  <c r="AM26" s="1"/>
  <c r="W27"/>
  <c r="Y27"/>
  <c r="AK27"/>
  <c r="AM27"/>
  <c r="W28"/>
  <c r="Y28"/>
  <c r="AK28"/>
  <c r="AM28"/>
  <c r="W29"/>
  <c r="Y29"/>
  <c r="AK29"/>
  <c r="AM29"/>
  <c r="Y30"/>
  <c r="AK30"/>
  <c r="AM30" s="1"/>
  <c r="Y31"/>
  <c r="AK31"/>
  <c r="AM31" s="1"/>
  <c r="K32"/>
  <c r="W32"/>
  <c r="AK32"/>
  <c r="K33"/>
  <c r="W33"/>
  <c r="Y33" s="1"/>
  <c r="AK33"/>
  <c r="W34"/>
  <c r="Y34" s="1"/>
  <c r="AK34"/>
  <c r="Y35"/>
  <c r="AK35"/>
  <c r="Y36"/>
  <c r="AK36"/>
  <c r="AM36"/>
  <c r="Y37"/>
  <c r="AK37"/>
  <c r="AM37" s="1"/>
  <c r="W38"/>
  <c r="Y38"/>
  <c r="AK38"/>
  <c r="W39"/>
  <c r="Y39"/>
  <c r="AK39"/>
  <c r="AM39"/>
  <c r="W40"/>
  <c r="Y40"/>
  <c r="AK40"/>
  <c r="AM40"/>
  <c r="W41"/>
  <c r="Y41"/>
  <c r="AK41"/>
  <c r="AM41"/>
  <c r="W42"/>
  <c r="Y42"/>
  <c r="AK42"/>
  <c r="AM42"/>
  <c r="W43"/>
  <c r="Y43"/>
  <c r="AG43"/>
  <c r="AK43"/>
  <c r="AM43" s="1"/>
  <c r="K44"/>
  <c r="W44"/>
  <c r="Y44" s="1"/>
  <c r="AK44"/>
  <c r="AM44" s="1"/>
  <c r="Y45"/>
  <c r="AK45"/>
  <c r="W46"/>
  <c r="Y46" s="1"/>
  <c r="AK46"/>
  <c r="W47"/>
  <c r="Y47" s="1"/>
  <c r="AK47"/>
  <c r="W48"/>
  <c r="Y48" s="1"/>
  <c r="AK48"/>
  <c r="K49"/>
  <c r="W49"/>
  <c r="Y49"/>
  <c r="AK49"/>
  <c r="AM49"/>
  <c r="Y50"/>
  <c r="AK50"/>
  <c r="AM50" s="1"/>
  <c r="Y51"/>
  <c r="AK51"/>
  <c r="AM51" s="1"/>
  <c r="W52"/>
  <c r="Y52" s="1"/>
  <c r="AK52"/>
  <c r="Y53"/>
  <c r="AK53"/>
  <c r="Y54"/>
  <c r="AK54"/>
  <c r="AM54"/>
  <c r="W55"/>
  <c r="Y55"/>
  <c r="AK55"/>
  <c r="AM55"/>
  <c r="Y56"/>
  <c r="AG56"/>
  <c r="AK56" s="1"/>
  <c r="AM56" s="1"/>
  <c r="Y57"/>
  <c r="AK57"/>
  <c r="AM57" s="1"/>
  <c r="W58"/>
  <c r="Y58"/>
  <c r="AK58"/>
  <c r="W59"/>
  <c r="Y59" s="1"/>
  <c r="AK59"/>
  <c r="Y60"/>
  <c r="AK60"/>
  <c r="AM60"/>
  <c r="Y61"/>
  <c r="AK61"/>
  <c r="AM61" s="1"/>
  <c r="W62"/>
  <c r="Y62" s="1"/>
  <c r="AK62"/>
  <c r="AM62" s="1"/>
  <c r="Y63"/>
  <c r="AK63"/>
  <c r="W64"/>
  <c r="Y64" s="1"/>
  <c r="AG64"/>
  <c r="AK64" s="1"/>
  <c r="AM64" s="1"/>
  <c r="Y65"/>
  <c r="AK65"/>
  <c r="AM65"/>
  <c r="W66"/>
  <c r="Y66"/>
  <c r="AK66"/>
  <c r="AM66"/>
  <c r="K67"/>
  <c r="W67"/>
  <c r="Y67" s="1"/>
  <c r="AK67"/>
  <c r="W68"/>
  <c r="Y68" s="1"/>
  <c r="AK68"/>
  <c r="Y69"/>
  <c r="AK69"/>
  <c r="AM69"/>
  <c r="K70"/>
  <c r="W70"/>
  <c r="Y70" s="1"/>
  <c r="AK70"/>
  <c r="W71"/>
  <c r="Y71" s="1"/>
  <c r="AK71"/>
  <c r="AM71" s="1"/>
  <c r="W72"/>
  <c r="Y72" s="1"/>
  <c r="AK72"/>
  <c r="AM72" s="1"/>
  <c r="W73"/>
  <c r="Y73" s="1"/>
  <c r="AK73"/>
  <c r="AM73" s="1"/>
  <c r="W74"/>
  <c r="Y74" s="1"/>
  <c r="AK74"/>
  <c r="AM74" s="1"/>
  <c r="Y75"/>
  <c r="AK75"/>
  <c r="K76"/>
  <c r="W76"/>
  <c r="Y76"/>
  <c r="AK76"/>
  <c r="AM76"/>
  <c r="W77"/>
  <c r="Y77"/>
  <c r="AK77"/>
  <c r="AM77"/>
  <c r="Y78"/>
  <c r="AK78"/>
  <c r="AM78" s="1"/>
  <c r="W79"/>
  <c r="Y79" s="1"/>
  <c r="AK79"/>
  <c r="K80"/>
  <c r="Y80" s="1"/>
  <c r="AK80"/>
  <c r="K81"/>
  <c r="W81"/>
  <c r="Y81" s="1"/>
  <c r="AK81"/>
  <c r="AM81" s="1"/>
  <c r="Y82"/>
  <c r="AK82"/>
  <c r="Y83"/>
  <c r="AK83"/>
  <c r="AM83"/>
  <c r="W84"/>
  <c r="Y84"/>
  <c r="AK84"/>
  <c r="AM84"/>
  <c r="Y85"/>
  <c r="AK85"/>
  <c r="AM85" s="1"/>
  <c r="K86"/>
  <c r="W86"/>
  <c r="Y86" s="1"/>
  <c r="AK86"/>
  <c r="AM86" s="1"/>
  <c r="K11" i="14"/>
  <c r="O11"/>
  <c r="U11"/>
  <c r="AA11" s="1"/>
  <c r="AC11"/>
  <c r="K12"/>
  <c r="O12"/>
  <c r="AC12" s="1"/>
  <c r="U12"/>
  <c r="AA12"/>
  <c r="K13"/>
  <c r="O13"/>
  <c r="U13"/>
  <c r="AA13" s="1"/>
  <c r="AC13"/>
  <c r="K14"/>
  <c r="O14"/>
  <c r="AA14"/>
  <c r="AC14"/>
  <c r="K15"/>
  <c r="O15"/>
  <c r="AC15" s="1"/>
  <c r="U15"/>
  <c r="AA15"/>
  <c r="K16"/>
  <c r="O16"/>
  <c r="U16"/>
  <c r="AA16" s="1"/>
  <c r="AC16"/>
  <c r="K17"/>
  <c r="O17"/>
  <c r="U17"/>
  <c r="AA17" s="1"/>
  <c r="AC17"/>
  <c r="K18"/>
  <c r="O18"/>
  <c r="AA18"/>
  <c r="K19"/>
  <c r="AA19"/>
  <c r="AC19"/>
  <c r="K20"/>
  <c r="O20"/>
  <c r="AC20" s="1"/>
  <c r="U20"/>
  <c r="AA20"/>
  <c r="K21"/>
  <c r="O21"/>
  <c r="U21"/>
  <c r="AA21" s="1"/>
  <c r="AC21"/>
  <c r="K22"/>
  <c r="O22"/>
  <c r="AA22"/>
  <c r="AC22"/>
  <c r="K23"/>
  <c r="O23"/>
  <c r="AC23" s="1"/>
  <c r="U23"/>
  <c r="AA23"/>
  <c r="K24"/>
  <c r="O24"/>
  <c r="U24"/>
  <c r="AA24" s="1"/>
  <c r="AC24"/>
  <c r="K25"/>
  <c r="O25"/>
  <c r="AC25" s="1"/>
  <c r="U25"/>
  <c r="AA25"/>
  <c r="K26"/>
  <c r="O26"/>
  <c r="U26"/>
  <c r="AA26" s="1"/>
  <c r="AC26"/>
  <c r="K27"/>
  <c r="O27"/>
  <c r="AC27" s="1"/>
  <c r="U27"/>
  <c r="AA27"/>
  <c r="K28"/>
  <c r="O28"/>
  <c r="U28"/>
  <c r="AA28" s="1"/>
  <c r="AC28"/>
  <c r="K29"/>
  <c r="O29"/>
  <c r="AC29" s="1"/>
  <c r="U29"/>
  <c r="AA29"/>
  <c r="K30"/>
  <c r="O30"/>
  <c r="U30"/>
  <c r="AA30" s="1"/>
  <c r="AC30"/>
  <c r="K31"/>
  <c r="O31"/>
  <c r="AC31" s="1"/>
  <c r="U31"/>
  <c r="AA31"/>
  <c r="K32"/>
  <c r="O32"/>
  <c r="U32"/>
  <c r="AA32" s="1"/>
  <c r="AC32"/>
  <c r="K33"/>
  <c r="O33"/>
  <c r="AC33" s="1"/>
  <c r="U33"/>
  <c r="AA33"/>
  <c r="K34"/>
  <c r="O34"/>
  <c r="U34"/>
  <c r="AA34" s="1"/>
  <c r="AC34"/>
  <c r="K35"/>
  <c r="O35"/>
  <c r="AC35" s="1"/>
  <c r="U35"/>
  <c r="AA35"/>
  <c r="K36"/>
  <c r="O36"/>
  <c r="AA36"/>
  <c r="K37"/>
  <c r="AC37" s="1"/>
  <c r="O37"/>
  <c r="U37"/>
  <c r="AA37" s="1"/>
  <c r="K38"/>
  <c r="O38"/>
  <c r="U38"/>
  <c r="AA38" s="1"/>
  <c r="K39"/>
  <c r="AC39" s="1"/>
  <c r="O39"/>
  <c r="U39"/>
  <c r="AA39" s="1"/>
  <c r="K40"/>
  <c r="O40"/>
  <c r="U40"/>
  <c r="AA40" s="1"/>
  <c r="K41"/>
  <c r="AC41" s="1"/>
  <c r="O41"/>
  <c r="U41"/>
  <c r="AA41" s="1"/>
  <c r="K42"/>
  <c r="O42"/>
  <c r="U42"/>
  <c r="AA42" s="1"/>
  <c r="K43"/>
  <c r="AC43" s="1"/>
  <c r="O43"/>
  <c r="U43"/>
  <c r="AA43" s="1"/>
  <c r="K44"/>
  <c r="Q44"/>
  <c r="O44" s="1"/>
  <c r="AC44" s="1"/>
  <c r="U44"/>
  <c r="AA44" s="1"/>
  <c r="K45"/>
  <c r="O45"/>
  <c r="AC45" s="1"/>
  <c r="U45"/>
  <c r="AA45"/>
  <c r="K46"/>
  <c r="Q46"/>
  <c r="O46" s="1"/>
  <c r="U46"/>
  <c r="AA46"/>
  <c r="K47"/>
  <c r="O47"/>
  <c r="U47"/>
  <c r="AA47" s="1"/>
  <c r="AC47"/>
  <c r="K48"/>
  <c r="O48"/>
  <c r="AC48" s="1"/>
  <c r="U48"/>
  <c r="AA48"/>
  <c r="K49"/>
  <c r="Q49"/>
  <c r="O49" s="1"/>
  <c r="U49"/>
  <c r="AA49"/>
  <c r="K50"/>
  <c r="O50"/>
  <c r="U50"/>
  <c r="AA50" s="1"/>
  <c r="AC50"/>
  <c r="K51"/>
  <c r="O51"/>
  <c r="AC51" s="1"/>
  <c r="U51"/>
  <c r="AA51"/>
  <c r="K52"/>
  <c r="O52"/>
  <c r="U52"/>
  <c r="AA52" s="1"/>
  <c r="AC52"/>
  <c r="K53"/>
  <c r="O53"/>
  <c r="AA53"/>
  <c r="AC53"/>
  <c r="K54"/>
  <c r="O54"/>
  <c r="AC54" s="1"/>
  <c r="U54"/>
  <c r="AA54"/>
  <c r="K55"/>
  <c r="O55"/>
  <c r="U55"/>
  <c r="AA55" s="1"/>
  <c r="AC55"/>
  <c r="K56"/>
  <c r="O56"/>
  <c r="AC56" s="1"/>
  <c r="U56"/>
  <c r="AA56"/>
  <c r="K57"/>
  <c r="O57"/>
  <c r="U57"/>
  <c r="AA57" s="1"/>
  <c r="AC57"/>
  <c r="K58"/>
  <c r="O58"/>
  <c r="AC58" s="1"/>
  <c r="U58"/>
  <c r="AA58"/>
  <c r="K59"/>
  <c r="Q59"/>
  <c r="O59" s="1"/>
  <c r="U59"/>
  <c r="AA59"/>
  <c r="K60"/>
  <c r="O60"/>
  <c r="U60"/>
  <c r="AA60" s="1"/>
  <c r="AC60"/>
  <c r="K61"/>
  <c r="O61"/>
  <c r="AA61"/>
  <c r="AC61"/>
  <c r="K62"/>
  <c r="O62"/>
  <c r="AC62" s="1"/>
  <c r="U62"/>
  <c r="AA62"/>
  <c r="K63"/>
  <c r="O63"/>
  <c r="AA63"/>
  <c r="K64"/>
  <c r="AC64" s="1"/>
  <c r="O64"/>
  <c r="U64"/>
  <c r="AA64" s="1"/>
  <c r="K65"/>
  <c r="AC65" s="1"/>
  <c r="O65"/>
  <c r="AA65"/>
  <c r="K66"/>
  <c r="O66"/>
  <c r="U66"/>
  <c r="AA66" s="1"/>
  <c r="K67"/>
  <c r="Q67"/>
  <c r="O67" s="1"/>
  <c r="U67"/>
  <c r="AA67" s="1"/>
  <c r="K68"/>
  <c r="AC68" s="1"/>
  <c r="O68"/>
  <c r="U68"/>
  <c r="AA68" s="1"/>
  <c r="K69"/>
  <c r="Q69"/>
  <c r="O69" s="1"/>
  <c r="AC69" s="1"/>
  <c r="U69"/>
  <c r="AA69" s="1"/>
  <c r="K70"/>
  <c r="O70"/>
  <c r="AC70" s="1"/>
  <c r="Q70"/>
  <c r="AA70"/>
  <c r="K71"/>
  <c r="O71"/>
  <c r="U71"/>
  <c r="AA71" s="1"/>
  <c r="AC71"/>
  <c r="K72"/>
  <c r="O72"/>
  <c r="AC72" s="1"/>
  <c r="U72"/>
  <c r="AA72"/>
  <c r="K73"/>
  <c r="O73"/>
  <c r="U73"/>
  <c r="AA73" s="1"/>
  <c r="AC73"/>
  <c r="K74"/>
  <c r="O74"/>
  <c r="AC74" s="1"/>
  <c r="U74"/>
  <c r="AA74"/>
  <c r="K75"/>
  <c r="O75"/>
  <c r="AA75"/>
  <c r="K76"/>
  <c r="Q76"/>
  <c r="O76" s="1"/>
  <c r="U76"/>
  <c r="AA76" s="1"/>
  <c r="K77"/>
  <c r="AC77" s="1"/>
  <c r="O77"/>
  <c r="U77"/>
  <c r="AA77" s="1"/>
  <c r="G78"/>
  <c r="K78" s="1"/>
  <c r="AC78" s="1"/>
  <c r="O78"/>
  <c r="U78"/>
  <c r="AA78" s="1"/>
  <c r="K79"/>
  <c r="O79"/>
  <c r="AC79" s="1"/>
  <c r="U79"/>
  <c r="AA79"/>
  <c r="K80"/>
  <c r="O80"/>
  <c r="AA80"/>
  <c r="K81"/>
  <c r="Q81"/>
  <c r="O81" s="1"/>
  <c r="U81"/>
  <c r="AA81" s="1"/>
  <c r="K82"/>
  <c r="AC82" s="1"/>
  <c r="O82"/>
  <c r="U82"/>
  <c r="AA82" s="1"/>
  <c r="K83"/>
  <c r="O83"/>
  <c r="U83"/>
  <c r="AA83" s="1"/>
  <c r="I84"/>
  <c r="K84" s="1"/>
  <c r="O84"/>
  <c r="U84"/>
  <c r="AA84" s="1"/>
  <c r="K85"/>
  <c r="AC85" s="1"/>
  <c r="O85"/>
  <c r="U85"/>
  <c r="AA85" s="1"/>
  <c r="K86"/>
  <c r="Q86"/>
  <c r="O86" s="1"/>
  <c r="AC86" s="1"/>
  <c r="U86"/>
  <c r="AA86" s="1"/>
  <c r="G11" i="16"/>
  <c r="Q11"/>
  <c r="M11" s="1"/>
  <c r="W11"/>
  <c r="AC11"/>
  <c r="G12"/>
  <c r="Q12"/>
  <c r="M12" s="1"/>
  <c r="AE12" s="1"/>
  <c r="W12"/>
  <c r="AC12"/>
  <c r="G13"/>
  <c r="Q13"/>
  <c r="M13" s="1"/>
  <c r="AE13" s="1"/>
  <c r="W13"/>
  <c r="AC13"/>
  <c r="G14"/>
  <c r="M14"/>
  <c r="AE14" s="1"/>
  <c r="W14"/>
  <c r="AC14"/>
  <c r="G15"/>
  <c r="Q15"/>
  <c r="M15" s="1"/>
  <c r="W15"/>
  <c r="AC15"/>
  <c r="G16"/>
  <c r="Q16"/>
  <c r="M16" s="1"/>
  <c r="W16"/>
  <c r="AC16"/>
  <c r="G17"/>
  <c r="Q17"/>
  <c r="M17" s="1"/>
  <c r="W17"/>
  <c r="AC17"/>
  <c r="G18"/>
  <c r="M18"/>
  <c r="W18"/>
  <c r="AC18"/>
  <c r="G19"/>
  <c r="W19"/>
  <c r="AC19"/>
  <c r="G20"/>
  <c r="Q20"/>
  <c r="M20" s="1"/>
  <c r="W20"/>
  <c r="AC20"/>
  <c r="G21"/>
  <c r="Q21"/>
  <c r="M21" s="1"/>
  <c r="W21"/>
  <c r="AC21"/>
  <c r="G22"/>
  <c r="M22"/>
  <c r="W22"/>
  <c r="AC22"/>
  <c r="G23"/>
  <c r="Q23"/>
  <c r="M23" s="1"/>
  <c r="W23"/>
  <c r="AC23"/>
  <c r="G24"/>
  <c r="Q24"/>
  <c r="M24" s="1"/>
  <c r="W24"/>
  <c r="AC24"/>
  <c r="G25"/>
  <c r="Q25"/>
  <c r="M25" s="1"/>
  <c r="W25"/>
  <c r="AC25"/>
  <c r="G26"/>
  <c r="Q26"/>
  <c r="M26" s="1"/>
  <c r="W26"/>
  <c r="AC26"/>
  <c r="G27"/>
  <c r="Q27"/>
  <c r="M27" s="1"/>
  <c r="W27"/>
  <c r="AC27"/>
  <c r="G28"/>
  <c r="Q28"/>
  <c r="M28" s="1"/>
  <c r="W28"/>
  <c r="AC28"/>
  <c r="G29"/>
  <c r="O29"/>
  <c r="Q29"/>
  <c r="W29"/>
  <c r="AC29"/>
  <c r="G30"/>
  <c r="Q30"/>
  <c r="M30" s="1"/>
  <c r="W30"/>
  <c r="AC30"/>
  <c r="G31"/>
  <c r="Q31"/>
  <c r="M31" s="1"/>
  <c r="W31"/>
  <c r="AC31"/>
  <c r="G32"/>
  <c r="Q32"/>
  <c r="M32" s="1"/>
  <c r="W32"/>
  <c r="AC32"/>
  <c r="G33"/>
  <c r="Q33"/>
  <c r="M33" s="1"/>
  <c r="W33"/>
  <c r="AC33"/>
  <c r="G34"/>
  <c r="Q34"/>
  <c r="M34" s="1"/>
  <c r="W34"/>
  <c r="AC34"/>
  <c r="G35"/>
  <c r="O35"/>
  <c r="M35" s="1"/>
  <c r="Q35"/>
  <c r="W35"/>
  <c r="AC35"/>
  <c r="G36"/>
  <c r="M36"/>
  <c r="W36"/>
  <c r="AC36"/>
  <c r="G37"/>
  <c r="Q37"/>
  <c r="M37" s="1"/>
  <c r="W37"/>
  <c r="AC37"/>
  <c r="G38"/>
  <c r="Q38"/>
  <c r="M38" s="1"/>
  <c r="W38"/>
  <c r="AC38"/>
  <c r="G39"/>
  <c r="Q39"/>
  <c r="M39" s="1"/>
  <c r="W39"/>
  <c r="AC39"/>
  <c r="G40"/>
  <c r="Q40"/>
  <c r="M40" s="1"/>
  <c r="W40"/>
  <c r="AC40"/>
  <c r="G41"/>
  <c r="Q41"/>
  <c r="M41" s="1"/>
  <c r="W41"/>
  <c r="AC41"/>
  <c r="G42"/>
  <c r="Q42"/>
  <c r="M42" s="1"/>
  <c r="W42"/>
  <c r="AC42"/>
  <c r="I43"/>
  <c r="G43" s="1"/>
  <c r="M43"/>
  <c r="W43"/>
  <c r="AC43"/>
  <c r="G44"/>
  <c r="Q44"/>
  <c r="M44" s="1"/>
  <c r="W44"/>
  <c r="AC44"/>
  <c r="G45"/>
  <c r="Q45"/>
  <c r="M45" s="1"/>
  <c r="W45"/>
  <c r="AC45"/>
  <c r="G46"/>
  <c r="Q46"/>
  <c r="M46" s="1"/>
  <c r="W46"/>
  <c r="AC46"/>
  <c r="G47"/>
  <c r="Q47"/>
  <c r="M47" s="1"/>
  <c r="W47"/>
  <c r="AC47"/>
  <c r="G48"/>
  <c r="M48"/>
  <c r="AE48" s="1"/>
  <c r="W48"/>
  <c r="AC48"/>
  <c r="G49"/>
  <c r="Q49"/>
  <c r="M49" s="1"/>
  <c r="W49"/>
  <c r="AC49"/>
  <c r="G50"/>
  <c r="Q50"/>
  <c r="M50" s="1"/>
  <c r="W50"/>
  <c r="AC50"/>
  <c r="G51"/>
  <c r="Q51"/>
  <c r="M51" s="1"/>
  <c r="W51"/>
  <c r="AC51"/>
  <c r="G52"/>
  <c r="Q52"/>
  <c r="M52" s="1"/>
  <c r="W52"/>
  <c r="AC52"/>
  <c r="G53"/>
  <c r="M53"/>
  <c r="W53"/>
  <c r="AC53"/>
  <c r="G54"/>
  <c r="Q54"/>
  <c r="M54" s="1"/>
  <c r="W54"/>
  <c r="AC54"/>
  <c r="G55"/>
  <c r="Q55"/>
  <c r="M55" s="1"/>
  <c r="W55"/>
  <c r="AC55"/>
  <c r="G56"/>
  <c r="Q56"/>
  <c r="M56" s="1"/>
  <c r="W56"/>
  <c r="AC56"/>
  <c r="G57"/>
  <c r="Q57"/>
  <c r="M57" s="1"/>
  <c r="W57"/>
  <c r="AC57"/>
  <c r="G58"/>
  <c r="Q58"/>
  <c r="M58" s="1"/>
  <c r="W58"/>
  <c r="AC58"/>
  <c r="G59"/>
  <c r="Q59"/>
  <c r="M59" s="1"/>
  <c r="W59"/>
  <c r="AC59"/>
  <c r="G60"/>
  <c r="Q60"/>
  <c r="M60" s="1"/>
  <c r="W60"/>
  <c r="AC60"/>
  <c r="G61"/>
  <c r="M61"/>
  <c r="AE61" s="1"/>
  <c r="W61"/>
  <c r="AC61"/>
  <c r="G62"/>
  <c r="Q62"/>
  <c r="M62" s="1"/>
  <c r="W62"/>
  <c r="AC62"/>
  <c r="G63"/>
  <c r="M63"/>
  <c r="W63"/>
  <c r="AC63"/>
  <c r="I64"/>
  <c r="K64"/>
  <c r="Q64"/>
  <c r="S64"/>
  <c r="U64"/>
  <c r="Y64"/>
  <c r="AA64"/>
  <c r="AC64" s="1"/>
  <c r="G65"/>
  <c r="M65"/>
  <c r="W65"/>
  <c r="AC65"/>
  <c r="G66"/>
  <c r="Q66"/>
  <c r="M66" s="1"/>
  <c r="W66"/>
  <c r="AC66"/>
  <c r="G67"/>
  <c r="Q67"/>
  <c r="M67" s="1"/>
  <c r="W67"/>
  <c r="AC67"/>
  <c r="G68"/>
  <c r="Q68"/>
  <c r="M68" s="1"/>
  <c r="W68"/>
  <c r="AC68"/>
  <c r="G69"/>
  <c r="Q69"/>
  <c r="M69" s="1"/>
  <c r="W69"/>
  <c r="AC69"/>
  <c r="G70"/>
  <c r="Q70"/>
  <c r="M70" s="1"/>
  <c r="W70"/>
  <c r="AC70"/>
  <c r="G71"/>
  <c r="Q71"/>
  <c r="M71" s="1"/>
  <c r="W71"/>
  <c r="AC71"/>
  <c r="G72"/>
  <c r="Q72"/>
  <c r="M72" s="1"/>
  <c r="W72"/>
  <c r="AC72"/>
  <c r="G73"/>
  <c r="Q73"/>
  <c r="M73" s="1"/>
  <c r="W73"/>
  <c r="AC73"/>
  <c r="G74"/>
  <c r="Q74"/>
  <c r="M74" s="1"/>
  <c r="W74"/>
  <c r="AC74"/>
  <c r="G75"/>
  <c r="M75"/>
  <c r="W75"/>
  <c r="AC75"/>
  <c r="G76"/>
  <c r="Q76"/>
  <c r="M76" s="1"/>
  <c r="W76"/>
  <c r="AC76"/>
  <c r="G77"/>
  <c r="Q77"/>
  <c r="M77" s="1"/>
  <c r="W77"/>
  <c r="AC77"/>
  <c r="G78"/>
  <c r="Q78"/>
  <c r="M78" s="1"/>
  <c r="W78"/>
  <c r="AC78"/>
  <c r="G79"/>
  <c r="Q79"/>
  <c r="M79" s="1"/>
  <c r="W79"/>
  <c r="AC79"/>
  <c r="G80"/>
  <c r="Q80"/>
  <c r="M80" s="1"/>
  <c r="W80"/>
  <c r="AC80"/>
  <c r="G81"/>
  <c r="Q81"/>
  <c r="M81" s="1"/>
  <c r="W81"/>
  <c r="AC81"/>
  <c r="G82"/>
  <c r="Q82"/>
  <c r="M82" s="1"/>
  <c r="W82"/>
  <c r="AC82"/>
  <c r="G83"/>
  <c r="Q83"/>
  <c r="M83" s="1"/>
  <c r="W83"/>
  <c r="AC83"/>
  <c r="G84"/>
  <c r="Q84"/>
  <c r="M84" s="1"/>
  <c r="W84"/>
  <c r="AC84"/>
  <c r="G85"/>
  <c r="Q85"/>
  <c r="M85" s="1"/>
  <c r="W85"/>
  <c r="AC85"/>
  <c r="G86"/>
  <c r="AE86" s="1"/>
  <c r="Q86"/>
  <c r="M86" s="1"/>
  <c r="W86"/>
  <c r="AC86"/>
  <c r="AI582" i="22"/>
  <c r="AK637"/>
  <c r="AI639" i="1"/>
  <c r="AI170" i="22"/>
  <c r="S67" i="10" l="1"/>
  <c r="AO56" i="22"/>
  <c r="BL56" i="25" s="1"/>
  <c r="BT56" s="1"/>
  <c r="AO26" i="22"/>
  <c r="BL26" i="25" s="1"/>
  <c r="BT26" s="1"/>
  <c r="BV75"/>
  <c r="BV73"/>
  <c r="BV66"/>
  <c r="BV64"/>
  <c r="BV62"/>
  <c r="BV61"/>
  <c r="BV56"/>
  <c r="BV55"/>
  <c r="BV40"/>
  <c r="BV36"/>
  <c r="BV33"/>
  <c r="BV29"/>
  <c r="BV25"/>
  <c r="BV22"/>
  <c r="BV21"/>
  <c r="BV19"/>
  <c r="BV18"/>
  <c r="BV12"/>
  <c r="AO84" i="22"/>
  <c r="BL84" i="25" s="1"/>
  <c r="BT84" s="1"/>
  <c r="BV84" s="1"/>
  <c r="AO83" i="22"/>
  <c r="BL83" i="25" s="1"/>
  <c r="BT83" s="1"/>
  <c r="BV83" s="1"/>
  <c r="AO82" i="22"/>
  <c r="BL82" i="25" s="1"/>
  <c r="BT82" s="1"/>
  <c r="BV82" s="1"/>
  <c r="Y81" i="22"/>
  <c r="AO81" s="1"/>
  <c r="BL81" i="25" s="1"/>
  <c r="BT81" s="1"/>
  <c r="BV81" s="1"/>
  <c r="Y67" i="22"/>
  <c r="AO67" s="1"/>
  <c r="BL67" i="25" s="1"/>
  <c r="BT67" s="1"/>
  <c r="Y46" i="22"/>
  <c r="AO46" s="1"/>
  <c r="BL46" i="25" s="1"/>
  <c r="BT46" s="1"/>
  <c r="AO22" i="22"/>
  <c r="BL22" i="25" s="1"/>
  <c r="BT22" s="1"/>
  <c r="AO14" i="22"/>
  <c r="BL14" i="25" s="1"/>
  <c r="BT14" s="1"/>
  <c r="BV14" s="1"/>
  <c r="BV86"/>
  <c r="BV85"/>
  <c r="BV80"/>
  <c r="BV77"/>
  <c r="BV76"/>
  <c r="BV72"/>
  <c r="BV71"/>
  <c r="BV70"/>
  <c r="BV69"/>
  <c r="BV65"/>
  <c r="BV63"/>
  <c r="BV60"/>
  <c r="BV59"/>
  <c r="BV58"/>
  <c r="BV57"/>
  <c r="BV53"/>
  <c r="BV50"/>
  <c r="BV49"/>
  <c r="BV48"/>
  <c r="BV43"/>
  <c r="BV42"/>
  <c r="BV38"/>
  <c r="BV35"/>
  <c r="BV31"/>
  <c r="BV27"/>
  <c r="BV23"/>
  <c r="BV20"/>
  <c r="BV17"/>
  <c r="BV13"/>
  <c r="BV11"/>
  <c r="AO64" i="22"/>
  <c r="BL64" i="25" s="1"/>
  <c r="BT64" s="1"/>
  <c r="AO52" i="22"/>
  <c r="BL52" i="25" s="1"/>
  <c r="BT52" s="1"/>
  <c r="BV52" s="1"/>
  <c r="AO44" i="22"/>
  <c r="BL44" i="25" s="1"/>
  <c r="BT44" s="1"/>
  <c r="AO15" i="22"/>
  <c r="BL15" i="25" s="1"/>
  <c r="BT15" s="1"/>
  <c r="BV15" s="1"/>
  <c r="AC86" i="26"/>
  <c r="AC85"/>
  <c r="AC81"/>
  <c r="AC78"/>
  <c r="AC76"/>
  <c r="AC70"/>
  <c r="AC69"/>
  <c r="AC62"/>
  <c r="AC59"/>
  <c r="AC57"/>
  <c r="AC49"/>
  <c r="AC48"/>
  <c r="AA46"/>
  <c r="AC82"/>
  <c r="AA79"/>
  <c r="BV79" i="25" s="1"/>
  <c r="AA78" i="26"/>
  <c r="BV78" i="25" s="1"/>
  <c r="AC77" i="26"/>
  <c r="AA74"/>
  <c r="BV74" i="25" s="1"/>
  <c r="AA68" i="26"/>
  <c r="BV68" i="25" s="1"/>
  <c r="AA67" i="26"/>
  <c r="BV67" i="25" s="1"/>
  <c r="AC67" i="26"/>
  <c r="AC66"/>
  <c r="AC60"/>
  <c r="AC58"/>
  <c r="AA54"/>
  <c r="BV54" i="25" s="1"/>
  <c r="AA51" i="26"/>
  <c r="BV51" i="25" s="1"/>
  <c r="AA45" i="26"/>
  <c r="BV45" i="25" s="1"/>
  <c r="AA44" i="26"/>
  <c r="BV44" i="25" s="1"/>
  <c r="AC44" i="26"/>
  <c r="AA41"/>
  <c r="BV41" i="25" s="1"/>
  <c r="AA39" i="26"/>
  <c r="BV39" i="25" s="1"/>
  <c r="AA37" i="26"/>
  <c r="BV37" i="25" s="1"/>
  <c r="AA34" i="26"/>
  <c r="BV34" i="25" s="1"/>
  <c r="AA32" i="26"/>
  <c r="BV32" i="25" s="1"/>
  <c r="AA30" i="26"/>
  <c r="BV30" i="25" s="1"/>
  <c r="AA28" i="26"/>
  <c r="BV28" i="25" s="1"/>
  <c r="AA26" i="26"/>
  <c r="BV26" i="25" s="1"/>
  <c r="AA24" i="26"/>
  <c r="BV24" i="25" s="1"/>
  <c r="AA16" i="26"/>
  <c r="BV16" i="25" s="1"/>
  <c r="AZ84" i="2"/>
  <c r="BJ84" s="1"/>
  <c r="AZ40"/>
  <c r="BJ40" s="1"/>
  <c r="AM59" i="1"/>
  <c r="AM52"/>
  <c r="AM34"/>
  <c r="AM33"/>
  <c r="AM23"/>
  <c r="AM82"/>
  <c r="AM75"/>
  <c r="AM70"/>
  <c r="AM68"/>
  <c r="AM67"/>
  <c r="AM63"/>
  <c r="AM58"/>
  <c r="AM53"/>
  <c r="AM48"/>
  <c r="AM47"/>
  <c r="AM46"/>
  <c r="AM45"/>
  <c r="BL84" i="2"/>
  <c r="BS84" s="1"/>
  <c r="BL83"/>
  <c r="BS83" s="1"/>
  <c r="BL82"/>
  <c r="BS82" s="1"/>
  <c r="BL78"/>
  <c r="BS78" s="1"/>
  <c r="BL77"/>
  <c r="BS77" s="1"/>
  <c r="BL75"/>
  <c r="BS75" s="1"/>
  <c r="BL74"/>
  <c r="BS74" s="1"/>
  <c r="BL71"/>
  <c r="BS71" s="1"/>
  <c r="BL70"/>
  <c r="BS70" s="1"/>
  <c r="BL67"/>
  <c r="BS67" s="1"/>
  <c r="BL66"/>
  <c r="BS66" s="1"/>
  <c r="BL63"/>
  <c r="BS63" s="1"/>
  <c r="BL62"/>
  <c r="BS62" s="1"/>
  <c r="BL59"/>
  <c r="BS59" s="1"/>
  <c r="BL58"/>
  <c r="BS58" s="1"/>
  <c r="BL57"/>
  <c r="BS57" s="1"/>
  <c r="BL54"/>
  <c r="BS54" s="1"/>
  <c r="BL53"/>
  <c r="BS53" s="1"/>
  <c r="BL50"/>
  <c r="BS50" s="1"/>
  <c r="BL49"/>
  <c r="BS49" s="1"/>
  <c r="BL46"/>
  <c r="BS46" s="1"/>
  <c r="BL45"/>
  <c r="BS45" s="1"/>
  <c r="BL42"/>
  <c r="BS42" s="1"/>
  <c r="BL41"/>
  <c r="BS41" s="1"/>
  <c r="BL39"/>
  <c r="BS39" s="1"/>
  <c r="BL37"/>
  <c r="BS37" s="1"/>
  <c r="BL34"/>
  <c r="BS34" s="1"/>
  <c r="BL33"/>
  <c r="BS33" s="1"/>
  <c r="BL30"/>
  <c r="BS30" s="1"/>
  <c r="BL27"/>
  <c r="BS27" s="1"/>
  <c r="BL26"/>
  <c r="BS26" s="1"/>
  <c r="BL23"/>
  <c r="BS23" s="1"/>
  <c r="BL19"/>
  <c r="BS19" s="1"/>
  <c r="BL18"/>
  <c r="BS18" s="1"/>
  <c r="BL14"/>
  <c r="BS14" s="1"/>
  <c r="BL13"/>
  <c r="BS13" s="1"/>
  <c r="BL12"/>
  <c r="BS12" s="1"/>
  <c r="AM38" i="1"/>
  <c r="AM35"/>
  <c r="Y32"/>
  <c r="AM32" s="1"/>
  <c r="BL32" i="2" s="1"/>
  <c r="BS32" s="1"/>
  <c r="BU32" s="1"/>
  <c r="AM24" i="1"/>
  <c r="BL24" i="2" s="1"/>
  <c r="BS24" s="1"/>
  <c r="BU24" s="1"/>
  <c r="AM22" i="1"/>
  <c r="BL22" i="2" s="1"/>
  <c r="BS22" s="1"/>
  <c r="BU22" s="1"/>
  <c r="BL86"/>
  <c r="BS86" s="1"/>
  <c r="BL85"/>
  <c r="BS85" s="1"/>
  <c r="BL81"/>
  <c r="BS81" s="1"/>
  <c r="BL76"/>
  <c r="BS76" s="1"/>
  <c r="BL73"/>
  <c r="BS73" s="1"/>
  <c r="BL72"/>
  <c r="BS72" s="1"/>
  <c r="BL69"/>
  <c r="BS69" s="1"/>
  <c r="BL68"/>
  <c r="BS68" s="1"/>
  <c r="BL65"/>
  <c r="BS65" s="1"/>
  <c r="BL64"/>
  <c r="BS64" s="1"/>
  <c r="BL61"/>
  <c r="BS61" s="1"/>
  <c r="BL60"/>
  <c r="BS60" s="1"/>
  <c r="BL56"/>
  <c r="BS56" s="1"/>
  <c r="BL55"/>
  <c r="BS55" s="1"/>
  <c r="BL52"/>
  <c r="BS52" s="1"/>
  <c r="BL51"/>
  <c r="BS51" s="1"/>
  <c r="BL48"/>
  <c r="BS48" s="1"/>
  <c r="BL47"/>
  <c r="BS47" s="1"/>
  <c r="BL44"/>
  <c r="BS44" s="1"/>
  <c r="BL43"/>
  <c r="BS43" s="1"/>
  <c r="BL40"/>
  <c r="BS40" s="1"/>
  <c r="BL38"/>
  <c r="BS38" s="1"/>
  <c r="BL36"/>
  <c r="BS36" s="1"/>
  <c r="BL35"/>
  <c r="BS35" s="1"/>
  <c r="BL31"/>
  <c r="BS31" s="1"/>
  <c r="BL29"/>
  <c r="BS29" s="1"/>
  <c r="BL28"/>
  <c r="BS28" s="1"/>
  <c r="BL25"/>
  <c r="BS25" s="1"/>
  <c r="BL21"/>
  <c r="BS21" s="1"/>
  <c r="BL20"/>
  <c r="BS20" s="1"/>
  <c r="BL11"/>
  <c r="BS11" s="1"/>
  <c r="AC83" i="14"/>
  <c r="AC80"/>
  <c r="AC75"/>
  <c r="AC66"/>
  <c r="AC63"/>
  <c r="AC49"/>
  <c r="AC42"/>
  <c r="AC40"/>
  <c r="AC38"/>
  <c r="AC36"/>
  <c r="AC18"/>
  <c r="BU84" i="2"/>
  <c r="BU83"/>
  <c r="BU82"/>
  <c r="BU78"/>
  <c r="BU77"/>
  <c r="BU75"/>
  <c r="BU74"/>
  <c r="BU71"/>
  <c r="BU70"/>
  <c r="BU67"/>
  <c r="BU66"/>
  <c r="BU63"/>
  <c r="BU62"/>
  <c r="BU59"/>
  <c r="BU58"/>
  <c r="BU57"/>
  <c r="BU54"/>
  <c r="BU53"/>
  <c r="BU50"/>
  <c r="BU49"/>
  <c r="BU46"/>
  <c r="BU45"/>
  <c r="BU42"/>
  <c r="BU41"/>
  <c r="BU39"/>
  <c r="BU37"/>
  <c r="BU34"/>
  <c r="BU33"/>
  <c r="BU30"/>
  <c r="BU27"/>
  <c r="BU26"/>
  <c r="BU23"/>
  <c r="BU19"/>
  <c r="BU18"/>
  <c r="BU14"/>
  <c r="BU13"/>
  <c r="BU12"/>
  <c r="BU86"/>
  <c r="BU85"/>
  <c r="BU81"/>
  <c r="BU76"/>
  <c r="BU73"/>
  <c r="BU72"/>
  <c r="BU69"/>
  <c r="BU68"/>
  <c r="BU65"/>
  <c r="BU64"/>
  <c r="BU61"/>
  <c r="BU60"/>
  <c r="BU56"/>
  <c r="BU55"/>
  <c r="BU52"/>
  <c r="BU51"/>
  <c r="BU48"/>
  <c r="BU47"/>
  <c r="BU44"/>
  <c r="BU43"/>
  <c r="BU40"/>
  <c r="BU38"/>
  <c r="BU36"/>
  <c r="BU35"/>
  <c r="BU31"/>
  <c r="BU29"/>
  <c r="BU28"/>
  <c r="BU25"/>
  <c r="BU21"/>
  <c r="BU20"/>
  <c r="BU11"/>
  <c r="AW84" i="17"/>
  <c r="AW66"/>
  <c r="AW15"/>
  <c r="AI83" i="15"/>
  <c r="AI82"/>
  <c r="AI77"/>
  <c r="AI73"/>
  <c r="AI72"/>
  <c r="AI68"/>
  <c r="AY68" i="17" s="1"/>
  <c r="BC68" s="1"/>
  <c r="BE68" s="1"/>
  <c r="AI49" i="15"/>
  <c r="AY49" i="17" s="1"/>
  <c r="BC49" s="1"/>
  <c r="BE49" s="1"/>
  <c r="AI47" i="15"/>
  <c r="AY47" i="17" s="1"/>
  <c r="BC47" s="1"/>
  <c r="BE47" s="1"/>
  <c r="AI40" i="15"/>
  <c r="AI39"/>
  <c r="AI36"/>
  <c r="AI35"/>
  <c r="AY35" i="17" s="1"/>
  <c r="BC35" s="1"/>
  <c r="BE35" s="1"/>
  <c r="AI29" i="15"/>
  <c r="AY29" i="17" s="1"/>
  <c r="BC29" s="1"/>
  <c r="BE29" s="1"/>
  <c r="AI21" i="15"/>
  <c r="AI17"/>
  <c r="AI14"/>
  <c r="AY14" i="17" s="1"/>
  <c r="BC14" s="1"/>
  <c r="BE14" s="1"/>
  <c r="AY84"/>
  <c r="BC84" s="1"/>
  <c r="BE84" s="1"/>
  <c r="AY83"/>
  <c r="BC83" s="1"/>
  <c r="BE83" s="1"/>
  <c r="AY81"/>
  <c r="BC81" s="1"/>
  <c r="BE81" s="1"/>
  <c r="AY78"/>
  <c r="BC78" s="1"/>
  <c r="BE78" s="1"/>
  <c r="AY76"/>
  <c r="BC76" s="1"/>
  <c r="BE76" s="1"/>
  <c r="AY74"/>
  <c r="BC74" s="1"/>
  <c r="BE74" s="1"/>
  <c r="AY72"/>
  <c r="BC72" s="1"/>
  <c r="BE72" s="1"/>
  <c r="AY70"/>
  <c r="BC70" s="1"/>
  <c r="BE70" s="1"/>
  <c r="AY64"/>
  <c r="BC64" s="1"/>
  <c r="AY62"/>
  <c r="BC62" s="1"/>
  <c r="BE62" s="1"/>
  <c r="AY60"/>
  <c r="BC60" s="1"/>
  <c r="BE60" s="1"/>
  <c r="AY58"/>
  <c r="BC58" s="1"/>
  <c r="BE58" s="1"/>
  <c r="AY57"/>
  <c r="BC57" s="1"/>
  <c r="BE57" s="1"/>
  <c r="AY46"/>
  <c r="BC46" s="1"/>
  <c r="BE46" s="1"/>
  <c r="AY44"/>
  <c r="BC44" s="1"/>
  <c r="BE44" s="1"/>
  <c r="AY40"/>
  <c r="BC40" s="1"/>
  <c r="BE40" s="1"/>
  <c r="AY37"/>
  <c r="BC37" s="1"/>
  <c r="BE37" s="1"/>
  <c r="AY33"/>
  <c r="BC33" s="1"/>
  <c r="BE33" s="1"/>
  <c r="AY31"/>
  <c r="BC31" s="1"/>
  <c r="BE31" s="1"/>
  <c r="AY24"/>
  <c r="BC24" s="1"/>
  <c r="BE24" s="1"/>
  <c r="AY22"/>
  <c r="BC22" s="1"/>
  <c r="BE22" s="1"/>
  <c r="AY20"/>
  <c r="BC20" s="1"/>
  <c r="BE20" s="1"/>
  <c r="AY18"/>
  <c r="BC18" s="1"/>
  <c r="BE18" s="1"/>
  <c r="AY16"/>
  <c r="BC16" s="1"/>
  <c r="BE16" s="1"/>
  <c r="AY15"/>
  <c r="BC15" s="1"/>
  <c r="BE15" s="1"/>
  <c r="AY13"/>
  <c r="BC13" s="1"/>
  <c r="BE13" s="1"/>
  <c r="AG26" i="15"/>
  <c r="AI26" s="1"/>
  <c r="AY26" i="17" s="1"/>
  <c r="BC26" s="1"/>
  <c r="BE26" s="1"/>
  <c r="AY82"/>
  <c r="BC82" s="1"/>
  <c r="BE82" s="1"/>
  <c r="AY79"/>
  <c r="BC79" s="1"/>
  <c r="BE79" s="1"/>
  <c r="AY77"/>
  <c r="BC77" s="1"/>
  <c r="BE77" s="1"/>
  <c r="AY75"/>
  <c r="BC75" s="1"/>
  <c r="BE75" s="1"/>
  <c r="AY73"/>
  <c r="BC73" s="1"/>
  <c r="BE73" s="1"/>
  <c r="AY71"/>
  <c r="BC71" s="1"/>
  <c r="BE71" s="1"/>
  <c r="AY69"/>
  <c r="BC69" s="1"/>
  <c r="BE69" s="1"/>
  <c r="AY66"/>
  <c r="BC66" s="1"/>
  <c r="BE66" s="1"/>
  <c r="AY63"/>
  <c r="BC63" s="1"/>
  <c r="BE63" s="1"/>
  <c r="AY61"/>
  <c r="BC61" s="1"/>
  <c r="BE61" s="1"/>
  <c r="AY59"/>
  <c r="BC59" s="1"/>
  <c r="BE59" s="1"/>
  <c r="AY56"/>
  <c r="BC56" s="1"/>
  <c r="BE56" s="1"/>
  <c r="AY45"/>
  <c r="BC45" s="1"/>
  <c r="BE45" s="1"/>
  <c r="AY39"/>
  <c r="BC39" s="1"/>
  <c r="BE39" s="1"/>
  <c r="AY38"/>
  <c r="BC38" s="1"/>
  <c r="BE38" s="1"/>
  <c r="AY36"/>
  <c r="BC36" s="1"/>
  <c r="BE36" s="1"/>
  <c r="AY34"/>
  <c r="BC34" s="1"/>
  <c r="BE34" s="1"/>
  <c r="AY32"/>
  <c r="BC32" s="1"/>
  <c r="BE32" s="1"/>
  <c r="AY30"/>
  <c r="BC30" s="1"/>
  <c r="BE30" s="1"/>
  <c r="AY25"/>
  <c r="BC25" s="1"/>
  <c r="BE25" s="1"/>
  <c r="AY23"/>
  <c r="BC23" s="1"/>
  <c r="BE23" s="1"/>
  <c r="AY21"/>
  <c r="BC21" s="1"/>
  <c r="BE21" s="1"/>
  <c r="AY19"/>
  <c r="BC19" s="1"/>
  <c r="BE19" s="1"/>
  <c r="AY17"/>
  <c r="BC17" s="1"/>
  <c r="BE17" s="1"/>
  <c r="AY12"/>
  <c r="BC12" s="1"/>
  <c r="BE12" s="1"/>
  <c r="AE62" i="16"/>
  <c r="AE84"/>
  <c r="AE81"/>
  <c r="AE74"/>
  <c r="AE73"/>
  <c r="AE72"/>
  <c r="AE71"/>
  <c r="M29"/>
  <c r="AE29" s="1"/>
  <c r="AE65"/>
  <c r="M64"/>
  <c r="G64"/>
  <c r="AE63"/>
  <c r="AE22"/>
  <c r="AE19"/>
  <c r="AE52"/>
  <c r="AE51"/>
  <c r="AE50"/>
  <c r="AE49"/>
  <c r="AE17"/>
  <c r="AE16"/>
  <c r="AE15"/>
  <c r="AE70"/>
  <c r="AE69"/>
  <c r="AE68"/>
  <c r="AE67"/>
  <c r="AE66"/>
  <c r="AE28"/>
  <c r="AE27"/>
  <c r="AE26"/>
  <c r="AE25"/>
  <c r="AE24"/>
  <c r="AE23"/>
  <c r="AE85"/>
  <c r="AE60"/>
  <c r="AE59"/>
  <c r="AE58"/>
  <c r="AE57"/>
  <c r="AE56"/>
  <c r="AE55"/>
  <c r="AE54"/>
  <c r="AE43"/>
  <c r="AE42"/>
  <c r="AE41"/>
  <c r="AE40"/>
  <c r="AE39"/>
  <c r="AE38"/>
  <c r="AE37"/>
  <c r="AE35"/>
  <c r="AE11"/>
  <c r="X29" i="10"/>
  <c r="AE83" i="16"/>
  <c r="AE82"/>
  <c r="AE75"/>
  <c r="W64"/>
  <c r="AE53"/>
  <c r="AE36"/>
  <c r="AE18"/>
  <c r="BE64" i="17"/>
  <c r="X35" i="10"/>
  <c r="AE80" i="16"/>
  <c r="AE79"/>
  <c r="AE78"/>
  <c r="AE77"/>
  <c r="AE76"/>
  <c r="AI80" i="15"/>
  <c r="AY80" i="17" s="1"/>
  <c r="BC80" s="1"/>
  <c r="BE80" s="1"/>
  <c r="AO47" i="22"/>
  <c r="BL47" i="25" s="1"/>
  <c r="BT47" s="1"/>
  <c r="BV47" s="1"/>
  <c r="AM80" i="1"/>
  <c r="BL80" i="2" s="1"/>
  <c r="BS80" s="1"/>
  <c r="BU80" s="1"/>
  <c r="AM79" i="1"/>
  <c r="BL79" i="2" s="1"/>
  <c r="BS79" s="1"/>
  <c r="BU79" s="1"/>
  <c r="AM17" i="1"/>
  <c r="BL17" i="2" s="1"/>
  <c r="BS17" s="1"/>
  <c r="BU17" s="1"/>
  <c r="AM16" i="1"/>
  <c r="BL16" i="2" s="1"/>
  <c r="BS16" s="1"/>
  <c r="BU16" s="1"/>
  <c r="AM15" i="1"/>
  <c r="BL15" i="2" s="1"/>
  <c r="BS15" s="1"/>
  <c r="BU15" s="1"/>
  <c r="AC81" i="14"/>
  <c r="AC76"/>
  <c r="AC67"/>
  <c r="AC59"/>
  <c r="AC46"/>
  <c r="AC84"/>
  <c r="AE47" i="16"/>
  <c r="AE46"/>
  <c r="AE45"/>
  <c r="AE44"/>
  <c r="AE34"/>
  <c r="AE33"/>
  <c r="AE32"/>
  <c r="AE31"/>
  <c r="AE30"/>
  <c r="AE21"/>
  <c r="AE20"/>
  <c r="AE64"/>
  <c r="AX582" i="25"/>
  <c r="BV46" l="1"/>
  <c r="K147" i="26"/>
  <c r="O147"/>
  <c r="AA147"/>
  <c r="K429" i="14"/>
  <c r="O429"/>
  <c r="AA429"/>
  <c r="K430"/>
  <c r="O430"/>
  <c r="AA430"/>
  <c r="AI628" i="17"/>
  <c r="AI617"/>
  <c r="AI613"/>
  <c r="AG613"/>
  <c r="AI605"/>
  <c r="AI604"/>
  <c r="AI550"/>
  <c r="AI527"/>
  <c r="AI503"/>
  <c r="AI482"/>
  <c r="AI475"/>
  <c r="AI473"/>
  <c r="AI452"/>
  <c r="AI447"/>
  <c r="AI434"/>
  <c r="AI433"/>
  <c r="AI431"/>
  <c r="AI425"/>
  <c r="AI417"/>
  <c r="AI388"/>
  <c r="AI379"/>
  <c r="AI362"/>
  <c r="AI340"/>
  <c r="AI310"/>
  <c r="AI290"/>
  <c r="AI288"/>
  <c r="AI285"/>
  <c r="AI282"/>
  <c r="AI281"/>
  <c r="AI277"/>
  <c r="AI275"/>
  <c r="AI252"/>
  <c r="AI117"/>
  <c r="AG117"/>
  <c r="AI115"/>
  <c r="AI103"/>
  <c r="X176" i="10"/>
  <c r="AC176" i="16"/>
  <c r="W176"/>
  <c r="M176"/>
  <c r="I176"/>
  <c r="G176" s="1"/>
  <c r="O176" i="15"/>
  <c r="AG176" s="1"/>
  <c r="M176"/>
  <c r="AW176" i="17"/>
  <c r="W176" i="14"/>
  <c r="U176"/>
  <c r="O176"/>
  <c r="K176"/>
  <c r="AK176" i="1"/>
  <c r="Y176"/>
  <c r="AZ176" i="2"/>
  <c r="BJ176" s="1"/>
  <c r="Y176" i="26"/>
  <c r="W176"/>
  <c r="U176"/>
  <c r="O176"/>
  <c r="G176"/>
  <c r="AM176" i="22"/>
  <c r="W176"/>
  <c r="Y176" s="1"/>
  <c r="AZ176" i="25"/>
  <c r="BJ176" s="1"/>
  <c r="S176" i="10"/>
  <c r="AM176" i="1" l="1"/>
  <c r="AO176" i="22"/>
  <c r="BL176" i="25" s="1"/>
  <c r="AC147" i="26"/>
  <c r="AA176"/>
  <c r="BL176" i="2"/>
  <c r="AC429" i="14"/>
  <c r="AC430"/>
  <c r="AC176"/>
  <c r="AI176" i="15"/>
  <c r="AY176" i="17" s="1"/>
  <c r="AE176" i="16"/>
  <c r="AA176" i="14"/>
  <c r="K176" i="26"/>
  <c r="AC176" s="1"/>
  <c r="M288" i="25"/>
  <c r="M375" i="10" l="1"/>
  <c r="G375"/>
  <c r="G374"/>
  <c r="S374" s="1"/>
  <c r="G373"/>
  <c r="S373" s="1"/>
  <c r="O372"/>
  <c r="G372"/>
  <c r="S371"/>
  <c r="S370"/>
  <c r="Q369"/>
  <c r="K369"/>
  <c r="G369"/>
  <c r="S368"/>
  <c r="G367"/>
  <c r="S367" s="1"/>
  <c r="S366"/>
  <c r="S365"/>
  <c r="G364"/>
  <c r="S364" s="1"/>
  <c r="S363"/>
  <c r="G362"/>
  <c r="S362" s="1"/>
  <c r="S361"/>
  <c r="S360"/>
  <c r="G359"/>
  <c r="S359" s="1"/>
  <c r="Q358"/>
  <c r="G358"/>
  <c r="K357"/>
  <c r="G357"/>
  <c r="K356"/>
  <c r="G356"/>
  <c r="S355"/>
  <c r="S354"/>
  <c r="Q353"/>
  <c r="S353" s="1"/>
  <c r="K352"/>
  <c r="G352"/>
  <c r="S351"/>
  <c r="G350"/>
  <c r="S350" s="1"/>
  <c r="S349"/>
  <c r="S348"/>
  <c r="S347"/>
  <c r="Q346"/>
  <c r="S346" s="1"/>
  <c r="G345"/>
  <c r="S345" s="1"/>
  <c r="S344"/>
  <c r="S340"/>
  <c r="S339"/>
  <c r="S338"/>
  <c r="S337"/>
  <c r="S336"/>
  <c r="S335"/>
  <c r="S334"/>
  <c r="S333"/>
  <c r="G332"/>
  <c r="S332" s="1"/>
  <c r="S331"/>
  <c r="G330"/>
  <c r="S330" s="1"/>
  <c r="S329"/>
  <c r="S328"/>
  <c r="G327"/>
  <c r="S327" s="1"/>
  <c r="M326"/>
  <c r="G326"/>
  <c r="S325"/>
  <c r="S324"/>
  <c r="S323"/>
  <c r="S322"/>
  <c r="S321"/>
  <c r="S320"/>
  <c r="AZ375" i="25"/>
  <c r="BJ375" s="1"/>
  <c r="AZ374"/>
  <c r="BJ374" s="1"/>
  <c r="AZ373"/>
  <c r="BJ373" s="1"/>
  <c r="AZ372"/>
  <c r="BJ372" s="1"/>
  <c r="AZ371"/>
  <c r="BJ371" s="1"/>
  <c r="AZ370"/>
  <c r="BJ370" s="1"/>
  <c r="AZ369"/>
  <c r="BJ369" s="1"/>
  <c r="AZ368"/>
  <c r="BJ368" s="1"/>
  <c r="M367"/>
  <c r="AZ367" s="1"/>
  <c r="BJ367" s="1"/>
  <c r="AZ366"/>
  <c r="BJ366" s="1"/>
  <c r="AZ365"/>
  <c r="BJ365" s="1"/>
  <c r="AV364"/>
  <c r="AZ364" s="1"/>
  <c r="BJ364" s="1"/>
  <c r="AZ363"/>
  <c r="BJ363" s="1"/>
  <c r="AI362"/>
  <c r="AZ362" s="1"/>
  <c r="BJ362" s="1"/>
  <c r="AZ361"/>
  <c r="BJ361" s="1"/>
  <c r="AZ360"/>
  <c r="BJ360" s="1"/>
  <c r="AZ359"/>
  <c r="BJ359" s="1"/>
  <c r="AP358"/>
  <c r="AN358"/>
  <c r="M357"/>
  <c r="AZ357" s="1"/>
  <c r="BJ357" s="1"/>
  <c r="AV356"/>
  <c r="AT356"/>
  <c r="AZ355"/>
  <c r="BJ355" s="1"/>
  <c r="AV354"/>
  <c r="AZ354" s="1"/>
  <c r="BJ354" s="1"/>
  <c r="AZ353"/>
  <c r="BJ353" s="1"/>
  <c r="M352"/>
  <c r="AZ352" s="1"/>
  <c r="BJ352" s="1"/>
  <c r="AV351"/>
  <c r="AZ351" s="1"/>
  <c r="BJ351" s="1"/>
  <c r="AZ350"/>
  <c r="BJ350" s="1"/>
  <c r="AZ349"/>
  <c r="BJ349" s="1"/>
  <c r="AZ348"/>
  <c r="BJ348" s="1"/>
  <c r="AZ347"/>
  <c r="BJ347" s="1"/>
  <c r="AV346"/>
  <c r="AT346"/>
  <c r="M346"/>
  <c r="K346"/>
  <c r="M345"/>
  <c r="AZ345" s="1"/>
  <c r="BJ345" s="1"/>
  <c r="AZ344"/>
  <c r="BJ344" s="1"/>
  <c r="AI340"/>
  <c r="M340"/>
  <c r="AZ339"/>
  <c r="BJ339" s="1"/>
  <c r="AZ338"/>
  <c r="BJ338" s="1"/>
  <c r="AZ337"/>
  <c r="BJ337" s="1"/>
  <c r="AZ336"/>
  <c r="BJ336" s="1"/>
  <c r="AZ335"/>
  <c r="BJ335" s="1"/>
  <c r="AZ334"/>
  <c r="BJ334" s="1"/>
  <c r="AZ333"/>
  <c r="BJ333" s="1"/>
  <c r="M332"/>
  <c r="AZ332" s="1"/>
  <c r="BJ332" s="1"/>
  <c r="AZ331"/>
  <c r="BJ331" s="1"/>
  <c r="AZ330"/>
  <c r="BJ330" s="1"/>
  <c r="AZ329"/>
  <c r="BJ329" s="1"/>
  <c r="AZ328"/>
  <c r="BJ328" s="1"/>
  <c r="M327"/>
  <c r="AZ327" s="1"/>
  <c r="BJ327" s="1"/>
  <c r="AZ326"/>
  <c r="BJ326" s="1"/>
  <c r="AZ325"/>
  <c r="BJ325" s="1"/>
  <c r="M324"/>
  <c r="AZ324" s="1"/>
  <c r="BJ324" s="1"/>
  <c r="AZ323"/>
  <c r="BJ323" s="1"/>
  <c r="AZ322"/>
  <c r="BJ322" s="1"/>
  <c r="AZ321"/>
  <c r="BJ321" s="1"/>
  <c r="M320"/>
  <c r="AZ320" s="1"/>
  <c r="BJ320" s="1"/>
  <c r="AM375" i="22"/>
  <c r="W375"/>
  <c r="Y375" s="1"/>
  <c r="AM374"/>
  <c r="W374"/>
  <c r="O374"/>
  <c r="K374"/>
  <c r="AM373"/>
  <c r="W373"/>
  <c r="O373"/>
  <c r="K373"/>
  <c r="AM372"/>
  <c r="W372"/>
  <c r="Y372" s="1"/>
  <c r="AM371"/>
  <c r="Y371"/>
  <c r="AM370"/>
  <c r="W370"/>
  <c r="O370"/>
  <c r="K370"/>
  <c r="AE369"/>
  <c r="AM369" s="1"/>
  <c r="W369"/>
  <c r="Y369" s="1"/>
  <c r="AM368"/>
  <c r="Y368"/>
  <c r="AM367"/>
  <c r="W367"/>
  <c r="Y367" s="1"/>
  <c r="AM366"/>
  <c r="Y366"/>
  <c r="AM365"/>
  <c r="W365"/>
  <c r="Y365" s="1"/>
  <c r="AE364"/>
  <c r="AM364" s="1"/>
  <c r="W364"/>
  <c r="Y364" s="1"/>
  <c r="AM363"/>
  <c r="W363"/>
  <c r="Y363" s="1"/>
  <c r="AE362"/>
  <c r="AM362" s="1"/>
  <c r="W362"/>
  <c r="K362"/>
  <c r="AM361"/>
  <c r="Y361"/>
  <c r="AM360"/>
  <c r="Y360"/>
  <c r="AM359"/>
  <c r="W359"/>
  <c r="Y359" s="1"/>
  <c r="AI358"/>
  <c r="AM358" s="1"/>
  <c r="Y358"/>
  <c r="AM357"/>
  <c r="W357"/>
  <c r="O357"/>
  <c r="K357"/>
  <c r="AE356"/>
  <c r="AM356" s="1"/>
  <c r="W356"/>
  <c r="Y356" s="1"/>
  <c r="AM355"/>
  <c r="W355"/>
  <c r="Y355" s="1"/>
  <c r="AM354"/>
  <c r="W354"/>
  <c r="Y354" s="1"/>
  <c r="AM353"/>
  <c r="W353"/>
  <c r="Y353" s="1"/>
  <c r="AI352"/>
  <c r="AM352" s="1"/>
  <c r="W352"/>
  <c r="Y352" s="1"/>
  <c r="AM351"/>
  <c r="W351"/>
  <c r="Y351" s="1"/>
  <c r="AM350"/>
  <c r="W350"/>
  <c r="O350"/>
  <c r="K350"/>
  <c r="AM349"/>
  <c r="W349"/>
  <c r="Y349" s="1"/>
  <c r="AM348"/>
  <c r="Y348"/>
  <c r="AM347"/>
  <c r="W347"/>
  <c r="Y347" s="1"/>
  <c r="AE346"/>
  <c r="AM346" s="1"/>
  <c r="W346"/>
  <c r="Y346" s="1"/>
  <c r="AM345"/>
  <c r="W345"/>
  <c r="O345"/>
  <c r="K345"/>
  <c r="AM344"/>
  <c r="W344"/>
  <c r="O344"/>
  <c r="K344"/>
  <c r="AM340"/>
  <c r="W340"/>
  <c r="Y340" s="1"/>
  <c r="AM339"/>
  <c r="W339"/>
  <c r="Y339" s="1"/>
  <c r="AM338"/>
  <c r="W338"/>
  <c r="O338"/>
  <c r="K338"/>
  <c r="AM337"/>
  <c r="W337"/>
  <c r="Y337" s="1"/>
  <c r="AM336"/>
  <c r="W336"/>
  <c r="O336"/>
  <c r="K336"/>
  <c r="Y335"/>
  <c r="AO335" s="1"/>
  <c r="AM334"/>
  <c r="Y334"/>
  <c r="AM333"/>
  <c r="Y333"/>
  <c r="AM332"/>
  <c r="W332"/>
  <c r="Y332" s="1"/>
  <c r="AM331"/>
  <c r="W331"/>
  <c r="O331"/>
  <c r="K331"/>
  <c r="AM330"/>
  <c r="W330"/>
  <c r="O330"/>
  <c r="K330"/>
  <c r="AM329"/>
  <c r="W329"/>
  <c r="O329"/>
  <c r="K329"/>
  <c r="AE328"/>
  <c r="AM328" s="1"/>
  <c r="W328"/>
  <c r="Y328" s="1"/>
  <c r="AM327"/>
  <c r="W327"/>
  <c r="O327"/>
  <c r="K327"/>
  <c r="AI326"/>
  <c r="AM326" s="1"/>
  <c r="W326"/>
  <c r="Y326" s="1"/>
  <c r="AM325"/>
  <c r="W325"/>
  <c r="Y325" s="1"/>
  <c r="AM324"/>
  <c r="W324"/>
  <c r="O324"/>
  <c r="K324"/>
  <c r="Y323"/>
  <c r="AO323" s="1"/>
  <c r="AM322"/>
  <c r="W322"/>
  <c r="O322"/>
  <c r="K322"/>
  <c r="AM321"/>
  <c r="W321"/>
  <c r="Y321" s="1"/>
  <c r="AM320"/>
  <c r="W320"/>
  <c r="Y320" s="1"/>
  <c r="Y375" i="26"/>
  <c r="U375"/>
  <c r="O375"/>
  <c r="K375"/>
  <c r="Y374"/>
  <c r="U374"/>
  <c r="Q374"/>
  <c r="O374" s="1"/>
  <c r="K374"/>
  <c r="U373"/>
  <c r="AA373" s="1"/>
  <c r="Q373"/>
  <c r="O373" s="1"/>
  <c r="K373"/>
  <c r="Y372"/>
  <c r="U372"/>
  <c r="O372"/>
  <c r="K372"/>
  <c r="AA371"/>
  <c r="O371"/>
  <c r="K371"/>
  <c r="Y370"/>
  <c r="U370"/>
  <c r="Q370"/>
  <c r="O370" s="1"/>
  <c r="K370"/>
  <c r="Y369"/>
  <c r="U369"/>
  <c r="O369"/>
  <c r="K369"/>
  <c r="AA368"/>
  <c r="O368"/>
  <c r="K368"/>
  <c r="Y367"/>
  <c r="U367"/>
  <c r="O367"/>
  <c r="K367"/>
  <c r="AA366"/>
  <c r="O366"/>
  <c r="K366"/>
  <c r="Y365"/>
  <c r="U365"/>
  <c r="O365"/>
  <c r="K365"/>
  <c r="Y364"/>
  <c r="U364"/>
  <c r="O364"/>
  <c r="K364"/>
  <c r="Y363"/>
  <c r="U363"/>
  <c r="O363"/>
  <c r="K363"/>
  <c r="Y362"/>
  <c r="U362"/>
  <c r="Q362"/>
  <c r="O362" s="1"/>
  <c r="I362"/>
  <c r="K362" s="1"/>
  <c r="AA361"/>
  <c r="O361"/>
  <c r="K361"/>
  <c r="AA360"/>
  <c r="O360"/>
  <c r="K360"/>
  <c r="Y359"/>
  <c r="U359"/>
  <c r="O359"/>
  <c r="K359"/>
  <c r="Y358"/>
  <c r="U358"/>
  <c r="O358"/>
  <c r="K358"/>
  <c r="Y357"/>
  <c r="U357"/>
  <c r="Q357"/>
  <c r="O357" s="1"/>
  <c r="K357"/>
  <c r="U356"/>
  <c r="AA356" s="1"/>
  <c r="O356"/>
  <c r="K356"/>
  <c r="Y355"/>
  <c r="U355"/>
  <c r="O355"/>
  <c r="K355"/>
  <c r="Y354"/>
  <c r="U354"/>
  <c r="O354"/>
  <c r="I354"/>
  <c r="K354" s="1"/>
  <c r="U353"/>
  <c r="AA353" s="1"/>
  <c r="O353"/>
  <c r="K353"/>
  <c r="Y352"/>
  <c r="U352"/>
  <c r="O352"/>
  <c r="K352"/>
  <c r="Y351"/>
  <c r="U351"/>
  <c r="O351"/>
  <c r="K351"/>
  <c r="Y350"/>
  <c r="U350"/>
  <c r="Q350"/>
  <c r="O350" s="1"/>
  <c r="K350"/>
  <c r="U349"/>
  <c r="AA349" s="1"/>
  <c r="O349"/>
  <c r="K349"/>
  <c r="AA348"/>
  <c r="O348"/>
  <c r="K348"/>
  <c r="Y347"/>
  <c r="U347"/>
  <c r="O347"/>
  <c r="K347"/>
  <c r="U346"/>
  <c r="AA346" s="1"/>
  <c r="O346"/>
  <c r="K346"/>
  <c r="Y345"/>
  <c r="U345"/>
  <c r="Q345"/>
  <c r="O345" s="1"/>
  <c r="K345"/>
  <c r="Y344"/>
  <c r="U344"/>
  <c r="Q344"/>
  <c r="O344" s="1"/>
  <c r="K344"/>
  <c r="Y340"/>
  <c r="U340"/>
  <c r="O340"/>
  <c r="K340"/>
  <c r="Y339"/>
  <c r="U339"/>
  <c r="O339"/>
  <c r="G339"/>
  <c r="K339" s="1"/>
  <c r="Y338"/>
  <c r="U338"/>
  <c r="Q338"/>
  <c r="O338" s="1"/>
  <c r="G338"/>
  <c r="K338" s="1"/>
  <c r="Y337"/>
  <c r="U337"/>
  <c r="O337"/>
  <c r="K337"/>
  <c r="Y336"/>
  <c r="U336"/>
  <c r="Q336"/>
  <c r="O336" s="1"/>
  <c r="K336"/>
  <c r="AA335"/>
  <c r="K335"/>
  <c r="U334"/>
  <c r="AA334" s="1"/>
  <c r="O334"/>
  <c r="K334"/>
  <c r="AA333"/>
  <c r="O333"/>
  <c r="K333"/>
  <c r="Y332"/>
  <c r="U332"/>
  <c r="O332"/>
  <c r="K332"/>
  <c r="Y331"/>
  <c r="U331"/>
  <c r="Q331"/>
  <c r="O331" s="1"/>
  <c r="G331"/>
  <c r="K331" s="1"/>
  <c r="Y330"/>
  <c r="U330"/>
  <c r="Q330"/>
  <c r="O330" s="1"/>
  <c r="K330"/>
  <c r="Y329"/>
  <c r="U329"/>
  <c r="Q329"/>
  <c r="O329" s="1"/>
  <c r="G329"/>
  <c r="K329" s="1"/>
  <c r="Y328"/>
  <c r="U328"/>
  <c r="O328"/>
  <c r="K328"/>
  <c r="U327"/>
  <c r="AA327" s="1"/>
  <c r="Q327"/>
  <c r="O327" s="1"/>
  <c r="K327"/>
  <c r="Y326"/>
  <c r="AA326" s="1"/>
  <c r="O326"/>
  <c r="K326"/>
  <c r="Y325"/>
  <c r="U325"/>
  <c r="O325"/>
  <c r="K325"/>
  <c r="Y324"/>
  <c r="U324"/>
  <c r="Q324"/>
  <c r="O324" s="1"/>
  <c r="K324"/>
  <c r="AA323"/>
  <c r="K323"/>
  <c r="Y322"/>
  <c r="U322"/>
  <c r="O322"/>
  <c r="K322"/>
  <c r="Y321"/>
  <c r="U321"/>
  <c r="O321"/>
  <c r="K321"/>
  <c r="Y320"/>
  <c r="U320"/>
  <c r="O320"/>
  <c r="K320"/>
  <c r="AZ375" i="2"/>
  <c r="BJ375" s="1"/>
  <c r="AZ374"/>
  <c r="BJ374" s="1"/>
  <c r="AZ373"/>
  <c r="BJ373" s="1"/>
  <c r="AZ372"/>
  <c r="BJ372" s="1"/>
  <c r="AZ371"/>
  <c r="BJ371" s="1"/>
  <c r="AZ370"/>
  <c r="BJ370" s="1"/>
  <c r="AZ369"/>
  <c r="BJ369" s="1"/>
  <c r="AZ368"/>
  <c r="BJ368" s="1"/>
  <c r="M367"/>
  <c r="AZ367" s="1"/>
  <c r="BJ367" s="1"/>
  <c r="AZ366"/>
  <c r="BJ366" s="1"/>
  <c r="AZ365"/>
  <c r="BJ365" s="1"/>
  <c r="AZ364"/>
  <c r="BJ364" s="1"/>
  <c r="AZ363"/>
  <c r="BJ363" s="1"/>
  <c r="AZ362"/>
  <c r="BJ362" s="1"/>
  <c r="AZ361"/>
  <c r="BJ361" s="1"/>
  <c r="AZ360"/>
  <c r="BJ360" s="1"/>
  <c r="AZ359"/>
  <c r="BJ359" s="1"/>
  <c r="AN358"/>
  <c r="AZ358" s="1"/>
  <c r="BJ358" s="1"/>
  <c r="M357"/>
  <c r="AZ357" s="1"/>
  <c r="BJ357" s="1"/>
  <c r="AZ356"/>
  <c r="BJ356" s="1"/>
  <c r="AZ355"/>
  <c r="BJ355" s="1"/>
  <c r="AZ354"/>
  <c r="BJ354" s="1"/>
  <c r="AZ353"/>
  <c r="BJ353" s="1"/>
  <c r="M352"/>
  <c r="AZ352" s="1"/>
  <c r="BJ352" s="1"/>
  <c r="AZ351"/>
  <c r="BJ351" s="1"/>
  <c r="AZ350"/>
  <c r="BJ350" s="1"/>
  <c r="AZ349"/>
  <c r="BJ349" s="1"/>
  <c r="AZ348"/>
  <c r="BJ348" s="1"/>
  <c r="AZ347"/>
  <c r="BJ347" s="1"/>
  <c r="M346"/>
  <c r="AZ346" s="1"/>
  <c r="BJ346" s="1"/>
  <c r="M345"/>
  <c r="AZ345" s="1"/>
  <c r="BJ345" s="1"/>
  <c r="AZ344"/>
  <c r="BJ344" s="1"/>
  <c r="M340"/>
  <c r="AZ340" s="1"/>
  <c r="BJ340" s="1"/>
  <c r="AZ339"/>
  <c r="BJ339" s="1"/>
  <c r="AZ338"/>
  <c r="BJ338" s="1"/>
  <c r="AZ337"/>
  <c r="BJ337" s="1"/>
  <c r="AZ336"/>
  <c r="BJ336" s="1"/>
  <c r="AZ335"/>
  <c r="BJ335" s="1"/>
  <c r="AZ334"/>
  <c r="BJ334" s="1"/>
  <c r="AZ333"/>
  <c r="BJ333" s="1"/>
  <c r="AZ332"/>
  <c r="BJ332" s="1"/>
  <c r="AZ331"/>
  <c r="BJ331" s="1"/>
  <c r="AZ330"/>
  <c r="BJ330" s="1"/>
  <c r="AZ329"/>
  <c r="BJ329" s="1"/>
  <c r="AZ328"/>
  <c r="BJ328" s="1"/>
  <c r="AZ327"/>
  <c r="BJ327" s="1"/>
  <c r="AZ326"/>
  <c r="BJ326" s="1"/>
  <c r="AZ325"/>
  <c r="BJ325" s="1"/>
  <c r="AZ324"/>
  <c r="BJ324" s="1"/>
  <c r="AZ323"/>
  <c r="BJ323" s="1"/>
  <c r="AZ322"/>
  <c r="BJ322" s="1"/>
  <c r="AZ321"/>
  <c r="BJ321" s="1"/>
  <c r="M320"/>
  <c r="AZ320" s="1"/>
  <c r="BJ320" s="1"/>
  <c r="AK375" i="1"/>
  <c r="Y375"/>
  <c r="AK374"/>
  <c r="W374"/>
  <c r="O374"/>
  <c r="AK373"/>
  <c r="W373"/>
  <c r="Y373" s="1"/>
  <c r="AK372"/>
  <c r="W372"/>
  <c r="Y372" s="1"/>
  <c r="AK371"/>
  <c r="Y371"/>
  <c r="AK370"/>
  <c r="O370"/>
  <c r="Y370" s="1"/>
  <c r="AK369"/>
  <c r="W369"/>
  <c r="Y369" s="1"/>
  <c r="AK368"/>
  <c r="Y368"/>
  <c r="AK367"/>
  <c r="Y367"/>
  <c r="AK366"/>
  <c r="Y366"/>
  <c r="AK365"/>
  <c r="W365"/>
  <c r="Y365" s="1"/>
  <c r="AK364"/>
  <c r="W364"/>
  <c r="Y364" s="1"/>
  <c r="AK363"/>
  <c r="W363"/>
  <c r="Y363" s="1"/>
  <c r="AK362"/>
  <c r="K362"/>
  <c r="Y362" s="1"/>
  <c r="AK361"/>
  <c r="Y361"/>
  <c r="AK360"/>
  <c r="Y360"/>
  <c r="AK359"/>
  <c r="Y359"/>
  <c r="AK358"/>
  <c r="Y358"/>
  <c r="AK357"/>
  <c r="W357"/>
  <c r="O357"/>
  <c r="K357"/>
  <c r="AK356"/>
  <c r="W356"/>
  <c r="Y356" s="1"/>
  <c r="AK355"/>
  <c r="W355"/>
  <c r="Y355" s="1"/>
  <c r="AK354"/>
  <c r="W354"/>
  <c r="Y354" s="1"/>
  <c r="AK353"/>
  <c r="W353"/>
  <c r="Y353" s="1"/>
  <c r="AK352"/>
  <c r="W352"/>
  <c r="Y352" s="1"/>
  <c r="AK351"/>
  <c r="W351"/>
  <c r="Y351" s="1"/>
  <c r="AK350"/>
  <c r="Y350"/>
  <c r="AK349"/>
  <c r="W349"/>
  <c r="Y349" s="1"/>
  <c r="AM349" s="1"/>
  <c r="AK348"/>
  <c r="Y348"/>
  <c r="AK347"/>
  <c r="W347"/>
  <c r="Y347" s="1"/>
  <c r="AK346"/>
  <c r="W346"/>
  <c r="Y346" s="1"/>
  <c r="AK345"/>
  <c r="O345"/>
  <c r="Y345" s="1"/>
  <c r="AK344"/>
  <c r="O344"/>
  <c r="K344"/>
  <c r="AK340"/>
  <c r="W340"/>
  <c r="Y340" s="1"/>
  <c r="AK339"/>
  <c r="W339"/>
  <c r="Y339" s="1"/>
  <c r="AK338"/>
  <c r="W338"/>
  <c r="O338"/>
  <c r="K338"/>
  <c r="AK337"/>
  <c r="W337"/>
  <c r="Y337" s="1"/>
  <c r="AK336"/>
  <c r="W336"/>
  <c r="O336"/>
  <c r="K336"/>
  <c r="Y335"/>
  <c r="AM335" s="1"/>
  <c r="AK334"/>
  <c r="Y334"/>
  <c r="AK333"/>
  <c r="Y333"/>
  <c r="AK332"/>
  <c r="W332"/>
  <c r="Y332" s="1"/>
  <c r="AK331"/>
  <c r="W331"/>
  <c r="O331"/>
  <c r="K331"/>
  <c r="O330"/>
  <c r="K330"/>
  <c r="AK329"/>
  <c r="O329"/>
  <c r="Y329" s="1"/>
  <c r="AM329" s="1"/>
  <c r="AK328"/>
  <c r="W328"/>
  <c r="Y328" s="1"/>
  <c r="AK327"/>
  <c r="W327"/>
  <c r="O327"/>
  <c r="K327"/>
  <c r="AG326"/>
  <c r="AK326" s="1"/>
  <c r="Y326"/>
  <c r="AK325"/>
  <c r="Y325"/>
  <c r="AK324"/>
  <c r="W324"/>
  <c r="O324"/>
  <c r="K324"/>
  <c r="AK323"/>
  <c r="Y323"/>
  <c r="AK322"/>
  <c r="W322"/>
  <c r="K322"/>
  <c r="AK321"/>
  <c r="W321"/>
  <c r="Y321" s="1"/>
  <c r="AK320"/>
  <c r="W320"/>
  <c r="Y320" s="1"/>
  <c r="U375" i="14"/>
  <c r="O375"/>
  <c r="K375"/>
  <c r="U374"/>
  <c r="Q374"/>
  <c r="O374" s="1"/>
  <c r="K374"/>
  <c r="U373"/>
  <c r="Q373"/>
  <c r="O373" s="1"/>
  <c r="K373"/>
  <c r="U372"/>
  <c r="O372"/>
  <c r="K372"/>
  <c r="O371"/>
  <c r="K371"/>
  <c r="U370"/>
  <c r="Q370"/>
  <c r="O370" s="1"/>
  <c r="K370"/>
  <c r="U369"/>
  <c r="O369"/>
  <c r="K369"/>
  <c r="O368"/>
  <c r="K368"/>
  <c r="U367"/>
  <c r="O367"/>
  <c r="K367"/>
  <c r="O366"/>
  <c r="K366"/>
  <c r="U365"/>
  <c r="O365"/>
  <c r="K365"/>
  <c r="U364"/>
  <c r="O364"/>
  <c r="K364"/>
  <c r="U363"/>
  <c r="O363"/>
  <c r="K363"/>
  <c r="U362"/>
  <c r="O362"/>
  <c r="K362"/>
  <c r="O361"/>
  <c r="K361"/>
  <c r="O360"/>
  <c r="K360"/>
  <c r="U359"/>
  <c r="O359"/>
  <c r="K359"/>
  <c r="U358"/>
  <c r="O358"/>
  <c r="K358"/>
  <c r="U357"/>
  <c r="Q357"/>
  <c r="O357" s="1"/>
  <c r="K357"/>
  <c r="U356"/>
  <c r="O356"/>
  <c r="K356"/>
  <c r="U355"/>
  <c r="O355"/>
  <c r="K355"/>
  <c r="U354"/>
  <c r="O354"/>
  <c r="K354"/>
  <c r="O353"/>
  <c r="K353"/>
  <c r="U352"/>
  <c r="O352"/>
  <c r="K352"/>
  <c r="U351"/>
  <c r="O351"/>
  <c r="K351"/>
  <c r="U350"/>
  <c r="Q350"/>
  <c r="O350" s="1"/>
  <c r="K350"/>
  <c r="O349"/>
  <c r="K349"/>
  <c r="O348"/>
  <c r="K348"/>
  <c r="U347"/>
  <c r="O347"/>
  <c r="K347"/>
  <c r="U346"/>
  <c r="O346"/>
  <c r="K346"/>
  <c r="U345"/>
  <c r="Q345"/>
  <c r="O345" s="1"/>
  <c r="K345"/>
  <c r="U344"/>
  <c r="Q344"/>
  <c r="O344" s="1"/>
  <c r="K344"/>
  <c r="U340"/>
  <c r="O340"/>
  <c r="K340"/>
  <c r="U339"/>
  <c r="O339"/>
  <c r="K339"/>
  <c r="U338"/>
  <c r="Q338"/>
  <c r="O338" s="1"/>
  <c r="G338"/>
  <c r="K338" s="1"/>
  <c r="U337"/>
  <c r="O337"/>
  <c r="K337"/>
  <c r="U336"/>
  <c r="Q336"/>
  <c r="O336" s="1"/>
  <c r="K336"/>
  <c r="K335"/>
  <c r="U334"/>
  <c r="O334"/>
  <c r="K334"/>
  <c r="O333"/>
  <c r="K333"/>
  <c r="U332"/>
  <c r="O332"/>
  <c r="K332"/>
  <c r="U331"/>
  <c r="Q331"/>
  <c r="O331" s="1"/>
  <c r="K331"/>
  <c r="U330"/>
  <c r="Q330"/>
  <c r="O330" s="1"/>
  <c r="K330"/>
  <c r="U329"/>
  <c r="Q329"/>
  <c r="O329" s="1"/>
  <c r="G329"/>
  <c r="K329" s="1"/>
  <c r="U328"/>
  <c r="O328"/>
  <c r="K328"/>
  <c r="U327"/>
  <c r="Q327"/>
  <c r="O327" s="1"/>
  <c r="K327"/>
  <c r="O326"/>
  <c r="K326"/>
  <c r="U325"/>
  <c r="O325"/>
  <c r="K325"/>
  <c r="U324"/>
  <c r="Q324"/>
  <c r="O324" s="1"/>
  <c r="K324"/>
  <c r="K323"/>
  <c r="O322"/>
  <c r="K322"/>
  <c r="U321"/>
  <c r="O321"/>
  <c r="K321"/>
  <c r="U320"/>
  <c r="O320"/>
  <c r="K320"/>
  <c r="AW375" i="17"/>
  <c r="AW374"/>
  <c r="AW373"/>
  <c r="AW372"/>
  <c r="AW371"/>
  <c r="AW370"/>
  <c r="AW369"/>
  <c r="AW368"/>
  <c r="M367"/>
  <c r="AW367" s="1"/>
  <c r="AW366"/>
  <c r="AW365"/>
  <c r="AW364"/>
  <c r="AW363"/>
  <c r="AW362"/>
  <c r="AW361"/>
  <c r="AW360"/>
  <c r="M359"/>
  <c r="AW359" s="1"/>
  <c r="AW358"/>
  <c r="M357"/>
  <c r="AW357" s="1"/>
  <c r="AW356"/>
  <c r="AW355"/>
  <c r="AW354"/>
  <c r="AW353"/>
  <c r="M352"/>
  <c r="AW352" s="1"/>
  <c r="AW351"/>
  <c r="AW350"/>
  <c r="AW349"/>
  <c r="AW348"/>
  <c r="AW347"/>
  <c r="M346"/>
  <c r="K346"/>
  <c r="M345"/>
  <c r="AW345" s="1"/>
  <c r="AW344"/>
  <c r="M340"/>
  <c r="AW340" s="1"/>
  <c r="AW339"/>
  <c r="AW338"/>
  <c r="AW337"/>
  <c r="AW336"/>
  <c r="AW335"/>
  <c r="AW334"/>
  <c r="AW333"/>
  <c r="AW332"/>
  <c r="AW331"/>
  <c r="AW330"/>
  <c r="AW329"/>
  <c r="AW328"/>
  <c r="M327"/>
  <c r="AW327" s="1"/>
  <c r="AW326"/>
  <c r="AW325"/>
  <c r="M324"/>
  <c r="AW324" s="1"/>
  <c r="AW323"/>
  <c r="AW322"/>
  <c r="AW321"/>
  <c r="M320"/>
  <c r="AW320" s="1"/>
  <c r="O375" i="15"/>
  <c r="AG375" s="1"/>
  <c r="M375"/>
  <c r="O374"/>
  <c r="AG374" s="1"/>
  <c r="M374"/>
  <c r="O373"/>
  <c r="AG373" s="1"/>
  <c r="M373"/>
  <c r="AA372"/>
  <c r="O372"/>
  <c r="M372"/>
  <c r="AG371"/>
  <c r="M371"/>
  <c r="O370"/>
  <c r="AG370" s="1"/>
  <c r="M370"/>
  <c r="AG369"/>
  <c r="M369"/>
  <c r="AG368"/>
  <c r="M368"/>
  <c r="O367"/>
  <c r="AG367" s="1"/>
  <c r="M367"/>
  <c r="AG366"/>
  <c r="M366"/>
  <c r="O365"/>
  <c r="AG365" s="1"/>
  <c r="M365"/>
  <c r="O364"/>
  <c r="AG364" s="1"/>
  <c r="M364"/>
  <c r="AA363"/>
  <c r="S363"/>
  <c r="O363"/>
  <c r="M363"/>
  <c r="O362"/>
  <c r="AG362" s="1"/>
  <c r="M362"/>
  <c r="AG361"/>
  <c r="M361"/>
  <c r="AG360"/>
  <c r="M360"/>
  <c r="O359"/>
  <c r="AG359" s="1"/>
  <c r="M359"/>
  <c r="O358"/>
  <c r="AG358" s="1"/>
  <c r="M358"/>
  <c r="O357"/>
  <c r="AG357" s="1"/>
  <c r="M357"/>
  <c r="O356"/>
  <c r="AG356" s="1"/>
  <c r="AI356" s="1"/>
  <c r="M356"/>
  <c r="O355"/>
  <c r="AG355" s="1"/>
  <c r="AI355" s="1"/>
  <c r="M355"/>
  <c r="O354"/>
  <c r="AG354" s="1"/>
  <c r="AI354" s="1"/>
  <c r="M354"/>
  <c r="AA353"/>
  <c r="O353"/>
  <c r="M353"/>
  <c r="AE352"/>
  <c r="O352"/>
  <c r="AG352" s="1"/>
  <c r="AI352" s="1"/>
  <c r="M352"/>
  <c r="S351"/>
  <c r="O351"/>
  <c r="M351"/>
  <c r="O350"/>
  <c r="AG350" s="1"/>
  <c r="M350"/>
  <c r="O349"/>
  <c r="AG349" s="1"/>
  <c r="M349"/>
  <c r="AG348"/>
  <c r="M348"/>
  <c r="AA347"/>
  <c r="O347"/>
  <c r="M347"/>
  <c r="O346"/>
  <c r="AG346" s="1"/>
  <c r="M346"/>
  <c r="O345"/>
  <c r="AG345" s="1"/>
  <c r="AI345" s="1"/>
  <c r="M345"/>
  <c r="AG344"/>
  <c r="O344"/>
  <c r="M344"/>
  <c r="O340"/>
  <c r="AG340" s="1"/>
  <c r="M340"/>
  <c r="O339"/>
  <c r="AG339" s="1"/>
  <c r="M339"/>
  <c r="O338"/>
  <c r="AG338" s="1"/>
  <c r="M338"/>
  <c r="O337"/>
  <c r="AG337" s="1"/>
  <c r="M337"/>
  <c r="O336"/>
  <c r="AG336" s="1"/>
  <c r="M336"/>
  <c r="AG335"/>
  <c r="M335"/>
  <c r="O334"/>
  <c r="AG334" s="1"/>
  <c r="M334"/>
  <c r="AG333"/>
  <c r="M333"/>
  <c r="O332"/>
  <c r="AG332" s="1"/>
  <c r="M332"/>
  <c r="O331"/>
  <c r="AG331" s="1"/>
  <c r="M331"/>
  <c r="O330"/>
  <c r="AG330" s="1"/>
  <c r="M330"/>
  <c r="O329"/>
  <c r="AG329" s="1"/>
  <c r="M329"/>
  <c r="O328"/>
  <c r="AG328" s="1"/>
  <c r="M328"/>
  <c r="O327"/>
  <c r="AG327" s="1"/>
  <c r="M327"/>
  <c r="O326"/>
  <c r="AG326" s="1"/>
  <c r="M326"/>
  <c r="O325"/>
  <c r="AG325" s="1"/>
  <c r="M325"/>
  <c r="AG324"/>
  <c r="M324"/>
  <c r="AG323"/>
  <c r="M323"/>
  <c r="AG322"/>
  <c r="M322"/>
  <c r="O321"/>
  <c r="AG321" s="1"/>
  <c r="AI321" s="1"/>
  <c r="M321"/>
  <c r="O320"/>
  <c r="AG320" s="1"/>
  <c r="AI320" s="1"/>
  <c r="M320"/>
  <c r="W375" i="16"/>
  <c r="M375"/>
  <c r="I375"/>
  <c r="G375" s="1"/>
  <c r="W374"/>
  <c r="M374"/>
  <c r="G374"/>
  <c r="W373"/>
  <c r="M373"/>
  <c r="G373"/>
  <c r="W372"/>
  <c r="M372"/>
  <c r="I372"/>
  <c r="G372" s="1"/>
  <c r="W371"/>
  <c r="M371"/>
  <c r="G371"/>
  <c r="W370"/>
  <c r="M370"/>
  <c r="I370"/>
  <c r="G370" s="1"/>
  <c r="W369"/>
  <c r="M369"/>
  <c r="I369"/>
  <c r="G369" s="1"/>
  <c r="W368"/>
  <c r="M368"/>
  <c r="G368"/>
  <c r="W367"/>
  <c r="M367"/>
  <c r="I367"/>
  <c r="G367" s="1"/>
  <c r="W366"/>
  <c r="M366"/>
  <c r="G366"/>
  <c r="W365"/>
  <c r="M365"/>
  <c r="I365"/>
  <c r="G365" s="1"/>
  <c r="W364"/>
  <c r="M364"/>
  <c r="I364"/>
  <c r="G364" s="1"/>
  <c r="W363"/>
  <c r="M363"/>
  <c r="I363"/>
  <c r="G363" s="1"/>
  <c r="W362"/>
  <c r="M362"/>
  <c r="I362"/>
  <c r="G362" s="1"/>
  <c r="W361"/>
  <c r="M361"/>
  <c r="G361"/>
  <c r="W360"/>
  <c r="M360"/>
  <c r="G360"/>
  <c r="W359"/>
  <c r="M359"/>
  <c r="I359"/>
  <c r="G359" s="1"/>
  <c r="W358"/>
  <c r="M358"/>
  <c r="I358"/>
  <c r="G358" s="1"/>
  <c r="W357"/>
  <c r="M357"/>
  <c r="G357"/>
  <c r="W356"/>
  <c r="M356"/>
  <c r="I356"/>
  <c r="G356" s="1"/>
  <c r="W355"/>
  <c r="M355"/>
  <c r="I355"/>
  <c r="G355" s="1"/>
  <c r="W354"/>
  <c r="M354"/>
  <c r="I354"/>
  <c r="G354" s="1"/>
  <c r="W353"/>
  <c r="M353"/>
  <c r="I353"/>
  <c r="G353" s="1"/>
  <c r="W352"/>
  <c r="M352"/>
  <c r="I352"/>
  <c r="G352" s="1"/>
  <c r="W351"/>
  <c r="M351"/>
  <c r="I351"/>
  <c r="G351" s="1"/>
  <c r="W350"/>
  <c r="M350"/>
  <c r="G350"/>
  <c r="W349"/>
  <c r="M349"/>
  <c r="I349"/>
  <c r="G349" s="1"/>
  <c r="W348"/>
  <c r="M348"/>
  <c r="G348"/>
  <c r="W347"/>
  <c r="M347"/>
  <c r="I347"/>
  <c r="G347" s="1"/>
  <c r="W346"/>
  <c r="M346"/>
  <c r="I346"/>
  <c r="G346" s="1"/>
  <c r="W345"/>
  <c r="M345"/>
  <c r="G345"/>
  <c r="W344"/>
  <c r="M344"/>
  <c r="G344"/>
  <c r="W340"/>
  <c r="M340"/>
  <c r="I340"/>
  <c r="G340" s="1"/>
  <c r="W339"/>
  <c r="M339"/>
  <c r="I339"/>
  <c r="G339" s="1"/>
  <c r="W338"/>
  <c r="M338"/>
  <c r="G338"/>
  <c r="W337"/>
  <c r="M337"/>
  <c r="I337"/>
  <c r="G337" s="1"/>
  <c r="W336"/>
  <c r="M336"/>
  <c r="G336"/>
  <c r="W335"/>
  <c r="G335"/>
  <c r="W334"/>
  <c r="M334"/>
  <c r="I334"/>
  <c r="G334" s="1"/>
  <c r="W333"/>
  <c r="M333"/>
  <c r="G333"/>
  <c r="W332"/>
  <c r="M332"/>
  <c r="I332"/>
  <c r="G332" s="1"/>
  <c r="W331"/>
  <c r="M331"/>
  <c r="G331"/>
  <c r="W330"/>
  <c r="M330"/>
  <c r="G330"/>
  <c r="W329"/>
  <c r="M329"/>
  <c r="G329"/>
  <c r="W328"/>
  <c r="M328"/>
  <c r="I328"/>
  <c r="G328" s="1"/>
  <c r="W327"/>
  <c r="M327"/>
  <c r="G327"/>
  <c r="W326"/>
  <c r="M326"/>
  <c r="I326"/>
  <c r="G326" s="1"/>
  <c r="W325"/>
  <c r="M325"/>
  <c r="I325"/>
  <c r="G325" s="1"/>
  <c r="W324"/>
  <c r="M324"/>
  <c r="I324"/>
  <c r="G324" s="1"/>
  <c r="W323"/>
  <c r="G323"/>
  <c r="W322"/>
  <c r="M322"/>
  <c r="I322"/>
  <c r="G322" s="1"/>
  <c r="W321"/>
  <c r="M321"/>
  <c r="I321"/>
  <c r="G321" s="1"/>
  <c r="W320"/>
  <c r="M320"/>
  <c r="I320"/>
  <c r="G320" s="1"/>
  <c r="AI331" i="15" l="1"/>
  <c r="AI368"/>
  <c r="Y322" i="22"/>
  <c r="AO322" s="1"/>
  <c r="AO325"/>
  <c r="AO356"/>
  <c r="Y324"/>
  <c r="AO324" s="1"/>
  <c r="Y327"/>
  <c r="AO327" s="1"/>
  <c r="AO328"/>
  <c r="Y329"/>
  <c r="AO329" s="1"/>
  <c r="Y330"/>
  <c r="AO330" s="1"/>
  <c r="Y331"/>
  <c r="AO331" s="1"/>
  <c r="AO332"/>
  <c r="Y338"/>
  <c r="AO338" s="1"/>
  <c r="Y357"/>
  <c r="AO357" s="1"/>
  <c r="AO358"/>
  <c r="AO359"/>
  <c r="Y362"/>
  <c r="AO362" s="1"/>
  <c r="Y373"/>
  <c r="AO373" s="1"/>
  <c r="Y374"/>
  <c r="AO374" s="1"/>
  <c r="AA347" i="26"/>
  <c r="AA357"/>
  <c r="AA320"/>
  <c r="AA321"/>
  <c r="AA322"/>
  <c r="AA324"/>
  <c r="AA325"/>
  <c r="AA328"/>
  <c r="AM340" i="1"/>
  <c r="Y330"/>
  <c r="AM330" s="1"/>
  <c r="AM332"/>
  <c r="Y344"/>
  <c r="Y357"/>
  <c r="AM357" s="1"/>
  <c r="AM358"/>
  <c r="AM360"/>
  <c r="AM370"/>
  <c r="AI357" i="15"/>
  <c r="AG372"/>
  <c r="AI372" s="1"/>
  <c r="AI358"/>
  <c r="AI359"/>
  <c r="AI360"/>
  <c r="AI362"/>
  <c r="AG363"/>
  <c r="AI363" s="1"/>
  <c r="AI364"/>
  <c r="AI327"/>
  <c r="AI338"/>
  <c r="AO360" i="22"/>
  <c r="AO361"/>
  <c r="AI326" i="15"/>
  <c r="AI365"/>
  <c r="AI366"/>
  <c r="AI367"/>
  <c r="AI322"/>
  <c r="AI324"/>
  <c r="AI325"/>
  <c r="AI329"/>
  <c r="AI334"/>
  <c r="AI335"/>
  <c r="AI336"/>
  <c r="AI340"/>
  <c r="AG347"/>
  <c r="AI347" s="1"/>
  <c r="AI350"/>
  <c r="AI374"/>
  <c r="AM337" i="1"/>
  <c r="Y374"/>
  <c r="AM374" s="1"/>
  <c r="AA338" i="26"/>
  <c r="AA339"/>
  <c r="AA340"/>
  <c r="AA367"/>
  <c r="AA372"/>
  <c r="AO320" i="22"/>
  <c r="AO339"/>
  <c r="AO365"/>
  <c r="AO375"/>
  <c r="AZ358" i="25"/>
  <c r="BJ358" s="1"/>
  <c r="S352" i="10"/>
  <c r="S369"/>
  <c r="S372"/>
  <c r="S375"/>
  <c r="AZ356" i="25"/>
  <c r="BJ356" s="1"/>
  <c r="AO340" i="22"/>
  <c r="AO321"/>
  <c r="Y336"/>
  <c r="AO336" s="1"/>
  <c r="AO337"/>
  <c r="AO366"/>
  <c r="AO367"/>
  <c r="AO368"/>
  <c r="AO369"/>
  <c r="Y370"/>
  <c r="AO370" s="1"/>
  <c r="AO371"/>
  <c r="AO372"/>
  <c r="AA330" i="26"/>
  <c r="AA331"/>
  <c r="AA345"/>
  <c r="AA354"/>
  <c r="AA355"/>
  <c r="AA362"/>
  <c r="AA363"/>
  <c r="AA364"/>
  <c r="AA365"/>
  <c r="AA369"/>
  <c r="AA374"/>
  <c r="AA375"/>
  <c r="Y324" i="1"/>
  <c r="AM325"/>
  <c r="AM328"/>
  <c r="AM333"/>
  <c r="Y336"/>
  <c r="AM336" s="1"/>
  <c r="AM339"/>
  <c r="AM375"/>
  <c r="AM366"/>
  <c r="AM368"/>
  <c r="AM369"/>
  <c r="AI323" i="15"/>
  <c r="AI333"/>
  <c r="AI348"/>
  <c r="AG351"/>
  <c r="AI351" s="1"/>
  <c r="AG353"/>
  <c r="AI353" s="1"/>
  <c r="AI361"/>
  <c r="AI369"/>
  <c r="AI371"/>
  <c r="AI328"/>
  <c r="AI330"/>
  <c r="AI332"/>
  <c r="AI337"/>
  <c r="AI339"/>
  <c r="AI344"/>
  <c r="AI346"/>
  <c r="AI349"/>
  <c r="AI370"/>
  <c r="AI373"/>
  <c r="AI375"/>
  <c r="AW346" i="17"/>
  <c r="Y322" i="1"/>
  <c r="AM322" s="1"/>
  <c r="AM323"/>
  <c r="AM324"/>
  <c r="AM326"/>
  <c r="Y327"/>
  <c r="AM327" s="1"/>
  <c r="Y331"/>
  <c r="AM331" s="1"/>
  <c r="AM334"/>
  <c r="Y338"/>
  <c r="AM338" s="1"/>
  <c r="AM348"/>
  <c r="AM350"/>
  <c r="AM351"/>
  <c r="AM352"/>
  <c r="AM353"/>
  <c r="AM354"/>
  <c r="AM355"/>
  <c r="AM356"/>
  <c r="AM359"/>
  <c r="AM361"/>
  <c r="AM362"/>
  <c r="AM363"/>
  <c r="AM364"/>
  <c r="AM365"/>
  <c r="AM367"/>
  <c r="AM371"/>
  <c r="AM372"/>
  <c r="AM373"/>
  <c r="AA350" i="26"/>
  <c r="AA351"/>
  <c r="AA352"/>
  <c r="AA358"/>
  <c r="AA359"/>
  <c r="AA370"/>
  <c r="AA329"/>
  <c r="AA332"/>
  <c r="AA336"/>
  <c r="AA337"/>
  <c r="AA344"/>
  <c r="AO326" i="22"/>
  <c r="AO333"/>
  <c r="AO334"/>
  <c r="Y344"/>
  <c r="AO344" s="1"/>
  <c r="Y345"/>
  <c r="AO345" s="1"/>
  <c r="AO347"/>
  <c r="AO348"/>
  <c r="AO349"/>
  <c r="Y350"/>
  <c r="AO350" s="1"/>
  <c r="AO351"/>
  <c r="AO353"/>
  <c r="AO354"/>
  <c r="AO355"/>
  <c r="AO363"/>
  <c r="AZ340" i="25"/>
  <c r="BJ340" s="1"/>
  <c r="AZ346"/>
  <c r="BJ346" s="1"/>
  <c r="S326" i="10"/>
  <c r="S356"/>
  <c r="S357"/>
  <c r="S358"/>
  <c r="AO346" i="22"/>
  <c r="AO352"/>
  <c r="AO364"/>
  <c r="AM320" i="1"/>
  <c r="AM321"/>
  <c r="AM344"/>
  <c r="AM345"/>
  <c r="AM346"/>
  <c r="AM347"/>
  <c r="U196" i="10" l="1"/>
  <c r="U180"/>
  <c r="G200"/>
  <c r="G197"/>
  <c r="O196"/>
  <c r="M196"/>
  <c r="G196"/>
  <c r="G193"/>
  <c r="O191"/>
  <c r="G191"/>
  <c r="G186"/>
  <c r="G185"/>
  <c r="G183"/>
  <c r="M182"/>
  <c r="Q180"/>
  <c r="O180"/>
  <c r="O179"/>
  <c r="M170"/>
  <c r="G170"/>
  <c r="O168"/>
  <c r="G165"/>
  <c r="G164"/>
  <c r="G159"/>
  <c r="G157"/>
  <c r="M197" i="25"/>
  <c r="M196"/>
  <c r="M187"/>
  <c r="AZ210"/>
  <c r="AV209"/>
  <c r="AZ209" s="1"/>
  <c r="AZ208"/>
  <c r="AZ207"/>
  <c r="AZ206"/>
  <c r="AZ205"/>
  <c r="AZ204"/>
  <c r="AZ203"/>
  <c r="AZ202"/>
  <c r="AZ201"/>
  <c r="AZ200"/>
  <c r="AZ199"/>
  <c r="AZ198"/>
  <c r="AV197"/>
  <c r="AZ197" s="1"/>
  <c r="AZ196"/>
  <c r="AZ195"/>
  <c r="AZ194"/>
  <c r="AZ193"/>
  <c r="AZ192"/>
  <c r="AZ191"/>
  <c r="AZ190"/>
  <c r="AZ189"/>
  <c r="AZ188"/>
  <c r="AZ187"/>
  <c r="AZ186"/>
  <c r="AZ185"/>
  <c r="AZ184"/>
  <c r="AZ183"/>
  <c r="AZ182"/>
  <c r="AZ181"/>
  <c r="AV180"/>
  <c r="AZ177"/>
  <c r="AZ175"/>
  <c r="AP170"/>
  <c r="AZ170" s="1"/>
  <c r="AZ169"/>
  <c r="AZ168"/>
  <c r="AZ167"/>
  <c r="AZ166"/>
  <c r="AZ164"/>
  <c r="AZ163"/>
  <c r="AV162"/>
  <c r="AZ162" s="1"/>
  <c r="AZ160"/>
  <c r="AZ159"/>
  <c r="AZ157"/>
  <c r="AV156"/>
  <c r="M180"/>
  <c r="M179"/>
  <c r="AZ179" s="1"/>
  <c r="M174"/>
  <c r="AZ174" s="1"/>
  <c r="M165"/>
  <c r="AZ165" s="1"/>
  <c r="M161"/>
  <c r="AZ161" s="1"/>
  <c r="M158"/>
  <c r="AZ158" s="1"/>
  <c r="M156"/>
  <c r="W210" i="22"/>
  <c r="O210"/>
  <c r="K210"/>
  <c r="W209"/>
  <c r="W206"/>
  <c r="W205"/>
  <c r="W202"/>
  <c r="W200"/>
  <c r="W199"/>
  <c r="O199"/>
  <c r="K199"/>
  <c r="W198"/>
  <c r="W197"/>
  <c r="O197"/>
  <c r="K197"/>
  <c r="W196"/>
  <c r="W195"/>
  <c r="W194"/>
  <c r="W193"/>
  <c r="W192"/>
  <c r="W191"/>
  <c r="O191"/>
  <c r="K191"/>
  <c r="W189"/>
  <c r="O189"/>
  <c r="K189"/>
  <c r="W187"/>
  <c r="W186"/>
  <c r="W185"/>
  <c r="W184"/>
  <c r="AE209"/>
  <c r="AI205"/>
  <c r="AE197"/>
  <c r="AI186"/>
  <c r="AE180"/>
  <c r="AE170"/>
  <c r="AE167"/>
  <c r="AI162"/>
  <c r="W183"/>
  <c r="W182"/>
  <c r="O182"/>
  <c r="K182"/>
  <c r="W180"/>
  <c r="O180"/>
  <c r="W179"/>
  <c r="W175"/>
  <c r="M175"/>
  <c r="W174"/>
  <c r="O174"/>
  <c r="K174"/>
  <c r="W170"/>
  <c r="O170"/>
  <c r="K170"/>
  <c r="W168"/>
  <c r="O168"/>
  <c r="K168"/>
  <c r="W167"/>
  <c r="W165"/>
  <c r="W164"/>
  <c r="W163"/>
  <c r="W162"/>
  <c r="W161"/>
  <c r="W159"/>
  <c r="W158"/>
  <c r="W157"/>
  <c r="W156"/>
  <c r="Y210" i="26"/>
  <c r="U210"/>
  <c r="Q210"/>
  <c r="Y209"/>
  <c r="U209"/>
  <c r="U206"/>
  <c r="Y205"/>
  <c r="U205"/>
  <c r="Y202"/>
  <c r="U202"/>
  <c r="Y200"/>
  <c r="U200"/>
  <c r="Y199"/>
  <c r="U199"/>
  <c r="Q199"/>
  <c r="Y198"/>
  <c r="U198"/>
  <c r="Y197"/>
  <c r="U197"/>
  <c r="Q197"/>
  <c r="Y196"/>
  <c r="U196"/>
  <c r="Y195"/>
  <c r="U195"/>
  <c r="Y194"/>
  <c r="U194"/>
  <c r="Y193"/>
  <c r="U193"/>
  <c r="Y192"/>
  <c r="U192"/>
  <c r="Y191"/>
  <c r="U191"/>
  <c r="Q191"/>
  <c r="Y189"/>
  <c r="U189"/>
  <c r="Q189"/>
  <c r="Y187"/>
  <c r="U187"/>
  <c r="Y186"/>
  <c r="U186"/>
  <c r="Y185"/>
  <c r="U185"/>
  <c r="Y184"/>
  <c r="U184"/>
  <c r="Y183"/>
  <c r="U183"/>
  <c r="Y180"/>
  <c r="U180"/>
  <c r="Y179"/>
  <c r="U179"/>
  <c r="Y175"/>
  <c r="U175"/>
  <c r="Y174"/>
  <c r="U174"/>
  <c r="Q174"/>
  <c r="Y170"/>
  <c r="U170"/>
  <c r="Q170"/>
  <c r="Y168"/>
  <c r="U168"/>
  <c r="Y165"/>
  <c r="U165"/>
  <c r="Y164"/>
  <c r="U164"/>
  <c r="Y163"/>
  <c r="U163"/>
  <c r="Y162"/>
  <c r="U162"/>
  <c r="Y161"/>
  <c r="U161"/>
  <c r="Y159"/>
  <c r="U159"/>
  <c r="Y158"/>
  <c r="U158"/>
  <c r="Y157"/>
  <c r="U157"/>
  <c r="Y156"/>
  <c r="U156"/>
  <c r="G210"/>
  <c r="G209"/>
  <c r="G206"/>
  <c r="I202"/>
  <c r="G196"/>
  <c r="G194"/>
  <c r="G185"/>
  <c r="G180"/>
  <c r="G179"/>
  <c r="G170"/>
  <c r="G168"/>
  <c r="G163"/>
  <c r="G162"/>
  <c r="G161"/>
  <c r="G156"/>
  <c r="M197" i="2"/>
  <c r="M196"/>
  <c r="M187"/>
  <c r="M179"/>
  <c r="M165"/>
  <c r="M161"/>
  <c r="M158"/>
  <c r="M156"/>
  <c r="AG205" i="1"/>
  <c r="AG186"/>
  <c r="O210"/>
  <c r="K210"/>
  <c r="W209"/>
  <c r="W205"/>
  <c r="W199"/>
  <c r="O199"/>
  <c r="W198"/>
  <c r="W197"/>
  <c r="O197"/>
  <c r="K197"/>
  <c r="W196"/>
  <c r="W194"/>
  <c r="W191"/>
  <c r="O191"/>
  <c r="K191"/>
  <c r="W189"/>
  <c r="W186"/>
  <c r="W185"/>
  <c r="W183"/>
  <c r="O182"/>
  <c r="K182"/>
  <c r="W180"/>
  <c r="O180"/>
  <c r="W179"/>
  <c r="W175"/>
  <c r="M175"/>
  <c r="O174"/>
  <c r="W168"/>
  <c r="O168"/>
  <c r="W167"/>
  <c r="W165"/>
  <c r="W164"/>
  <c r="W163"/>
  <c r="W162"/>
  <c r="W161"/>
  <c r="W159"/>
  <c r="W158"/>
  <c r="W157"/>
  <c r="W156"/>
  <c r="U210" i="14"/>
  <c r="Q210"/>
  <c r="U209"/>
  <c r="U206"/>
  <c r="U205"/>
  <c r="U202"/>
  <c r="U200"/>
  <c r="U199"/>
  <c r="Q199"/>
  <c r="U197"/>
  <c r="Q197"/>
  <c r="U196"/>
  <c r="U195"/>
  <c r="U194"/>
  <c r="U193"/>
  <c r="U192"/>
  <c r="U189"/>
  <c r="Q189"/>
  <c r="U187"/>
  <c r="U186"/>
  <c r="U185"/>
  <c r="U184"/>
  <c r="U183"/>
  <c r="U180"/>
  <c r="U179"/>
  <c r="U175"/>
  <c r="U174"/>
  <c r="Q174"/>
  <c r="U170"/>
  <c r="U168"/>
  <c r="U165"/>
  <c r="U164"/>
  <c r="U163"/>
  <c r="U162"/>
  <c r="U161"/>
  <c r="U159"/>
  <c r="U158"/>
  <c r="U157"/>
  <c r="U156"/>
  <c r="G185"/>
  <c r="G180"/>
  <c r="G168"/>
  <c r="G156"/>
  <c r="AU180" i="17"/>
  <c r="M197"/>
  <c r="M196"/>
  <c r="M187"/>
  <c r="M180"/>
  <c r="M179"/>
  <c r="M174"/>
  <c r="M165"/>
  <c r="M161"/>
  <c r="M158"/>
  <c r="M156"/>
  <c r="O210" i="15"/>
  <c r="O209"/>
  <c r="O206"/>
  <c r="O205"/>
  <c r="O202"/>
  <c r="O200"/>
  <c r="O199"/>
  <c r="O198"/>
  <c r="AA197"/>
  <c r="S197"/>
  <c r="O197"/>
  <c r="O196"/>
  <c r="O195"/>
  <c r="AA194"/>
  <c r="O194"/>
  <c r="O193"/>
  <c r="O192"/>
  <c r="O191"/>
  <c r="O187"/>
  <c r="O186"/>
  <c r="O185"/>
  <c r="O184"/>
  <c r="O182"/>
  <c r="O180"/>
  <c r="O179"/>
  <c r="AA175"/>
  <c r="O175"/>
  <c r="S170"/>
  <c r="O170"/>
  <c r="O168"/>
  <c r="O167"/>
  <c r="O165"/>
  <c r="S164"/>
  <c r="O164"/>
  <c r="O163"/>
  <c r="O162"/>
  <c r="O161"/>
  <c r="O159"/>
  <c r="S158"/>
  <c r="O158"/>
  <c r="O157"/>
  <c r="O156"/>
  <c r="I210" i="16"/>
  <c r="I209"/>
  <c r="I206"/>
  <c r="I205"/>
  <c r="I202"/>
  <c r="I200"/>
  <c r="I199"/>
  <c r="I198"/>
  <c r="I197"/>
  <c r="I196"/>
  <c r="I195"/>
  <c r="I194"/>
  <c r="I193"/>
  <c r="I192"/>
  <c r="I191"/>
  <c r="I189"/>
  <c r="I187"/>
  <c r="I186"/>
  <c r="I185"/>
  <c r="I184"/>
  <c r="I183"/>
  <c r="I182"/>
  <c r="I180"/>
  <c r="I179"/>
  <c r="I175"/>
  <c r="I174"/>
  <c r="I170"/>
  <c r="I168"/>
  <c r="I167"/>
  <c r="I165"/>
  <c r="I164"/>
  <c r="I163"/>
  <c r="I162"/>
  <c r="I161"/>
  <c r="I159"/>
  <c r="I158"/>
  <c r="I157"/>
  <c r="I156"/>
  <c r="AZ180" i="25" l="1"/>
  <c r="AM170" i="22"/>
  <c r="AZ156" i="25"/>
  <c r="M435"/>
  <c r="W435" i="22"/>
  <c r="K435"/>
  <c r="Y435" i="26"/>
  <c r="U435"/>
  <c r="Q435"/>
  <c r="G435"/>
  <c r="M435" i="2"/>
  <c r="W435" i="1"/>
  <c r="K435"/>
  <c r="U435" i="14"/>
  <c r="Q435"/>
  <c r="M435" i="17"/>
  <c r="Q435" i="16"/>
  <c r="G435" i="10"/>
  <c r="AP434" i="25"/>
  <c r="W434" i="22"/>
  <c r="K434"/>
  <c r="Y434" i="26"/>
  <c r="U434"/>
  <c r="Q434"/>
  <c r="W434" i="1"/>
  <c r="U434" i="14"/>
  <c r="Q434"/>
  <c r="Q434" i="16"/>
  <c r="O434"/>
  <c r="U434" i="10"/>
  <c r="O434"/>
  <c r="AI433" i="25"/>
  <c r="W433" i="22"/>
  <c r="K433"/>
  <c r="Y433" i="26"/>
  <c r="U433"/>
  <c r="Q433"/>
  <c r="W433" i="1"/>
  <c r="K433"/>
  <c r="U433" i="14"/>
  <c r="Q433"/>
  <c r="Q433" i="16"/>
  <c r="G433" i="10"/>
  <c r="W432" i="22"/>
  <c r="Y432" i="26"/>
  <c r="U432"/>
  <c r="W432" i="1"/>
  <c r="U432" i="14"/>
  <c r="Q432" i="16"/>
  <c r="BH431" i="25"/>
  <c r="AE431" i="22"/>
  <c r="W431"/>
  <c r="K431"/>
  <c r="Y431" i="26"/>
  <c r="U431"/>
  <c r="U431" i="14"/>
  <c r="Q431" i="16"/>
  <c r="W429" i="22"/>
  <c r="U429" i="26"/>
  <c r="Q429" i="16"/>
  <c r="W425" i="22"/>
  <c r="Y425" i="26"/>
  <c r="U425"/>
  <c r="U425" i="14"/>
  <c r="Q425" i="16"/>
  <c r="G425" i="10"/>
  <c r="W424" i="22"/>
  <c r="Y424" i="26"/>
  <c r="U424"/>
  <c r="U424" i="14"/>
  <c r="Q424" i="16" l="1"/>
  <c r="AC423"/>
  <c r="W423"/>
  <c r="M423"/>
  <c r="G423"/>
  <c r="AG423" i="15"/>
  <c r="M423"/>
  <c r="AW423" i="17"/>
  <c r="AA423" i="14"/>
  <c r="O423"/>
  <c r="K423"/>
  <c r="AK423" i="1"/>
  <c r="AM423" s="1"/>
  <c r="Y423"/>
  <c r="AZ423" i="2"/>
  <c r="BJ423" s="1"/>
  <c r="AA423" i="26"/>
  <c r="O423"/>
  <c r="K423"/>
  <c r="AM423" i="22"/>
  <c r="Y423"/>
  <c r="AZ423" i="25"/>
  <c r="BJ423" s="1"/>
  <c r="X423" i="10"/>
  <c r="S423"/>
  <c r="W422" i="22"/>
  <c r="Y422" i="26"/>
  <c r="U422"/>
  <c r="W422" i="1"/>
  <c r="U422" i="14"/>
  <c r="Q422" i="16"/>
  <c r="M421" i="25"/>
  <c r="W421" i="22"/>
  <c r="Y421" i="26"/>
  <c r="U421"/>
  <c r="M421" i="2"/>
  <c r="W421" i="1"/>
  <c r="U421" i="14"/>
  <c r="M421" i="17"/>
  <c r="Q421" i="16"/>
  <c r="M420" i="25"/>
  <c r="W420" i="22"/>
  <c r="Y420" i="26"/>
  <c r="U420"/>
  <c r="M420" i="2"/>
  <c r="W420" i="1"/>
  <c r="U420" i="14"/>
  <c r="M420" i="17"/>
  <c r="Q420" i="16"/>
  <c r="W419" i="22"/>
  <c r="Y419" i="26"/>
  <c r="U419"/>
  <c r="G419"/>
  <c r="U419" i="14"/>
  <c r="O419" i="15"/>
  <c r="Q419" i="16"/>
  <c r="X418" i="10"/>
  <c r="S418"/>
  <c r="AZ418" i="25"/>
  <c r="BJ418" s="1"/>
  <c r="AM418" i="22"/>
  <c r="Y418"/>
  <c r="AA418" i="26"/>
  <c r="O418"/>
  <c r="K418"/>
  <c r="AZ418" i="2"/>
  <c r="BJ418" s="1"/>
  <c r="AK418" i="1"/>
  <c r="Y418"/>
  <c r="AA418" i="14"/>
  <c r="O418"/>
  <c r="K418"/>
  <c r="AW418" i="17"/>
  <c r="AG418" i="15"/>
  <c r="M418"/>
  <c r="AC418" i="16"/>
  <c r="W418"/>
  <c r="M418"/>
  <c r="G418"/>
  <c r="AE417" i="22"/>
  <c r="W417"/>
  <c r="Y417" i="26"/>
  <c r="U417"/>
  <c r="W417" i="1"/>
  <c r="U417" i="14"/>
  <c r="Q417" i="16"/>
  <c r="G417" i="10"/>
  <c r="AM418" i="1" l="1"/>
  <c r="AI418" i="15"/>
  <c r="AY418" i="17" s="1"/>
  <c r="BC418" s="1"/>
  <c r="BE418" s="1"/>
  <c r="AC418" i="26"/>
  <c r="AC418" i="14"/>
  <c r="AE423" i="16"/>
  <c r="AE418"/>
  <c r="AC423" i="14"/>
  <c r="AI423" i="15"/>
  <c r="AY423" i="17" s="1"/>
  <c r="BC423" s="1"/>
  <c r="BE423" s="1"/>
  <c r="BL418" i="2"/>
  <c r="BS418" s="1"/>
  <c r="BU418" s="1"/>
  <c r="AC423" i="26"/>
  <c r="AO418" i="22"/>
  <c r="BL418" i="25" s="1"/>
  <c r="BT418" s="1"/>
  <c r="BV418" s="1"/>
  <c r="AO423" i="22"/>
  <c r="BL423" i="25" s="1"/>
  <c r="BT423" s="1"/>
  <c r="BV423" s="1"/>
  <c r="BL423" i="2"/>
  <c r="BS423" s="1"/>
  <c r="BU423" s="1"/>
  <c r="W416" i="22" l="1"/>
  <c r="K416"/>
  <c r="Y416" i="26"/>
  <c r="U416"/>
  <c r="Q416"/>
  <c r="G416"/>
  <c r="W416" i="1"/>
  <c r="K416"/>
  <c r="U416" i="14"/>
  <c r="Q416"/>
  <c r="Q416" i="16"/>
  <c r="W415" i="22"/>
  <c r="Y415" i="26"/>
  <c r="U415"/>
  <c r="W415" i="1"/>
  <c r="U415" i="14"/>
  <c r="AA415" i="15"/>
  <c r="O415"/>
  <c r="Q415" i="16"/>
  <c r="G415" i="10"/>
  <c r="W414" i="22"/>
  <c r="Y414" i="26"/>
  <c r="U414"/>
  <c r="W414" i="1"/>
  <c r="U414" i="14"/>
  <c r="Q414" i="16"/>
  <c r="W413" i="22"/>
  <c r="Y413" i="26"/>
  <c r="U413"/>
  <c r="G413"/>
  <c r="W413" i="1"/>
  <c r="U413" i="14"/>
  <c r="Q413" i="16"/>
  <c r="AV412" i="25"/>
  <c r="W412" i="22"/>
  <c r="Y412" i="26"/>
  <c r="U412"/>
  <c r="I412"/>
  <c r="G412"/>
  <c r="W412" i="1"/>
  <c r="U412" i="14"/>
  <c r="I412"/>
  <c r="Q412" i="16"/>
  <c r="W411" i="22"/>
  <c r="K411"/>
  <c r="Y411" i="26"/>
  <c r="U411"/>
  <c r="Q411"/>
  <c r="G411"/>
  <c r="W411" i="1"/>
  <c r="U411" i="14"/>
  <c r="Q411"/>
  <c r="S411" i="15"/>
  <c r="Q411" i="16"/>
  <c r="W410" i="22"/>
  <c r="Y410" i="26"/>
  <c r="U410"/>
  <c r="O410" i="14"/>
  <c r="U410"/>
  <c r="Q410" i="16"/>
  <c r="AM410" i="22"/>
  <c r="AM408"/>
  <c r="M408" i="25"/>
  <c r="W408" i="22"/>
  <c r="Y408" i="26"/>
  <c r="U408"/>
  <c r="G408"/>
  <c r="M408" i="2"/>
  <c r="W408" i="1"/>
  <c r="U408" i="14"/>
  <c r="G408"/>
  <c r="M408" i="17"/>
  <c r="Q408" i="16"/>
  <c r="W407" i="22"/>
  <c r="Y407" i="26"/>
  <c r="U407"/>
  <c r="G407"/>
  <c r="U407" i="14"/>
  <c r="O407" i="15"/>
  <c r="Q407" i="16"/>
  <c r="AV406" i="25"/>
  <c r="W406" i="22"/>
  <c r="Y406" i="26"/>
  <c r="U406"/>
  <c r="W406" i="1"/>
  <c r="U406" i="14"/>
  <c r="AA406" i="15"/>
  <c r="Q406" i="16"/>
  <c r="W405" i="22"/>
  <c r="Y405" i="26"/>
  <c r="U405"/>
  <c r="U405" i="14"/>
  <c r="Q405" i="16"/>
  <c r="G405" i="10"/>
  <c r="M404" i="25"/>
  <c r="W404" i="22"/>
  <c r="Y404" i="26"/>
  <c r="U404"/>
  <c r="M404" i="2"/>
  <c r="U404" i="14"/>
  <c r="M404" i="17"/>
  <c r="Q404" i="16"/>
  <c r="W403" i="22"/>
  <c r="K403"/>
  <c r="Y403" i="26"/>
  <c r="U403"/>
  <c r="Q403"/>
  <c r="W403" i="1"/>
  <c r="U403" i="14"/>
  <c r="Q403"/>
  <c r="Q403" i="16"/>
  <c r="M402" i="25"/>
  <c r="W402" i="22"/>
  <c r="Y402" i="26"/>
  <c r="U402"/>
  <c r="M402" i="2"/>
  <c r="W402" i="1"/>
  <c r="U402" i="14"/>
  <c r="M402" i="17"/>
  <c r="Q402" i="16"/>
  <c r="G402" i="10"/>
  <c r="AV400" i="25"/>
  <c r="M400"/>
  <c r="AE400" i="22"/>
  <c r="W400"/>
  <c r="K400"/>
  <c r="Y400" i="26"/>
  <c r="U400"/>
  <c r="Q400"/>
  <c r="M400" i="2"/>
  <c r="W400" i="1"/>
  <c r="U400" i="14"/>
  <c r="Q400"/>
  <c r="M400" i="17"/>
  <c r="Q400" i="16"/>
  <c r="G400" i="10"/>
  <c r="AV398" i="25"/>
  <c r="AE398" i="22"/>
  <c r="W398"/>
  <c r="U398" i="14"/>
  <c r="S398" i="15"/>
  <c r="Q398" i="16"/>
  <c r="G398" i="10"/>
  <c r="W397" i="22"/>
  <c r="Y397" i="26"/>
  <c r="U397"/>
  <c r="W397" i="1"/>
  <c r="U397" i="14"/>
  <c r="Q397" i="16"/>
  <c r="W396" i="22" l="1"/>
  <c r="Y396" i="26"/>
  <c r="U396"/>
  <c r="W396" i="1"/>
  <c r="U396" i="14"/>
  <c r="Q396" i="16"/>
  <c r="W395" i="22"/>
  <c r="K395"/>
  <c r="Y395" i="26"/>
  <c r="U395"/>
  <c r="Q395"/>
  <c r="W395" i="1"/>
  <c r="U395" i="14"/>
  <c r="Q395"/>
  <c r="Q395" i="16"/>
  <c r="M393" i="25"/>
  <c r="W393" i="22"/>
  <c r="Y393" i="26"/>
  <c r="U393"/>
  <c r="W393" i="1"/>
  <c r="U393" i="14"/>
  <c r="M393" i="17"/>
  <c r="Q393" i="16"/>
  <c r="M392" i="25"/>
  <c r="W392" i="22"/>
  <c r="K392"/>
  <c r="Y392" i="26"/>
  <c r="U392"/>
  <c r="Q392"/>
  <c r="U392" i="14"/>
  <c r="Q392"/>
  <c r="M392" i="17"/>
  <c r="Q392" i="16"/>
  <c r="W391" i="22"/>
  <c r="Y391" i="26"/>
  <c r="U391"/>
  <c r="W391" i="1"/>
  <c r="U391" i="14"/>
  <c r="Q391" i="16"/>
  <c r="W390" i="22"/>
  <c r="K390"/>
  <c r="Y390" i="26"/>
  <c r="U390"/>
  <c r="Q390"/>
  <c r="W390" i="1"/>
  <c r="K390"/>
  <c r="U390" i="14"/>
  <c r="Q390"/>
  <c r="AA390" i="15"/>
  <c r="Q390" i="16"/>
  <c r="AG389" i="15"/>
  <c r="M389"/>
  <c r="Y388" i="26"/>
  <c r="U388"/>
  <c r="U388" i="14"/>
  <c r="O388" i="15"/>
  <c r="Q388" i="16"/>
  <c r="O388" i="10"/>
  <c r="W387" i="22"/>
  <c r="Y387" i="26"/>
  <c r="U387"/>
  <c r="U387" i="14"/>
  <c r="O387" i="15"/>
  <c r="Q387" i="16"/>
  <c r="G387" i="10"/>
  <c r="AV386" i="25"/>
  <c r="AE386" i="22"/>
  <c r="W386"/>
  <c r="Y386" i="26"/>
  <c r="U386"/>
  <c r="U386" i="14"/>
  <c r="O386" i="15"/>
  <c r="Q386" i="16"/>
  <c r="G386" i="10"/>
  <c r="M386"/>
  <c r="M385" i="25"/>
  <c r="W385" i="22"/>
  <c r="K385"/>
  <c r="Y385" i="26"/>
  <c r="U385"/>
  <c r="Q385"/>
  <c r="W385" i="1"/>
  <c r="K385"/>
  <c r="U385" i="14"/>
  <c r="Q385"/>
  <c r="M385" i="17"/>
  <c r="Q385" i="16"/>
  <c r="W383" i="22"/>
  <c r="K383"/>
  <c r="Y383" i="26"/>
  <c r="U383"/>
  <c r="Q383"/>
  <c r="W383" i="1"/>
  <c r="K383"/>
  <c r="U383" i="14"/>
  <c r="Q383"/>
  <c r="Q383" i="16"/>
  <c r="W381" i="22"/>
  <c r="Y381" i="26"/>
  <c r="U381"/>
  <c r="W381" i="1"/>
  <c r="U381" i="14"/>
  <c r="G381" i="16"/>
  <c r="Q381"/>
  <c r="AE380" i="22"/>
  <c r="AV380" i="25"/>
  <c r="W380" i="22"/>
  <c r="Y380" i="26"/>
  <c r="U380"/>
  <c r="W380" i="1"/>
  <c r="U380" i="14"/>
  <c r="Q380" i="16"/>
  <c r="G380" i="10"/>
  <c r="AI389" i="15" l="1"/>
  <c r="AI379" i="25"/>
  <c r="W379" i="22"/>
  <c r="K379"/>
  <c r="Y379" i="26"/>
  <c r="U379"/>
  <c r="AI379" i="2"/>
  <c r="K379" i="1"/>
  <c r="U379" i="14"/>
  <c r="Q379" i="16"/>
  <c r="G379" i="10"/>
  <c r="X376"/>
  <c r="X377"/>
  <c r="X378"/>
  <c r="X379"/>
  <c r="X380"/>
  <c r="X381"/>
  <c r="X382"/>
  <c r="X383"/>
  <c r="M378" i="25"/>
  <c r="W378" i="22"/>
  <c r="Y378" i="26"/>
  <c r="U378"/>
  <c r="M378" i="2"/>
  <c r="U378" i="14"/>
  <c r="M378" i="17"/>
  <c r="Q378" i="16"/>
  <c r="AC377"/>
  <c r="W377"/>
  <c r="M377"/>
  <c r="G377"/>
  <c r="AG377" i="15"/>
  <c r="M377"/>
  <c r="AW377" i="17"/>
  <c r="AA377" i="14"/>
  <c r="O377"/>
  <c r="K377"/>
  <c r="AK377" i="1"/>
  <c r="Y377"/>
  <c r="W376"/>
  <c r="Y376" s="1"/>
  <c r="AK376"/>
  <c r="AZ377" i="2"/>
  <c r="BJ377" s="1"/>
  <c r="AA377" i="26"/>
  <c r="O377"/>
  <c r="K377"/>
  <c r="AM377" i="22"/>
  <c r="Y377"/>
  <c r="AZ377" i="25"/>
  <c r="BJ377" s="1"/>
  <c r="BL377" s="1"/>
  <c r="BT377" s="1"/>
  <c r="BV377" s="1"/>
  <c r="S377" i="10"/>
  <c r="W376" i="22"/>
  <c r="Y376" i="26"/>
  <c r="U376"/>
  <c r="U376" i="14"/>
  <c r="AA376" i="15"/>
  <c r="Q376" i="16"/>
  <c r="G376" i="10"/>
  <c r="I376"/>
  <c r="W319" i="22"/>
  <c r="Y319" i="26"/>
  <c r="U319"/>
  <c r="W319" i="1"/>
  <c r="U319" i="14"/>
  <c r="Q319" i="16"/>
  <c r="G319" i="10"/>
  <c r="W318" i="22"/>
  <c r="K318"/>
  <c r="Y318" i="26"/>
  <c r="U318"/>
  <c r="Q318"/>
  <c r="W318" i="1"/>
  <c r="U318" i="14"/>
  <c r="Q318"/>
  <c r="Q318" i="16"/>
  <c r="W317" i="22"/>
  <c r="K317"/>
  <c r="Y317" i="26"/>
  <c r="U317"/>
  <c r="Q317"/>
  <c r="G317"/>
  <c r="W317" i="1"/>
  <c r="U317" i="14"/>
  <c r="Q317"/>
  <c r="Q317" i="16"/>
  <c r="G317" i="10"/>
  <c r="AV316" i="25"/>
  <c r="AE316" i="22"/>
  <c r="W316"/>
  <c r="Y316" i="26"/>
  <c r="U316"/>
  <c r="G316"/>
  <c r="W316" i="1"/>
  <c r="U316" i="14"/>
  <c r="G316"/>
  <c r="Q316" i="16"/>
  <c r="AV315" i="25"/>
  <c r="AE315" i="22"/>
  <c r="W315"/>
  <c r="Y315" i="26"/>
  <c r="U315"/>
  <c r="W315" i="1"/>
  <c r="U315" i="14"/>
  <c r="Q315" i="16"/>
  <c r="G315" i="10"/>
  <c r="W314" i="22"/>
  <c r="K314"/>
  <c r="Y314" i="26"/>
  <c r="U314"/>
  <c r="Q314"/>
  <c r="W314" i="1"/>
  <c r="K314"/>
  <c r="U314" i="14"/>
  <c r="Q314"/>
  <c r="Q314" i="16"/>
  <c r="W313" i="22"/>
  <c r="K313"/>
  <c r="Y313" i="26"/>
  <c r="U313"/>
  <c r="Q313"/>
  <c r="W313" i="1"/>
  <c r="U313" i="14"/>
  <c r="Q313"/>
  <c r="Q313" i="16"/>
  <c r="M313" i="10"/>
  <c r="AC377" i="14" l="1"/>
  <c r="AE377" i="16"/>
  <c r="AO377" i="22"/>
  <c r="AC377" i="26"/>
  <c r="AM376" i="1"/>
  <c r="AM377"/>
  <c r="BL377" i="2" s="1"/>
  <c r="BS377" s="1"/>
  <c r="BU377" s="1"/>
  <c r="AI377" i="15"/>
  <c r="AY377" i="17" s="1"/>
  <c r="BC377" s="1"/>
  <c r="BE377" s="1"/>
  <c r="M312" i="25" l="1"/>
  <c r="W312" i="22"/>
  <c r="Y312" i="26"/>
  <c r="U312"/>
  <c r="G312"/>
  <c r="M312" i="2"/>
  <c r="W312" i="1"/>
  <c r="U312" i="14"/>
  <c r="G312"/>
  <c r="AA312" i="15"/>
  <c r="S312"/>
  <c r="M312" i="17"/>
  <c r="O312" i="15"/>
  <c r="Q312" i="16"/>
  <c r="G312" i="10"/>
  <c r="S312" s="1"/>
  <c r="W311" i="22"/>
  <c r="Y311" i="26"/>
  <c r="U311"/>
  <c r="W311" i="1"/>
  <c r="U311" i="14"/>
  <c r="AA311" i="15"/>
  <c r="Q311" i="16"/>
  <c r="G311" i="10"/>
  <c r="W310" i="22"/>
  <c r="K310"/>
  <c r="Y310" i="26"/>
  <c r="U310"/>
  <c r="Q310"/>
  <c r="G310"/>
  <c r="K310" i="1"/>
  <c r="U310" i="14"/>
  <c r="Q310"/>
  <c r="G310"/>
  <c r="Q310" i="16"/>
  <c r="O310" i="10"/>
  <c r="W309" i="22"/>
  <c r="K309"/>
  <c r="Y309" i="26"/>
  <c r="U309"/>
  <c r="Q309"/>
  <c r="G309"/>
  <c r="W309" i="1"/>
  <c r="K309"/>
  <c r="U309" i="14"/>
  <c r="Q309"/>
  <c r="G309"/>
  <c r="Q309" i="16"/>
  <c r="W307" i="22"/>
  <c r="Y307" i="26"/>
  <c r="U307"/>
  <c r="G307"/>
  <c r="U307" i="14"/>
  <c r="O307" i="15"/>
  <c r="Q307" i="16"/>
  <c r="M307" i="10"/>
  <c r="W306" i="22"/>
  <c r="U306" i="26"/>
  <c r="W306" i="1"/>
  <c r="U306" i="14"/>
  <c r="Q306" i="16"/>
  <c r="G306" i="10"/>
  <c r="W305" i="22"/>
  <c r="K305"/>
  <c r="Y305" i="26"/>
  <c r="U305"/>
  <c r="Q305"/>
  <c r="G305"/>
  <c r="W305" i="1"/>
  <c r="K305"/>
  <c r="U305" i="14"/>
  <c r="Q305"/>
  <c r="Q305" i="16"/>
  <c r="K303" i="14"/>
  <c r="O303"/>
  <c r="U303"/>
  <c r="AA303" s="1"/>
  <c r="W303" i="22"/>
  <c r="Y303" i="26"/>
  <c r="U303"/>
  <c r="AA303" i="15"/>
  <c r="O303"/>
  <c r="Q303" i="16"/>
  <c r="AI302" i="22"/>
  <c r="AG302" i="1"/>
  <c r="W302" i="22"/>
  <c r="Y302" i="26"/>
  <c r="U302"/>
  <c r="W302" i="1"/>
  <c r="U302" i="14"/>
  <c r="Q302" i="16"/>
  <c r="G302" i="10"/>
  <c r="AV301" i="25"/>
  <c r="AE301" i="22"/>
  <c r="W301"/>
  <c r="Y301" i="26"/>
  <c r="U301"/>
  <c r="U301" i="14"/>
  <c r="Q301" i="16"/>
  <c r="W300" i="22"/>
  <c r="Y300" i="26"/>
  <c r="U300"/>
  <c r="W300" i="1"/>
  <c r="U300" i="14"/>
  <c r="AA300" i="15"/>
  <c r="Q300" i="16"/>
  <c r="G300" i="10"/>
  <c r="W299" i="22"/>
  <c r="K299"/>
  <c r="Y299" i="26"/>
  <c r="U299"/>
  <c r="W299" i="1"/>
  <c r="U299" i="14"/>
  <c r="Q299" i="16"/>
  <c r="M298" i="25"/>
  <c r="W298" i="22"/>
  <c r="Y298" i="26"/>
  <c r="U298"/>
  <c r="M298" i="2"/>
  <c r="W298" i="1"/>
  <c r="U298" i="14"/>
  <c r="M298" i="17"/>
  <c r="Q298" i="16"/>
  <c r="O298" i="15"/>
  <c r="AZ295" i="25"/>
  <c r="BJ295" s="1"/>
  <c r="AM295" i="22"/>
  <c r="Y295"/>
  <c r="AA295" i="26"/>
  <c r="O295"/>
  <c r="K295"/>
  <c r="AZ295" i="2"/>
  <c r="BJ295" s="1"/>
  <c r="AK295" i="1"/>
  <c r="Y295"/>
  <c r="AA295" i="14"/>
  <c r="O295"/>
  <c r="K295"/>
  <c r="AW295" i="17"/>
  <c r="AG294" i="15"/>
  <c r="M294"/>
  <c r="X295" i="10"/>
  <c r="S295"/>
  <c r="G295" i="16"/>
  <c r="M295"/>
  <c r="W295"/>
  <c r="AC295"/>
  <c r="W294" i="22"/>
  <c r="Y294" i="26"/>
  <c r="U294"/>
  <c r="U294" i="14"/>
  <c r="Q294" i="16"/>
  <c r="W292" i="22"/>
  <c r="Y292" i="26"/>
  <c r="U292"/>
  <c r="G292"/>
  <c r="W292" i="1"/>
  <c r="U292" i="14"/>
  <c r="G292"/>
  <c r="AA292" i="15"/>
  <c r="Q292" i="16"/>
  <c r="AM291" i="22"/>
  <c r="K291"/>
  <c r="W291"/>
  <c r="Y291" i="26"/>
  <c r="U291"/>
  <c r="Q291"/>
  <c r="G291"/>
  <c r="K291" i="1"/>
  <c r="U291" i="14"/>
  <c r="Q291"/>
  <c r="Q291" i="16"/>
  <c r="AO295" i="22" l="1"/>
  <c r="BL295" i="25" s="1"/>
  <c r="BT295" s="1"/>
  <c r="BV295" s="1"/>
  <c r="AE295" i="16"/>
  <c r="AC295" i="26"/>
  <c r="AC295" i="14"/>
  <c r="AM295" i="1"/>
  <c r="BL295" i="2" s="1"/>
  <c r="BS295" s="1"/>
  <c r="BU295" s="1"/>
  <c r="AC303" i="14"/>
  <c r="AI294" i="15"/>
  <c r="M284" i="25" l="1"/>
  <c r="W284" i="22"/>
  <c r="K284"/>
  <c r="Y284" i="26"/>
  <c r="U284"/>
  <c r="U285"/>
  <c r="Q284"/>
  <c r="G284"/>
  <c r="M284" i="2"/>
  <c r="W284" i="1"/>
  <c r="U284" i="14"/>
  <c r="Q284"/>
  <c r="M284" i="17"/>
  <c r="Q284" i="16"/>
  <c r="Y290" i="26"/>
  <c r="U290"/>
  <c r="U290" i="14"/>
  <c r="U290" i="15"/>
  <c r="AA290"/>
  <c r="O290"/>
  <c r="Q290" i="16"/>
  <c r="O290"/>
  <c r="O290" i="10"/>
  <c r="U290"/>
  <c r="W289" i="22"/>
  <c r="K289"/>
  <c r="Y289" i="26"/>
  <c r="U289"/>
  <c r="Q289"/>
  <c r="G289"/>
  <c r="W289" i="1"/>
  <c r="K289"/>
  <c r="U289" i="14"/>
  <c r="Q289"/>
  <c r="G289"/>
  <c r="O289" i="15"/>
  <c r="Q289" i="16"/>
  <c r="O289" i="10"/>
  <c r="AP288" i="25"/>
  <c r="W288" i="22"/>
  <c r="K288"/>
  <c r="Y288" i="26"/>
  <c r="U288"/>
  <c r="Q288"/>
  <c r="G288"/>
  <c r="M288" i="2"/>
  <c r="W288" i="1"/>
  <c r="K288"/>
  <c r="U288" i="14"/>
  <c r="Q288"/>
  <c r="M288" i="17"/>
  <c r="Q288" i="16"/>
  <c r="O288"/>
  <c r="O288" i="10"/>
  <c r="U288"/>
  <c r="W287" i="22"/>
  <c r="Y287" i="26"/>
  <c r="U287"/>
  <c r="G287"/>
  <c r="W287" i="1"/>
  <c r="U287" i="14"/>
  <c r="Q287" i="16"/>
  <c r="M285" i="25"/>
  <c r="W285" i="22"/>
  <c r="Y285" i="26"/>
  <c r="G285"/>
  <c r="M285" i="2"/>
  <c r="W285" i="1"/>
  <c r="U285" i="14"/>
  <c r="G285"/>
  <c r="M285" i="17"/>
  <c r="Q285" i="16"/>
  <c r="O285"/>
  <c r="O285" i="10"/>
  <c r="U285"/>
  <c r="Y282" i="26"/>
  <c r="U282"/>
  <c r="G282"/>
  <c r="U282" i="14"/>
  <c r="G282"/>
  <c r="O282" i="15"/>
  <c r="Q282" i="16"/>
  <c r="O282"/>
  <c r="O282" i="10"/>
  <c r="U282"/>
  <c r="AI281" i="25"/>
  <c r="W281" i="22"/>
  <c r="K281"/>
  <c r="Y281" i="26"/>
  <c r="U281"/>
  <c r="Q281"/>
  <c r="G281"/>
  <c r="W281" i="1"/>
  <c r="K281"/>
  <c r="U281" i="14"/>
  <c r="Q281"/>
  <c r="Q281" i="16"/>
  <c r="Q281" i="10"/>
  <c r="G281"/>
  <c r="M280" i="25"/>
  <c r="W280" i="22"/>
  <c r="Y280" i="26"/>
  <c r="U280"/>
  <c r="G280"/>
  <c r="W280" i="1"/>
  <c r="U280" i="14"/>
  <c r="G280"/>
  <c r="M280" i="17"/>
  <c r="Q280" i="16"/>
  <c r="W279" i="22"/>
  <c r="Y279" i="26"/>
  <c r="U279"/>
  <c r="U279" i="14"/>
  <c r="Q279" i="16"/>
  <c r="M278" i="25"/>
  <c r="W278" i="22"/>
  <c r="Y278" i="26"/>
  <c r="U278"/>
  <c r="G278"/>
  <c r="M278" i="2"/>
  <c r="W278" i="1"/>
  <c r="U278" i="14"/>
  <c r="M278" i="17"/>
  <c r="Q278" i="16"/>
  <c r="AI277" i="25"/>
  <c r="Y277" i="26"/>
  <c r="U277"/>
  <c r="AI277" i="2"/>
  <c r="M277" i="17"/>
  <c r="U277" i="14"/>
  <c r="Q277" i="16"/>
  <c r="O277"/>
  <c r="G277" i="10"/>
  <c r="O277"/>
  <c r="U277"/>
  <c r="M178" i="16"/>
  <c r="W275" i="22"/>
  <c r="Y275" i="26"/>
  <c r="U275"/>
  <c r="W275" i="1"/>
  <c r="U275" i="14"/>
  <c r="Q275" i="16"/>
  <c r="O275"/>
  <c r="O275" i="10"/>
  <c r="U275"/>
  <c r="W274" i="22"/>
  <c r="K274"/>
  <c r="Y274" i="26"/>
  <c r="U274"/>
  <c r="Q274"/>
  <c r="W274" i="1"/>
  <c r="U274" i="14"/>
  <c r="Q274"/>
  <c r="Q274" i="16"/>
  <c r="W273" i="22"/>
  <c r="K273"/>
  <c r="Y273" i="26"/>
  <c r="U273"/>
  <c r="Q273"/>
  <c r="W273" i="1"/>
  <c r="U273" i="14"/>
  <c r="Q273"/>
  <c r="Q273" i="16"/>
  <c r="AM271" i="22"/>
  <c r="W271"/>
  <c r="K271"/>
  <c r="Y271" i="26"/>
  <c r="U271"/>
  <c r="Q271"/>
  <c r="U271" i="14"/>
  <c r="Q271"/>
  <c r="Q271" i="16"/>
  <c r="W270" i="22"/>
  <c r="K270"/>
  <c r="Y270" i="26"/>
  <c r="U270"/>
  <c r="Q270"/>
  <c r="G270"/>
  <c r="W270" i="1"/>
  <c r="K270"/>
  <c r="U270" i="14"/>
  <c r="Q270"/>
  <c r="Q270" i="16"/>
  <c r="G270" i="10"/>
  <c r="W269" i="22"/>
  <c r="Y269" i="26"/>
  <c r="U269"/>
  <c r="Q269"/>
  <c r="U269" i="14"/>
  <c r="O269" i="15"/>
  <c r="Q269" i="16"/>
  <c r="W268" i="22"/>
  <c r="K268"/>
  <c r="Y268" i="26"/>
  <c r="U268"/>
  <c r="Q268"/>
  <c r="W268" i="1"/>
  <c r="K268"/>
  <c r="U268" i="14"/>
  <c r="Q268"/>
  <c r="Q268" i="16"/>
  <c r="W267" i="22" l="1"/>
  <c r="K267"/>
  <c r="Y267" i="26"/>
  <c r="U267"/>
  <c r="Q267"/>
  <c r="G267"/>
  <c r="K267" i="1"/>
  <c r="W267"/>
  <c r="U267" i="14"/>
  <c r="Q267"/>
  <c r="Q267" i="16"/>
  <c r="M266" i="25"/>
  <c r="W266" i="22"/>
  <c r="K266"/>
  <c r="Y266" i="26"/>
  <c r="U266"/>
  <c r="Q266"/>
  <c r="G266"/>
  <c r="W266" i="1"/>
  <c r="K266"/>
  <c r="U266" i="14"/>
  <c r="Q266"/>
  <c r="M266" i="17"/>
  <c r="Q266" i="16"/>
  <c r="AV263" i="25"/>
  <c r="AE263" i="22"/>
  <c r="W263"/>
  <c r="Y263" i="26"/>
  <c r="U263"/>
  <c r="I263"/>
  <c r="G263"/>
  <c r="W263" i="1"/>
  <c r="U263" i="14"/>
  <c r="AA263" i="15"/>
  <c r="Q263" i="16"/>
  <c r="M262" i="25"/>
  <c r="W262" i="22"/>
  <c r="Y262" i="26"/>
  <c r="U262"/>
  <c r="M262" i="2"/>
  <c r="W262" i="1"/>
  <c r="U262" i="14"/>
  <c r="M262" i="17"/>
  <c r="O262" i="15"/>
  <c r="Q262" i="16"/>
  <c r="G262" i="10"/>
  <c r="W260" i="22"/>
  <c r="K260"/>
  <c r="Y260" i="26"/>
  <c r="U260"/>
  <c r="Q260"/>
  <c r="W260" i="1"/>
  <c r="U260" i="14"/>
  <c r="Q260"/>
  <c r="Q260" i="16"/>
  <c r="M259" i="25"/>
  <c r="W259" i="22"/>
  <c r="U259" i="26"/>
  <c r="M259" i="2"/>
  <c r="W259" i="1"/>
  <c r="M259" i="17"/>
  <c r="Q259" i="16"/>
  <c r="M255" i="25"/>
  <c r="W255" i="22"/>
  <c r="Y255" i="26"/>
  <c r="U255"/>
  <c r="M255" i="2"/>
  <c r="W255" i="1"/>
  <c r="U255" i="14"/>
  <c r="M255" i="17"/>
  <c r="O255" i="15"/>
  <c r="Q255" i="16"/>
  <c r="W254" i="22" l="1"/>
  <c r="K254"/>
  <c r="Y254" i="26"/>
  <c r="U254"/>
  <c r="Q254"/>
  <c r="G254"/>
  <c r="W254" i="1"/>
  <c r="U254" i="14"/>
  <c r="Q254"/>
  <c r="G254"/>
  <c r="Q254" i="16"/>
  <c r="G254" i="10"/>
  <c r="W253" i="22"/>
  <c r="Y253" i="26"/>
  <c r="U253"/>
  <c r="W253" i="1"/>
  <c r="U253" i="14"/>
  <c r="Q253" i="16"/>
  <c r="AV252" i="25"/>
  <c r="AE252" i="22"/>
  <c r="W252"/>
  <c r="K252"/>
  <c r="U252" i="26"/>
  <c r="Y252"/>
  <c r="Q252"/>
  <c r="G252"/>
  <c r="W252" i="1"/>
  <c r="U252" i="14"/>
  <c r="Q252"/>
  <c r="Q252" i="16"/>
  <c r="O252"/>
  <c r="O252" i="10"/>
  <c r="U252"/>
  <c r="AE251" i="22"/>
  <c r="W251"/>
  <c r="K251"/>
  <c r="Y251" i="26"/>
  <c r="U251"/>
  <c r="Q251"/>
  <c r="I251"/>
  <c r="G251"/>
  <c r="W251" i="1"/>
  <c r="K251"/>
  <c r="U251" i="14"/>
  <c r="G251"/>
  <c r="O251" i="15"/>
  <c r="Q251" i="16"/>
  <c r="G251" i="10"/>
  <c r="W250" i="22"/>
  <c r="Y250" i="26"/>
  <c r="U250"/>
  <c r="W250" i="1"/>
  <c r="U250" i="14"/>
  <c r="AC250" i="16"/>
  <c r="Y250"/>
  <c r="Q250"/>
  <c r="W249" i="22"/>
  <c r="K249"/>
  <c r="Y249" i="26"/>
  <c r="U249"/>
  <c r="Q249"/>
  <c r="W249" i="1"/>
  <c r="U249" i="14"/>
  <c r="Q249"/>
  <c r="Q249" i="16"/>
  <c r="W248" i="22"/>
  <c r="Y248" i="26"/>
  <c r="U248"/>
  <c r="U248" i="14"/>
  <c r="O248" i="15"/>
  <c r="Q248" i="16"/>
  <c r="W247" i="22" l="1"/>
  <c r="K247"/>
  <c r="Y247" i="26"/>
  <c r="U247"/>
  <c r="Q247"/>
  <c r="W247" i="1"/>
  <c r="K247"/>
  <c r="U247" i="14"/>
  <c r="Q247"/>
  <c r="Q247" i="16"/>
  <c r="AE245" i="22"/>
  <c r="W245"/>
  <c r="K245"/>
  <c r="Y245" i="26"/>
  <c r="W245" i="1"/>
  <c r="K245"/>
  <c r="O245" i="15"/>
  <c r="Q245" i="16"/>
  <c r="K245" i="10"/>
  <c r="W244" i="22"/>
  <c r="Y244" i="26"/>
  <c r="U244"/>
  <c r="I244"/>
  <c r="U244" i="14"/>
  <c r="O244" i="15"/>
  <c r="Q244" i="16"/>
  <c r="W243" i="22"/>
  <c r="Y243" i="26"/>
  <c r="U243"/>
  <c r="G243"/>
  <c r="W243" i="1"/>
  <c r="U243" i="14"/>
  <c r="AA243" i="15"/>
  <c r="Q243" i="16"/>
  <c r="W241" i="22"/>
  <c r="K241"/>
  <c r="Y241" i="26"/>
  <c r="U241"/>
  <c r="Q241"/>
  <c r="G241"/>
  <c r="U241" i="14"/>
  <c r="Q241"/>
  <c r="G241"/>
  <c r="O241" i="15"/>
  <c r="Q241" i="16"/>
  <c r="W240" i="22"/>
  <c r="K240"/>
  <c r="Y240" i="26"/>
  <c r="U240"/>
  <c r="Q240"/>
  <c r="G240"/>
  <c r="W240" i="1"/>
  <c r="U240" i="14"/>
  <c r="Q240"/>
  <c r="G240"/>
  <c r="Q240" i="16"/>
  <c r="W238" i="22"/>
  <c r="Y238" i="26"/>
  <c r="U238"/>
  <c r="G238"/>
  <c r="W238" i="1"/>
  <c r="U238" i="14"/>
  <c r="AA238" i="15"/>
  <c r="O238"/>
  <c r="Q238" i="16"/>
  <c r="W237" i="22"/>
  <c r="Y237" i="26"/>
  <c r="U237"/>
  <c r="U237" i="14"/>
  <c r="S237" i="15"/>
  <c r="O237"/>
  <c r="Q237" i="16"/>
  <c r="AI236" i="22"/>
  <c r="W236"/>
  <c r="Y236" i="26"/>
  <c r="U236"/>
  <c r="AG236" i="1"/>
  <c r="W236"/>
  <c r="U236" i="14"/>
  <c r="O236" i="15"/>
  <c r="Q236" i="16"/>
  <c r="W235" i="22"/>
  <c r="Y235" i="26"/>
  <c r="U235"/>
  <c r="G235"/>
  <c r="U235" i="14"/>
  <c r="W235" i="15"/>
  <c r="O235"/>
  <c r="Q235" i="16"/>
  <c r="M234" i="25"/>
  <c r="W234" i="22"/>
  <c r="Y234" i="26"/>
  <c r="U234"/>
  <c r="G234"/>
  <c r="W234" i="1"/>
  <c r="U234" i="14"/>
  <c r="M234" i="17"/>
  <c r="O234" i="15"/>
  <c r="Q234" i="16"/>
  <c r="W233" i="22"/>
  <c r="Y233" i="26"/>
  <c r="U233"/>
  <c r="G233"/>
  <c r="U233" i="14"/>
  <c r="Q233" i="16"/>
  <c r="AV232" i="25"/>
  <c r="W232" i="22"/>
  <c r="Y232" i="26"/>
  <c r="U232"/>
  <c r="W232" i="1"/>
  <c r="U232" i="14"/>
  <c r="Q232" i="16"/>
  <c r="G232" i="10"/>
  <c r="AI231" i="22"/>
  <c r="W231"/>
  <c r="Y231" i="26"/>
  <c r="U231"/>
  <c r="AG231" i="1"/>
  <c r="W231"/>
  <c r="U231" i="14"/>
  <c r="S231" i="15"/>
  <c r="Q231" i="16"/>
  <c r="M229" i="25"/>
  <c r="W229" i="22"/>
  <c r="Y229" i="26"/>
  <c r="U229"/>
  <c r="M229" i="2"/>
  <c r="W229" i="1"/>
  <c r="U229" i="14"/>
  <c r="M229" i="17"/>
  <c r="O229" i="15"/>
  <c r="Q229" i="16"/>
  <c r="O229"/>
  <c r="U229" i="10"/>
  <c r="W228" i="22"/>
  <c r="Y228" i="26"/>
  <c r="U228"/>
  <c r="W228" i="1"/>
  <c r="U228" i="14"/>
  <c r="Q228" i="16"/>
  <c r="W227" i="22"/>
  <c r="Y227" i="26"/>
  <c r="U227"/>
  <c r="G227"/>
  <c r="U227" i="14"/>
  <c r="O227" i="15"/>
  <c r="Q227" i="16"/>
  <c r="K226" i="22"/>
  <c r="Y226" i="26"/>
  <c r="U226"/>
  <c r="Q226"/>
  <c r="G226"/>
  <c r="U226" i="14"/>
  <c r="Q226"/>
  <c r="G226"/>
  <c r="O226" i="15"/>
  <c r="Q226" i="16"/>
  <c r="M226" i="10"/>
  <c r="W225" i="22"/>
  <c r="U225" i="26"/>
  <c r="W225" i="1"/>
  <c r="U225" i="14"/>
  <c r="Q225" i="16"/>
  <c r="AI224" i="22"/>
  <c r="W224"/>
  <c r="Y224" i="26"/>
  <c r="U224"/>
  <c r="G224"/>
  <c r="AG224" i="1"/>
  <c r="U224" i="14"/>
  <c r="M224" i="17"/>
  <c r="O224" i="15"/>
  <c r="Q224" i="16"/>
  <c r="G224" i="10"/>
  <c r="W223" i="22"/>
  <c r="Y223" i="26"/>
  <c r="U223"/>
  <c r="G223"/>
  <c r="W223" i="1"/>
  <c r="U223" i="14"/>
  <c r="Q223" i="16"/>
  <c r="G223" i="10"/>
  <c r="W221" i="22"/>
  <c r="K221"/>
  <c r="Y221" i="26"/>
  <c r="U221"/>
  <c r="Q221"/>
  <c r="W221" i="1"/>
  <c r="U221" i="14"/>
  <c r="Q221"/>
  <c r="Q221" i="16"/>
  <c r="AP220" i="25"/>
  <c r="W220" i="22"/>
  <c r="K220"/>
  <c r="Y220" i="26"/>
  <c r="U220"/>
  <c r="Q220"/>
  <c r="G220"/>
  <c r="W220" i="1"/>
  <c r="U220" i="14"/>
  <c r="Q220"/>
  <c r="Q220" i="16"/>
  <c r="AV218" i="25"/>
  <c r="K218" i="22"/>
  <c r="Y218" i="26"/>
  <c r="U218"/>
  <c r="Q218"/>
  <c r="G218"/>
  <c r="U218" i="14"/>
  <c r="Q218"/>
  <c r="Q218" i="16"/>
  <c r="G218" i="10"/>
  <c r="W217" i="22"/>
  <c r="U217" i="26"/>
  <c r="Y217"/>
  <c r="G217"/>
  <c r="W217" i="1"/>
  <c r="U217" i="14"/>
  <c r="Q217" i="16"/>
  <c r="W216" i="22"/>
  <c r="Y216" i="26"/>
  <c r="U216"/>
  <c r="G216"/>
  <c r="W216" i="1"/>
  <c r="U216" i="14"/>
  <c r="G216"/>
  <c r="Q216" i="16"/>
  <c r="W215" i="22"/>
  <c r="K215"/>
  <c r="Y215" i="26"/>
  <c r="U215"/>
  <c r="Q215"/>
  <c r="W215" i="1"/>
  <c r="U215" i="14"/>
  <c r="Q215"/>
  <c r="Q215" i="16" l="1"/>
  <c r="W214" i="22"/>
  <c r="K214"/>
  <c r="Y214" i="26"/>
  <c r="U214"/>
  <c r="Q214"/>
  <c r="W214" i="1"/>
  <c r="U214" i="14"/>
  <c r="Q214"/>
  <c r="S214" i="15"/>
  <c r="Q214" i="16"/>
  <c r="AI211" i="22"/>
  <c r="AE211"/>
  <c r="K211"/>
  <c r="G211" i="14"/>
  <c r="O211" i="15"/>
  <c r="I211" i="16"/>
  <c r="Q211"/>
  <c r="O211" i="10"/>
  <c r="AP155" i="25"/>
  <c r="AI155" i="22"/>
  <c r="AE155"/>
  <c r="W155"/>
  <c r="K155"/>
  <c r="U155" i="26"/>
  <c r="W155" i="1"/>
  <c r="U155" i="14"/>
  <c r="Q155" i="16"/>
  <c r="K155" i="10"/>
  <c r="M154" i="25" l="1"/>
  <c r="W154" i="22"/>
  <c r="Y154" i="26"/>
  <c r="U154"/>
  <c r="M154" i="2"/>
  <c r="W154" i="1"/>
  <c r="U154" i="14"/>
  <c r="M154" i="17"/>
  <c r="O154" i="15"/>
  <c r="Q154" i="16"/>
  <c r="W153" i="22"/>
  <c r="Y153" i="26"/>
  <c r="U153"/>
  <c r="U153" i="14"/>
  <c r="Q153" i="16"/>
  <c r="M152" i="25"/>
  <c r="W152" i="22"/>
  <c r="M152" i="2"/>
  <c r="AK152" i="1"/>
  <c r="W152"/>
  <c r="Y152" i="26"/>
  <c r="U152"/>
  <c r="U152" i="14"/>
  <c r="O152" i="15"/>
  <c r="M152" i="17"/>
  <c r="I152" i="16"/>
  <c r="W150" i="22" l="1"/>
  <c r="W150" i="1"/>
  <c r="Y150" i="26"/>
  <c r="U150"/>
  <c r="U150" i="14"/>
  <c r="O150" i="15"/>
  <c r="W150" i="16"/>
  <c r="I150"/>
  <c r="Q149" i="10"/>
  <c r="M149" i="25"/>
  <c r="W149" i="22"/>
  <c r="M149" i="2"/>
  <c r="W149" i="1"/>
  <c r="Y149" i="26"/>
  <c r="U149"/>
  <c r="G149"/>
  <c r="U149" i="14"/>
  <c r="M149" i="17" l="1"/>
  <c r="O149" i="15"/>
  <c r="W149" i="16"/>
  <c r="I149"/>
  <c r="BV178" i="25"/>
  <c r="W148" i="22"/>
  <c r="Y148" i="26" l="1"/>
  <c r="U148"/>
  <c r="O147" i="14"/>
  <c r="U148"/>
  <c r="O148" i="15"/>
  <c r="I148" i="16"/>
  <c r="M146" i="25" l="1"/>
  <c r="W146" i="22"/>
  <c r="O146"/>
  <c r="K146"/>
  <c r="O146" i="1"/>
  <c r="W145"/>
  <c r="O145"/>
  <c r="W145" i="22"/>
  <c r="O145"/>
  <c r="Y146" i="26"/>
  <c r="U146"/>
  <c r="Q146"/>
  <c r="G146"/>
  <c r="U146" i="14"/>
  <c r="Q146"/>
  <c r="M146" i="17"/>
  <c r="I146" i="16" l="1"/>
  <c r="K145" i="22"/>
  <c r="AK145" i="1"/>
  <c r="K145"/>
  <c r="Y145" i="26"/>
  <c r="U145"/>
  <c r="Q145"/>
  <c r="Q145" i="14"/>
  <c r="U145"/>
  <c r="O145" i="15"/>
  <c r="X433" i="10"/>
  <c r="X434"/>
  <c r="X435"/>
  <c r="X436"/>
  <c r="X437"/>
  <c r="X438"/>
  <c r="X439"/>
  <c r="X440"/>
  <c r="X441"/>
  <c r="X442"/>
  <c r="X443"/>
  <c r="X444"/>
  <c r="X445"/>
  <c r="X446"/>
  <c r="X448"/>
  <c r="X449"/>
  <c r="X450"/>
  <c r="X451"/>
  <c r="X452"/>
  <c r="X453"/>
  <c r="X454"/>
  <c r="X456"/>
  <c r="X457"/>
  <c r="X458"/>
  <c r="X459"/>
  <c r="X460"/>
  <c r="X461"/>
  <c r="X462"/>
  <c r="X464"/>
  <c r="X465"/>
  <c r="X466"/>
  <c r="X467"/>
  <c r="X468"/>
  <c r="X469"/>
  <c r="X470"/>
  <c r="X471"/>
  <c r="X472"/>
  <c r="X473"/>
  <c r="X474"/>
  <c r="X476"/>
  <c r="X477"/>
  <c r="X478"/>
  <c r="X479"/>
  <c r="X480"/>
  <c r="X481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4"/>
  <c r="X505"/>
  <c r="X506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8"/>
  <c r="X599"/>
  <c r="X600"/>
  <c r="X601"/>
  <c r="X602"/>
  <c r="X603"/>
  <c r="X604"/>
  <c r="X606"/>
  <c r="X607"/>
  <c r="X608"/>
  <c r="X609"/>
  <c r="X610"/>
  <c r="X611"/>
  <c r="X612"/>
  <c r="X614"/>
  <c r="X615"/>
  <c r="X616"/>
  <c r="X618"/>
  <c r="X619"/>
  <c r="X620"/>
  <c r="X621"/>
  <c r="X622"/>
  <c r="X623"/>
  <c r="X624"/>
  <c r="X625"/>
  <c r="X626"/>
  <c r="X627"/>
  <c r="X629"/>
  <c r="X630"/>
  <c r="X631"/>
  <c r="X632"/>
  <c r="X633"/>
  <c r="X634"/>
  <c r="X635"/>
  <c r="X432"/>
  <c r="X431"/>
  <c r="S635"/>
  <c r="S634"/>
  <c r="S633"/>
  <c r="S632"/>
  <c r="S631"/>
  <c r="G630"/>
  <c r="S630" s="1"/>
  <c r="G629"/>
  <c r="S629" s="1"/>
  <c r="U628"/>
  <c r="X628" s="1"/>
  <c r="O628"/>
  <c r="S628" s="1"/>
  <c r="M627"/>
  <c r="S627" s="1"/>
  <c r="S626"/>
  <c r="S625"/>
  <c r="S624"/>
  <c r="S623"/>
  <c r="S622"/>
  <c r="Q621"/>
  <c r="G621"/>
  <c r="G620"/>
  <c r="S620" s="1"/>
  <c r="G619"/>
  <c r="S619" s="1"/>
  <c r="S618"/>
  <c r="U617"/>
  <c r="X617" s="1"/>
  <c r="O617"/>
  <c r="S617" s="1"/>
  <c r="G616"/>
  <c r="S616" s="1"/>
  <c r="S615"/>
  <c r="G614"/>
  <c r="S614" s="1"/>
  <c r="U613"/>
  <c r="X613" s="1"/>
  <c r="O613"/>
  <c r="S613" s="1"/>
  <c r="S612"/>
  <c r="S611"/>
  <c r="S610"/>
  <c r="O609"/>
  <c r="S609" s="1"/>
  <c r="S608"/>
  <c r="S607"/>
  <c r="G606"/>
  <c r="S606" s="1"/>
  <c r="U605"/>
  <c r="X605" s="1"/>
  <c r="O605"/>
  <c r="M605"/>
  <c r="S604"/>
  <c r="S603"/>
  <c r="G602"/>
  <c r="S602" s="1"/>
  <c r="G601"/>
  <c r="S601" s="1"/>
  <c r="S600"/>
  <c r="S599"/>
  <c r="S598"/>
  <c r="S594"/>
  <c r="S593"/>
  <c r="S592"/>
  <c r="G591"/>
  <c r="S591" s="1"/>
  <c r="G590"/>
  <c r="S590" s="1"/>
  <c r="G589"/>
  <c r="S589" s="1"/>
  <c r="G588"/>
  <c r="S588" s="1"/>
  <c r="S587"/>
  <c r="G586"/>
  <c r="S586" s="1"/>
  <c r="S585"/>
  <c r="O584"/>
  <c r="S584" s="1"/>
  <c r="G583"/>
  <c r="S583" s="1"/>
  <c r="S582"/>
  <c r="G581"/>
  <c r="S581" s="1"/>
  <c r="S580"/>
  <c r="M579"/>
  <c r="G579"/>
  <c r="S578"/>
  <c r="G577"/>
  <c r="S577" s="1"/>
  <c r="S576"/>
  <c r="S575"/>
  <c r="S574"/>
  <c r="S573"/>
  <c r="K572"/>
  <c r="S572" s="1"/>
  <c r="S571"/>
  <c r="S570"/>
  <c r="G569"/>
  <c r="S569" s="1"/>
  <c r="S568"/>
  <c r="G567"/>
  <c r="S567" s="1"/>
  <c r="S566"/>
  <c r="S565"/>
  <c r="S564"/>
  <c r="G563"/>
  <c r="S563" s="1"/>
  <c r="S562"/>
  <c r="G561"/>
  <c r="S561" s="1"/>
  <c r="M560"/>
  <c r="S560" s="1"/>
  <c r="S559"/>
  <c r="S558"/>
  <c r="S557"/>
  <c r="S556"/>
  <c r="S555"/>
  <c r="G554"/>
  <c r="S554" s="1"/>
  <c r="S553"/>
  <c r="S552"/>
  <c r="S551"/>
  <c r="S550"/>
  <c r="G549"/>
  <c r="S549" s="1"/>
  <c r="S548"/>
  <c r="S547"/>
  <c r="G546"/>
  <c r="S546" s="1"/>
  <c r="S545"/>
  <c r="G544"/>
  <c r="S544" s="1"/>
  <c r="S543"/>
  <c r="U542"/>
  <c r="X542" s="1"/>
  <c r="G542"/>
  <c r="S542" s="1"/>
  <c r="S541"/>
  <c r="S540"/>
  <c r="S539"/>
  <c r="G538"/>
  <c r="S538" s="1"/>
  <c r="S537"/>
  <c r="G536"/>
  <c r="S536" s="1"/>
  <c r="I535"/>
  <c r="G535"/>
  <c r="S534"/>
  <c r="G533"/>
  <c r="S533" s="1"/>
  <c r="S532"/>
  <c r="S531"/>
  <c r="S530"/>
  <c r="S529"/>
  <c r="S528"/>
  <c r="S527"/>
  <c r="M526"/>
  <c r="S526" s="1"/>
  <c r="G525"/>
  <c r="S525" s="1"/>
  <c r="G524"/>
  <c r="S524" s="1"/>
  <c r="S523"/>
  <c r="S522"/>
  <c r="G521"/>
  <c r="S521" s="1"/>
  <c r="S520"/>
  <c r="K519"/>
  <c r="G519"/>
  <c r="S518"/>
  <c r="S517"/>
  <c r="G516"/>
  <c r="S516" s="1"/>
  <c r="M515"/>
  <c r="G515"/>
  <c r="S514"/>
  <c r="G513"/>
  <c r="S513" s="1"/>
  <c r="S512"/>
  <c r="S511"/>
  <c r="G510"/>
  <c r="S510" s="1"/>
  <c r="G506"/>
  <c r="S506" s="1"/>
  <c r="S505"/>
  <c r="G504"/>
  <c r="S504" s="1"/>
  <c r="U503"/>
  <c r="X503" s="1"/>
  <c r="O503"/>
  <c r="G503"/>
  <c r="S502"/>
  <c r="S501"/>
  <c r="S500"/>
  <c r="S499"/>
  <c r="S498"/>
  <c r="S497"/>
  <c r="S496"/>
  <c r="S495"/>
  <c r="S494"/>
  <c r="G493"/>
  <c r="S493" s="1"/>
  <c r="S492"/>
  <c r="S491"/>
  <c r="S490"/>
  <c r="S489"/>
  <c r="G488"/>
  <c r="S488" s="1"/>
  <c r="S487"/>
  <c r="S486"/>
  <c r="S485"/>
  <c r="S484"/>
  <c r="G483"/>
  <c r="S483" s="1"/>
  <c r="U482"/>
  <c r="X482" s="1"/>
  <c r="O482"/>
  <c r="S482" s="1"/>
  <c r="S481"/>
  <c r="S480"/>
  <c r="S479"/>
  <c r="G478"/>
  <c r="S478" s="1"/>
  <c r="S477"/>
  <c r="G476"/>
  <c r="S476" s="1"/>
  <c r="U475"/>
  <c r="O475"/>
  <c r="G475"/>
  <c r="S474"/>
  <c r="O473"/>
  <c r="S473" s="1"/>
  <c r="K472"/>
  <c r="G472"/>
  <c r="S471"/>
  <c r="S470"/>
  <c r="S469"/>
  <c r="S468"/>
  <c r="G467"/>
  <c r="S467" s="1"/>
  <c r="S466"/>
  <c r="G465"/>
  <c r="S465" s="1"/>
  <c r="G464"/>
  <c r="S464" s="1"/>
  <c r="U463"/>
  <c r="X463" s="1"/>
  <c r="G463"/>
  <c r="S463" s="1"/>
  <c r="M462"/>
  <c r="G462"/>
  <c r="S461"/>
  <c r="G460"/>
  <c r="S460" s="1"/>
  <c r="S459"/>
  <c r="O458"/>
  <c r="S458" s="1"/>
  <c r="S457"/>
  <c r="G456"/>
  <c r="S456" s="1"/>
  <c r="U455"/>
  <c r="X455" s="1"/>
  <c r="G455"/>
  <c r="S455" s="1"/>
  <c r="G454"/>
  <c r="S454" s="1"/>
  <c r="S453"/>
  <c r="S452"/>
  <c r="S451"/>
  <c r="M450"/>
  <c r="S450" s="1"/>
  <c r="S449"/>
  <c r="G448"/>
  <c r="S448" s="1"/>
  <c r="U447"/>
  <c r="X447" s="1"/>
  <c r="O447"/>
  <c r="K447"/>
  <c r="I447"/>
  <c r="G447"/>
  <c r="S446"/>
  <c r="S445"/>
  <c r="S444"/>
  <c r="S443"/>
  <c r="G442"/>
  <c r="S442" s="1"/>
  <c r="S441"/>
  <c r="S440"/>
  <c r="S439"/>
  <c r="S438"/>
  <c r="G437"/>
  <c r="S437" s="1"/>
  <c r="G436"/>
  <c r="S436" s="1"/>
  <c r="S435"/>
  <c r="S434"/>
  <c r="S433"/>
  <c r="S432"/>
  <c r="S431"/>
  <c r="AZ635" i="25"/>
  <c r="BJ635" s="1"/>
  <c r="AZ634"/>
  <c r="BJ634" s="1"/>
  <c r="M633"/>
  <c r="AZ633" s="1"/>
  <c r="BJ633" s="1"/>
  <c r="M632"/>
  <c r="AZ632" s="1"/>
  <c r="BJ632" s="1"/>
  <c r="AZ631"/>
  <c r="BJ631" s="1"/>
  <c r="AP630"/>
  <c r="AZ630" s="1"/>
  <c r="BJ630" s="1"/>
  <c r="AZ629"/>
  <c r="BJ629" s="1"/>
  <c r="M628"/>
  <c r="AZ628" s="1"/>
  <c r="BJ628" s="1"/>
  <c r="AZ627"/>
  <c r="BJ627" s="1"/>
  <c r="AZ626"/>
  <c r="BJ626" s="1"/>
  <c r="AZ625"/>
  <c r="BJ625" s="1"/>
  <c r="AZ624"/>
  <c r="BJ624" s="1"/>
  <c r="AZ623"/>
  <c r="BJ623" s="1"/>
  <c r="AZ622"/>
  <c r="BJ622" s="1"/>
  <c r="AZ621"/>
  <c r="BJ621" s="1"/>
  <c r="AZ620"/>
  <c r="BJ620" s="1"/>
  <c r="AZ619"/>
  <c r="BJ619" s="1"/>
  <c r="AZ618"/>
  <c r="BJ618" s="1"/>
  <c r="AZ617"/>
  <c r="BJ617" s="1"/>
  <c r="AZ616"/>
  <c r="BJ616" s="1"/>
  <c r="M615"/>
  <c r="AZ615" s="1"/>
  <c r="BJ615" s="1"/>
  <c r="AZ614"/>
  <c r="BJ614" s="1"/>
  <c r="AZ613"/>
  <c r="BJ613" s="1"/>
  <c r="AZ612"/>
  <c r="BJ612" s="1"/>
  <c r="AZ611"/>
  <c r="BJ611" s="1"/>
  <c r="AZ610"/>
  <c r="BJ610" s="1"/>
  <c r="AZ609"/>
  <c r="BJ609" s="1"/>
  <c r="AZ608"/>
  <c r="BJ608" s="1"/>
  <c r="AZ607"/>
  <c r="BJ607" s="1"/>
  <c r="AZ606"/>
  <c r="BJ606" s="1"/>
  <c r="AI605"/>
  <c r="M605"/>
  <c r="AI604"/>
  <c r="AZ604" s="1"/>
  <c r="BJ604" s="1"/>
  <c r="AZ603"/>
  <c r="BJ603" s="1"/>
  <c r="AZ602"/>
  <c r="BJ602" s="1"/>
  <c r="AZ601"/>
  <c r="BJ601" s="1"/>
  <c r="AZ600"/>
  <c r="BJ600" s="1"/>
  <c r="AZ599"/>
  <c r="BJ599" s="1"/>
  <c r="AZ598"/>
  <c r="BJ598" s="1"/>
  <c r="AZ594"/>
  <c r="BJ594" s="1"/>
  <c r="AZ593"/>
  <c r="BJ593" s="1"/>
  <c r="AZ592"/>
  <c r="BJ592" s="1"/>
  <c r="AZ591"/>
  <c r="BJ591" s="1"/>
  <c r="AZ590"/>
  <c r="BJ590" s="1"/>
  <c r="AZ589"/>
  <c r="BJ589" s="1"/>
  <c r="AZ588"/>
  <c r="BJ588" s="1"/>
  <c r="M587"/>
  <c r="AZ587" s="1"/>
  <c r="BJ587" s="1"/>
  <c r="AZ586"/>
  <c r="BJ586" s="1"/>
  <c r="AZ585"/>
  <c r="BJ585" s="1"/>
  <c r="AZ584"/>
  <c r="BJ584" s="1"/>
  <c r="AZ583"/>
  <c r="BJ583" s="1"/>
  <c r="M582"/>
  <c r="M581"/>
  <c r="AZ581" s="1"/>
  <c r="BJ581" s="1"/>
  <c r="AZ580"/>
  <c r="BJ580" s="1"/>
  <c r="AP579"/>
  <c r="AZ579" s="1"/>
  <c r="BJ579" s="1"/>
  <c r="AZ578"/>
  <c r="BJ578" s="1"/>
  <c r="AZ577"/>
  <c r="BJ577" s="1"/>
  <c r="AZ576"/>
  <c r="BJ576" s="1"/>
  <c r="AV575"/>
  <c r="AZ575" s="1"/>
  <c r="BJ575" s="1"/>
  <c r="AZ574"/>
  <c r="BJ574" s="1"/>
  <c r="AZ573"/>
  <c r="BJ573" s="1"/>
  <c r="AP572"/>
  <c r="AZ572" s="1"/>
  <c r="BJ572" s="1"/>
  <c r="AZ571"/>
  <c r="BJ571" s="1"/>
  <c r="AZ570"/>
  <c r="BJ570" s="1"/>
  <c r="AZ569"/>
  <c r="BJ569" s="1"/>
  <c r="M568"/>
  <c r="AZ568" s="1"/>
  <c r="BJ568" s="1"/>
  <c r="AZ567"/>
  <c r="BJ567" s="1"/>
  <c r="AZ566"/>
  <c r="BJ566" s="1"/>
  <c r="AZ565"/>
  <c r="BJ565" s="1"/>
  <c r="AZ564"/>
  <c r="BJ564" s="1"/>
  <c r="AZ563"/>
  <c r="BJ563" s="1"/>
  <c r="AZ562"/>
  <c r="BJ562" s="1"/>
  <c r="AZ561"/>
  <c r="BJ561" s="1"/>
  <c r="AZ560"/>
  <c r="BJ560" s="1"/>
  <c r="AZ559"/>
  <c r="BJ559" s="1"/>
  <c r="AZ558"/>
  <c r="BJ558" s="1"/>
  <c r="AZ557"/>
  <c r="BJ557" s="1"/>
  <c r="M556"/>
  <c r="AZ556" s="1"/>
  <c r="BJ556" s="1"/>
  <c r="AZ555"/>
  <c r="BJ555" s="1"/>
  <c r="AZ554"/>
  <c r="BJ554" s="1"/>
  <c r="M553"/>
  <c r="AZ553" s="1"/>
  <c r="BJ553" s="1"/>
  <c r="AZ552"/>
  <c r="BJ552" s="1"/>
  <c r="AZ551"/>
  <c r="BJ551" s="1"/>
  <c r="AI550"/>
  <c r="AZ550" s="1"/>
  <c r="BJ550" s="1"/>
  <c r="AZ549"/>
  <c r="BJ549" s="1"/>
  <c r="AZ548"/>
  <c r="BJ548" s="1"/>
  <c r="M547"/>
  <c r="AZ547" s="1"/>
  <c r="BJ547" s="1"/>
  <c r="AP546"/>
  <c r="AZ546" s="1"/>
  <c r="BJ546" s="1"/>
  <c r="AZ545"/>
  <c r="BJ545" s="1"/>
  <c r="AZ544"/>
  <c r="BJ544" s="1"/>
  <c r="AZ543"/>
  <c r="BJ543" s="1"/>
  <c r="M542"/>
  <c r="AZ542" s="1"/>
  <c r="BJ542" s="1"/>
  <c r="AZ541"/>
  <c r="BJ541" s="1"/>
  <c r="AZ540"/>
  <c r="BJ540" s="1"/>
  <c r="AZ539"/>
  <c r="BJ539" s="1"/>
  <c r="M538"/>
  <c r="AZ538" s="1"/>
  <c r="BJ538" s="1"/>
  <c r="AZ537"/>
  <c r="BJ537" s="1"/>
  <c r="M536"/>
  <c r="AZ536" s="1"/>
  <c r="BJ536" s="1"/>
  <c r="M535"/>
  <c r="AZ535" s="1"/>
  <c r="BJ535" s="1"/>
  <c r="AZ534"/>
  <c r="BJ534" s="1"/>
  <c r="AZ533"/>
  <c r="BJ533" s="1"/>
  <c r="AZ532"/>
  <c r="BJ532" s="1"/>
  <c r="AZ531"/>
  <c r="BJ531" s="1"/>
  <c r="AZ530"/>
  <c r="BJ530" s="1"/>
  <c r="AZ529"/>
  <c r="BJ529" s="1"/>
  <c r="AZ528"/>
  <c r="BJ528" s="1"/>
  <c r="AI527"/>
  <c r="AZ527" s="1"/>
  <c r="BJ527" s="1"/>
  <c r="AZ526"/>
  <c r="BJ526" s="1"/>
  <c r="M525"/>
  <c r="AZ525" s="1"/>
  <c r="BJ525" s="1"/>
  <c r="M524"/>
  <c r="AZ524" s="1"/>
  <c r="BJ524" s="1"/>
  <c r="AZ523"/>
  <c r="BJ523" s="1"/>
  <c r="AZ522"/>
  <c r="BJ522" s="1"/>
  <c r="AZ521"/>
  <c r="BJ521" s="1"/>
  <c r="AZ520"/>
  <c r="BJ520" s="1"/>
  <c r="AZ519"/>
  <c r="BJ519" s="1"/>
  <c r="AZ518"/>
  <c r="BJ518" s="1"/>
  <c r="AZ517"/>
  <c r="BJ517" s="1"/>
  <c r="BH516"/>
  <c r="AZ516"/>
  <c r="AZ515"/>
  <c r="BJ515" s="1"/>
  <c r="AZ514"/>
  <c r="BJ514" s="1"/>
  <c r="AZ513"/>
  <c r="BJ513" s="1"/>
  <c r="M512"/>
  <c r="AZ512" s="1"/>
  <c r="BJ512" s="1"/>
  <c r="M511"/>
  <c r="AZ511" s="1"/>
  <c r="BJ511" s="1"/>
  <c r="AZ510"/>
  <c r="BJ510" s="1"/>
  <c r="M506"/>
  <c r="AZ506" s="1"/>
  <c r="BJ506" s="1"/>
  <c r="AT505"/>
  <c r="AZ505" s="1"/>
  <c r="BJ505" s="1"/>
  <c r="AZ504"/>
  <c r="BJ504" s="1"/>
  <c r="AZ503"/>
  <c r="BJ503" s="1"/>
  <c r="AT502"/>
  <c r="AZ502" s="1"/>
  <c r="BJ502" s="1"/>
  <c r="AZ501"/>
  <c r="BJ501" s="1"/>
  <c r="AZ500"/>
  <c r="BJ500" s="1"/>
  <c r="AZ499"/>
  <c r="BJ499" s="1"/>
  <c r="AZ498"/>
  <c r="BJ498" s="1"/>
  <c r="AZ497"/>
  <c r="BJ497" s="1"/>
  <c r="AP496"/>
  <c r="AZ496" s="1"/>
  <c r="BJ496" s="1"/>
  <c r="AX495"/>
  <c r="AZ495" s="1"/>
  <c r="BJ495" s="1"/>
  <c r="AZ494"/>
  <c r="BJ494" s="1"/>
  <c r="M493"/>
  <c r="AZ493" s="1"/>
  <c r="BJ493" s="1"/>
  <c r="M492"/>
  <c r="AZ492" s="1"/>
  <c r="BJ492" s="1"/>
  <c r="M491"/>
  <c r="AZ491" s="1"/>
  <c r="BJ491" s="1"/>
  <c r="AZ490"/>
  <c r="BJ490" s="1"/>
  <c r="AZ489"/>
  <c r="BJ489" s="1"/>
  <c r="AZ488"/>
  <c r="BJ488" s="1"/>
  <c r="M487"/>
  <c r="AZ487" s="1"/>
  <c r="BJ487" s="1"/>
  <c r="AZ486"/>
  <c r="BJ486" s="1"/>
  <c r="AZ485"/>
  <c r="BJ485" s="1"/>
  <c r="AZ484"/>
  <c r="BJ484" s="1"/>
  <c r="AZ483"/>
  <c r="BJ483" s="1"/>
  <c r="AZ482"/>
  <c r="BJ482" s="1"/>
  <c r="AZ481"/>
  <c r="BJ481" s="1"/>
  <c r="AZ480"/>
  <c r="BJ480" s="1"/>
  <c r="AZ479"/>
  <c r="BJ479" s="1"/>
  <c r="AZ478"/>
  <c r="BJ478" s="1"/>
  <c r="AZ477"/>
  <c r="BJ477" s="1"/>
  <c r="AZ476"/>
  <c r="BJ476" s="1"/>
  <c r="AZ475"/>
  <c r="BJ475" s="1"/>
  <c r="M474"/>
  <c r="AZ474" s="1"/>
  <c r="BJ474" s="1"/>
  <c r="AZ473"/>
  <c r="BJ473" s="1"/>
  <c r="M472"/>
  <c r="AZ472" s="1"/>
  <c r="BJ472" s="1"/>
  <c r="M471"/>
  <c r="AZ471" s="1"/>
  <c r="BJ471" s="1"/>
  <c r="AZ470"/>
  <c r="BJ470" s="1"/>
  <c r="M469"/>
  <c r="AZ469" s="1"/>
  <c r="BJ469" s="1"/>
  <c r="AZ468"/>
  <c r="BJ468" s="1"/>
  <c r="AZ467"/>
  <c r="BJ467" s="1"/>
  <c r="AZ466"/>
  <c r="BJ466" s="1"/>
  <c r="M465"/>
  <c r="AZ465" s="1"/>
  <c r="BJ465" s="1"/>
  <c r="AZ464"/>
  <c r="BJ464" s="1"/>
  <c r="M463"/>
  <c r="AZ463" s="1"/>
  <c r="BJ463" s="1"/>
  <c r="AZ462"/>
  <c r="BJ462" s="1"/>
  <c r="AZ461"/>
  <c r="BJ461" s="1"/>
  <c r="M460"/>
  <c r="AZ460" s="1"/>
  <c r="BJ460" s="1"/>
  <c r="AZ459"/>
  <c r="BJ459" s="1"/>
  <c r="AZ458"/>
  <c r="BJ458" s="1"/>
  <c r="AZ457"/>
  <c r="BJ457" s="1"/>
  <c r="AZ456"/>
  <c r="BJ456" s="1"/>
  <c r="AZ455"/>
  <c r="BJ455" s="1"/>
  <c r="AZ454"/>
  <c r="BJ454" s="1"/>
  <c r="M453"/>
  <c r="AZ453" s="1"/>
  <c r="BJ453" s="1"/>
  <c r="AI452"/>
  <c r="AZ452" s="1"/>
  <c r="BJ452" s="1"/>
  <c r="AZ451"/>
  <c r="BJ451" s="1"/>
  <c r="AZ450"/>
  <c r="BJ450" s="1"/>
  <c r="AZ449"/>
  <c r="BJ449" s="1"/>
  <c r="M448"/>
  <c r="AZ448" s="1"/>
  <c r="BJ448" s="1"/>
  <c r="M447"/>
  <c r="AZ447" s="1"/>
  <c r="BJ447" s="1"/>
  <c r="AZ446"/>
  <c r="BJ446" s="1"/>
  <c r="AZ445"/>
  <c r="BJ445" s="1"/>
  <c r="AZ444"/>
  <c r="BJ444" s="1"/>
  <c r="AZ443"/>
  <c r="BJ443" s="1"/>
  <c r="AZ442"/>
  <c r="BJ442" s="1"/>
  <c r="AZ441"/>
  <c r="BJ441" s="1"/>
  <c r="AZ440"/>
  <c r="BJ440" s="1"/>
  <c r="AZ439"/>
  <c r="BJ439" s="1"/>
  <c r="AZ438"/>
  <c r="BJ438" s="1"/>
  <c r="AZ437"/>
  <c r="BJ437" s="1"/>
  <c r="M436"/>
  <c r="AZ436" s="1"/>
  <c r="BJ436" s="1"/>
  <c r="AZ435"/>
  <c r="BJ435" s="1"/>
  <c r="AZ434"/>
  <c r="BJ434" s="1"/>
  <c r="AZ433"/>
  <c r="BJ433" s="1"/>
  <c r="AZ432"/>
  <c r="BJ432" s="1"/>
  <c r="AZ431"/>
  <c r="BJ431" s="1"/>
  <c r="AI635" i="22"/>
  <c r="AM635" s="1"/>
  <c r="W635"/>
  <c r="Y635" s="1"/>
  <c r="AM634"/>
  <c r="W634"/>
  <c r="Y634" s="1"/>
  <c r="AM633"/>
  <c r="W633"/>
  <c r="Y633" s="1"/>
  <c r="AM632"/>
  <c r="W632"/>
  <c r="Y632" s="1"/>
  <c r="AM631"/>
  <c r="W631"/>
  <c r="Y631" s="1"/>
  <c r="AM630"/>
  <c r="W630"/>
  <c r="K630"/>
  <c r="AM629"/>
  <c r="W629"/>
  <c r="Y629" s="1"/>
  <c r="AM628"/>
  <c r="W628"/>
  <c r="Y628" s="1"/>
  <c r="AM627"/>
  <c r="W627"/>
  <c r="Y627" s="1"/>
  <c r="AM626"/>
  <c r="W626"/>
  <c r="K626"/>
  <c r="AM625"/>
  <c r="W625"/>
  <c r="Y625" s="1"/>
  <c r="AI624"/>
  <c r="AM624" s="1"/>
  <c r="W624"/>
  <c r="Y624" s="1"/>
  <c r="AI623"/>
  <c r="AM623" s="1"/>
  <c r="W623"/>
  <c r="K623"/>
  <c r="AM622"/>
  <c r="W622"/>
  <c r="Y622" s="1"/>
  <c r="AM621"/>
  <c r="W621"/>
  <c r="Y621" s="1"/>
  <c r="AM620"/>
  <c r="W620"/>
  <c r="Y620" s="1"/>
  <c r="AM619"/>
  <c r="W619"/>
  <c r="K619"/>
  <c r="AM618"/>
  <c r="Y618"/>
  <c r="AM617"/>
  <c r="K617"/>
  <c r="Y617" s="1"/>
  <c r="AI616"/>
  <c r="AM616" s="1"/>
  <c r="W616"/>
  <c r="Y616" s="1"/>
  <c r="AM615"/>
  <c r="W615"/>
  <c r="K615"/>
  <c r="AM614"/>
  <c r="W614"/>
  <c r="Y614" s="1"/>
  <c r="AE613"/>
  <c r="AM613" s="1"/>
  <c r="K613"/>
  <c r="Y613" s="1"/>
  <c r="AE612"/>
  <c r="AM612" s="1"/>
  <c r="W612"/>
  <c r="Y612" s="1"/>
  <c r="AM611"/>
  <c r="W611"/>
  <c r="K611"/>
  <c r="AM610"/>
  <c r="W610"/>
  <c r="Y610" s="1"/>
  <c r="AI609"/>
  <c r="AM609" s="1"/>
  <c r="W609"/>
  <c r="Y609" s="1"/>
  <c r="AM608"/>
  <c r="W608"/>
  <c r="Y608" s="1"/>
  <c r="AM607"/>
  <c r="W607"/>
  <c r="K607"/>
  <c r="AM606"/>
  <c r="W606"/>
  <c r="Y606" s="1"/>
  <c r="AM605"/>
  <c r="W605"/>
  <c r="Y605" s="1"/>
  <c r="AM604"/>
  <c r="W604"/>
  <c r="Y604" s="1"/>
  <c r="AM603"/>
  <c r="W603"/>
  <c r="K603"/>
  <c r="AM602"/>
  <c r="W602"/>
  <c r="K602"/>
  <c r="AM601"/>
  <c r="W601"/>
  <c r="K601"/>
  <c r="AM600"/>
  <c r="W600"/>
  <c r="Y600" s="1"/>
  <c r="AM599"/>
  <c r="W599"/>
  <c r="Y599" s="1"/>
  <c r="AM598"/>
  <c r="W598"/>
  <c r="K598"/>
  <c r="AM594"/>
  <c r="Y594"/>
  <c r="AM593"/>
  <c r="Y593"/>
  <c r="AM592"/>
  <c r="Y592"/>
  <c r="AM591"/>
  <c r="W591"/>
  <c r="Y591" s="1"/>
  <c r="AI590"/>
  <c r="AM590" s="1"/>
  <c r="W590"/>
  <c r="K590"/>
  <c r="AE589"/>
  <c r="AM589" s="1"/>
  <c r="W589"/>
  <c r="K589"/>
  <c r="AM588"/>
  <c r="W588"/>
  <c r="Y588" s="1"/>
  <c r="AM587"/>
  <c r="W587"/>
  <c r="K587"/>
  <c r="AM586"/>
  <c r="W586"/>
  <c r="Y586" s="1"/>
  <c r="AM585"/>
  <c r="W585"/>
  <c r="Y585" s="1"/>
  <c r="AI584"/>
  <c r="AM584" s="1"/>
  <c r="Y584"/>
  <c r="AM583"/>
  <c r="W583"/>
  <c r="K583"/>
  <c r="AE582"/>
  <c r="W582"/>
  <c r="Y582" s="1"/>
  <c r="AI581"/>
  <c r="AM581" s="1"/>
  <c r="W581"/>
  <c r="Y581" s="1"/>
  <c r="AM580"/>
  <c r="Y580"/>
  <c r="AM579"/>
  <c r="W579"/>
  <c r="K579"/>
  <c r="AM578"/>
  <c r="Y578"/>
  <c r="AI577"/>
  <c r="AE577"/>
  <c r="W577"/>
  <c r="Y577" s="1"/>
  <c r="AM576"/>
  <c r="W576"/>
  <c r="Y576" s="1"/>
  <c r="AE575"/>
  <c r="AM575" s="1"/>
  <c r="W575"/>
  <c r="Y575" s="1"/>
  <c r="AM574"/>
  <c r="W574"/>
  <c r="K574"/>
  <c r="AM573"/>
  <c r="Y573"/>
  <c r="AM572"/>
  <c r="W572"/>
  <c r="K572"/>
  <c r="AM571"/>
  <c r="Y571"/>
  <c r="AM570"/>
  <c r="Y570"/>
  <c r="AM569"/>
  <c r="W569"/>
  <c r="K569"/>
  <c r="AM568"/>
  <c r="W568"/>
  <c r="K568"/>
  <c r="AI567"/>
  <c r="AM567" s="1"/>
  <c r="W567"/>
  <c r="Y567" s="1"/>
  <c r="AM566"/>
  <c r="Y566"/>
  <c r="AM565"/>
  <c r="W565"/>
  <c r="Y565" s="1"/>
  <c r="AM564"/>
  <c r="Y564"/>
  <c r="AM563"/>
  <c r="W563"/>
  <c r="Y563" s="1"/>
  <c r="AM562"/>
  <c r="W562"/>
  <c r="K562"/>
  <c r="AM561"/>
  <c r="W561"/>
  <c r="Y561" s="1"/>
  <c r="AM560"/>
  <c r="W560"/>
  <c r="Y560" s="1"/>
  <c r="AM559"/>
  <c r="Y559"/>
  <c r="AM558"/>
  <c r="Y558"/>
  <c r="AM557"/>
  <c r="W557"/>
  <c r="Y557" s="1"/>
  <c r="AM556"/>
  <c r="W556"/>
  <c r="Y556" s="1"/>
  <c r="AM555"/>
  <c r="W555"/>
  <c r="Y555" s="1"/>
  <c r="AM554"/>
  <c r="W554"/>
  <c r="K554"/>
  <c r="AM553"/>
  <c r="W553"/>
  <c r="Y553" s="1"/>
  <c r="AM552"/>
  <c r="Y552"/>
  <c r="AM551"/>
  <c r="W551"/>
  <c r="K551"/>
  <c r="AM550"/>
  <c r="W550"/>
  <c r="K550"/>
  <c r="AM549"/>
  <c r="W549"/>
  <c r="K549"/>
  <c r="AM548"/>
  <c r="W548"/>
  <c r="Y548" s="1"/>
  <c r="AM547"/>
  <c r="W547"/>
  <c r="Y547" s="1"/>
  <c r="AI546"/>
  <c r="AM546" s="1"/>
  <c r="W546"/>
  <c r="K546"/>
  <c r="AM545"/>
  <c r="W545"/>
  <c r="Y545" s="1"/>
  <c r="AE544"/>
  <c r="AM544" s="1"/>
  <c r="W544"/>
  <c r="Y544" s="1"/>
  <c r="AM543"/>
  <c r="W543"/>
  <c r="Y543" s="1"/>
  <c r="AM542"/>
  <c r="W542"/>
  <c r="K542"/>
  <c r="AM541"/>
  <c r="W541"/>
  <c r="Y541" s="1"/>
  <c r="AE540"/>
  <c r="AM540" s="1"/>
  <c r="W540"/>
  <c r="Y540" s="1"/>
  <c r="AM539"/>
  <c r="W539"/>
  <c r="Y539" s="1"/>
  <c r="AM538"/>
  <c r="W538"/>
  <c r="Y538" s="1"/>
  <c r="AM537"/>
  <c r="W537"/>
  <c r="Y537" s="1"/>
  <c r="AM536"/>
  <c r="W536"/>
  <c r="Y536" s="1"/>
  <c r="AM535"/>
  <c r="W535"/>
  <c r="Y535" s="1"/>
  <c r="AM534"/>
  <c r="Y534"/>
  <c r="AM533"/>
  <c r="W533"/>
  <c r="K533"/>
  <c r="AM532"/>
  <c r="W532"/>
  <c r="Y532" s="1"/>
  <c r="AM531"/>
  <c r="Y531"/>
  <c r="AM530"/>
  <c r="Y530"/>
  <c r="AI529"/>
  <c r="AM529" s="1"/>
  <c r="W529"/>
  <c r="Y529" s="1"/>
  <c r="AM528"/>
  <c r="W528"/>
  <c r="Y528" s="1"/>
  <c r="AI527"/>
  <c r="AM527" s="1"/>
  <c r="W527"/>
  <c r="Y527" s="1"/>
  <c r="AM526"/>
  <c r="W526"/>
  <c r="K526"/>
  <c r="AI525"/>
  <c r="AM525" s="1"/>
  <c r="W525"/>
  <c r="Y525" s="1"/>
  <c r="AM524"/>
  <c r="W524"/>
  <c r="Y524" s="1"/>
  <c r="AM523"/>
  <c r="Y523"/>
  <c r="AM522"/>
  <c r="Y522"/>
  <c r="AM521"/>
  <c r="K521"/>
  <c r="Y521" s="1"/>
  <c r="AM520"/>
  <c r="W520"/>
  <c r="Y520" s="1"/>
  <c r="AM519"/>
  <c r="W519"/>
  <c r="Y519" s="1"/>
  <c r="AM518"/>
  <c r="W518"/>
  <c r="Y518" s="1"/>
  <c r="AM517"/>
  <c r="Y517"/>
  <c r="AE516"/>
  <c r="AM516" s="1"/>
  <c r="W516"/>
  <c r="Y516" s="1"/>
  <c r="AI515"/>
  <c r="AM515" s="1"/>
  <c r="W515"/>
  <c r="K515"/>
  <c r="AM514"/>
  <c r="W514"/>
  <c r="Y514" s="1"/>
  <c r="AM513"/>
  <c r="W513"/>
  <c r="Y513" s="1"/>
  <c r="AM512"/>
  <c r="W512"/>
  <c r="Y512" s="1"/>
  <c r="AM511"/>
  <c r="W511"/>
  <c r="Y511" s="1"/>
  <c r="AM510"/>
  <c r="W510"/>
  <c r="K510"/>
  <c r="AM506"/>
  <c r="W506"/>
  <c r="Y506" s="1"/>
  <c r="AM505"/>
  <c r="W505"/>
  <c r="Y505" s="1"/>
  <c r="AM504"/>
  <c r="W504"/>
  <c r="K504"/>
  <c r="AE503"/>
  <c r="AM503" s="1"/>
  <c r="W503"/>
  <c r="K503"/>
  <c r="AM502"/>
  <c r="W502"/>
  <c r="Y502" s="1"/>
  <c r="AM501"/>
  <c r="W501"/>
  <c r="K501"/>
  <c r="AE500"/>
  <c r="AM500" s="1"/>
  <c r="W500"/>
  <c r="Y500" s="1"/>
  <c r="AM499"/>
  <c r="Y499"/>
  <c r="AM498"/>
  <c r="W498"/>
  <c r="Y498" s="1"/>
  <c r="AM497"/>
  <c r="W497"/>
  <c r="Y497" s="1"/>
  <c r="AM496"/>
  <c r="W496"/>
  <c r="K496"/>
  <c r="AE495"/>
  <c r="AM495" s="1"/>
  <c r="W495"/>
  <c r="Y495" s="1"/>
  <c r="AM494"/>
  <c r="W494"/>
  <c r="Y494" s="1"/>
  <c r="AM493"/>
  <c r="W493"/>
  <c r="K493"/>
  <c r="AI492"/>
  <c r="AM492" s="1"/>
  <c r="W492"/>
  <c r="Y492" s="1"/>
  <c r="AM491"/>
  <c r="W491"/>
  <c r="K491"/>
  <c r="AE490"/>
  <c r="AM490" s="1"/>
  <c r="W490"/>
  <c r="Y490" s="1"/>
  <c r="AM489"/>
  <c r="W489"/>
  <c r="Y489" s="1"/>
  <c r="AM488"/>
  <c r="W488"/>
  <c r="Y488" s="1"/>
  <c r="AM487"/>
  <c r="W487"/>
  <c r="Y487" s="1"/>
  <c r="AE486"/>
  <c r="AM486" s="1"/>
  <c r="W486"/>
  <c r="Y486" s="1"/>
  <c r="AM485"/>
  <c r="W485"/>
  <c r="K485"/>
  <c r="AM484"/>
  <c r="W484"/>
  <c r="Y484" s="1"/>
  <c r="AM483"/>
  <c r="W483"/>
  <c r="K483"/>
  <c r="AM482"/>
  <c r="W482"/>
  <c r="Y482" s="1"/>
  <c r="AM481"/>
  <c r="Y481"/>
  <c r="AM480"/>
  <c r="W480"/>
  <c r="Y480" s="1"/>
  <c r="AM479"/>
  <c r="W479"/>
  <c r="Y479" s="1"/>
  <c r="AM478"/>
  <c r="W478"/>
  <c r="Y478" s="1"/>
  <c r="AM477"/>
  <c r="W477"/>
  <c r="Y477" s="1"/>
  <c r="AM476"/>
  <c r="W476"/>
  <c r="K476"/>
  <c r="AM475"/>
  <c r="W475"/>
  <c r="Y475" s="1"/>
  <c r="AM474"/>
  <c r="W474"/>
  <c r="Y474" s="1"/>
  <c r="AM473"/>
  <c r="W473"/>
  <c r="Y473" s="1"/>
  <c r="AM472"/>
  <c r="W472"/>
  <c r="K472"/>
  <c r="AM471"/>
  <c r="W471"/>
  <c r="Y471" s="1"/>
  <c r="AM470"/>
  <c r="W470"/>
  <c r="Y470" s="1"/>
  <c r="AM469"/>
  <c r="W469"/>
  <c r="Y469" s="1"/>
  <c r="AM468"/>
  <c r="W468"/>
  <c r="Y468" s="1"/>
  <c r="AM467"/>
  <c r="W467"/>
  <c r="Y467" s="1"/>
  <c r="AM466"/>
  <c r="Y466"/>
  <c r="AM465"/>
  <c r="W465"/>
  <c r="Y465" s="1"/>
  <c r="AE464"/>
  <c r="AM464" s="1"/>
  <c r="W464"/>
  <c r="K464"/>
  <c r="AM463"/>
  <c r="W463"/>
  <c r="Y463" s="1"/>
  <c r="AM462"/>
  <c r="W462"/>
  <c r="K462"/>
  <c r="AM461"/>
  <c r="W461"/>
  <c r="Y461" s="1"/>
  <c r="AM460"/>
  <c r="W460"/>
  <c r="K460"/>
  <c r="AM459"/>
  <c r="Y459"/>
  <c r="AM458"/>
  <c r="W458"/>
  <c r="K458"/>
  <c r="AM457"/>
  <c r="W457"/>
  <c r="Y457" s="1"/>
  <c r="AM456"/>
  <c r="W456"/>
  <c r="K456"/>
  <c r="AI455"/>
  <c r="AM455" s="1"/>
  <c r="W455"/>
  <c r="Y455" s="1"/>
  <c r="AM454"/>
  <c r="W454"/>
  <c r="K454"/>
  <c r="AM453"/>
  <c r="W453"/>
  <c r="Y453" s="1"/>
  <c r="AM452"/>
  <c r="W452"/>
  <c r="Y452" s="1"/>
  <c r="AM451"/>
  <c r="Y451"/>
  <c r="AM450"/>
  <c r="W450"/>
  <c r="K450"/>
  <c r="AM449"/>
  <c r="Y449"/>
  <c r="AM448"/>
  <c r="W448"/>
  <c r="Y448" s="1"/>
  <c r="AM447"/>
  <c r="W447"/>
  <c r="Y447" s="1"/>
  <c r="AM446"/>
  <c r="Y446"/>
  <c r="AM445"/>
  <c r="Y445"/>
  <c r="AM444"/>
  <c r="W444"/>
  <c r="Y444" s="1"/>
  <c r="AM443"/>
  <c r="Y443"/>
  <c r="AM442"/>
  <c r="W442"/>
  <c r="Y442" s="1"/>
  <c r="AM441"/>
  <c r="Y441"/>
  <c r="AM440"/>
  <c r="Y440"/>
  <c r="AE439"/>
  <c r="AM439" s="1"/>
  <c r="W439"/>
  <c r="K439"/>
  <c r="AM438"/>
  <c r="W438"/>
  <c r="Y438" s="1"/>
  <c r="AM437"/>
  <c r="W437"/>
  <c r="K437"/>
  <c r="AM436"/>
  <c r="W436"/>
  <c r="Y436" s="1"/>
  <c r="AM435"/>
  <c r="Y435"/>
  <c r="AM434"/>
  <c r="Y434"/>
  <c r="AM433"/>
  <c r="Y433"/>
  <c r="AM432"/>
  <c r="Y432"/>
  <c r="AM431"/>
  <c r="Y431"/>
  <c r="AZ635" i="2"/>
  <c r="BJ635" s="1"/>
  <c r="AZ634"/>
  <c r="BJ634" s="1"/>
  <c r="AZ633"/>
  <c r="BJ633" s="1"/>
  <c r="M632"/>
  <c r="AZ632" s="1"/>
  <c r="BJ632" s="1"/>
  <c r="AZ631"/>
  <c r="BJ631" s="1"/>
  <c r="AZ630"/>
  <c r="BJ630" s="1"/>
  <c r="AZ629"/>
  <c r="BJ629" s="1"/>
  <c r="M628"/>
  <c r="AZ628" s="1"/>
  <c r="BJ628" s="1"/>
  <c r="AZ627"/>
  <c r="BJ627" s="1"/>
  <c r="AZ626"/>
  <c r="BJ626" s="1"/>
  <c r="AZ625"/>
  <c r="BJ625" s="1"/>
  <c r="AZ624"/>
  <c r="BJ624" s="1"/>
  <c r="AZ623"/>
  <c r="BJ623" s="1"/>
  <c r="AZ622"/>
  <c r="BJ622" s="1"/>
  <c r="AZ621"/>
  <c r="BJ621" s="1"/>
  <c r="AZ620"/>
  <c r="BJ620" s="1"/>
  <c r="AZ619"/>
  <c r="BJ619" s="1"/>
  <c r="AZ618"/>
  <c r="BJ618" s="1"/>
  <c r="AZ617"/>
  <c r="BJ617" s="1"/>
  <c r="AZ616"/>
  <c r="BJ616" s="1"/>
  <c r="M615"/>
  <c r="AZ615" s="1"/>
  <c r="BJ615" s="1"/>
  <c r="AZ614"/>
  <c r="BJ614" s="1"/>
  <c r="AZ613"/>
  <c r="BJ613" s="1"/>
  <c r="AZ612"/>
  <c r="BJ612" s="1"/>
  <c r="AZ611"/>
  <c r="BJ611" s="1"/>
  <c r="AZ610"/>
  <c r="BJ610" s="1"/>
  <c r="AZ609"/>
  <c r="BJ609" s="1"/>
  <c r="AZ608"/>
  <c r="BJ608" s="1"/>
  <c r="AZ607"/>
  <c r="BJ607" s="1"/>
  <c r="AZ606"/>
  <c r="BJ606" s="1"/>
  <c r="M605"/>
  <c r="AZ605" s="1"/>
  <c r="BJ605" s="1"/>
  <c r="AZ604"/>
  <c r="BJ604" s="1"/>
  <c r="AZ603"/>
  <c r="BJ603" s="1"/>
  <c r="AZ602"/>
  <c r="BJ602" s="1"/>
  <c r="AZ601"/>
  <c r="BJ601" s="1"/>
  <c r="AZ600"/>
  <c r="BJ600" s="1"/>
  <c r="AZ599"/>
  <c r="BJ599" s="1"/>
  <c r="AZ598"/>
  <c r="BJ598" s="1"/>
  <c r="AZ594"/>
  <c r="BJ594" s="1"/>
  <c r="AZ593"/>
  <c r="BJ593" s="1"/>
  <c r="AZ592"/>
  <c r="BJ592" s="1"/>
  <c r="AZ591"/>
  <c r="BJ591" s="1"/>
  <c r="AZ590"/>
  <c r="BJ590" s="1"/>
  <c r="AZ589"/>
  <c r="BJ589" s="1"/>
  <c r="AZ588"/>
  <c r="BJ588" s="1"/>
  <c r="M587"/>
  <c r="AZ587" s="1"/>
  <c r="BJ587" s="1"/>
  <c r="AZ586"/>
  <c r="BJ586" s="1"/>
  <c r="AZ585"/>
  <c r="BJ585" s="1"/>
  <c r="AZ584"/>
  <c r="BJ584" s="1"/>
  <c r="AZ583"/>
  <c r="BJ583" s="1"/>
  <c r="M582"/>
  <c r="AZ582" s="1"/>
  <c r="BJ582" s="1"/>
  <c r="AZ581"/>
  <c r="BJ581" s="1"/>
  <c r="AZ580"/>
  <c r="BJ580" s="1"/>
  <c r="AZ579"/>
  <c r="BJ579" s="1"/>
  <c r="AZ578"/>
  <c r="BJ578" s="1"/>
  <c r="AZ577"/>
  <c r="BJ577" s="1"/>
  <c r="AZ576"/>
  <c r="BJ576" s="1"/>
  <c r="AZ575"/>
  <c r="BJ575" s="1"/>
  <c r="AZ574"/>
  <c r="BJ574" s="1"/>
  <c r="AZ573"/>
  <c r="BJ573" s="1"/>
  <c r="AZ572"/>
  <c r="BJ572" s="1"/>
  <c r="AZ571"/>
  <c r="BJ571" s="1"/>
  <c r="AZ570"/>
  <c r="BJ570" s="1"/>
  <c r="AZ569"/>
  <c r="BJ569" s="1"/>
  <c r="M568"/>
  <c r="AZ568" s="1"/>
  <c r="BJ568" s="1"/>
  <c r="AZ567"/>
  <c r="BJ567" s="1"/>
  <c r="AZ566"/>
  <c r="BJ566" s="1"/>
  <c r="AZ565"/>
  <c r="BJ565" s="1"/>
  <c r="AZ564"/>
  <c r="BJ564" s="1"/>
  <c r="AZ563"/>
  <c r="BJ563" s="1"/>
  <c r="AZ562"/>
  <c r="BJ562" s="1"/>
  <c r="AZ561"/>
  <c r="BJ561" s="1"/>
  <c r="AZ560"/>
  <c r="BJ560" s="1"/>
  <c r="AZ559"/>
  <c r="BJ559" s="1"/>
  <c r="AZ558"/>
  <c r="BJ558" s="1"/>
  <c r="AZ557"/>
  <c r="BJ557" s="1"/>
  <c r="M556"/>
  <c r="AZ556" s="1"/>
  <c r="BJ556" s="1"/>
  <c r="AZ555"/>
  <c r="BJ555" s="1"/>
  <c r="AZ554"/>
  <c r="BJ554" s="1"/>
  <c r="M553"/>
  <c r="AZ553" s="1"/>
  <c r="BJ553" s="1"/>
  <c r="AZ552"/>
  <c r="BJ552" s="1"/>
  <c r="AZ551"/>
  <c r="BJ551" s="1"/>
  <c r="AZ550"/>
  <c r="BJ550" s="1"/>
  <c r="AZ549"/>
  <c r="BJ549" s="1"/>
  <c r="AZ548"/>
  <c r="BJ548" s="1"/>
  <c r="M547"/>
  <c r="AZ547" s="1"/>
  <c r="BJ547" s="1"/>
  <c r="AZ546"/>
  <c r="BJ546" s="1"/>
  <c r="AZ545"/>
  <c r="BJ545" s="1"/>
  <c r="AZ544"/>
  <c r="BJ544" s="1"/>
  <c r="AZ543"/>
  <c r="BJ543" s="1"/>
  <c r="AZ542"/>
  <c r="BJ542" s="1"/>
  <c r="AZ541"/>
  <c r="BJ541" s="1"/>
  <c r="AZ540"/>
  <c r="BJ540" s="1"/>
  <c r="AZ539"/>
  <c r="BJ539" s="1"/>
  <c r="M538"/>
  <c r="AZ538" s="1"/>
  <c r="BJ538" s="1"/>
  <c r="AZ537"/>
  <c r="BJ537" s="1"/>
  <c r="AZ536"/>
  <c r="BJ536" s="1"/>
  <c r="M535"/>
  <c r="AZ535" s="1"/>
  <c r="BJ535" s="1"/>
  <c r="AZ534"/>
  <c r="BJ534" s="1"/>
  <c r="AZ533"/>
  <c r="BJ533" s="1"/>
  <c r="AZ532"/>
  <c r="BJ532" s="1"/>
  <c r="AZ531"/>
  <c r="BJ531" s="1"/>
  <c r="AZ530"/>
  <c r="BJ530" s="1"/>
  <c r="AZ529"/>
  <c r="BJ529" s="1"/>
  <c r="AZ528"/>
  <c r="BJ528" s="1"/>
  <c r="AZ527"/>
  <c r="BJ527" s="1"/>
  <c r="AZ526"/>
  <c r="BJ526" s="1"/>
  <c r="M525"/>
  <c r="AZ525" s="1"/>
  <c r="BJ525" s="1"/>
  <c r="AZ524"/>
  <c r="BJ524" s="1"/>
  <c r="AZ523"/>
  <c r="BJ523" s="1"/>
  <c r="AZ522"/>
  <c r="BJ522" s="1"/>
  <c r="AZ521"/>
  <c r="BJ521" s="1"/>
  <c r="AZ520"/>
  <c r="BJ520" s="1"/>
  <c r="AZ519"/>
  <c r="BJ519" s="1"/>
  <c r="AZ518"/>
  <c r="BJ518" s="1"/>
  <c r="AZ517"/>
  <c r="BJ517" s="1"/>
  <c r="AZ516"/>
  <c r="BJ516" s="1"/>
  <c r="AZ515"/>
  <c r="BJ515" s="1"/>
  <c r="AZ514"/>
  <c r="BJ514" s="1"/>
  <c r="AZ513"/>
  <c r="BJ513" s="1"/>
  <c r="M512"/>
  <c r="AZ512" s="1"/>
  <c r="BJ512" s="1"/>
  <c r="M511"/>
  <c r="AZ511" s="1"/>
  <c r="BJ511" s="1"/>
  <c r="AZ510"/>
  <c r="BJ510" s="1"/>
  <c r="M506"/>
  <c r="AZ506" s="1"/>
  <c r="BJ506" s="1"/>
  <c r="AZ505"/>
  <c r="BJ505" s="1"/>
  <c r="AZ504"/>
  <c r="BJ504" s="1"/>
  <c r="AZ503"/>
  <c r="BJ503" s="1"/>
  <c r="AZ502"/>
  <c r="BJ502" s="1"/>
  <c r="AZ501"/>
  <c r="BJ501" s="1"/>
  <c r="AZ500"/>
  <c r="BJ500" s="1"/>
  <c r="AZ499"/>
  <c r="BJ499" s="1"/>
  <c r="AZ498"/>
  <c r="BJ498" s="1"/>
  <c r="AZ497"/>
  <c r="BJ497" s="1"/>
  <c r="AZ496"/>
  <c r="BJ496" s="1"/>
  <c r="AZ495"/>
  <c r="BJ495" s="1"/>
  <c r="AZ494"/>
  <c r="BJ494" s="1"/>
  <c r="AZ493"/>
  <c r="BJ493" s="1"/>
  <c r="AZ492"/>
  <c r="BJ492" s="1"/>
  <c r="AZ491"/>
  <c r="BJ491" s="1"/>
  <c r="AZ490"/>
  <c r="BJ490" s="1"/>
  <c r="AZ489"/>
  <c r="BJ489" s="1"/>
  <c r="AZ488"/>
  <c r="BJ488" s="1"/>
  <c r="M487"/>
  <c r="AZ487" s="1"/>
  <c r="BJ487" s="1"/>
  <c r="AZ486"/>
  <c r="BJ486" s="1"/>
  <c r="AZ485"/>
  <c r="BJ485" s="1"/>
  <c r="AZ484"/>
  <c r="BJ484" s="1"/>
  <c r="AZ483"/>
  <c r="BJ483" s="1"/>
  <c r="AZ482"/>
  <c r="BJ482" s="1"/>
  <c r="AZ481"/>
  <c r="BJ481" s="1"/>
  <c r="AZ480"/>
  <c r="BJ480" s="1"/>
  <c r="AZ479"/>
  <c r="BJ479" s="1"/>
  <c r="AZ478"/>
  <c r="BJ478" s="1"/>
  <c r="AZ477"/>
  <c r="BJ477" s="1"/>
  <c r="AZ476"/>
  <c r="BJ476" s="1"/>
  <c r="AZ475"/>
  <c r="BJ475" s="1"/>
  <c r="AZ474"/>
  <c r="BJ474" s="1"/>
  <c r="AZ473"/>
  <c r="BJ473" s="1"/>
  <c r="M472"/>
  <c r="AZ472" s="1"/>
  <c r="BJ472" s="1"/>
  <c r="M471"/>
  <c r="AZ471" s="1"/>
  <c r="BJ471" s="1"/>
  <c r="AZ470"/>
  <c r="BJ470" s="1"/>
  <c r="M469"/>
  <c r="AZ469" s="1"/>
  <c r="BJ469" s="1"/>
  <c r="AZ468"/>
  <c r="BJ468" s="1"/>
  <c r="AZ467"/>
  <c r="BJ467" s="1"/>
  <c r="AZ466"/>
  <c r="BJ466" s="1"/>
  <c r="M465"/>
  <c r="AZ465" s="1"/>
  <c r="BJ465" s="1"/>
  <c r="AZ464"/>
  <c r="BJ464" s="1"/>
  <c r="M463"/>
  <c r="AZ463" s="1"/>
  <c r="BJ463" s="1"/>
  <c r="AZ462"/>
  <c r="BJ462" s="1"/>
  <c r="AZ461"/>
  <c r="BJ461" s="1"/>
  <c r="M460"/>
  <c r="AZ460" s="1"/>
  <c r="BJ460" s="1"/>
  <c r="AZ459"/>
  <c r="BJ459" s="1"/>
  <c r="AZ458"/>
  <c r="BJ458" s="1"/>
  <c r="AZ457"/>
  <c r="BJ457" s="1"/>
  <c r="AZ456"/>
  <c r="BJ456" s="1"/>
  <c r="AZ455"/>
  <c r="BJ455" s="1"/>
  <c r="AZ454"/>
  <c r="BJ454" s="1"/>
  <c r="M453"/>
  <c r="AZ453" s="1"/>
  <c r="BJ453" s="1"/>
  <c r="AZ452"/>
  <c r="BJ452" s="1"/>
  <c r="AZ451"/>
  <c r="BJ451" s="1"/>
  <c r="AZ450"/>
  <c r="BJ450" s="1"/>
  <c r="AZ449"/>
  <c r="BJ449" s="1"/>
  <c r="M448"/>
  <c r="AZ448" s="1"/>
  <c r="BJ448" s="1"/>
  <c r="M447"/>
  <c r="AZ447" s="1"/>
  <c r="BJ447" s="1"/>
  <c r="AZ446"/>
  <c r="BJ446" s="1"/>
  <c r="AZ445"/>
  <c r="BJ445" s="1"/>
  <c r="AZ444"/>
  <c r="BJ444" s="1"/>
  <c r="AZ443"/>
  <c r="BJ443" s="1"/>
  <c r="AZ442"/>
  <c r="BJ442" s="1"/>
  <c r="AZ441"/>
  <c r="BJ441" s="1"/>
  <c r="AZ440"/>
  <c r="BJ440" s="1"/>
  <c r="AZ439"/>
  <c r="BJ439" s="1"/>
  <c r="AZ438"/>
  <c r="BJ438" s="1"/>
  <c r="AZ437"/>
  <c r="BJ437" s="1"/>
  <c r="M436"/>
  <c r="AZ436" s="1"/>
  <c r="BJ436" s="1"/>
  <c r="AZ435"/>
  <c r="BJ435" s="1"/>
  <c r="AZ434"/>
  <c r="BJ434" s="1"/>
  <c r="AZ433"/>
  <c r="BJ433" s="1"/>
  <c r="AZ432"/>
  <c r="BJ432" s="1"/>
  <c r="AZ431"/>
  <c r="BJ431" s="1"/>
  <c r="AK629" i="1"/>
  <c r="AK635"/>
  <c r="W635"/>
  <c r="Y635" s="1"/>
  <c r="AK634"/>
  <c r="W634"/>
  <c r="Y634" s="1"/>
  <c r="AK633"/>
  <c r="W633"/>
  <c r="Y633" s="1"/>
  <c r="AK632"/>
  <c r="Y632"/>
  <c r="AK631"/>
  <c r="Y631"/>
  <c r="AK630"/>
  <c r="W630"/>
  <c r="K630"/>
  <c r="Y629"/>
  <c r="AM629" s="1"/>
  <c r="AK628"/>
  <c r="W628"/>
  <c r="Y628" s="1"/>
  <c r="AK627"/>
  <c r="W627"/>
  <c r="Y627" s="1"/>
  <c r="AK626"/>
  <c r="W626"/>
  <c r="Y626" s="1"/>
  <c r="AK625"/>
  <c r="Y625"/>
  <c r="AG624"/>
  <c r="AK624" s="1"/>
  <c r="Y624"/>
  <c r="AG623"/>
  <c r="AK623" s="1"/>
  <c r="W623"/>
  <c r="K623"/>
  <c r="AK622"/>
  <c r="W622"/>
  <c r="Y622" s="1"/>
  <c r="AK621"/>
  <c r="W621"/>
  <c r="Y621" s="1"/>
  <c r="AK620"/>
  <c r="W620"/>
  <c r="Y620" s="1"/>
  <c r="AK619"/>
  <c r="W619"/>
  <c r="K619"/>
  <c r="AK618"/>
  <c r="Y618"/>
  <c r="AK617"/>
  <c r="K617"/>
  <c r="Y617" s="1"/>
  <c r="AK616"/>
  <c r="W616"/>
  <c r="Y616" s="1"/>
  <c r="AK615"/>
  <c r="W615"/>
  <c r="Y615" s="1"/>
  <c r="AK614"/>
  <c r="Y614"/>
  <c r="AK613"/>
  <c r="Y613"/>
  <c r="AK612"/>
  <c r="Y612"/>
  <c r="W612"/>
  <c r="AK611"/>
  <c r="W611"/>
  <c r="K611"/>
  <c r="Y611" s="1"/>
  <c r="AM611" s="1"/>
  <c r="AK610"/>
  <c r="W610"/>
  <c r="Y610" s="1"/>
  <c r="AG609"/>
  <c r="AK609" s="1"/>
  <c r="W609"/>
  <c r="Y609" s="1"/>
  <c r="AK608"/>
  <c r="Y608"/>
  <c r="AM608" s="1"/>
  <c r="W608"/>
  <c r="AK607"/>
  <c r="W607"/>
  <c r="Y607" s="1"/>
  <c r="AK606"/>
  <c r="W606"/>
  <c r="Y606" s="1"/>
  <c r="AK605"/>
  <c r="W605"/>
  <c r="Y605" s="1"/>
  <c r="AK604"/>
  <c r="W604"/>
  <c r="Y604" s="1"/>
  <c r="AK603"/>
  <c r="W603"/>
  <c r="K603"/>
  <c r="Y603" s="1"/>
  <c r="AM603" s="1"/>
  <c r="AK602"/>
  <c r="W602"/>
  <c r="K602"/>
  <c r="AK601"/>
  <c r="W601"/>
  <c r="Y601" s="1"/>
  <c r="AK600"/>
  <c r="W600"/>
  <c r="Y600" s="1"/>
  <c r="AK599"/>
  <c r="W599"/>
  <c r="Y599" s="1"/>
  <c r="AK598"/>
  <c r="Y598"/>
  <c r="AK594"/>
  <c r="Y594"/>
  <c r="AK593"/>
  <c r="Y593"/>
  <c r="AK592"/>
  <c r="Y592"/>
  <c r="AK591"/>
  <c r="W591"/>
  <c r="Y591" s="1"/>
  <c r="AG590"/>
  <c r="AK590" s="1"/>
  <c r="W590"/>
  <c r="K590"/>
  <c r="Y590" s="1"/>
  <c r="AK589"/>
  <c r="W589"/>
  <c r="Y589" s="1"/>
  <c r="AK588"/>
  <c r="W588"/>
  <c r="Y588" s="1"/>
  <c r="AK587"/>
  <c r="W587"/>
  <c r="K587"/>
  <c r="AK586"/>
  <c r="W586"/>
  <c r="Y586" s="1"/>
  <c r="AK585"/>
  <c r="W585"/>
  <c r="Y585" s="1"/>
  <c r="AG584"/>
  <c r="AK584" s="1"/>
  <c r="Y584"/>
  <c r="AK583"/>
  <c r="W583"/>
  <c r="K583"/>
  <c r="AK582"/>
  <c r="W582"/>
  <c r="Y582" s="1"/>
  <c r="AG581"/>
  <c r="AK581" s="1"/>
  <c r="W581"/>
  <c r="Y581" s="1"/>
  <c r="AK580"/>
  <c r="Y580"/>
  <c r="AK579"/>
  <c r="W579"/>
  <c r="K579"/>
  <c r="AK578"/>
  <c r="Y578"/>
  <c r="AG577"/>
  <c r="AK577" s="1"/>
  <c r="W577"/>
  <c r="Y577" s="1"/>
  <c r="AK576"/>
  <c r="W576"/>
  <c r="Y576" s="1"/>
  <c r="AK575"/>
  <c r="Y575"/>
  <c r="AM575" s="1"/>
  <c r="AK574"/>
  <c r="W574"/>
  <c r="Y574" s="1"/>
  <c r="AK573"/>
  <c r="Y573"/>
  <c r="AK572"/>
  <c r="W572"/>
  <c r="K572"/>
  <c r="AK571"/>
  <c r="AM571" s="1"/>
  <c r="Y571"/>
  <c r="AK570"/>
  <c r="AM570" s="1"/>
  <c r="Y570"/>
  <c r="AK569"/>
  <c r="AM569" s="1"/>
  <c r="Y569"/>
  <c r="W568"/>
  <c r="K568"/>
  <c r="AG567"/>
  <c r="AK567" s="1"/>
  <c r="W567"/>
  <c r="Y567" s="1"/>
  <c r="AK566"/>
  <c r="Y566"/>
  <c r="AK565"/>
  <c r="W565"/>
  <c r="Y565" s="1"/>
  <c r="AK564"/>
  <c r="Y564"/>
  <c r="AK563"/>
  <c r="W563"/>
  <c r="Y563" s="1"/>
  <c r="AK562"/>
  <c r="W562"/>
  <c r="Y562" s="1"/>
  <c r="AK561"/>
  <c r="Y561"/>
  <c r="AK560"/>
  <c r="Y560"/>
  <c r="AK559"/>
  <c r="Y559"/>
  <c r="AK558"/>
  <c r="Y558"/>
  <c r="AK557"/>
  <c r="Y557"/>
  <c r="AK556"/>
  <c r="W556"/>
  <c r="Y556" s="1"/>
  <c r="AK555"/>
  <c r="Y555"/>
  <c r="W555"/>
  <c r="AK554"/>
  <c r="W554"/>
  <c r="Y554" s="1"/>
  <c r="AK553"/>
  <c r="Y553"/>
  <c r="AK552"/>
  <c r="Y552"/>
  <c r="AK551"/>
  <c r="W551"/>
  <c r="K551"/>
  <c r="Y551" s="1"/>
  <c r="AK550"/>
  <c r="Y550"/>
  <c r="AK549"/>
  <c r="W549"/>
  <c r="K549"/>
  <c r="AK548"/>
  <c r="W548"/>
  <c r="Y548" s="1"/>
  <c r="AK547"/>
  <c r="W547"/>
  <c r="Y547" s="1"/>
  <c r="AK546"/>
  <c r="W546"/>
  <c r="K546"/>
  <c r="Y546" s="1"/>
  <c r="AM546" s="1"/>
  <c r="AK545"/>
  <c r="W545"/>
  <c r="Y545" s="1"/>
  <c r="AK544"/>
  <c r="Y544"/>
  <c r="AK543"/>
  <c r="W543"/>
  <c r="Y543" s="1"/>
  <c r="AK542"/>
  <c r="W542"/>
  <c r="Y542" s="1"/>
  <c r="AK541"/>
  <c r="Y541"/>
  <c r="W541"/>
  <c r="AK540"/>
  <c r="W540"/>
  <c r="Y540" s="1"/>
  <c r="AK539"/>
  <c r="Y539"/>
  <c r="AK538"/>
  <c r="Y538"/>
  <c r="AK537"/>
  <c r="W537"/>
  <c r="Y537" s="1"/>
  <c r="AK536"/>
  <c r="Y536"/>
  <c r="AK535"/>
  <c r="W535"/>
  <c r="Y535" s="1"/>
  <c r="AK534"/>
  <c r="Y534"/>
  <c r="AK533"/>
  <c r="K533"/>
  <c r="Y533" s="1"/>
  <c r="AK532"/>
  <c r="W532"/>
  <c r="Y532" s="1"/>
  <c r="AK531"/>
  <c r="Y531"/>
  <c r="AK530"/>
  <c r="Y530"/>
  <c r="AG529"/>
  <c r="AK529" s="1"/>
  <c r="W529"/>
  <c r="Y529" s="1"/>
  <c r="AK528"/>
  <c r="Y528"/>
  <c r="AM528" s="1"/>
  <c r="AG527"/>
  <c r="AK527" s="1"/>
  <c r="W527"/>
  <c r="Y527" s="1"/>
  <c r="AK526"/>
  <c r="Y526"/>
  <c r="AM526" s="1"/>
  <c r="W526"/>
  <c r="AK525"/>
  <c r="W525"/>
  <c r="Y525" s="1"/>
  <c r="AK524"/>
  <c r="W524"/>
  <c r="Y524" s="1"/>
  <c r="AK523"/>
  <c r="Y523"/>
  <c r="AK522"/>
  <c r="Y522"/>
  <c r="AK521"/>
  <c r="K521"/>
  <c r="Y521" s="1"/>
  <c r="AK520"/>
  <c r="Y520"/>
  <c r="AM520" s="1"/>
  <c r="AK519"/>
  <c r="W519"/>
  <c r="Y519" s="1"/>
  <c r="AK518"/>
  <c r="Y518"/>
  <c r="AK517"/>
  <c r="Y517"/>
  <c r="AM517" s="1"/>
  <c r="AK516"/>
  <c r="Y516"/>
  <c r="AG515"/>
  <c r="AK515" s="1"/>
  <c r="W515"/>
  <c r="Y515" s="1"/>
  <c r="AK514"/>
  <c r="W514"/>
  <c r="Y514" s="1"/>
  <c r="AK513"/>
  <c r="Y513"/>
  <c r="AK512"/>
  <c r="W512"/>
  <c r="Y512" s="1"/>
  <c r="AK511"/>
  <c r="W511"/>
  <c r="Y511" s="1"/>
  <c r="AK510"/>
  <c r="Y510"/>
  <c r="W510"/>
  <c r="AK506"/>
  <c r="W506"/>
  <c r="Y506" s="1"/>
  <c r="AK505"/>
  <c r="W505"/>
  <c r="Y505" s="1"/>
  <c r="AK504"/>
  <c r="W504"/>
  <c r="Y504" s="1"/>
  <c r="AK503"/>
  <c r="W503"/>
  <c r="Y503" s="1"/>
  <c r="AK502"/>
  <c r="Y502"/>
  <c r="AK501"/>
  <c r="W501"/>
  <c r="K501"/>
  <c r="Y501" s="1"/>
  <c r="AK500"/>
  <c r="Y500"/>
  <c r="Y499"/>
  <c r="AM499" s="1"/>
  <c r="AK498"/>
  <c r="W498"/>
  <c r="Y498" s="1"/>
  <c r="AK497"/>
  <c r="W497"/>
  <c r="Y497" s="1"/>
  <c r="AK496"/>
  <c r="W496"/>
  <c r="Y496" s="1"/>
  <c r="AK495"/>
  <c r="W495"/>
  <c r="Y495" s="1"/>
  <c r="AK494"/>
  <c r="W494"/>
  <c r="Y494" s="1"/>
  <c r="AK493"/>
  <c r="W493"/>
  <c r="K493"/>
  <c r="AK492"/>
  <c r="AG492"/>
  <c r="Y492"/>
  <c r="W492"/>
  <c r="AK491"/>
  <c r="W491"/>
  <c r="K491"/>
  <c r="Y491" s="1"/>
  <c r="AM491" s="1"/>
  <c r="AK490"/>
  <c r="W490"/>
  <c r="Y490" s="1"/>
  <c r="AK489"/>
  <c r="Y489"/>
  <c r="AK488"/>
  <c r="Y488"/>
  <c r="AK487"/>
  <c r="W487"/>
  <c r="Y487" s="1"/>
  <c r="AE486"/>
  <c r="AK486" s="1"/>
  <c r="W486"/>
  <c r="Y486" s="1"/>
  <c r="AK485"/>
  <c r="Y485"/>
  <c r="AM485" s="1"/>
  <c r="W485"/>
  <c r="AK484"/>
  <c r="Y484"/>
  <c r="AK483"/>
  <c r="AM483" s="1"/>
  <c r="W483"/>
  <c r="Y483" s="1"/>
  <c r="AK482"/>
  <c r="AM482" s="1"/>
  <c r="W482"/>
  <c r="Y482" s="1"/>
  <c r="AK481"/>
  <c r="AM481" s="1"/>
  <c r="Y481"/>
  <c r="AK480"/>
  <c r="W480"/>
  <c r="Y480" s="1"/>
  <c r="AK479"/>
  <c r="Y479"/>
  <c r="AK478"/>
  <c r="W478"/>
  <c r="Y478" s="1"/>
  <c r="AK477"/>
  <c r="W477"/>
  <c r="Y477" s="1"/>
  <c r="AK476"/>
  <c r="W476"/>
  <c r="K476"/>
  <c r="AK475"/>
  <c r="W475"/>
  <c r="Y475" s="1"/>
  <c r="AK474"/>
  <c r="W474"/>
  <c r="Y474" s="1"/>
  <c r="AK473"/>
  <c r="W473"/>
  <c r="Y473" s="1"/>
  <c r="AK472"/>
  <c r="W472"/>
  <c r="K472"/>
  <c r="AK471"/>
  <c r="AM471" s="1"/>
  <c r="W471"/>
  <c r="Y471" s="1"/>
  <c r="AK470"/>
  <c r="W470"/>
  <c r="Y470" s="1"/>
  <c r="AK469"/>
  <c r="W469"/>
  <c r="Y469" s="1"/>
  <c r="AK468"/>
  <c r="W468"/>
  <c r="Y468" s="1"/>
  <c r="AK467"/>
  <c r="Y467"/>
  <c r="AK466"/>
  <c r="Y466"/>
  <c r="AK465"/>
  <c r="W465"/>
  <c r="Y465" s="1"/>
  <c r="AK464"/>
  <c r="W464"/>
  <c r="K464"/>
  <c r="AK463"/>
  <c r="W463"/>
  <c r="Y463" s="1"/>
  <c r="AK462"/>
  <c r="W462"/>
  <c r="K462"/>
  <c r="AK461"/>
  <c r="W461"/>
  <c r="Y461" s="1"/>
  <c r="AK460"/>
  <c r="W460"/>
  <c r="K460"/>
  <c r="AK459"/>
  <c r="Y459"/>
  <c r="AK458"/>
  <c r="W458"/>
  <c r="K458"/>
  <c r="Y458" s="1"/>
  <c r="AK457"/>
  <c r="Y457"/>
  <c r="AK456"/>
  <c r="W456"/>
  <c r="K456"/>
  <c r="AG455"/>
  <c r="AK455" s="1"/>
  <c r="Y455"/>
  <c r="AK454"/>
  <c r="AM454" s="1"/>
  <c r="Y454"/>
  <c r="AK453"/>
  <c r="AM453" s="1"/>
  <c r="W453"/>
  <c r="Y453" s="1"/>
  <c r="AK452"/>
  <c r="AM452" s="1"/>
  <c r="W452"/>
  <c r="Y452" s="1"/>
  <c r="AK451"/>
  <c r="AM451" s="1"/>
  <c r="Y451"/>
  <c r="AK450"/>
  <c r="W450"/>
  <c r="Y450" s="1"/>
  <c r="AK449"/>
  <c r="Y449"/>
  <c r="AK448"/>
  <c r="Y448"/>
  <c r="AK447"/>
  <c r="W447"/>
  <c r="Y447" s="1"/>
  <c r="AM447" s="1"/>
  <c r="AK446"/>
  <c r="Y446"/>
  <c r="AK445"/>
  <c r="Y445"/>
  <c r="AK444"/>
  <c r="W444"/>
  <c r="Y444" s="1"/>
  <c r="AM444" s="1"/>
  <c r="AK443"/>
  <c r="Y443"/>
  <c r="AM443" s="1"/>
  <c r="AK442"/>
  <c r="Y442"/>
  <c r="AK441"/>
  <c r="Y441"/>
  <c r="AM441" s="1"/>
  <c r="AK440"/>
  <c r="Y440"/>
  <c r="AK439"/>
  <c r="Y439"/>
  <c r="AM439" s="1"/>
  <c r="W439"/>
  <c r="AK438"/>
  <c r="Y438"/>
  <c r="AK437"/>
  <c r="W437"/>
  <c r="K437"/>
  <c r="Y437" s="1"/>
  <c r="AK436"/>
  <c r="Y436"/>
  <c r="AM436" s="1"/>
  <c r="W436"/>
  <c r="AK435"/>
  <c r="Y435"/>
  <c r="AK434"/>
  <c r="Y434"/>
  <c r="AK433"/>
  <c r="Y433"/>
  <c r="AK432"/>
  <c r="Y432"/>
  <c r="AK431"/>
  <c r="Y431"/>
  <c r="Y635" i="26"/>
  <c r="U635"/>
  <c r="O635"/>
  <c r="G635"/>
  <c r="K635" s="1"/>
  <c r="Y634"/>
  <c r="U634"/>
  <c r="O634"/>
  <c r="K634"/>
  <c r="U633"/>
  <c r="AA633" s="1"/>
  <c r="O633"/>
  <c r="G633"/>
  <c r="K633" s="1"/>
  <c r="Y632"/>
  <c r="U632"/>
  <c r="O632"/>
  <c r="K632"/>
  <c r="Y631"/>
  <c r="U631"/>
  <c r="O631"/>
  <c r="K631"/>
  <c r="Y630"/>
  <c r="U630"/>
  <c r="O630"/>
  <c r="K630"/>
  <c r="U629"/>
  <c r="AA629" s="1"/>
  <c r="O629"/>
  <c r="K629"/>
  <c r="Y628"/>
  <c r="U628"/>
  <c r="O628"/>
  <c r="K628"/>
  <c r="Y627"/>
  <c r="U627"/>
  <c r="O627"/>
  <c r="K627"/>
  <c r="Y626"/>
  <c r="U626"/>
  <c r="O626"/>
  <c r="K626"/>
  <c r="Y625"/>
  <c r="U625"/>
  <c r="O625"/>
  <c r="G625"/>
  <c r="K625" s="1"/>
  <c r="Y624"/>
  <c r="U624"/>
  <c r="O624"/>
  <c r="K624"/>
  <c r="Y623"/>
  <c r="U623"/>
  <c r="O623"/>
  <c r="K623"/>
  <c r="Y622"/>
  <c r="U622"/>
  <c r="AA622" s="1"/>
  <c r="O622"/>
  <c r="K622"/>
  <c r="Y621"/>
  <c r="U621"/>
  <c r="AA621" s="1"/>
  <c r="O621"/>
  <c r="K621"/>
  <c r="Y620"/>
  <c r="U620"/>
  <c r="AA620" s="1"/>
  <c r="O620"/>
  <c r="K620"/>
  <c r="Y619"/>
  <c r="U619"/>
  <c r="AA619" s="1"/>
  <c r="O619"/>
  <c r="K619"/>
  <c r="AA618"/>
  <c r="O618"/>
  <c r="K618"/>
  <c r="Y617"/>
  <c r="U617"/>
  <c r="O617"/>
  <c r="AC617" s="1"/>
  <c r="K617"/>
  <c r="Y616"/>
  <c r="U616"/>
  <c r="O616"/>
  <c r="I616"/>
  <c r="Y615"/>
  <c r="U615"/>
  <c r="O615"/>
  <c r="K615"/>
  <c r="Y614"/>
  <c r="U614"/>
  <c r="O614"/>
  <c r="K614"/>
  <c r="Y613"/>
  <c r="U613"/>
  <c r="O613"/>
  <c r="K613"/>
  <c r="Y612"/>
  <c r="U612"/>
  <c r="O612"/>
  <c r="K612"/>
  <c r="Y611"/>
  <c r="U611"/>
  <c r="O611"/>
  <c r="G611"/>
  <c r="K611" s="1"/>
  <c r="Y610"/>
  <c r="U610"/>
  <c r="O610"/>
  <c r="K610"/>
  <c r="Y609"/>
  <c r="U609"/>
  <c r="O609"/>
  <c r="G609"/>
  <c r="Y608"/>
  <c r="U608"/>
  <c r="O608"/>
  <c r="K608"/>
  <c r="Y607"/>
  <c r="W607"/>
  <c r="U607"/>
  <c r="O607"/>
  <c r="G607"/>
  <c r="Y606"/>
  <c r="U606"/>
  <c r="O606"/>
  <c r="K606"/>
  <c r="Y605"/>
  <c r="U605"/>
  <c r="O605"/>
  <c r="K605"/>
  <c r="Y604"/>
  <c r="U604"/>
  <c r="O604"/>
  <c r="K604"/>
  <c r="Y603"/>
  <c r="U603"/>
  <c r="O603"/>
  <c r="K603"/>
  <c r="Y602"/>
  <c r="U602"/>
  <c r="O602"/>
  <c r="K602"/>
  <c r="AC602" s="1"/>
  <c r="Y601"/>
  <c r="U601"/>
  <c r="AA601" s="1"/>
  <c r="O601"/>
  <c r="K601"/>
  <c r="AC601" s="1"/>
  <c r="Y600"/>
  <c r="U600"/>
  <c r="AA600" s="1"/>
  <c r="O600"/>
  <c r="K600"/>
  <c r="G600"/>
  <c r="Y599"/>
  <c r="U599"/>
  <c r="O599"/>
  <c r="K599"/>
  <c r="Y598"/>
  <c r="U598"/>
  <c r="O598"/>
  <c r="G598"/>
  <c r="AA594"/>
  <c r="O594"/>
  <c r="K594"/>
  <c r="AC594" s="1"/>
  <c r="AA593"/>
  <c r="O593"/>
  <c r="K593"/>
  <c r="AA592"/>
  <c r="O592"/>
  <c r="K592"/>
  <c r="AC592" s="1"/>
  <c r="Y591"/>
  <c r="U591"/>
  <c r="AA591" s="1"/>
  <c r="O591"/>
  <c r="K591"/>
  <c r="AC591" s="1"/>
  <c r="Y590"/>
  <c r="U590"/>
  <c r="AA590" s="1"/>
  <c r="O590"/>
  <c r="K590"/>
  <c r="G590"/>
  <c r="Y589"/>
  <c r="U589"/>
  <c r="O589"/>
  <c r="G589"/>
  <c r="Y588"/>
  <c r="U588"/>
  <c r="O588"/>
  <c r="G588"/>
  <c r="Y587"/>
  <c r="U587"/>
  <c r="O587"/>
  <c r="G587"/>
  <c r="Y586"/>
  <c r="U586"/>
  <c r="O586"/>
  <c r="I586"/>
  <c r="G586"/>
  <c r="Y585"/>
  <c r="U585"/>
  <c r="O585"/>
  <c r="K585"/>
  <c r="Y584"/>
  <c r="U584"/>
  <c r="O584"/>
  <c r="G584"/>
  <c r="Y583"/>
  <c r="U583"/>
  <c r="AA583" s="1"/>
  <c r="O583"/>
  <c r="G583"/>
  <c r="Y582"/>
  <c r="U582"/>
  <c r="AA582" s="1"/>
  <c r="O582"/>
  <c r="K582"/>
  <c r="AC582" s="1"/>
  <c r="Y581"/>
  <c r="U581"/>
  <c r="AA581" s="1"/>
  <c r="O581"/>
  <c r="K581"/>
  <c r="AC581" s="1"/>
  <c r="AA580"/>
  <c r="O580"/>
  <c r="K580"/>
  <c r="Y579"/>
  <c r="U579"/>
  <c r="O579"/>
  <c r="G579"/>
  <c r="AA578"/>
  <c r="O578"/>
  <c r="K578"/>
  <c r="Y577"/>
  <c r="U577"/>
  <c r="O577"/>
  <c r="K577"/>
  <c r="Y576"/>
  <c r="U576"/>
  <c r="O576"/>
  <c r="K576"/>
  <c r="Y575"/>
  <c r="U575"/>
  <c r="O575"/>
  <c r="K575"/>
  <c r="Y574"/>
  <c r="U574"/>
  <c r="O574"/>
  <c r="K574"/>
  <c r="AA573"/>
  <c r="O573"/>
  <c r="K573"/>
  <c r="Y572"/>
  <c r="U572"/>
  <c r="O572"/>
  <c r="K572"/>
  <c r="AA571"/>
  <c r="O571"/>
  <c r="K571"/>
  <c r="AA570"/>
  <c r="O570"/>
  <c r="K570"/>
  <c r="Y569"/>
  <c r="U569"/>
  <c r="O569"/>
  <c r="K569"/>
  <c r="Y568"/>
  <c r="W568"/>
  <c r="U568"/>
  <c r="O568"/>
  <c r="K568"/>
  <c r="Y567"/>
  <c r="U567"/>
  <c r="O567"/>
  <c r="K567"/>
  <c r="AA566"/>
  <c r="O566"/>
  <c r="K566"/>
  <c r="Y565"/>
  <c r="U565"/>
  <c r="O565"/>
  <c r="G565"/>
  <c r="K565" s="1"/>
  <c r="AA564"/>
  <c r="O564"/>
  <c r="K564"/>
  <c r="Y563"/>
  <c r="U563"/>
  <c r="O563"/>
  <c r="K563"/>
  <c r="Y562"/>
  <c r="U562"/>
  <c r="O562"/>
  <c r="K562"/>
  <c r="Y561"/>
  <c r="U561"/>
  <c r="O561"/>
  <c r="K561"/>
  <c r="Y560"/>
  <c r="U560"/>
  <c r="O560"/>
  <c r="G560"/>
  <c r="AA559"/>
  <c r="O559"/>
  <c r="K559"/>
  <c r="AA558"/>
  <c r="O558"/>
  <c r="K558"/>
  <c r="Y557"/>
  <c r="U557"/>
  <c r="O557"/>
  <c r="K557"/>
  <c r="Y556"/>
  <c r="U556"/>
  <c r="O556"/>
  <c r="G556"/>
  <c r="K556" s="1"/>
  <c r="Y555"/>
  <c r="U555"/>
  <c r="O555"/>
  <c r="K555"/>
  <c r="Y554"/>
  <c r="U554"/>
  <c r="O554"/>
  <c r="K554"/>
  <c r="Y553"/>
  <c r="U553"/>
  <c r="O553"/>
  <c r="G553"/>
  <c r="AA552"/>
  <c r="O552"/>
  <c r="K552"/>
  <c r="Y551"/>
  <c r="U551"/>
  <c r="O551"/>
  <c r="G551"/>
  <c r="K551" s="1"/>
  <c r="Y550"/>
  <c r="U550"/>
  <c r="Q550"/>
  <c r="O550" s="1"/>
  <c r="K550"/>
  <c r="Y549"/>
  <c r="U549"/>
  <c r="O549"/>
  <c r="G549"/>
  <c r="Y548"/>
  <c r="U548"/>
  <c r="O548"/>
  <c r="K548"/>
  <c r="Y547"/>
  <c r="U547"/>
  <c r="O547"/>
  <c r="G547"/>
  <c r="Y546"/>
  <c r="U546"/>
  <c r="O546"/>
  <c r="G546"/>
  <c r="K546" s="1"/>
  <c r="Y545"/>
  <c r="U545"/>
  <c r="O545"/>
  <c r="K545"/>
  <c r="Y544"/>
  <c r="U544"/>
  <c r="O544"/>
  <c r="G544"/>
  <c r="Y543"/>
  <c r="U543"/>
  <c r="O543"/>
  <c r="K543"/>
  <c r="Y542"/>
  <c r="U542"/>
  <c r="O542"/>
  <c r="K542"/>
  <c r="Y541"/>
  <c r="U541"/>
  <c r="O541"/>
  <c r="G541"/>
  <c r="Y540"/>
  <c r="U540"/>
  <c r="O540"/>
  <c r="G540"/>
  <c r="Y539"/>
  <c r="U539"/>
  <c r="O539"/>
  <c r="G539"/>
  <c r="K539" s="1"/>
  <c r="Y538"/>
  <c r="U538"/>
  <c r="O538"/>
  <c r="K538"/>
  <c r="Y537"/>
  <c r="U537"/>
  <c r="O537"/>
  <c r="K537"/>
  <c r="Y536"/>
  <c r="U536"/>
  <c r="O536"/>
  <c r="K536"/>
  <c r="Y535"/>
  <c r="U535"/>
  <c r="O535"/>
  <c r="K535"/>
  <c r="AA534"/>
  <c r="O534"/>
  <c r="K534"/>
  <c r="Y533"/>
  <c r="U533"/>
  <c r="O533"/>
  <c r="K533"/>
  <c r="Y532"/>
  <c r="W532"/>
  <c r="U532"/>
  <c r="O532"/>
  <c r="I532"/>
  <c r="AA531"/>
  <c r="O531"/>
  <c r="K531"/>
  <c r="AA530"/>
  <c r="O530"/>
  <c r="K530"/>
  <c r="Y529"/>
  <c r="U529"/>
  <c r="O529"/>
  <c r="G529"/>
  <c r="Y528"/>
  <c r="U528"/>
  <c r="O528"/>
  <c r="G528"/>
  <c r="Y527"/>
  <c r="U527"/>
  <c r="O527"/>
  <c r="K527"/>
  <c r="Y526"/>
  <c r="U526"/>
  <c r="O526"/>
  <c r="K526"/>
  <c r="Y525"/>
  <c r="U525"/>
  <c r="O525"/>
  <c r="K525"/>
  <c r="Y524"/>
  <c r="U524"/>
  <c r="O524"/>
  <c r="I524"/>
  <c r="K524" s="1"/>
  <c r="AA523"/>
  <c r="O523"/>
  <c r="K523"/>
  <c r="AA522"/>
  <c r="O522"/>
  <c r="K522"/>
  <c r="Y521"/>
  <c r="U521"/>
  <c r="O521"/>
  <c r="K521"/>
  <c r="Y520"/>
  <c r="U520"/>
  <c r="O520"/>
  <c r="K520"/>
  <c r="Y519"/>
  <c r="U519"/>
  <c r="O519"/>
  <c r="G519"/>
  <c r="U518"/>
  <c r="AA518" s="1"/>
  <c r="O518"/>
  <c r="I518"/>
  <c r="AA517"/>
  <c r="K517"/>
  <c r="AC517" s="1"/>
  <c r="Y516"/>
  <c r="U516"/>
  <c r="O516"/>
  <c r="G516"/>
  <c r="Y515"/>
  <c r="U515"/>
  <c r="O515"/>
  <c r="K515"/>
  <c r="Y514"/>
  <c r="U514"/>
  <c r="O514"/>
  <c r="K514"/>
  <c r="Y513"/>
  <c r="U513"/>
  <c r="O513"/>
  <c r="G513"/>
  <c r="K513" s="1"/>
  <c r="Y512"/>
  <c r="U512"/>
  <c r="O512"/>
  <c r="K512"/>
  <c r="Y511"/>
  <c r="U511"/>
  <c r="O511"/>
  <c r="K511"/>
  <c r="Y510"/>
  <c r="U510"/>
  <c r="O510"/>
  <c r="K510"/>
  <c r="Y506"/>
  <c r="U506"/>
  <c r="O506"/>
  <c r="G506"/>
  <c r="K506" s="1"/>
  <c r="Y505"/>
  <c r="U505"/>
  <c r="O505"/>
  <c r="K505"/>
  <c r="Y504"/>
  <c r="U504"/>
  <c r="O504"/>
  <c r="K504"/>
  <c r="Y503"/>
  <c r="U503"/>
  <c r="O503"/>
  <c r="K503"/>
  <c r="U502"/>
  <c r="AA502" s="1"/>
  <c r="O502"/>
  <c r="K502"/>
  <c r="Y501"/>
  <c r="U501"/>
  <c r="O501"/>
  <c r="G501"/>
  <c r="K501" s="1"/>
  <c r="Y500"/>
  <c r="U500"/>
  <c r="O500"/>
  <c r="K500"/>
  <c r="AA499"/>
  <c r="K499"/>
  <c r="AC499" s="1"/>
  <c r="Y498"/>
  <c r="U498"/>
  <c r="O498"/>
  <c r="K498"/>
  <c r="Y497"/>
  <c r="U497"/>
  <c r="O497"/>
  <c r="K497"/>
  <c r="Y496"/>
  <c r="U496"/>
  <c r="O496"/>
  <c r="G496"/>
  <c r="Y495"/>
  <c r="U495"/>
  <c r="O495"/>
  <c r="K495"/>
  <c r="Y494"/>
  <c r="U494"/>
  <c r="O494"/>
  <c r="G494"/>
  <c r="K494" s="1"/>
  <c r="Y493"/>
  <c r="U493"/>
  <c r="O493"/>
  <c r="G493"/>
  <c r="K493" s="1"/>
  <c r="Y492"/>
  <c r="U492"/>
  <c r="O492"/>
  <c r="K492"/>
  <c r="Y491"/>
  <c r="U491"/>
  <c r="O491"/>
  <c r="K491"/>
  <c r="Y490"/>
  <c r="U490"/>
  <c r="O490"/>
  <c r="M490"/>
  <c r="G490"/>
  <c r="Y489"/>
  <c r="U489"/>
  <c r="O489"/>
  <c r="K489"/>
  <c r="Y488"/>
  <c r="U488"/>
  <c r="O488"/>
  <c r="K488"/>
  <c r="Y487"/>
  <c r="U487"/>
  <c r="O487"/>
  <c r="K487"/>
  <c r="Y486"/>
  <c r="U486"/>
  <c r="O486"/>
  <c r="K486"/>
  <c r="Y485"/>
  <c r="U485"/>
  <c r="O485"/>
  <c r="K485"/>
  <c r="Y484"/>
  <c r="U484"/>
  <c r="O484"/>
  <c r="K484"/>
  <c r="Y483"/>
  <c r="U483"/>
  <c r="O483"/>
  <c r="K483"/>
  <c r="Y482"/>
  <c r="U482"/>
  <c r="O482"/>
  <c r="G482"/>
  <c r="K482" s="1"/>
  <c r="AA481"/>
  <c r="O481"/>
  <c r="K481"/>
  <c r="Y480"/>
  <c r="U480"/>
  <c r="O480"/>
  <c r="K480"/>
  <c r="Y479"/>
  <c r="U479"/>
  <c r="O479"/>
  <c r="G479"/>
  <c r="K479" s="1"/>
  <c r="Y478"/>
  <c r="U478"/>
  <c r="O478"/>
  <c r="G478"/>
  <c r="K478" s="1"/>
  <c r="Y477"/>
  <c r="U477"/>
  <c r="O477"/>
  <c r="K477"/>
  <c r="Y476"/>
  <c r="U476"/>
  <c r="O476"/>
  <c r="K476"/>
  <c r="Y475"/>
  <c r="U475"/>
  <c r="O475"/>
  <c r="K475"/>
  <c r="Y474"/>
  <c r="U474"/>
  <c r="O474"/>
  <c r="K474"/>
  <c r="U473"/>
  <c r="AA473" s="1"/>
  <c r="O473"/>
  <c r="K473"/>
  <c r="Y472"/>
  <c r="U472"/>
  <c r="O472"/>
  <c r="G472"/>
  <c r="K472" s="1"/>
  <c r="Y471"/>
  <c r="U471"/>
  <c r="O471"/>
  <c r="G471"/>
  <c r="Y470"/>
  <c r="U470"/>
  <c r="O470"/>
  <c r="K470"/>
  <c r="Y469"/>
  <c r="U469"/>
  <c r="O469"/>
  <c r="G469"/>
  <c r="K469" s="1"/>
  <c r="Y468"/>
  <c r="U468"/>
  <c r="O468"/>
  <c r="K468"/>
  <c r="Y467"/>
  <c r="U467"/>
  <c r="O467"/>
  <c r="K467"/>
  <c r="AA466"/>
  <c r="O466"/>
  <c r="K466"/>
  <c r="Y465"/>
  <c r="U465"/>
  <c r="O465"/>
  <c r="K465"/>
  <c r="Y464"/>
  <c r="U464"/>
  <c r="O464"/>
  <c r="K464"/>
  <c r="Y463"/>
  <c r="U463"/>
  <c r="O463"/>
  <c r="K463"/>
  <c r="Y462"/>
  <c r="U462"/>
  <c r="O462"/>
  <c r="G462"/>
  <c r="Y461"/>
  <c r="U461"/>
  <c r="O461"/>
  <c r="K461"/>
  <c r="Y460"/>
  <c r="U460"/>
  <c r="O460"/>
  <c r="K460"/>
  <c r="AA459"/>
  <c r="O459"/>
  <c r="K459"/>
  <c r="Y458"/>
  <c r="U458"/>
  <c r="Q458"/>
  <c r="O458" s="1"/>
  <c r="I458"/>
  <c r="G458"/>
  <c r="U457"/>
  <c r="AA457" s="1"/>
  <c r="O457"/>
  <c r="K457"/>
  <c r="Y456"/>
  <c r="U456"/>
  <c r="O456"/>
  <c r="G456"/>
  <c r="K456" s="1"/>
  <c r="Y455"/>
  <c r="U455"/>
  <c r="O455"/>
  <c r="G455"/>
  <c r="K455" s="1"/>
  <c r="Y454"/>
  <c r="U454"/>
  <c r="O454"/>
  <c r="K454"/>
  <c r="Y453"/>
  <c r="U453"/>
  <c r="O453"/>
  <c r="K453"/>
  <c r="Y452"/>
  <c r="U452"/>
  <c r="O452"/>
  <c r="K452"/>
  <c r="AA451"/>
  <c r="O451"/>
  <c r="K451"/>
  <c r="Y450"/>
  <c r="U450"/>
  <c r="O450"/>
  <c r="G450"/>
  <c r="K450" s="1"/>
  <c r="AA449"/>
  <c r="O449"/>
  <c r="K449"/>
  <c r="Y448"/>
  <c r="U448"/>
  <c r="O448"/>
  <c r="K448"/>
  <c r="Y447"/>
  <c r="U447"/>
  <c r="O447"/>
  <c r="K447"/>
  <c r="AA446"/>
  <c r="O446"/>
  <c r="K446"/>
  <c r="AA445"/>
  <c r="O445"/>
  <c r="K445"/>
  <c r="Y444"/>
  <c r="U444"/>
  <c r="O444"/>
  <c r="K444"/>
  <c r="AA443"/>
  <c r="O443"/>
  <c r="K443"/>
  <c r="Y442"/>
  <c r="U442"/>
  <c r="O442"/>
  <c r="K442"/>
  <c r="AA441"/>
  <c r="O441"/>
  <c r="K441"/>
  <c r="AA440"/>
  <c r="O440"/>
  <c r="K440"/>
  <c r="Y439"/>
  <c r="U439"/>
  <c r="Q439"/>
  <c r="O439" s="1"/>
  <c r="G439"/>
  <c r="Y438"/>
  <c r="U438"/>
  <c r="O438"/>
  <c r="G438"/>
  <c r="Y437"/>
  <c r="U437"/>
  <c r="O437"/>
  <c r="G437"/>
  <c r="K437" s="1"/>
  <c r="Y436"/>
  <c r="U436"/>
  <c r="O436"/>
  <c r="G436"/>
  <c r="K436" s="1"/>
  <c r="AA435"/>
  <c r="O435"/>
  <c r="K435"/>
  <c r="AA434"/>
  <c r="O434"/>
  <c r="K434"/>
  <c r="AA433"/>
  <c r="O433"/>
  <c r="K433"/>
  <c r="AA432"/>
  <c r="O432"/>
  <c r="K432"/>
  <c r="AA431"/>
  <c r="O431"/>
  <c r="K431"/>
  <c r="U635" i="14"/>
  <c r="AA635" s="1"/>
  <c r="O635"/>
  <c r="K635"/>
  <c r="U634"/>
  <c r="AA634" s="1"/>
  <c r="O634"/>
  <c r="K634"/>
  <c r="U633"/>
  <c r="AA633" s="1"/>
  <c r="O633"/>
  <c r="K633"/>
  <c r="U632"/>
  <c r="AA632" s="1"/>
  <c r="O632"/>
  <c r="K632"/>
  <c r="U631"/>
  <c r="AA631" s="1"/>
  <c r="O631"/>
  <c r="K631"/>
  <c r="U630"/>
  <c r="AA630" s="1"/>
  <c r="O630"/>
  <c r="K630"/>
  <c r="U629"/>
  <c r="AA629" s="1"/>
  <c r="O629"/>
  <c r="K629"/>
  <c r="U628"/>
  <c r="AA628" s="1"/>
  <c r="O628"/>
  <c r="K628"/>
  <c r="U627"/>
  <c r="AA627" s="1"/>
  <c r="O627"/>
  <c r="K627"/>
  <c r="U626"/>
  <c r="AA626" s="1"/>
  <c r="O626"/>
  <c r="K626"/>
  <c r="U625"/>
  <c r="AA625" s="1"/>
  <c r="O625"/>
  <c r="K625"/>
  <c r="U624"/>
  <c r="AA624" s="1"/>
  <c r="O624"/>
  <c r="K624"/>
  <c r="U623"/>
  <c r="AA623" s="1"/>
  <c r="O623"/>
  <c r="K623"/>
  <c r="U622"/>
  <c r="AA622" s="1"/>
  <c r="O622"/>
  <c r="K622"/>
  <c r="U621"/>
  <c r="AA621" s="1"/>
  <c r="O621"/>
  <c r="K621"/>
  <c r="U620"/>
  <c r="AA620" s="1"/>
  <c r="O620"/>
  <c r="K620"/>
  <c r="U619"/>
  <c r="AA619" s="1"/>
  <c r="O619"/>
  <c r="K619"/>
  <c r="AA618"/>
  <c r="O618"/>
  <c r="K618"/>
  <c r="U617"/>
  <c r="AA617" s="1"/>
  <c r="O617"/>
  <c r="K617"/>
  <c r="U616"/>
  <c r="AA616" s="1"/>
  <c r="O616"/>
  <c r="K616"/>
  <c r="U615"/>
  <c r="AA615" s="1"/>
  <c r="O615"/>
  <c r="K615"/>
  <c r="U614"/>
  <c r="AA614" s="1"/>
  <c r="O614"/>
  <c r="K614"/>
  <c r="U613"/>
  <c r="AA613" s="1"/>
  <c r="O613"/>
  <c r="K613"/>
  <c r="U612"/>
  <c r="AA612" s="1"/>
  <c r="O612"/>
  <c r="K612"/>
  <c r="U611"/>
  <c r="AA611" s="1"/>
  <c r="O611"/>
  <c r="K611"/>
  <c r="U610"/>
  <c r="AA610" s="1"/>
  <c r="O610"/>
  <c r="K610"/>
  <c r="U609"/>
  <c r="AA609" s="1"/>
  <c r="O609"/>
  <c r="K609"/>
  <c r="U608"/>
  <c r="AA608" s="1"/>
  <c r="O608"/>
  <c r="K608"/>
  <c r="U607"/>
  <c r="AA607" s="1"/>
  <c r="O607"/>
  <c r="G607"/>
  <c r="K607" s="1"/>
  <c r="U606"/>
  <c r="AA606" s="1"/>
  <c r="O606"/>
  <c r="K606"/>
  <c r="U605"/>
  <c r="AA605" s="1"/>
  <c r="O605"/>
  <c r="K605"/>
  <c r="U604"/>
  <c r="AA604" s="1"/>
  <c r="O604"/>
  <c r="K604"/>
  <c r="U603"/>
  <c r="AA603" s="1"/>
  <c r="O603"/>
  <c r="K603"/>
  <c r="U602"/>
  <c r="AA602" s="1"/>
  <c r="O602"/>
  <c r="K602"/>
  <c r="U601"/>
  <c r="AA601" s="1"/>
  <c r="O601"/>
  <c r="K601"/>
  <c r="U600"/>
  <c r="AA600" s="1"/>
  <c r="O600"/>
  <c r="K600"/>
  <c r="U599"/>
  <c r="AA599" s="1"/>
  <c r="O599"/>
  <c r="K599"/>
  <c r="U598"/>
  <c r="AA598" s="1"/>
  <c r="O598"/>
  <c r="G598"/>
  <c r="K598" s="1"/>
  <c r="AA594"/>
  <c r="O594"/>
  <c r="K594"/>
  <c r="AA593"/>
  <c r="O593"/>
  <c r="K593"/>
  <c r="AA592"/>
  <c r="O592"/>
  <c r="K592"/>
  <c r="U591"/>
  <c r="AA591" s="1"/>
  <c r="O591"/>
  <c r="K591"/>
  <c r="U590"/>
  <c r="AA590" s="1"/>
  <c r="O590"/>
  <c r="K590"/>
  <c r="U589"/>
  <c r="AA589" s="1"/>
  <c r="O589"/>
  <c r="K589"/>
  <c r="U588"/>
  <c r="AA588" s="1"/>
  <c r="O588"/>
  <c r="K588"/>
  <c r="U587"/>
  <c r="AA587" s="1"/>
  <c r="O587"/>
  <c r="G587"/>
  <c r="K587" s="1"/>
  <c r="U586"/>
  <c r="AA586" s="1"/>
  <c r="O586"/>
  <c r="G586"/>
  <c r="K586" s="1"/>
  <c r="U585"/>
  <c r="AA585" s="1"/>
  <c r="O585"/>
  <c r="K585"/>
  <c r="U584"/>
  <c r="AA584" s="1"/>
  <c r="O584"/>
  <c r="K584"/>
  <c r="U583"/>
  <c r="AA583" s="1"/>
  <c r="O583"/>
  <c r="K583"/>
  <c r="U582"/>
  <c r="AA582" s="1"/>
  <c r="O582"/>
  <c r="K582"/>
  <c r="U581"/>
  <c r="AA581" s="1"/>
  <c r="O581"/>
  <c r="K581"/>
  <c r="AA580"/>
  <c r="O580"/>
  <c r="K580"/>
  <c r="U579"/>
  <c r="AA579" s="1"/>
  <c r="O579"/>
  <c r="K579"/>
  <c r="AA578"/>
  <c r="O578"/>
  <c r="K578"/>
  <c r="U577"/>
  <c r="AA577" s="1"/>
  <c r="O577"/>
  <c r="K577"/>
  <c r="U576"/>
  <c r="AA576" s="1"/>
  <c r="O576"/>
  <c r="K576"/>
  <c r="U575"/>
  <c r="AA575" s="1"/>
  <c r="O575"/>
  <c r="K575"/>
  <c r="U574"/>
  <c r="AA574" s="1"/>
  <c r="O574"/>
  <c r="K574"/>
  <c r="AA573"/>
  <c r="O573"/>
  <c r="K573"/>
  <c r="U572"/>
  <c r="AA572" s="1"/>
  <c r="O572"/>
  <c r="K572"/>
  <c r="AA571"/>
  <c r="O571"/>
  <c r="K571"/>
  <c r="AA570"/>
  <c r="O570"/>
  <c r="K570"/>
  <c r="U569"/>
  <c r="AA569" s="1"/>
  <c r="O569"/>
  <c r="K569"/>
  <c r="W568"/>
  <c r="U568"/>
  <c r="O568"/>
  <c r="K568"/>
  <c r="U567"/>
  <c r="AA567" s="1"/>
  <c r="O567"/>
  <c r="K567"/>
  <c r="AA566"/>
  <c r="O566"/>
  <c r="K566"/>
  <c r="AA565"/>
  <c r="O565"/>
  <c r="K565"/>
  <c r="AA564"/>
  <c r="O564"/>
  <c r="K564"/>
  <c r="U563"/>
  <c r="AA563" s="1"/>
  <c r="O563"/>
  <c r="K563"/>
  <c r="U562"/>
  <c r="AA562" s="1"/>
  <c r="O562"/>
  <c r="K562"/>
  <c r="U561"/>
  <c r="AA561" s="1"/>
  <c r="O561"/>
  <c r="K561"/>
  <c r="U560"/>
  <c r="AA560" s="1"/>
  <c r="O560"/>
  <c r="K560"/>
  <c r="AA559"/>
  <c r="O559"/>
  <c r="K559"/>
  <c r="AA558"/>
  <c r="O558"/>
  <c r="K558"/>
  <c r="U557"/>
  <c r="AA557" s="1"/>
  <c r="O557"/>
  <c r="K557"/>
  <c r="U556"/>
  <c r="AA556" s="1"/>
  <c r="O556"/>
  <c r="K556"/>
  <c r="U555"/>
  <c r="AA555" s="1"/>
  <c r="O555"/>
  <c r="K555"/>
  <c r="U554"/>
  <c r="AA554" s="1"/>
  <c r="O554"/>
  <c r="K554"/>
  <c r="U553"/>
  <c r="AA553" s="1"/>
  <c r="O553"/>
  <c r="G553"/>
  <c r="AA552"/>
  <c r="O552"/>
  <c r="K552"/>
  <c r="U551"/>
  <c r="AA551" s="1"/>
  <c r="O551"/>
  <c r="K551"/>
  <c r="U550"/>
  <c r="AA550" s="1"/>
  <c r="O550"/>
  <c r="K550"/>
  <c r="U549"/>
  <c r="AA549" s="1"/>
  <c r="O549"/>
  <c r="G549"/>
  <c r="U548"/>
  <c r="AA548" s="1"/>
  <c r="O548"/>
  <c r="K548"/>
  <c r="U547"/>
  <c r="AA547" s="1"/>
  <c r="O547"/>
  <c r="K547"/>
  <c r="U546"/>
  <c r="AA546" s="1"/>
  <c r="O546"/>
  <c r="K546"/>
  <c r="U545"/>
  <c r="AA545" s="1"/>
  <c r="O545"/>
  <c r="K545"/>
  <c r="U544"/>
  <c r="AA544" s="1"/>
  <c r="O544"/>
  <c r="K544"/>
  <c r="U543"/>
  <c r="AA543" s="1"/>
  <c r="O543"/>
  <c r="K543"/>
  <c r="U542"/>
  <c r="AA542" s="1"/>
  <c r="O542"/>
  <c r="K542"/>
  <c r="U541"/>
  <c r="AA541" s="1"/>
  <c r="O541"/>
  <c r="G541"/>
  <c r="K541" s="1"/>
  <c r="U540"/>
  <c r="AA540" s="1"/>
  <c r="O540"/>
  <c r="K540"/>
  <c r="U539"/>
  <c r="AA539" s="1"/>
  <c r="O539"/>
  <c r="G539"/>
  <c r="U538"/>
  <c r="AA538" s="1"/>
  <c r="O538"/>
  <c r="K538"/>
  <c r="U537"/>
  <c r="AA537" s="1"/>
  <c r="O537"/>
  <c r="K537"/>
  <c r="U536"/>
  <c r="AA536" s="1"/>
  <c r="O536"/>
  <c r="K536"/>
  <c r="U535"/>
  <c r="AA535" s="1"/>
  <c r="O535"/>
  <c r="K535"/>
  <c r="AA534"/>
  <c r="O534"/>
  <c r="K534"/>
  <c r="U533"/>
  <c r="AA533" s="1"/>
  <c r="O533"/>
  <c r="K533"/>
  <c r="W532"/>
  <c r="U532"/>
  <c r="O532"/>
  <c r="K532"/>
  <c r="AA531"/>
  <c r="O531"/>
  <c r="K531"/>
  <c r="AA530"/>
  <c r="O530"/>
  <c r="K530"/>
  <c r="U529"/>
  <c r="AA529" s="1"/>
  <c r="O529"/>
  <c r="G529"/>
  <c r="AA528"/>
  <c r="O528"/>
  <c r="K528"/>
  <c r="U527"/>
  <c r="AA527" s="1"/>
  <c r="O527"/>
  <c r="K527"/>
  <c r="U526"/>
  <c r="AA526" s="1"/>
  <c r="O526"/>
  <c r="K526"/>
  <c r="U525"/>
  <c r="AA525" s="1"/>
  <c r="O525"/>
  <c r="K525"/>
  <c r="U524"/>
  <c r="AA524" s="1"/>
  <c r="O524"/>
  <c r="K524"/>
  <c r="AA523"/>
  <c r="O523"/>
  <c r="K523"/>
  <c r="AA522"/>
  <c r="O522"/>
  <c r="K522"/>
  <c r="U521"/>
  <c r="AA521" s="1"/>
  <c r="O521"/>
  <c r="K521"/>
  <c r="U520"/>
  <c r="AA520" s="1"/>
  <c r="O520"/>
  <c r="K520"/>
  <c r="U519"/>
  <c r="AA519" s="1"/>
  <c r="O519"/>
  <c r="K519"/>
  <c r="U518"/>
  <c r="AA518" s="1"/>
  <c r="O518"/>
  <c r="K518"/>
  <c r="AA517"/>
  <c r="K517"/>
  <c r="AC517" s="1"/>
  <c r="U516"/>
  <c r="AA516" s="1"/>
  <c r="O516"/>
  <c r="K516"/>
  <c r="U515"/>
  <c r="AA515" s="1"/>
  <c r="O515"/>
  <c r="K515"/>
  <c r="U514"/>
  <c r="AA514" s="1"/>
  <c r="O514"/>
  <c r="K514"/>
  <c r="U513"/>
  <c r="AA513" s="1"/>
  <c r="O513"/>
  <c r="K513"/>
  <c r="U512"/>
  <c r="AA512" s="1"/>
  <c r="O512"/>
  <c r="K512"/>
  <c r="U511"/>
  <c r="AA511" s="1"/>
  <c r="O511"/>
  <c r="K511"/>
  <c r="U510"/>
  <c r="AA510" s="1"/>
  <c r="O510"/>
  <c r="K510"/>
  <c r="U506"/>
  <c r="AA506" s="1"/>
  <c r="O506"/>
  <c r="K506"/>
  <c r="U505"/>
  <c r="AA505" s="1"/>
  <c r="O505"/>
  <c r="K505"/>
  <c r="U504"/>
  <c r="AA504" s="1"/>
  <c r="O504"/>
  <c r="K504"/>
  <c r="U503"/>
  <c r="AA503" s="1"/>
  <c r="O503"/>
  <c r="K503"/>
  <c r="U502"/>
  <c r="AA502" s="1"/>
  <c r="O502"/>
  <c r="K502"/>
  <c r="U501"/>
  <c r="AA501" s="1"/>
  <c r="O501"/>
  <c r="G501"/>
  <c r="K501" s="1"/>
  <c r="U500"/>
  <c r="AA500" s="1"/>
  <c r="O500"/>
  <c r="K500"/>
  <c r="AA499"/>
  <c r="K499"/>
  <c r="AC499" s="1"/>
  <c r="U498"/>
  <c r="AA498" s="1"/>
  <c r="O498"/>
  <c r="K498"/>
  <c r="U497"/>
  <c r="AA497" s="1"/>
  <c r="O497"/>
  <c r="K497"/>
  <c r="U496"/>
  <c r="AA496" s="1"/>
  <c r="O496"/>
  <c r="K496"/>
  <c r="U495"/>
  <c r="AA495" s="1"/>
  <c r="O495"/>
  <c r="K495"/>
  <c r="U494"/>
  <c r="AA494" s="1"/>
  <c r="O494"/>
  <c r="K494"/>
  <c r="U493"/>
  <c r="AA493" s="1"/>
  <c r="O493"/>
  <c r="K493"/>
  <c r="U492"/>
  <c r="AA492" s="1"/>
  <c r="O492"/>
  <c r="K492"/>
  <c r="U491"/>
  <c r="AA491" s="1"/>
  <c r="O491"/>
  <c r="K491"/>
  <c r="U490"/>
  <c r="AA490" s="1"/>
  <c r="O490"/>
  <c r="K490"/>
  <c r="U489"/>
  <c r="AA489" s="1"/>
  <c r="O489"/>
  <c r="K489"/>
  <c r="U488"/>
  <c r="AA488" s="1"/>
  <c r="O488"/>
  <c r="K488"/>
  <c r="U487"/>
  <c r="AA487" s="1"/>
  <c r="O487"/>
  <c r="K487"/>
  <c r="U486"/>
  <c r="AA486" s="1"/>
  <c r="O486"/>
  <c r="K486"/>
  <c r="U485"/>
  <c r="AA485" s="1"/>
  <c r="O485"/>
  <c r="K485"/>
  <c r="U484"/>
  <c r="AA484" s="1"/>
  <c r="O484"/>
  <c r="K484"/>
  <c r="U483"/>
  <c r="AA483" s="1"/>
  <c r="O483"/>
  <c r="K483"/>
  <c r="U482"/>
  <c r="AA482" s="1"/>
  <c r="O482"/>
  <c r="G482"/>
  <c r="K482" s="1"/>
  <c r="AA481"/>
  <c r="O481"/>
  <c r="K481"/>
  <c r="U480"/>
  <c r="AA480" s="1"/>
  <c r="O480"/>
  <c r="K480"/>
  <c r="U479"/>
  <c r="AA479" s="1"/>
  <c r="O479"/>
  <c r="K479"/>
  <c r="U478"/>
  <c r="AA478" s="1"/>
  <c r="O478"/>
  <c r="K478"/>
  <c r="U477"/>
  <c r="AA477" s="1"/>
  <c r="O477"/>
  <c r="K477"/>
  <c r="U476"/>
  <c r="AA476" s="1"/>
  <c r="O476"/>
  <c r="K476"/>
  <c r="U475"/>
  <c r="AA475" s="1"/>
  <c r="O475"/>
  <c r="K475"/>
  <c r="U474"/>
  <c r="AA474" s="1"/>
  <c r="O474"/>
  <c r="K474"/>
  <c r="U473"/>
  <c r="AA473" s="1"/>
  <c r="O473"/>
  <c r="K473"/>
  <c r="U472"/>
  <c r="AA472" s="1"/>
  <c r="O472"/>
  <c r="K472"/>
  <c r="U471"/>
  <c r="AA471" s="1"/>
  <c r="O471"/>
  <c r="K471"/>
  <c r="U470"/>
  <c r="AA470" s="1"/>
  <c r="O470"/>
  <c r="K470"/>
  <c r="U469"/>
  <c r="AA469" s="1"/>
  <c r="O469"/>
  <c r="K469"/>
  <c r="U468"/>
  <c r="AA468" s="1"/>
  <c r="O468"/>
  <c r="K468"/>
  <c r="U467"/>
  <c r="AA467" s="1"/>
  <c r="O467"/>
  <c r="K467"/>
  <c r="AA466"/>
  <c r="O466"/>
  <c r="K466"/>
  <c r="U465"/>
  <c r="AA465" s="1"/>
  <c r="O465"/>
  <c r="K465"/>
  <c r="U464"/>
  <c r="AA464" s="1"/>
  <c r="O464"/>
  <c r="K464"/>
  <c r="U463"/>
  <c r="AA463" s="1"/>
  <c r="O463"/>
  <c r="K463"/>
  <c r="U462"/>
  <c r="AA462" s="1"/>
  <c r="O462"/>
  <c r="G462"/>
  <c r="U461"/>
  <c r="AA461" s="1"/>
  <c r="O461"/>
  <c r="K461"/>
  <c r="U460"/>
  <c r="AA460" s="1"/>
  <c r="O460"/>
  <c r="K460"/>
  <c r="AA459"/>
  <c r="O459"/>
  <c r="K459"/>
  <c r="U458"/>
  <c r="AA458" s="1"/>
  <c r="O458"/>
  <c r="G458"/>
  <c r="U457"/>
  <c r="AA457" s="1"/>
  <c r="O457"/>
  <c r="K457"/>
  <c r="U456"/>
  <c r="AA456" s="1"/>
  <c r="O456"/>
  <c r="K456"/>
  <c r="U455"/>
  <c r="AA455" s="1"/>
  <c r="O455"/>
  <c r="K455"/>
  <c r="U454"/>
  <c r="AA454" s="1"/>
  <c r="O454"/>
  <c r="K454"/>
  <c r="U453"/>
  <c r="AA453" s="1"/>
  <c r="O453"/>
  <c r="K453"/>
  <c r="U452"/>
  <c r="AA452" s="1"/>
  <c r="O452"/>
  <c r="K452"/>
  <c r="AA451"/>
  <c r="O451"/>
  <c r="K451"/>
  <c r="U450"/>
  <c r="AA450" s="1"/>
  <c r="O450"/>
  <c r="K450"/>
  <c r="AA449"/>
  <c r="O449"/>
  <c r="K449"/>
  <c r="U448"/>
  <c r="AA448" s="1"/>
  <c r="O448"/>
  <c r="K448"/>
  <c r="U447"/>
  <c r="AA447" s="1"/>
  <c r="O447"/>
  <c r="K447"/>
  <c r="AA446"/>
  <c r="O446"/>
  <c r="K446"/>
  <c r="AA445"/>
  <c r="O445"/>
  <c r="K445"/>
  <c r="U444"/>
  <c r="AA444" s="1"/>
  <c r="O444"/>
  <c r="K444"/>
  <c r="AA443"/>
  <c r="O443"/>
  <c r="K443"/>
  <c r="U442"/>
  <c r="AA442" s="1"/>
  <c r="O442"/>
  <c r="K442"/>
  <c r="AA441"/>
  <c r="O441"/>
  <c r="K441"/>
  <c r="AA440"/>
  <c r="O440"/>
  <c r="K440"/>
  <c r="U439"/>
  <c r="AA439" s="1"/>
  <c r="Q439"/>
  <c r="O439" s="1"/>
  <c r="G439"/>
  <c r="K439" s="1"/>
  <c r="U438"/>
  <c r="AA438" s="1"/>
  <c r="O438"/>
  <c r="K438"/>
  <c r="U437"/>
  <c r="AA437" s="1"/>
  <c r="O437"/>
  <c r="K437"/>
  <c r="U436"/>
  <c r="AA436" s="1"/>
  <c r="O436"/>
  <c r="K436"/>
  <c r="AA435"/>
  <c r="O435"/>
  <c r="K435"/>
  <c r="AA434"/>
  <c r="O434"/>
  <c r="K434"/>
  <c r="AA433"/>
  <c r="O433"/>
  <c r="K433"/>
  <c r="AA432"/>
  <c r="O432"/>
  <c r="K432"/>
  <c r="AA431"/>
  <c r="O431"/>
  <c r="K431"/>
  <c r="BC635" i="17"/>
  <c r="BE635" s="1"/>
  <c r="AW635"/>
  <c r="BC634"/>
  <c r="BE634" s="1"/>
  <c r="AW634"/>
  <c r="BC633"/>
  <c r="BE633" s="1"/>
  <c r="M633"/>
  <c r="AW633" s="1"/>
  <c r="BC632"/>
  <c r="BE632" s="1"/>
  <c r="M632"/>
  <c r="AW632" s="1"/>
  <c r="BC631"/>
  <c r="BE631" s="1"/>
  <c r="U631"/>
  <c r="AW631" s="1"/>
  <c r="BC630"/>
  <c r="BE630" s="1"/>
  <c r="AW630"/>
  <c r="BC629"/>
  <c r="BE629" s="1"/>
  <c r="AW629"/>
  <c r="BC628"/>
  <c r="BE628" s="1"/>
  <c r="M628"/>
  <c r="BC627"/>
  <c r="BE627" s="1"/>
  <c r="AW627"/>
  <c r="BC626"/>
  <c r="BE626" s="1"/>
  <c r="AW626"/>
  <c r="BC625"/>
  <c r="BE625" s="1"/>
  <c r="AW625"/>
  <c r="BC624"/>
  <c r="BE624" s="1"/>
  <c r="AW624"/>
  <c r="BC623"/>
  <c r="BE623" s="1"/>
  <c r="AW623"/>
  <c r="BC622"/>
  <c r="BE622" s="1"/>
  <c r="AW622"/>
  <c r="BC621"/>
  <c r="BE621" s="1"/>
  <c r="AW621"/>
  <c r="BC620"/>
  <c r="BE620" s="1"/>
  <c r="AW620"/>
  <c r="BC619"/>
  <c r="BE619" s="1"/>
  <c r="AW619"/>
  <c r="BC618"/>
  <c r="BE618" s="1"/>
  <c r="AW618"/>
  <c r="BC617"/>
  <c r="BE617" s="1"/>
  <c r="AW617"/>
  <c r="BC616"/>
  <c r="BE616" s="1"/>
  <c r="AW616"/>
  <c r="BC615"/>
  <c r="BE615" s="1"/>
  <c r="M615"/>
  <c r="AW615" s="1"/>
  <c r="BC614"/>
  <c r="BE614" s="1"/>
  <c r="AW614"/>
  <c r="BC613"/>
  <c r="BE613" s="1"/>
  <c r="AW613"/>
  <c r="BC612"/>
  <c r="BE612" s="1"/>
  <c r="AW612"/>
  <c r="BC611"/>
  <c r="BE611" s="1"/>
  <c r="AW611"/>
  <c r="BC610"/>
  <c r="BE610" s="1"/>
  <c r="AW610"/>
  <c r="BC609"/>
  <c r="BE609" s="1"/>
  <c r="AW609"/>
  <c r="BC608"/>
  <c r="BE608" s="1"/>
  <c r="AW608"/>
  <c r="BC607"/>
  <c r="BE607" s="1"/>
  <c r="AW607"/>
  <c r="BC606"/>
  <c r="BE606" s="1"/>
  <c r="AW606"/>
  <c r="BC605"/>
  <c r="BE605" s="1"/>
  <c r="M605"/>
  <c r="BC604"/>
  <c r="BE604" s="1"/>
  <c r="AW604"/>
  <c r="BC603"/>
  <c r="BE603" s="1"/>
  <c r="AW603"/>
  <c r="BC602"/>
  <c r="BE602" s="1"/>
  <c r="AW602"/>
  <c r="BC601"/>
  <c r="BE601" s="1"/>
  <c r="AW601"/>
  <c r="BC600"/>
  <c r="BE600" s="1"/>
  <c r="AW600"/>
  <c r="BC599"/>
  <c r="BE599" s="1"/>
  <c r="AW599"/>
  <c r="BC598"/>
  <c r="BE598" s="1"/>
  <c r="AW598"/>
  <c r="BC594"/>
  <c r="BE594" s="1"/>
  <c r="AW594"/>
  <c r="BC593"/>
  <c r="BE593" s="1"/>
  <c r="AW593"/>
  <c r="BC592"/>
  <c r="BE592" s="1"/>
  <c r="AW592"/>
  <c r="BC591"/>
  <c r="BE591" s="1"/>
  <c r="AW591"/>
  <c r="BC590"/>
  <c r="BE590" s="1"/>
  <c r="AW590"/>
  <c r="BC589"/>
  <c r="BE589" s="1"/>
  <c r="AW589"/>
  <c r="BC588"/>
  <c r="BE588" s="1"/>
  <c r="AW588"/>
  <c r="BC587"/>
  <c r="BE587" s="1"/>
  <c r="M587"/>
  <c r="AW587" s="1"/>
  <c r="BC586"/>
  <c r="BE586" s="1"/>
  <c r="AW586"/>
  <c r="BC585"/>
  <c r="BE585" s="1"/>
  <c r="AW585"/>
  <c r="BC584"/>
  <c r="BE584" s="1"/>
  <c r="AW584"/>
  <c r="BC583"/>
  <c r="BE583" s="1"/>
  <c r="AW583"/>
  <c r="BC582"/>
  <c r="BE582" s="1"/>
  <c r="AU582"/>
  <c r="M582"/>
  <c r="BC581"/>
  <c r="BE581" s="1"/>
  <c r="M581"/>
  <c r="AW581" s="1"/>
  <c r="BC580"/>
  <c r="BE580" s="1"/>
  <c r="AW580"/>
  <c r="BC579"/>
  <c r="BE579" s="1"/>
  <c r="AW579"/>
  <c r="BC578"/>
  <c r="BE578" s="1"/>
  <c r="AW578"/>
  <c r="BC577"/>
  <c r="BE577" s="1"/>
  <c r="AW577"/>
  <c r="BC576"/>
  <c r="BE576" s="1"/>
  <c r="AW576"/>
  <c r="BC575"/>
  <c r="BE575" s="1"/>
  <c r="AW575"/>
  <c r="BC574"/>
  <c r="BE574" s="1"/>
  <c r="AW574"/>
  <c r="BC573"/>
  <c r="BE573" s="1"/>
  <c r="AW573"/>
  <c r="BC572"/>
  <c r="BE572" s="1"/>
  <c r="AW572"/>
  <c r="BC571"/>
  <c r="BE571" s="1"/>
  <c r="AW571"/>
  <c r="BC570"/>
  <c r="BE570" s="1"/>
  <c r="AW570"/>
  <c r="BC569"/>
  <c r="BE569" s="1"/>
  <c r="AW569"/>
  <c r="BC568"/>
  <c r="BE568" s="1"/>
  <c r="M568"/>
  <c r="AW568" s="1"/>
  <c r="BC567"/>
  <c r="BE567" s="1"/>
  <c r="AW567"/>
  <c r="BC566"/>
  <c r="BE566" s="1"/>
  <c r="AW566"/>
  <c r="BC565"/>
  <c r="BE565" s="1"/>
  <c r="AW565"/>
  <c r="BC564"/>
  <c r="BE564" s="1"/>
  <c r="AW564"/>
  <c r="BC563"/>
  <c r="BE563" s="1"/>
  <c r="AW563"/>
  <c r="BC562"/>
  <c r="BE562" s="1"/>
  <c r="AW562"/>
  <c r="BC561"/>
  <c r="BE561" s="1"/>
  <c r="AW561"/>
  <c r="BC560"/>
  <c r="BE560" s="1"/>
  <c r="AW560"/>
  <c r="BC559"/>
  <c r="BE559" s="1"/>
  <c r="AW559"/>
  <c r="BC558"/>
  <c r="BE558" s="1"/>
  <c r="AW558"/>
  <c r="BC557"/>
  <c r="BE557" s="1"/>
  <c r="AW557"/>
  <c r="BC556"/>
  <c r="BE556" s="1"/>
  <c r="M556"/>
  <c r="AW556" s="1"/>
  <c r="BC555"/>
  <c r="BE555" s="1"/>
  <c r="AW555"/>
  <c r="BC554"/>
  <c r="BE554" s="1"/>
  <c r="AW554"/>
  <c r="BC553"/>
  <c r="BE553" s="1"/>
  <c r="M553"/>
  <c r="AW553" s="1"/>
  <c r="BC552"/>
  <c r="BE552" s="1"/>
  <c r="AW552"/>
  <c r="BC551"/>
  <c r="BE551" s="1"/>
  <c r="AW551"/>
  <c r="BC550"/>
  <c r="BE550" s="1"/>
  <c r="AW550"/>
  <c r="BC549"/>
  <c r="BE549" s="1"/>
  <c r="AW549"/>
  <c r="BC548"/>
  <c r="BE548" s="1"/>
  <c r="AW548"/>
  <c r="BC547"/>
  <c r="BE547" s="1"/>
  <c r="AU547"/>
  <c r="M547"/>
  <c r="BC546"/>
  <c r="BE546" s="1"/>
  <c r="AW546"/>
  <c r="BC545"/>
  <c r="BE545" s="1"/>
  <c r="AW545"/>
  <c r="BC544"/>
  <c r="BE544" s="1"/>
  <c r="AW544"/>
  <c r="BC543"/>
  <c r="BE543" s="1"/>
  <c r="AW543"/>
  <c r="BC542"/>
  <c r="BE542" s="1"/>
  <c r="M542"/>
  <c r="AW542" s="1"/>
  <c r="BC541"/>
  <c r="BE541" s="1"/>
  <c r="AW541"/>
  <c r="BC540"/>
  <c r="BE540" s="1"/>
  <c r="AW540"/>
  <c r="BC539"/>
  <c r="BE539" s="1"/>
  <c r="AW539"/>
  <c r="BC538"/>
  <c r="BE538" s="1"/>
  <c r="M538"/>
  <c r="AW538" s="1"/>
  <c r="BC537"/>
  <c r="BE537" s="1"/>
  <c r="AW537"/>
  <c r="BC536"/>
  <c r="BE536" s="1"/>
  <c r="M536"/>
  <c r="AW536" s="1"/>
  <c r="BC535"/>
  <c r="BE535" s="1"/>
  <c r="M535"/>
  <c r="AW535" s="1"/>
  <c r="BC534"/>
  <c r="BE534" s="1"/>
  <c r="AW534"/>
  <c r="BC533"/>
  <c r="BE533" s="1"/>
  <c r="AW533"/>
  <c r="BC532"/>
  <c r="BE532" s="1"/>
  <c r="AW532"/>
  <c r="BC531"/>
  <c r="BE531" s="1"/>
  <c r="AW531"/>
  <c r="BC530"/>
  <c r="BE530" s="1"/>
  <c r="AW530"/>
  <c r="BC529"/>
  <c r="BE529" s="1"/>
  <c r="AW529"/>
  <c r="BC528"/>
  <c r="BE528" s="1"/>
  <c r="AW528"/>
  <c r="BC527"/>
  <c r="BE527" s="1"/>
  <c r="AW527"/>
  <c r="BC526"/>
  <c r="BE526" s="1"/>
  <c r="AW526"/>
  <c r="BC525"/>
  <c r="BE525" s="1"/>
  <c r="M525"/>
  <c r="AW525" s="1"/>
  <c r="BC524"/>
  <c r="BE524" s="1"/>
  <c r="M524"/>
  <c r="AW524" s="1"/>
  <c r="BC523"/>
  <c r="BE523" s="1"/>
  <c r="AW523"/>
  <c r="BC522"/>
  <c r="BE522" s="1"/>
  <c r="AW522"/>
  <c r="BC521"/>
  <c r="BE521" s="1"/>
  <c r="AW521"/>
  <c r="BC520"/>
  <c r="BE520" s="1"/>
  <c r="AW520"/>
  <c r="BC519"/>
  <c r="BE519" s="1"/>
  <c r="AW519"/>
  <c r="BC518"/>
  <c r="BE518" s="1"/>
  <c r="AW518"/>
  <c r="BC517"/>
  <c r="BE517" s="1"/>
  <c r="AW517"/>
  <c r="BC516"/>
  <c r="BE516" s="1"/>
  <c r="AW516"/>
  <c r="BC515"/>
  <c r="BE515" s="1"/>
  <c r="AW515"/>
  <c r="BC514"/>
  <c r="BE514" s="1"/>
  <c r="AW514"/>
  <c r="BC513"/>
  <c r="BE513" s="1"/>
  <c r="AW513"/>
  <c r="BC512"/>
  <c r="BE512" s="1"/>
  <c r="M512"/>
  <c r="AW512" s="1"/>
  <c r="BC511"/>
  <c r="BE511" s="1"/>
  <c r="M511"/>
  <c r="AW511" s="1"/>
  <c r="BC510"/>
  <c r="BE510" s="1"/>
  <c r="AW510"/>
  <c r="BC506"/>
  <c r="BE506" s="1"/>
  <c r="M506"/>
  <c r="AW506" s="1"/>
  <c r="BC505"/>
  <c r="BE505" s="1"/>
  <c r="AW505"/>
  <c r="BC504"/>
  <c r="BE504" s="1"/>
  <c r="AW504"/>
  <c r="BC503"/>
  <c r="BE503" s="1"/>
  <c r="AW503"/>
  <c r="BC502"/>
  <c r="BE502" s="1"/>
  <c r="AW502"/>
  <c r="BC501"/>
  <c r="BE501" s="1"/>
  <c r="AW501"/>
  <c r="BC500"/>
  <c r="BE500" s="1"/>
  <c r="AW500"/>
  <c r="BC499"/>
  <c r="BE499" s="1"/>
  <c r="AW499"/>
  <c r="BC498"/>
  <c r="BE498" s="1"/>
  <c r="AW498"/>
  <c r="BC497"/>
  <c r="BE497" s="1"/>
  <c r="AW497"/>
  <c r="BC496"/>
  <c r="BE496" s="1"/>
  <c r="AW496"/>
  <c r="BC495"/>
  <c r="BE495" s="1"/>
  <c r="AW495"/>
  <c r="BC494"/>
  <c r="BE494" s="1"/>
  <c r="AW494"/>
  <c r="BC493"/>
  <c r="BE493" s="1"/>
  <c r="M493"/>
  <c r="AW493" s="1"/>
  <c r="BC492"/>
  <c r="BE492" s="1"/>
  <c r="M492"/>
  <c r="AW492" s="1"/>
  <c r="BC491"/>
  <c r="BE491" s="1"/>
  <c r="M491"/>
  <c r="AW491" s="1"/>
  <c r="BC490"/>
  <c r="BE490" s="1"/>
  <c r="AW490"/>
  <c r="BC489"/>
  <c r="BE489" s="1"/>
  <c r="AW489"/>
  <c r="BC488"/>
  <c r="BE488" s="1"/>
  <c r="AW488"/>
  <c r="BC487"/>
  <c r="BE487" s="1"/>
  <c r="M487"/>
  <c r="AW487" s="1"/>
  <c r="BC486"/>
  <c r="BE486" s="1"/>
  <c r="AW486"/>
  <c r="BC485"/>
  <c r="BE485" s="1"/>
  <c r="AW485"/>
  <c r="BC484"/>
  <c r="BE484" s="1"/>
  <c r="AW484"/>
  <c r="BC483"/>
  <c r="BE483" s="1"/>
  <c r="AW483"/>
  <c r="BC482"/>
  <c r="BE482" s="1"/>
  <c r="AW482"/>
  <c r="BC481"/>
  <c r="BE481" s="1"/>
  <c r="AW481"/>
  <c r="BC480"/>
  <c r="BE480" s="1"/>
  <c r="AW480"/>
  <c r="BC479"/>
  <c r="BE479" s="1"/>
  <c r="AW479"/>
  <c r="BC478"/>
  <c r="BE478" s="1"/>
  <c r="AW478"/>
  <c r="BC477"/>
  <c r="BE477" s="1"/>
  <c r="AW477"/>
  <c r="BC476"/>
  <c r="BE476" s="1"/>
  <c r="AW476"/>
  <c r="BC475"/>
  <c r="BE475" s="1"/>
  <c r="AW475"/>
  <c r="BC474"/>
  <c r="BE474" s="1"/>
  <c r="M474"/>
  <c r="AW474" s="1"/>
  <c r="BC473"/>
  <c r="BE473" s="1"/>
  <c r="AW473"/>
  <c r="BC472"/>
  <c r="BE472" s="1"/>
  <c r="M472"/>
  <c r="AW472" s="1"/>
  <c r="BC471"/>
  <c r="BE471" s="1"/>
  <c r="M471"/>
  <c r="AW471" s="1"/>
  <c r="BC470"/>
  <c r="BE470" s="1"/>
  <c r="AW470"/>
  <c r="BC469"/>
  <c r="BE469" s="1"/>
  <c r="M469"/>
  <c r="AW469" s="1"/>
  <c r="BC468"/>
  <c r="BE468" s="1"/>
  <c r="AW468"/>
  <c r="BC467"/>
  <c r="BE467" s="1"/>
  <c r="AW467"/>
  <c r="BC466"/>
  <c r="BE466" s="1"/>
  <c r="AW466"/>
  <c r="BC465"/>
  <c r="BE465" s="1"/>
  <c r="M465"/>
  <c r="AW465" s="1"/>
  <c r="BC464"/>
  <c r="BE464" s="1"/>
  <c r="AW464"/>
  <c r="BC463"/>
  <c r="BE463" s="1"/>
  <c r="M463"/>
  <c r="AW463" s="1"/>
  <c r="BC462"/>
  <c r="BE462" s="1"/>
  <c r="AW462"/>
  <c r="BC461"/>
  <c r="BE461" s="1"/>
  <c r="AW461"/>
  <c r="BC460"/>
  <c r="BE460" s="1"/>
  <c r="M460"/>
  <c r="AW460" s="1"/>
  <c r="BC459"/>
  <c r="BE459" s="1"/>
  <c r="AW459"/>
  <c r="BC458"/>
  <c r="BE458" s="1"/>
  <c r="AW458"/>
  <c r="BC457"/>
  <c r="BE457" s="1"/>
  <c r="AW457"/>
  <c r="BC456"/>
  <c r="BE456" s="1"/>
  <c r="AW456"/>
  <c r="BC455"/>
  <c r="BE455" s="1"/>
  <c r="AW455"/>
  <c r="BC454"/>
  <c r="BE454" s="1"/>
  <c r="AW454"/>
  <c r="BC453"/>
  <c r="BE453" s="1"/>
  <c r="M453"/>
  <c r="AW453" s="1"/>
  <c r="BC452"/>
  <c r="BE452" s="1"/>
  <c r="AW452"/>
  <c r="BC451"/>
  <c r="BE451" s="1"/>
  <c r="AW451"/>
  <c r="BC450"/>
  <c r="BE450" s="1"/>
  <c r="AW450"/>
  <c r="BC449"/>
  <c r="BE449" s="1"/>
  <c r="AW449"/>
  <c r="BC448"/>
  <c r="BE448" s="1"/>
  <c r="M448"/>
  <c r="AW448" s="1"/>
  <c r="BC447"/>
  <c r="BE447" s="1"/>
  <c r="M447"/>
  <c r="BC446"/>
  <c r="BE446" s="1"/>
  <c r="AW446"/>
  <c r="BC445"/>
  <c r="BE445" s="1"/>
  <c r="AW445"/>
  <c r="BC444"/>
  <c r="BE444" s="1"/>
  <c r="AW444"/>
  <c r="BC443"/>
  <c r="BE443" s="1"/>
  <c r="AW443"/>
  <c r="BC442"/>
  <c r="BE442" s="1"/>
  <c r="AW442"/>
  <c r="BC441"/>
  <c r="BE441" s="1"/>
  <c r="AW441"/>
  <c r="BC440"/>
  <c r="BE440" s="1"/>
  <c r="AW440"/>
  <c r="BC439"/>
  <c r="BE439" s="1"/>
  <c r="AW439"/>
  <c r="BC438"/>
  <c r="BE438" s="1"/>
  <c r="AW438"/>
  <c r="BC437"/>
  <c r="BE437" s="1"/>
  <c r="AW437"/>
  <c r="BC436"/>
  <c r="BE436" s="1"/>
  <c r="M436"/>
  <c r="AW436" s="1"/>
  <c r="AW435"/>
  <c r="AW434"/>
  <c r="AW433"/>
  <c r="AW432"/>
  <c r="AW431"/>
  <c r="S635" i="15"/>
  <c r="O635"/>
  <c r="M635"/>
  <c r="O634"/>
  <c r="AG634" s="1"/>
  <c r="M634"/>
  <c r="S633"/>
  <c r="O633"/>
  <c r="M633"/>
  <c r="O632"/>
  <c r="AG632" s="1"/>
  <c r="M632"/>
  <c r="O631"/>
  <c r="AG631" s="1"/>
  <c r="M631"/>
  <c r="O630"/>
  <c r="AG630" s="1"/>
  <c r="M630"/>
  <c r="O629"/>
  <c r="M629"/>
  <c r="O628"/>
  <c r="AG628" s="1"/>
  <c r="M628"/>
  <c r="O627"/>
  <c r="AG627" s="1"/>
  <c r="M627"/>
  <c r="O626"/>
  <c r="AG626" s="1"/>
  <c r="M626"/>
  <c r="O625"/>
  <c r="AG625" s="1"/>
  <c r="M625"/>
  <c r="O624"/>
  <c r="AG624" s="1"/>
  <c r="M624"/>
  <c r="O623"/>
  <c r="AG623" s="1"/>
  <c r="M623"/>
  <c r="O622"/>
  <c r="AG622" s="1"/>
  <c r="M622"/>
  <c r="O621"/>
  <c r="M621"/>
  <c r="O620"/>
  <c r="AG620" s="1"/>
  <c r="M620"/>
  <c r="O619"/>
  <c r="AG619" s="1"/>
  <c r="M619"/>
  <c r="AG618"/>
  <c r="M618"/>
  <c r="O617"/>
  <c r="AG617" s="1"/>
  <c r="M617"/>
  <c r="AA616"/>
  <c r="O616"/>
  <c r="M616"/>
  <c r="O615"/>
  <c r="AG615" s="1"/>
  <c r="M615"/>
  <c r="O614"/>
  <c r="AG614" s="1"/>
  <c r="M614"/>
  <c r="O613"/>
  <c r="AG613" s="1"/>
  <c r="M613"/>
  <c r="O612"/>
  <c r="AG612" s="1"/>
  <c r="M612"/>
  <c r="O611"/>
  <c r="AG611" s="1"/>
  <c r="M611"/>
  <c r="O610"/>
  <c r="AG610" s="1"/>
  <c r="M610"/>
  <c r="AA609"/>
  <c r="O609"/>
  <c r="M609"/>
  <c r="O608"/>
  <c r="AG608" s="1"/>
  <c r="M608"/>
  <c r="O607"/>
  <c r="AG607" s="1"/>
  <c r="M607"/>
  <c r="O606"/>
  <c r="AG606" s="1"/>
  <c r="M606"/>
  <c r="O605"/>
  <c r="AG605" s="1"/>
  <c r="M605"/>
  <c r="O604"/>
  <c r="AG604" s="1"/>
  <c r="M604"/>
  <c r="O603"/>
  <c r="AG603" s="1"/>
  <c r="M603"/>
  <c r="O602"/>
  <c r="AG602" s="1"/>
  <c r="M602"/>
  <c r="O601"/>
  <c r="AG601" s="1"/>
  <c r="M601"/>
  <c r="AA600"/>
  <c r="S600"/>
  <c r="O600"/>
  <c r="M600"/>
  <c r="AG599"/>
  <c r="M599"/>
  <c r="O598"/>
  <c r="AG598" s="1"/>
  <c r="M598"/>
  <c r="AG594"/>
  <c r="M594"/>
  <c r="AG593"/>
  <c r="M593"/>
  <c r="AG592"/>
  <c r="M592"/>
  <c r="AA591"/>
  <c r="O591"/>
  <c r="M591"/>
  <c r="O590"/>
  <c r="AG590" s="1"/>
  <c r="M590"/>
  <c r="O589"/>
  <c r="AG589" s="1"/>
  <c r="M589"/>
  <c r="O588"/>
  <c r="AG588" s="1"/>
  <c r="M588"/>
  <c r="O587"/>
  <c r="AG587" s="1"/>
  <c r="M587"/>
  <c r="O586"/>
  <c r="AG586" s="1"/>
  <c r="M586"/>
  <c r="O585"/>
  <c r="AG585" s="1"/>
  <c r="M585"/>
  <c r="AG584"/>
  <c r="M584"/>
  <c r="S583"/>
  <c r="O583"/>
  <c r="M583"/>
  <c r="AA582"/>
  <c r="S582"/>
  <c r="O582"/>
  <c r="M582"/>
  <c r="AA581"/>
  <c r="O581"/>
  <c r="M581"/>
  <c r="AG580"/>
  <c r="M580"/>
  <c r="O579"/>
  <c r="AG579" s="1"/>
  <c r="M579"/>
  <c r="AG578"/>
  <c r="M578"/>
  <c r="AA577"/>
  <c r="O577"/>
  <c r="M577"/>
  <c r="O576"/>
  <c r="AG576" s="1"/>
  <c r="M576"/>
  <c r="O575"/>
  <c r="AG575" s="1"/>
  <c r="M575"/>
  <c r="O574"/>
  <c r="AG574" s="1"/>
  <c r="M574"/>
  <c r="AG573"/>
  <c r="M573"/>
  <c r="O572"/>
  <c r="AG572" s="1"/>
  <c r="M572"/>
  <c r="AG571"/>
  <c r="M571"/>
  <c r="AG570"/>
  <c r="M570"/>
  <c r="AG569"/>
  <c r="M569"/>
  <c r="O568"/>
  <c r="AG568" s="1"/>
  <c r="M568"/>
  <c r="O567"/>
  <c r="AG567" s="1"/>
  <c r="M567"/>
  <c r="AG566"/>
  <c r="M566"/>
  <c r="O565"/>
  <c r="AG565" s="1"/>
  <c r="M565"/>
  <c r="AG564"/>
  <c r="M564"/>
  <c r="O563"/>
  <c r="AG563" s="1"/>
  <c r="M563"/>
  <c r="O562"/>
  <c r="AG562" s="1"/>
  <c r="M562"/>
  <c r="O561"/>
  <c r="AG561" s="1"/>
  <c r="M561"/>
  <c r="O560"/>
  <c r="AG560" s="1"/>
  <c r="M560"/>
  <c r="AG559"/>
  <c r="M559"/>
  <c r="AG558"/>
  <c r="M558"/>
  <c r="W557"/>
  <c r="O557"/>
  <c r="M557"/>
  <c r="O556"/>
  <c r="AG556" s="1"/>
  <c r="M556"/>
  <c r="O555"/>
  <c r="AG555" s="1"/>
  <c r="M555"/>
  <c r="O554"/>
  <c r="AG554" s="1"/>
  <c r="M554"/>
  <c r="AA553"/>
  <c r="AG553" s="1"/>
  <c r="M553"/>
  <c r="AG552"/>
  <c r="M552"/>
  <c r="O551"/>
  <c r="AG551" s="1"/>
  <c r="M551"/>
  <c r="O550"/>
  <c r="AG550" s="1"/>
  <c r="M550"/>
  <c r="O549"/>
  <c r="AG549" s="1"/>
  <c r="M549"/>
  <c r="AG548"/>
  <c r="M548"/>
  <c r="O547"/>
  <c r="AG547" s="1"/>
  <c r="M547"/>
  <c r="S546"/>
  <c r="Q546"/>
  <c r="O546"/>
  <c r="M546"/>
  <c r="O545"/>
  <c r="AG545" s="1"/>
  <c r="M545"/>
  <c r="O544"/>
  <c r="AG544" s="1"/>
  <c r="M544"/>
  <c r="O543"/>
  <c r="AG543" s="1"/>
  <c r="M543"/>
  <c r="O542"/>
  <c r="AG542" s="1"/>
  <c r="M542"/>
  <c r="O541"/>
  <c r="AG541" s="1"/>
  <c r="M541"/>
  <c r="S540"/>
  <c r="O540"/>
  <c r="M540"/>
  <c r="O539"/>
  <c r="AG539" s="1"/>
  <c r="M539"/>
  <c r="O538"/>
  <c r="AG538" s="1"/>
  <c r="M538"/>
  <c r="O537"/>
  <c r="AG537" s="1"/>
  <c r="M537"/>
  <c r="O536"/>
  <c r="AG536" s="1"/>
  <c r="M536"/>
  <c r="O535"/>
  <c r="AG535" s="1"/>
  <c r="M535"/>
  <c r="AG534"/>
  <c r="M534"/>
  <c r="O533"/>
  <c r="AG533" s="1"/>
  <c r="M533"/>
  <c r="O532"/>
  <c r="AG532" s="1"/>
  <c r="M532"/>
  <c r="AG531"/>
  <c r="M531"/>
  <c r="AG530"/>
  <c r="M530"/>
  <c r="AA529"/>
  <c r="O529"/>
  <c r="M529"/>
  <c r="AG528"/>
  <c r="M528"/>
  <c r="O527"/>
  <c r="AG527" s="1"/>
  <c r="M527"/>
  <c r="O526"/>
  <c r="AG526" s="1"/>
  <c r="M526"/>
  <c r="AA525"/>
  <c r="O525"/>
  <c r="M525"/>
  <c r="O524"/>
  <c r="AG524" s="1"/>
  <c r="M524"/>
  <c r="AG523"/>
  <c r="M523"/>
  <c r="AG522"/>
  <c r="M522"/>
  <c r="O521"/>
  <c r="AG521" s="1"/>
  <c r="M521"/>
  <c r="O520"/>
  <c r="AG520" s="1"/>
  <c r="M520"/>
  <c r="O519"/>
  <c r="AG519" s="1"/>
  <c r="M519"/>
  <c r="O518"/>
  <c r="AG518" s="1"/>
  <c r="M518"/>
  <c r="AG517"/>
  <c r="M517"/>
  <c r="AA516"/>
  <c r="O516"/>
  <c r="M516"/>
  <c r="O515"/>
  <c r="AG515" s="1"/>
  <c r="M515"/>
  <c r="AA514"/>
  <c r="O514"/>
  <c r="M514"/>
  <c r="O513"/>
  <c r="AG513" s="1"/>
  <c r="M513"/>
  <c r="O512"/>
  <c r="AG512" s="1"/>
  <c r="M512"/>
  <c r="O511"/>
  <c r="AG511" s="1"/>
  <c r="M511"/>
  <c r="O510"/>
  <c r="AG510" s="1"/>
  <c r="M510"/>
  <c r="AG506"/>
  <c r="M506"/>
  <c r="O505"/>
  <c r="AG505" s="1"/>
  <c r="M505"/>
  <c r="O504"/>
  <c r="AG504" s="1"/>
  <c r="M504"/>
  <c r="O503"/>
  <c r="AG503" s="1"/>
  <c r="M503"/>
  <c r="O502"/>
  <c r="AG502" s="1"/>
  <c r="M502"/>
  <c r="O501"/>
  <c r="AG501" s="1"/>
  <c r="M501"/>
  <c r="O500"/>
  <c r="AG500" s="1"/>
  <c r="M500"/>
  <c r="AG499"/>
  <c r="M499"/>
  <c r="AA498"/>
  <c r="O498"/>
  <c r="M498"/>
  <c r="AA497"/>
  <c r="O497"/>
  <c r="M497"/>
  <c r="O496"/>
  <c r="AG496" s="1"/>
  <c r="M496"/>
  <c r="O495"/>
  <c r="AG495" s="1"/>
  <c r="M495"/>
  <c r="O494"/>
  <c r="AG494" s="1"/>
  <c r="M494"/>
  <c r="O493"/>
  <c r="AG493" s="1"/>
  <c r="M493"/>
  <c r="O492"/>
  <c r="AG492" s="1"/>
  <c r="M492"/>
  <c r="O491"/>
  <c r="AG491" s="1"/>
  <c r="M491"/>
  <c r="S490"/>
  <c r="O490"/>
  <c r="M490"/>
  <c r="AG489"/>
  <c r="M489"/>
  <c r="AA488"/>
  <c r="O488"/>
  <c r="M488"/>
  <c r="O487"/>
  <c r="AG487" s="1"/>
  <c r="M487"/>
  <c r="AG486"/>
  <c r="M486"/>
  <c r="O485"/>
  <c r="AG485" s="1"/>
  <c r="M485"/>
  <c r="AA484"/>
  <c r="O484"/>
  <c r="M484"/>
  <c r="O483"/>
  <c r="AG483" s="1"/>
  <c r="M483"/>
  <c r="O482"/>
  <c r="AG482" s="1"/>
  <c r="M482"/>
  <c r="AG481"/>
  <c r="M481"/>
  <c r="O480"/>
  <c r="AG480" s="1"/>
  <c r="M480"/>
  <c r="O479"/>
  <c r="AG479" s="1"/>
  <c r="M479"/>
  <c r="O478"/>
  <c r="AG478" s="1"/>
  <c r="M478"/>
  <c r="O477"/>
  <c r="AG477" s="1"/>
  <c r="M477"/>
  <c r="O476"/>
  <c r="AG476" s="1"/>
  <c r="M476"/>
  <c r="O475"/>
  <c r="AG475" s="1"/>
  <c r="M475"/>
  <c r="AG474"/>
  <c r="M474"/>
  <c r="O473"/>
  <c r="AG473" s="1"/>
  <c r="M473"/>
  <c r="O472"/>
  <c r="AG472" s="1"/>
  <c r="M472"/>
  <c r="O471"/>
  <c r="AG471" s="1"/>
  <c r="M471"/>
  <c r="AG470"/>
  <c r="M470"/>
  <c r="AA469"/>
  <c r="O469"/>
  <c r="M469"/>
  <c r="O468"/>
  <c r="AG468" s="1"/>
  <c r="M468"/>
  <c r="O467"/>
  <c r="AG467" s="1"/>
  <c r="M467"/>
  <c r="AG466"/>
  <c r="M466"/>
  <c r="O465"/>
  <c r="AG465" s="1"/>
  <c r="M465"/>
  <c r="O464"/>
  <c r="AG464" s="1"/>
  <c r="M464"/>
  <c r="O463"/>
  <c r="AG463" s="1"/>
  <c r="M463"/>
  <c r="O462"/>
  <c r="AG462" s="1"/>
  <c r="M462"/>
  <c r="O461"/>
  <c r="AG461" s="1"/>
  <c r="M461"/>
  <c r="O460"/>
  <c r="AG460" s="1"/>
  <c r="M460"/>
  <c r="AG459"/>
  <c r="M459"/>
  <c r="O458"/>
  <c r="AG458" s="1"/>
  <c r="M458"/>
  <c r="O457"/>
  <c r="AG457" s="1"/>
  <c r="M457"/>
  <c r="O456"/>
  <c r="AG456" s="1"/>
  <c r="M456"/>
  <c r="AA455"/>
  <c r="O455"/>
  <c r="M455"/>
  <c r="O454"/>
  <c r="AG454" s="1"/>
  <c r="M454"/>
  <c r="O453"/>
  <c r="AG453" s="1"/>
  <c r="M453"/>
  <c r="AG452"/>
  <c r="M452"/>
  <c r="AG451"/>
  <c r="M451"/>
  <c r="O450"/>
  <c r="AG450" s="1"/>
  <c r="M450"/>
  <c r="AG449"/>
  <c r="M449"/>
  <c r="AA448"/>
  <c r="O448"/>
  <c r="M448"/>
  <c r="O447"/>
  <c r="AG447" s="1"/>
  <c r="M447"/>
  <c r="AG446"/>
  <c r="M446"/>
  <c r="AG445"/>
  <c r="M445"/>
  <c r="O444"/>
  <c r="AG444" s="1"/>
  <c r="M444"/>
  <c r="AG443"/>
  <c r="M443"/>
  <c r="O442"/>
  <c r="AG442" s="1"/>
  <c r="M442"/>
  <c r="AG441"/>
  <c r="M441"/>
  <c r="AG440"/>
  <c r="M440"/>
  <c r="O439"/>
  <c r="AG439" s="1"/>
  <c r="M439"/>
  <c r="O438"/>
  <c r="AG438" s="1"/>
  <c r="M438"/>
  <c r="O437"/>
  <c r="AG437" s="1"/>
  <c r="M437"/>
  <c r="S436"/>
  <c r="O436"/>
  <c r="M436"/>
  <c r="AG435"/>
  <c r="M435"/>
  <c r="AG434"/>
  <c r="M434"/>
  <c r="AG433"/>
  <c r="M433"/>
  <c r="AG432"/>
  <c r="M432"/>
  <c r="AG431"/>
  <c r="M431"/>
  <c r="AC635" i="16"/>
  <c r="W635"/>
  <c r="M635"/>
  <c r="I635"/>
  <c r="G635" s="1"/>
  <c r="AC634"/>
  <c r="W634"/>
  <c r="M634"/>
  <c r="I634"/>
  <c r="G634" s="1"/>
  <c r="AC633"/>
  <c r="W633"/>
  <c r="M633"/>
  <c r="I633"/>
  <c r="G633" s="1"/>
  <c r="AC632"/>
  <c r="W632"/>
  <c r="M632"/>
  <c r="I632"/>
  <c r="G632" s="1"/>
  <c r="AC631"/>
  <c r="W631"/>
  <c r="M631"/>
  <c r="I631"/>
  <c r="G631" s="1"/>
  <c r="AC630"/>
  <c r="W630"/>
  <c r="M630"/>
  <c r="G630"/>
  <c r="AC629"/>
  <c r="W629"/>
  <c r="M629"/>
  <c r="I629"/>
  <c r="G629" s="1"/>
  <c r="AC628"/>
  <c r="W628"/>
  <c r="M628"/>
  <c r="I628"/>
  <c r="G628" s="1"/>
  <c r="AC627"/>
  <c r="W627"/>
  <c r="M627"/>
  <c r="I627"/>
  <c r="G627" s="1"/>
  <c r="AC626"/>
  <c r="W626"/>
  <c r="M626"/>
  <c r="I626"/>
  <c r="G626" s="1"/>
  <c r="AC625"/>
  <c r="W625"/>
  <c r="M625"/>
  <c r="I625"/>
  <c r="G625" s="1"/>
  <c r="AC624"/>
  <c r="W624"/>
  <c r="M624"/>
  <c r="I624"/>
  <c r="G624" s="1"/>
  <c r="AC623"/>
  <c r="W623"/>
  <c r="M623"/>
  <c r="G623"/>
  <c r="AC622"/>
  <c r="W622"/>
  <c r="M622"/>
  <c r="I622"/>
  <c r="G622" s="1"/>
  <c r="AC621"/>
  <c r="W621"/>
  <c r="M621"/>
  <c r="I621"/>
  <c r="G621" s="1"/>
  <c r="AC620"/>
  <c r="W620"/>
  <c r="M620"/>
  <c r="I620"/>
  <c r="G620" s="1"/>
  <c r="AC619"/>
  <c r="W619"/>
  <c r="M619"/>
  <c r="I619"/>
  <c r="G619" s="1"/>
  <c r="AC618"/>
  <c r="W618"/>
  <c r="M618"/>
  <c r="G618"/>
  <c r="AC617"/>
  <c r="W617"/>
  <c r="M617"/>
  <c r="I617"/>
  <c r="G617" s="1"/>
  <c r="AC616"/>
  <c r="W616"/>
  <c r="M616"/>
  <c r="I616"/>
  <c r="G616" s="1"/>
  <c r="AC615"/>
  <c r="W615"/>
  <c r="M615"/>
  <c r="I615"/>
  <c r="G615" s="1"/>
  <c r="AC614"/>
  <c r="W614"/>
  <c r="M614"/>
  <c r="I614"/>
  <c r="G614" s="1"/>
  <c r="AC613"/>
  <c r="W613"/>
  <c r="M613"/>
  <c r="I613"/>
  <c r="G613" s="1"/>
  <c r="AC612"/>
  <c r="W612"/>
  <c r="M612"/>
  <c r="I612"/>
  <c r="G612" s="1"/>
  <c r="AC611"/>
  <c r="W611"/>
  <c r="M611"/>
  <c r="G611"/>
  <c r="AC610"/>
  <c r="W610"/>
  <c r="M610"/>
  <c r="I610"/>
  <c r="G610" s="1"/>
  <c r="AC609"/>
  <c r="W609"/>
  <c r="M609"/>
  <c r="I609"/>
  <c r="G609" s="1"/>
  <c r="AC608"/>
  <c r="W608"/>
  <c r="M608"/>
  <c r="I608"/>
  <c r="G608" s="1"/>
  <c r="AC607"/>
  <c r="W607"/>
  <c r="M607"/>
  <c r="G607"/>
  <c r="AC606"/>
  <c r="W606"/>
  <c r="M606"/>
  <c r="I606"/>
  <c r="G606" s="1"/>
  <c r="AC605"/>
  <c r="W605"/>
  <c r="M605"/>
  <c r="G605"/>
  <c r="AC604"/>
  <c r="W604"/>
  <c r="M604"/>
  <c r="I604"/>
  <c r="G604" s="1"/>
  <c r="AC603"/>
  <c r="W603"/>
  <c r="M603"/>
  <c r="G603"/>
  <c r="AC602"/>
  <c r="W602"/>
  <c r="M602"/>
  <c r="I602"/>
  <c r="G602" s="1"/>
  <c r="AC601"/>
  <c r="W601"/>
  <c r="M601"/>
  <c r="G601"/>
  <c r="AC600"/>
  <c r="W600"/>
  <c r="M600"/>
  <c r="I600"/>
  <c r="G600" s="1"/>
  <c r="AC599"/>
  <c r="W599"/>
  <c r="M599"/>
  <c r="G599"/>
  <c r="AC598"/>
  <c r="W598"/>
  <c r="M598"/>
  <c r="G598"/>
  <c r="AC594"/>
  <c r="W594"/>
  <c r="M594"/>
  <c r="G594"/>
  <c r="AC593"/>
  <c r="W593"/>
  <c r="M593"/>
  <c r="G593"/>
  <c r="AC592"/>
  <c r="W592"/>
  <c r="M592"/>
  <c r="G592"/>
  <c r="AC591"/>
  <c r="W591"/>
  <c r="M591"/>
  <c r="I591"/>
  <c r="G591" s="1"/>
  <c r="AC590"/>
  <c r="W590"/>
  <c r="M590"/>
  <c r="G590"/>
  <c r="AC589"/>
  <c r="W589"/>
  <c r="M589"/>
  <c r="G589"/>
  <c r="AC588"/>
  <c r="W588"/>
  <c r="M588"/>
  <c r="I588"/>
  <c r="G588" s="1"/>
  <c r="AC587"/>
  <c r="W587"/>
  <c r="M587"/>
  <c r="G587"/>
  <c r="AC586"/>
  <c r="W586"/>
  <c r="M586"/>
  <c r="I586"/>
  <c r="G586" s="1"/>
  <c r="AC585"/>
  <c r="W585"/>
  <c r="M585"/>
  <c r="I585"/>
  <c r="G585" s="1"/>
  <c r="AC584"/>
  <c r="W584"/>
  <c r="M584"/>
  <c r="I584"/>
  <c r="G584" s="1"/>
  <c r="AC583"/>
  <c r="W583"/>
  <c r="M583"/>
  <c r="G583"/>
  <c r="AC582"/>
  <c r="W582"/>
  <c r="M582"/>
  <c r="I582"/>
  <c r="G582" s="1"/>
  <c r="AC581"/>
  <c r="W581"/>
  <c r="M581"/>
  <c r="I581"/>
  <c r="G581" s="1"/>
  <c r="AC580"/>
  <c r="W580"/>
  <c r="M580"/>
  <c r="G580"/>
  <c r="AC579"/>
  <c r="W579"/>
  <c r="M579"/>
  <c r="G579"/>
  <c r="AC578"/>
  <c r="W578"/>
  <c r="M578"/>
  <c r="G578"/>
  <c r="AC577"/>
  <c r="W577"/>
  <c r="M577"/>
  <c r="I577"/>
  <c r="G577" s="1"/>
  <c r="AC576"/>
  <c r="W576"/>
  <c r="M576"/>
  <c r="I576"/>
  <c r="G576" s="1"/>
  <c r="AC575"/>
  <c r="W575"/>
  <c r="M575"/>
  <c r="I575"/>
  <c r="G575" s="1"/>
  <c r="AC574"/>
  <c r="W574"/>
  <c r="M574"/>
  <c r="G574"/>
  <c r="AC573"/>
  <c r="W573"/>
  <c r="M573"/>
  <c r="G573"/>
  <c r="AC572"/>
  <c r="W572"/>
  <c r="M572"/>
  <c r="G572"/>
  <c r="AC571"/>
  <c r="W571"/>
  <c r="M571"/>
  <c r="G571"/>
  <c r="AC570"/>
  <c r="W570"/>
  <c r="M570"/>
  <c r="G570"/>
  <c r="AC569"/>
  <c r="W569"/>
  <c r="M569"/>
  <c r="I569"/>
  <c r="G569" s="1"/>
  <c r="AC568"/>
  <c r="W568"/>
  <c r="M568"/>
  <c r="G568"/>
  <c r="AC567"/>
  <c r="W567"/>
  <c r="M567"/>
  <c r="I567"/>
  <c r="G567" s="1"/>
  <c r="AC566"/>
  <c r="W566"/>
  <c r="M566"/>
  <c r="G566"/>
  <c r="AC565"/>
  <c r="W565"/>
  <c r="M565"/>
  <c r="G565"/>
  <c r="AC564"/>
  <c r="W564"/>
  <c r="M564"/>
  <c r="G564"/>
  <c r="AC563"/>
  <c r="W563"/>
  <c r="M563"/>
  <c r="I563"/>
  <c r="G563" s="1"/>
  <c r="AC562"/>
  <c r="W562"/>
  <c r="M562"/>
  <c r="G562"/>
  <c r="AC561"/>
  <c r="W561"/>
  <c r="M561"/>
  <c r="I561"/>
  <c r="G561" s="1"/>
  <c r="AC560"/>
  <c r="W560"/>
  <c r="M560"/>
  <c r="I560"/>
  <c r="G560" s="1"/>
  <c r="AC559"/>
  <c r="W559"/>
  <c r="M559"/>
  <c r="G559"/>
  <c r="AC558"/>
  <c r="W558"/>
  <c r="M558"/>
  <c r="G558"/>
  <c r="AC557"/>
  <c r="W557"/>
  <c r="M557"/>
  <c r="I557"/>
  <c r="G557" s="1"/>
  <c r="AC556"/>
  <c r="W556"/>
  <c r="M556"/>
  <c r="I556"/>
  <c r="G556" s="1"/>
  <c r="AC555"/>
  <c r="W555"/>
  <c r="M555"/>
  <c r="I555"/>
  <c r="G555" s="1"/>
  <c r="AC554"/>
  <c r="W554"/>
  <c r="M554"/>
  <c r="I554"/>
  <c r="G554" s="1"/>
  <c r="AC553"/>
  <c r="W553"/>
  <c r="M553"/>
  <c r="I553"/>
  <c r="G553" s="1"/>
  <c r="AC552"/>
  <c r="W552"/>
  <c r="M552"/>
  <c r="G552"/>
  <c r="AC551"/>
  <c r="W551"/>
  <c r="M551"/>
  <c r="I551"/>
  <c r="G551" s="1"/>
  <c r="AC550"/>
  <c r="W550"/>
  <c r="M550"/>
  <c r="I550"/>
  <c r="G550" s="1"/>
  <c r="AC549"/>
  <c r="W549"/>
  <c r="M549"/>
  <c r="G549"/>
  <c r="AC548"/>
  <c r="W548"/>
  <c r="M548"/>
  <c r="I548"/>
  <c r="G548" s="1"/>
  <c r="AC547"/>
  <c r="W547"/>
  <c r="M547"/>
  <c r="I547"/>
  <c r="G547" s="1"/>
  <c r="AC546"/>
  <c r="W546"/>
  <c r="M546"/>
  <c r="G546"/>
  <c r="AC545"/>
  <c r="W545"/>
  <c r="M545"/>
  <c r="I545"/>
  <c r="G545" s="1"/>
  <c r="AC544"/>
  <c r="W544"/>
  <c r="M544"/>
  <c r="I544"/>
  <c r="G544" s="1"/>
  <c r="AC543"/>
  <c r="W543"/>
  <c r="M543"/>
  <c r="I543"/>
  <c r="G543" s="1"/>
  <c r="AC542"/>
  <c r="W542"/>
  <c r="M542"/>
  <c r="G542"/>
  <c r="AC541"/>
  <c r="W541"/>
  <c r="M541"/>
  <c r="I541"/>
  <c r="G541" s="1"/>
  <c r="AC540"/>
  <c r="W540"/>
  <c r="M540"/>
  <c r="I540"/>
  <c r="G540" s="1"/>
  <c r="AC539"/>
  <c r="W539"/>
  <c r="M539"/>
  <c r="I539"/>
  <c r="G539" s="1"/>
  <c r="AC538"/>
  <c r="W538"/>
  <c r="M538"/>
  <c r="I538"/>
  <c r="G538" s="1"/>
  <c r="AC537"/>
  <c r="W537"/>
  <c r="M537"/>
  <c r="I537"/>
  <c r="G537" s="1"/>
  <c r="AC536"/>
  <c r="W536"/>
  <c r="M536"/>
  <c r="I536"/>
  <c r="G536" s="1"/>
  <c r="AC535"/>
  <c r="W535"/>
  <c r="M535"/>
  <c r="I535"/>
  <c r="G535" s="1"/>
  <c r="AC534"/>
  <c r="W534"/>
  <c r="M534"/>
  <c r="G534"/>
  <c r="AC533"/>
  <c r="W533"/>
  <c r="M533"/>
  <c r="G533"/>
  <c r="AC532"/>
  <c r="W532"/>
  <c r="M532"/>
  <c r="I532"/>
  <c r="G532" s="1"/>
  <c r="AC531"/>
  <c r="W531"/>
  <c r="M531"/>
  <c r="G531"/>
  <c r="AC530"/>
  <c r="W530"/>
  <c r="M530"/>
  <c r="G530"/>
  <c r="AC529"/>
  <c r="W529"/>
  <c r="M529"/>
  <c r="I529"/>
  <c r="G529" s="1"/>
  <c r="AC528"/>
  <c r="W528"/>
  <c r="M528"/>
  <c r="I528"/>
  <c r="G528" s="1"/>
  <c r="AC527"/>
  <c r="W527"/>
  <c r="M527"/>
  <c r="I527"/>
  <c r="G527" s="1"/>
  <c r="AC526"/>
  <c r="W526"/>
  <c r="M526"/>
  <c r="I526"/>
  <c r="G526" s="1"/>
  <c r="AC525"/>
  <c r="W525"/>
  <c r="M525"/>
  <c r="I525"/>
  <c r="G525" s="1"/>
  <c r="AC524"/>
  <c r="W524"/>
  <c r="M524"/>
  <c r="I524"/>
  <c r="G524" s="1"/>
  <c r="AC523"/>
  <c r="W523"/>
  <c r="M523"/>
  <c r="G523"/>
  <c r="AC522"/>
  <c r="W522"/>
  <c r="M522"/>
  <c r="G522"/>
  <c r="AC521"/>
  <c r="W521"/>
  <c r="M521"/>
  <c r="G521"/>
  <c r="AC520"/>
  <c r="W520"/>
  <c r="M520"/>
  <c r="I520"/>
  <c r="G520" s="1"/>
  <c r="AC519"/>
  <c r="W519"/>
  <c r="M519"/>
  <c r="I519"/>
  <c r="G519" s="1"/>
  <c r="AC518"/>
  <c r="W518"/>
  <c r="M518"/>
  <c r="I518"/>
  <c r="G518" s="1"/>
  <c r="AC517"/>
  <c r="W517"/>
  <c r="M517"/>
  <c r="G517"/>
  <c r="AC516"/>
  <c r="W516"/>
  <c r="M516"/>
  <c r="I516"/>
  <c r="G516" s="1"/>
  <c r="AC515"/>
  <c r="W515"/>
  <c r="M515"/>
  <c r="G515"/>
  <c r="AC514"/>
  <c r="W514"/>
  <c r="M514"/>
  <c r="I514"/>
  <c r="G514" s="1"/>
  <c r="AC513"/>
  <c r="W513"/>
  <c r="M513"/>
  <c r="I513"/>
  <c r="G513" s="1"/>
  <c r="AC512"/>
  <c r="W512"/>
  <c r="M512"/>
  <c r="I512"/>
  <c r="G512" s="1"/>
  <c r="AC511"/>
  <c r="W511"/>
  <c r="M511"/>
  <c r="I511"/>
  <c r="G511" s="1"/>
  <c r="AC510"/>
  <c r="W510"/>
  <c r="M510"/>
  <c r="G510"/>
  <c r="AC506"/>
  <c r="W506"/>
  <c r="M506"/>
  <c r="I506"/>
  <c r="G506" s="1"/>
  <c r="AC505"/>
  <c r="W505"/>
  <c r="M505"/>
  <c r="I505"/>
  <c r="G505" s="1"/>
  <c r="AC504"/>
  <c r="W504"/>
  <c r="M504"/>
  <c r="G504"/>
  <c r="AC503"/>
  <c r="W503"/>
  <c r="M503"/>
  <c r="G503"/>
  <c r="AC502"/>
  <c r="W502"/>
  <c r="M502"/>
  <c r="I502"/>
  <c r="G502" s="1"/>
  <c r="AC501"/>
  <c r="W501"/>
  <c r="M501"/>
  <c r="G501"/>
  <c r="AC500"/>
  <c r="W500"/>
  <c r="M500"/>
  <c r="I500"/>
  <c r="G500" s="1"/>
  <c r="AC499"/>
  <c r="W499"/>
  <c r="G499"/>
  <c r="AC498"/>
  <c r="W498"/>
  <c r="M498"/>
  <c r="I498"/>
  <c r="G498" s="1"/>
  <c r="AC497"/>
  <c r="W497"/>
  <c r="M497"/>
  <c r="I497"/>
  <c r="G497" s="1"/>
  <c r="AC496"/>
  <c r="W496"/>
  <c r="M496"/>
  <c r="G496"/>
  <c r="AC495"/>
  <c r="W495"/>
  <c r="M495"/>
  <c r="I495"/>
  <c r="G495" s="1"/>
  <c r="AC494"/>
  <c r="W494"/>
  <c r="M494"/>
  <c r="I494"/>
  <c r="G494" s="1"/>
  <c r="AC493"/>
  <c r="W493"/>
  <c r="M493"/>
  <c r="G493"/>
  <c r="AC492"/>
  <c r="W492"/>
  <c r="M492"/>
  <c r="I492"/>
  <c r="G492" s="1"/>
  <c r="AC491"/>
  <c r="W491"/>
  <c r="M491"/>
  <c r="G491"/>
  <c r="AC490"/>
  <c r="W490"/>
  <c r="M490"/>
  <c r="I490"/>
  <c r="G490" s="1"/>
  <c r="AC489"/>
  <c r="W489"/>
  <c r="M489"/>
  <c r="I489"/>
  <c r="G489" s="1"/>
  <c r="AC488"/>
  <c r="W488"/>
  <c r="M488"/>
  <c r="I488"/>
  <c r="G488" s="1"/>
  <c r="AC487"/>
  <c r="W487"/>
  <c r="M487"/>
  <c r="I487"/>
  <c r="G487" s="1"/>
  <c r="AC486"/>
  <c r="W486"/>
  <c r="M486"/>
  <c r="I486"/>
  <c r="G486" s="1"/>
  <c r="AC485"/>
  <c r="W485"/>
  <c r="M485"/>
  <c r="G485"/>
  <c r="AC484"/>
  <c r="W484"/>
  <c r="M484"/>
  <c r="I484"/>
  <c r="G484" s="1"/>
  <c r="AC483"/>
  <c r="W483"/>
  <c r="M483"/>
  <c r="G483"/>
  <c r="AC482"/>
  <c r="W482"/>
  <c r="M482"/>
  <c r="I482"/>
  <c r="G482" s="1"/>
  <c r="AC481"/>
  <c r="W481"/>
  <c r="M481"/>
  <c r="G481"/>
  <c r="AC480"/>
  <c r="W480"/>
  <c r="M480"/>
  <c r="I480"/>
  <c r="G480" s="1"/>
  <c r="AC479"/>
  <c r="W479"/>
  <c r="M479"/>
  <c r="I479"/>
  <c r="G479" s="1"/>
  <c r="AC478"/>
  <c r="W478"/>
  <c r="M478"/>
  <c r="I478"/>
  <c r="G478" s="1"/>
  <c r="AC477"/>
  <c r="W477"/>
  <c r="M477"/>
  <c r="I477"/>
  <c r="G477" s="1"/>
  <c r="AC476"/>
  <c r="W476"/>
  <c r="M476"/>
  <c r="G476"/>
  <c r="AC475"/>
  <c r="W475"/>
  <c r="O475"/>
  <c r="M475" s="1"/>
  <c r="I475"/>
  <c r="G475" s="1"/>
  <c r="AC474"/>
  <c r="W474"/>
  <c r="M474"/>
  <c r="I474"/>
  <c r="G474" s="1"/>
  <c r="AC473"/>
  <c r="W473"/>
  <c r="M473"/>
  <c r="I473"/>
  <c r="G473" s="1"/>
  <c r="AC472"/>
  <c r="W472"/>
  <c r="M472"/>
  <c r="I472"/>
  <c r="G472" s="1"/>
  <c r="AC471"/>
  <c r="W471"/>
  <c r="M471"/>
  <c r="I471"/>
  <c r="G471" s="1"/>
  <c r="AC470"/>
  <c r="W470"/>
  <c r="M470"/>
  <c r="I470"/>
  <c r="G470" s="1"/>
  <c r="AC469"/>
  <c r="W469"/>
  <c r="M469"/>
  <c r="I469"/>
  <c r="G469" s="1"/>
  <c r="AC468"/>
  <c r="W468"/>
  <c r="M468"/>
  <c r="I468"/>
  <c r="G468" s="1"/>
  <c r="AC467"/>
  <c r="W467"/>
  <c r="M467"/>
  <c r="I467"/>
  <c r="G467" s="1"/>
  <c r="AC466"/>
  <c r="W466"/>
  <c r="M466"/>
  <c r="G466"/>
  <c r="AC465"/>
  <c r="W465"/>
  <c r="M465"/>
  <c r="I465"/>
  <c r="G465" s="1"/>
  <c r="AC464"/>
  <c r="W464"/>
  <c r="M464"/>
  <c r="G464"/>
  <c r="AC463"/>
  <c r="W463"/>
  <c r="M463"/>
  <c r="I463"/>
  <c r="G463" s="1"/>
  <c r="AC462"/>
  <c r="W462"/>
  <c r="M462"/>
  <c r="G462"/>
  <c r="AC461"/>
  <c r="W461"/>
  <c r="M461"/>
  <c r="I461"/>
  <c r="G461" s="1"/>
  <c r="AC460"/>
  <c r="W460"/>
  <c r="M460"/>
  <c r="G460"/>
  <c r="AC459"/>
  <c r="W459"/>
  <c r="M459"/>
  <c r="G459"/>
  <c r="AC458"/>
  <c r="W458"/>
  <c r="M458"/>
  <c r="I458"/>
  <c r="G458" s="1"/>
  <c r="AC457"/>
  <c r="W457"/>
  <c r="M457"/>
  <c r="I457"/>
  <c r="G457" s="1"/>
  <c r="AC456"/>
  <c r="W456"/>
  <c r="M456"/>
  <c r="G456"/>
  <c r="AC455"/>
  <c r="W455"/>
  <c r="M455"/>
  <c r="I455"/>
  <c r="G455" s="1"/>
  <c r="AC454"/>
  <c r="W454"/>
  <c r="M454"/>
  <c r="G454"/>
  <c r="AC453"/>
  <c r="W453"/>
  <c r="M453"/>
  <c r="I453"/>
  <c r="G453" s="1"/>
  <c r="AC452"/>
  <c r="W452"/>
  <c r="M452"/>
  <c r="I452"/>
  <c r="G452" s="1"/>
  <c r="AC451"/>
  <c r="W451"/>
  <c r="M451"/>
  <c r="G451"/>
  <c r="AC450"/>
  <c r="W450"/>
  <c r="M450"/>
  <c r="G450"/>
  <c r="AC449"/>
  <c r="W449"/>
  <c r="M449"/>
  <c r="G449"/>
  <c r="AC448"/>
  <c r="W448"/>
  <c r="M448"/>
  <c r="I448"/>
  <c r="G448" s="1"/>
  <c r="AC447"/>
  <c r="W447"/>
  <c r="M447"/>
  <c r="I447"/>
  <c r="G447" s="1"/>
  <c r="AC446"/>
  <c r="W446"/>
  <c r="M446"/>
  <c r="G446"/>
  <c r="AC445"/>
  <c r="W445"/>
  <c r="M445"/>
  <c r="G445"/>
  <c r="AC444"/>
  <c r="W444"/>
  <c r="M444"/>
  <c r="I444"/>
  <c r="G444" s="1"/>
  <c r="AC443"/>
  <c r="W443"/>
  <c r="M443"/>
  <c r="G443"/>
  <c r="AC442"/>
  <c r="W442"/>
  <c r="M442"/>
  <c r="I442"/>
  <c r="G442" s="1"/>
  <c r="AC441"/>
  <c r="W441"/>
  <c r="M441"/>
  <c r="G441"/>
  <c r="AC440"/>
  <c r="W440"/>
  <c r="M440"/>
  <c r="G440"/>
  <c r="AC439"/>
  <c r="W439"/>
  <c r="M439"/>
  <c r="I439"/>
  <c r="G439" s="1"/>
  <c r="AC438"/>
  <c r="W438"/>
  <c r="M438"/>
  <c r="I438"/>
  <c r="G438" s="1"/>
  <c r="AC437"/>
  <c r="W437"/>
  <c r="M437"/>
  <c r="I437"/>
  <c r="G437" s="1"/>
  <c r="AC436"/>
  <c r="W436"/>
  <c r="M436"/>
  <c r="I436"/>
  <c r="G436" s="1"/>
  <c r="AC435"/>
  <c r="W435"/>
  <c r="M435"/>
  <c r="G435"/>
  <c r="AC434"/>
  <c r="W434"/>
  <c r="M434"/>
  <c r="G434"/>
  <c r="AC433"/>
  <c r="W433"/>
  <c r="M433"/>
  <c r="G433"/>
  <c r="AC432"/>
  <c r="W432"/>
  <c r="M432"/>
  <c r="G432"/>
  <c r="AC431"/>
  <c r="W431"/>
  <c r="M431"/>
  <c r="G431"/>
  <c r="W213" i="22"/>
  <c r="Y213" i="26"/>
  <c r="U213"/>
  <c r="I213"/>
  <c r="W213" i="1"/>
  <c r="U213" i="14"/>
  <c r="Q213" i="16"/>
  <c r="W212" i="22"/>
  <c r="Y212" i="26"/>
  <c r="U212"/>
  <c r="U212" i="14"/>
  <c r="O212" i="15"/>
  <c r="Q212" i="16"/>
  <c r="AV211" i="25"/>
  <c r="G211" i="22"/>
  <c r="Y211" i="26"/>
  <c r="U211"/>
  <c r="AG211" i="1"/>
  <c r="G211"/>
  <c r="U211" i="14"/>
  <c r="W144" i="22"/>
  <c r="Y144" i="26"/>
  <c r="U144"/>
  <c r="W144" i="1"/>
  <c r="U144" i="14"/>
  <c r="Q144" i="16"/>
  <c r="W143" i="22"/>
  <c r="K143"/>
  <c r="O143"/>
  <c r="Y143" i="26"/>
  <c r="U143"/>
  <c r="Q143"/>
  <c r="K143" i="1"/>
  <c r="O143"/>
  <c r="U143" i="14"/>
  <c r="Q143"/>
  <c r="Q143" i="16"/>
  <c r="W142" i="22"/>
  <c r="K142"/>
  <c r="O142"/>
  <c r="Y142" i="26"/>
  <c r="U142"/>
  <c r="Q142"/>
  <c r="W142" i="1"/>
  <c r="K142"/>
  <c r="O142"/>
  <c r="U142" i="14"/>
  <c r="O142" i="15"/>
  <c r="G142" i="16"/>
  <c r="Q142"/>
  <c r="M141" i="25"/>
  <c r="W141" i="22"/>
  <c r="Y141" i="26"/>
  <c r="U141"/>
  <c r="G141"/>
  <c r="M141" i="2"/>
  <c r="W141" i="1"/>
  <c r="U141" i="14"/>
  <c r="M141" i="17"/>
  <c r="Q141" i="16"/>
  <c r="W139" i="22"/>
  <c r="K139"/>
  <c r="O139"/>
  <c r="Y139" i="26"/>
  <c r="U139"/>
  <c r="Q139"/>
  <c r="W139" i="1"/>
  <c r="O139"/>
  <c r="K139"/>
  <c r="U139" i="14"/>
  <c r="Q139"/>
  <c r="Q139" i="16"/>
  <c r="AO511" i="22" l="1"/>
  <c r="AM470" i="1"/>
  <c r="AI449" i="15"/>
  <c r="AI450"/>
  <c r="AI464"/>
  <c r="AI478"/>
  <c r="AI494"/>
  <c r="AM576" i="1"/>
  <c r="S447" i="10"/>
  <c r="S519"/>
  <c r="AO567" i="22"/>
  <c r="AO575"/>
  <c r="AO585"/>
  <c r="BL585" i="25" s="1"/>
  <c r="BT585" s="1"/>
  <c r="AO631" i="22"/>
  <c r="AO502"/>
  <c r="BL502" i="25" s="1"/>
  <c r="BT502" s="1"/>
  <c r="BV502" s="1"/>
  <c r="AO538" i="22"/>
  <c r="AO605"/>
  <c r="AO581"/>
  <c r="AO492"/>
  <c r="BL492" i="25" s="1"/>
  <c r="BT492" s="1"/>
  <c r="Y493" i="22"/>
  <c r="AO493" s="1"/>
  <c r="AO497"/>
  <c r="AO498"/>
  <c r="AO499"/>
  <c r="AO500"/>
  <c r="Y501"/>
  <c r="AO501" s="1"/>
  <c r="BL501" i="25" s="1"/>
  <c r="BT501" s="1"/>
  <c r="Y503" i="22"/>
  <c r="AO503" s="1"/>
  <c r="AO505"/>
  <c r="BL505" i="25" s="1"/>
  <c r="BT505" s="1"/>
  <c r="AO506" i="22"/>
  <c r="Y510"/>
  <c r="AO510" s="1"/>
  <c r="AO512"/>
  <c r="AO539"/>
  <c r="BL539" i="25" s="1"/>
  <c r="BT539" s="1"/>
  <c r="AO541" i="22"/>
  <c r="AO547"/>
  <c r="BL547" i="25" s="1"/>
  <c r="BT547" s="1"/>
  <c r="AO548" i="22"/>
  <c r="Y569"/>
  <c r="AO569" s="1"/>
  <c r="BL569" i="25" s="1"/>
  <c r="BT569" s="1"/>
  <c r="AO573" i="22"/>
  <c r="Y574"/>
  <c r="AO574" s="1"/>
  <c r="AM577"/>
  <c r="Y579"/>
  <c r="AO579" s="1"/>
  <c r="AM582"/>
  <c r="AO582" s="1"/>
  <c r="Y583"/>
  <c r="AO583" s="1"/>
  <c r="AO584"/>
  <c r="AO586"/>
  <c r="BL586" i="25" s="1"/>
  <c r="BT586" s="1"/>
  <c r="Y590" i="22"/>
  <c r="AO606"/>
  <c r="BL606" i="25" s="1"/>
  <c r="BT606" s="1"/>
  <c r="AO613" i="22"/>
  <c r="AO614"/>
  <c r="BL614" i="25" s="1"/>
  <c r="BT614" s="1"/>
  <c r="AO468" i="22"/>
  <c r="AO436"/>
  <c r="AO463"/>
  <c r="Y464"/>
  <c r="AO469"/>
  <c r="AO477"/>
  <c r="AO479"/>
  <c r="AO516"/>
  <c r="AO518"/>
  <c r="AO519"/>
  <c r="BL519" i="25" s="1"/>
  <c r="BT519" s="1"/>
  <c r="AO521" i="22"/>
  <c r="AO635"/>
  <c r="BL635" i="25" s="1"/>
  <c r="BT635" s="1"/>
  <c r="AA623" i="26"/>
  <c r="AA624"/>
  <c r="AC634"/>
  <c r="AA634"/>
  <c r="AA635"/>
  <c r="AA439"/>
  <c r="AC440"/>
  <c r="AA442"/>
  <c r="AC443"/>
  <c r="AC446"/>
  <c r="AA450"/>
  <c r="AA460"/>
  <c r="AA461"/>
  <c r="AA479"/>
  <c r="AC480"/>
  <c r="K490"/>
  <c r="AC490" s="1"/>
  <c r="AA480"/>
  <c r="AC481"/>
  <c r="AA493"/>
  <c r="AA494"/>
  <c r="AC495"/>
  <c r="AA495"/>
  <c r="AA519"/>
  <c r="AC520"/>
  <c r="AA520"/>
  <c r="AC521"/>
  <c r="AA521"/>
  <c r="AC522"/>
  <c r="AA524"/>
  <c r="AC525"/>
  <c r="AA525"/>
  <c r="AC526"/>
  <c r="AA526"/>
  <c r="AC527"/>
  <c r="AA527"/>
  <c r="AM455" i="1"/>
  <c r="AM521"/>
  <c r="AM582"/>
  <c r="AM591"/>
  <c r="AM593"/>
  <c r="BL593" i="2" s="1"/>
  <c r="BS593" s="1"/>
  <c r="BU593" s="1"/>
  <c r="AM459" i="1"/>
  <c r="Y462"/>
  <c r="AM503"/>
  <c r="AM535"/>
  <c r="AM598"/>
  <c r="AM599"/>
  <c r="AM604"/>
  <c r="AC562" i="14"/>
  <c r="AC565"/>
  <c r="AC567"/>
  <c r="AC568"/>
  <c r="AA568"/>
  <c r="AC571"/>
  <c r="AC587"/>
  <c r="AC626"/>
  <c r="AC634"/>
  <c r="AC440"/>
  <c r="AC448"/>
  <c r="AC450"/>
  <c r="AC454"/>
  <c r="AC457"/>
  <c r="AC459"/>
  <c r="AC461"/>
  <c r="AC463"/>
  <c r="AC482"/>
  <c r="AC510"/>
  <c r="AC513"/>
  <c r="AC601"/>
  <c r="AC607"/>
  <c r="AC598"/>
  <c r="AC615"/>
  <c r="AC486"/>
  <c r="AC489"/>
  <c r="AC589"/>
  <c r="AC593"/>
  <c r="AC606"/>
  <c r="AC469"/>
  <c r="AC522"/>
  <c r="AC524"/>
  <c r="AC527"/>
  <c r="AC538"/>
  <c r="AC541"/>
  <c r="AC543"/>
  <c r="AC621"/>
  <c r="AW547" i="17"/>
  <c r="AI523" i="15"/>
  <c r="AI526"/>
  <c r="AI541"/>
  <c r="AI573"/>
  <c r="AI579"/>
  <c r="AI580"/>
  <c r="AG581"/>
  <c r="AI581" s="1"/>
  <c r="AI610"/>
  <c r="AI611"/>
  <c r="AI612"/>
  <c r="AI613"/>
  <c r="AI614"/>
  <c r="AI615"/>
  <c r="AG616"/>
  <c r="AI616" s="1"/>
  <c r="AI619"/>
  <c r="AI620"/>
  <c r="AI622"/>
  <c r="AI623"/>
  <c r="AI624"/>
  <c r="AI625"/>
  <c r="AI626"/>
  <c r="AI627"/>
  <c r="AI628"/>
  <c r="AI630"/>
  <c r="AI534"/>
  <c r="AI515"/>
  <c r="AE511" i="16"/>
  <c r="AE588"/>
  <c r="AE616"/>
  <c r="AE626"/>
  <c r="AE628"/>
  <c r="AE629"/>
  <c r="AE630"/>
  <c r="AE631"/>
  <c r="AE632"/>
  <c r="AE633"/>
  <c r="AE634"/>
  <c r="AE635"/>
  <c r="AE497"/>
  <c r="AE455"/>
  <c r="AE473"/>
  <c r="AE479"/>
  <c r="AE484"/>
  <c r="AE492"/>
  <c r="AE493"/>
  <c r="AE494"/>
  <c r="AE495"/>
  <c r="AE496"/>
  <c r="AE500"/>
  <c r="AE501"/>
  <c r="AE502"/>
  <c r="AE503"/>
  <c r="AE504"/>
  <c r="AE505"/>
  <c r="AE506"/>
  <c r="AE510"/>
  <c r="AE447"/>
  <c r="AE448"/>
  <c r="AE452"/>
  <c r="AE453"/>
  <c r="AE454"/>
  <c r="AE544"/>
  <c r="AE563"/>
  <c r="AE581"/>
  <c r="AE582"/>
  <c r="AE583"/>
  <c r="AE584"/>
  <c r="AE585"/>
  <c r="AE586"/>
  <c r="AE587"/>
  <c r="AE469"/>
  <c r="AE471"/>
  <c r="AE472"/>
  <c r="AE518"/>
  <c r="AE520"/>
  <c r="AE543"/>
  <c r="AE612"/>
  <c r="AE614"/>
  <c r="AE615"/>
  <c r="AE467"/>
  <c r="AE468"/>
  <c r="AE477"/>
  <c r="AE478"/>
  <c r="AE513"/>
  <c r="AE514"/>
  <c r="AE515"/>
  <c r="AE516"/>
  <c r="AE517"/>
  <c r="AE550"/>
  <c r="AE551"/>
  <c r="AE552"/>
  <c r="AE553"/>
  <c r="AE554"/>
  <c r="AE555"/>
  <c r="AE556"/>
  <c r="AE557"/>
  <c r="AE558"/>
  <c r="AE559"/>
  <c r="AE560"/>
  <c r="AE561"/>
  <c r="AE562"/>
  <c r="AE602"/>
  <c r="AE606"/>
  <c r="AE607"/>
  <c r="AE608"/>
  <c r="AE609"/>
  <c r="AE610"/>
  <c r="AE611"/>
  <c r="AE624"/>
  <c r="AE625"/>
  <c r="AC442" i="14"/>
  <c r="AC442" i="26"/>
  <c r="AE451" i="16"/>
  <c r="AE449"/>
  <c r="AO578" i="22"/>
  <c r="AO517"/>
  <c r="AC618" i="26"/>
  <c r="AC459"/>
  <c r="AE475" i="16"/>
  <c r="AE444"/>
  <c r="AE445"/>
  <c r="AE446"/>
  <c r="AE463"/>
  <c r="AE464"/>
  <c r="AE465"/>
  <c r="AE466"/>
  <c r="AE470"/>
  <c r="AE474"/>
  <c r="AE476"/>
  <c r="AE480"/>
  <c r="AE481"/>
  <c r="AE482"/>
  <c r="AE483"/>
  <c r="AE498"/>
  <c r="AE499"/>
  <c r="AE512"/>
  <c r="AE519"/>
  <c r="AE545"/>
  <c r="AE546"/>
  <c r="AE547"/>
  <c r="AE548"/>
  <c r="AE549"/>
  <c r="AE569"/>
  <c r="AE570"/>
  <c r="AE571"/>
  <c r="AE572"/>
  <c r="AE573"/>
  <c r="AE574"/>
  <c r="AE575"/>
  <c r="AE576"/>
  <c r="AE577"/>
  <c r="AE578"/>
  <c r="AE579"/>
  <c r="AE580"/>
  <c r="AE591"/>
  <c r="AE592"/>
  <c r="AE593"/>
  <c r="AE594"/>
  <c r="AE598"/>
  <c r="AE599"/>
  <c r="AE600"/>
  <c r="AE601"/>
  <c r="AE613"/>
  <c r="AE617"/>
  <c r="AE618"/>
  <c r="AE619"/>
  <c r="AE620"/>
  <c r="AE621"/>
  <c r="AE622"/>
  <c r="AE623"/>
  <c r="AE627"/>
  <c r="AG516" i="15"/>
  <c r="AI516" s="1"/>
  <c r="AC546" i="14"/>
  <c r="AC552"/>
  <c r="AC555"/>
  <c r="AC437"/>
  <c r="AC474"/>
  <c r="AC477"/>
  <c r="AC494"/>
  <c r="AC497"/>
  <c r="AC502"/>
  <c r="AC576"/>
  <c r="AC580"/>
  <c r="AC582"/>
  <c r="AC610"/>
  <c r="AC629"/>
  <c r="AM463" i="1"/>
  <c r="AM497"/>
  <c r="AM498"/>
  <c r="AM504"/>
  <c r="AM524"/>
  <c r="AM605"/>
  <c r="AM606"/>
  <c r="AA528" i="26"/>
  <c r="AO616" i="22"/>
  <c r="AO480"/>
  <c r="AO486"/>
  <c r="AO487"/>
  <c r="AO488"/>
  <c r="BL488" i="25" s="1"/>
  <c r="BT488" s="1"/>
  <c r="Y615" i="22"/>
  <c r="AO615" s="1"/>
  <c r="AO620"/>
  <c r="BL620" i="25" s="1"/>
  <c r="BT620" s="1"/>
  <c r="BV620" s="1"/>
  <c r="AO621" i="22"/>
  <c r="AO622"/>
  <c r="Y623"/>
  <c r="AO627"/>
  <c r="AO628"/>
  <c r="AO629"/>
  <c r="BL629" i="25" s="1"/>
  <c r="BT629" s="1"/>
  <c r="BV629" s="1"/>
  <c r="Y630" i="22"/>
  <c r="AO630" s="1"/>
  <c r="AO632"/>
  <c r="BL632" i="25" s="1"/>
  <c r="BT632" s="1"/>
  <c r="AO633" i="22"/>
  <c r="AO513"/>
  <c r="BL513" i="25" s="1"/>
  <c r="BT513" s="1"/>
  <c r="AO522" i="22"/>
  <c r="AO523"/>
  <c r="BL523" i="25" s="1"/>
  <c r="BT523" s="1"/>
  <c r="BV523" s="1"/>
  <c r="AO524" i="22"/>
  <c r="AO525"/>
  <c r="AO534"/>
  <c r="AO535"/>
  <c r="AO536"/>
  <c r="AO553"/>
  <c r="BJ516" i="25"/>
  <c r="AO438" i="22"/>
  <c r="Y439"/>
  <c r="AO439" s="1"/>
  <c r="AO451"/>
  <c r="AO452"/>
  <c r="AO453"/>
  <c r="BL453" i="25" s="1"/>
  <c r="BT453" s="1"/>
  <c r="Y454" i="22"/>
  <c r="AO454" s="1"/>
  <c r="AO457"/>
  <c r="Y458"/>
  <c r="AO458" s="1"/>
  <c r="AO461"/>
  <c r="AO465"/>
  <c r="AO466"/>
  <c r="AO467"/>
  <c r="AO473"/>
  <c r="AO474"/>
  <c r="AO475"/>
  <c r="BL475" i="25" s="1"/>
  <c r="BT475" s="1"/>
  <c r="Y476" i="22"/>
  <c r="AO476" s="1"/>
  <c r="AO478"/>
  <c r="AO484"/>
  <c r="AO489"/>
  <c r="AO514"/>
  <c r="AO520"/>
  <c r="AO528"/>
  <c r="AO529"/>
  <c r="AO530"/>
  <c r="AO531"/>
  <c r="BL531" i="25" s="1"/>
  <c r="BT531" s="1"/>
  <c r="BV531" s="1"/>
  <c r="AO532" i="22"/>
  <c r="AO537"/>
  <c r="BL537" i="25" s="1"/>
  <c r="BT537" s="1"/>
  <c r="AO543" i="22"/>
  <c r="AO545"/>
  <c r="BL545" i="25" s="1"/>
  <c r="BT545" s="1"/>
  <c r="Y549" i="22"/>
  <c r="AO549" s="1"/>
  <c r="BL549" i="25" s="1"/>
  <c r="BT549" s="1"/>
  <c r="Y551" i="22"/>
  <c r="AO551" s="1"/>
  <c r="BL551" i="25" s="1"/>
  <c r="BT551" s="1"/>
  <c r="Y554" i="22"/>
  <c r="AO554" s="1"/>
  <c r="AO563"/>
  <c r="AO588"/>
  <c r="Y589"/>
  <c r="AO589" s="1"/>
  <c r="BL589" i="25" s="1"/>
  <c r="BT589" s="1"/>
  <c r="AO591" i="22"/>
  <c r="AO592"/>
  <c r="AO593"/>
  <c r="AO594"/>
  <c r="BL594" i="25" s="1"/>
  <c r="BT594" s="1"/>
  <c r="BV594" s="1"/>
  <c r="Y598" i="22"/>
  <c r="AO598" s="1"/>
  <c r="Y602"/>
  <c r="AO602" s="1"/>
  <c r="BL602" i="25" s="1"/>
  <c r="BT602" s="1"/>
  <c r="AO604" i="22"/>
  <c r="AO608"/>
  <c r="AO610"/>
  <c r="AO625"/>
  <c r="BL625" i="25" s="1"/>
  <c r="BT625" s="1"/>
  <c r="AO634" i="22"/>
  <c r="AC545" i="26"/>
  <c r="AA546"/>
  <c r="AA547"/>
  <c r="AA548"/>
  <c r="AA630"/>
  <c r="AA631"/>
  <c r="Y549" i="1"/>
  <c r="AM578"/>
  <c r="AM586"/>
  <c r="AM607"/>
  <c r="AM609"/>
  <c r="AM445"/>
  <c r="AM449"/>
  <c r="AM466"/>
  <c r="AM467"/>
  <c r="AM474"/>
  <c r="AM475"/>
  <c r="AM479"/>
  <c r="AM522"/>
  <c r="AM525"/>
  <c r="AM530"/>
  <c r="AM531"/>
  <c r="AM532"/>
  <c r="AM533"/>
  <c r="AM538"/>
  <c r="AM539"/>
  <c r="AM540"/>
  <c r="Y619"/>
  <c r="AM624"/>
  <c r="Y630"/>
  <c r="AC438" i="14"/>
  <c r="AC443"/>
  <c r="AC447"/>
  <c r="AC451"/>
  <c r="AC453"/>
  <c r="AC470"/>
  <c r="AC473"/>
  <c r="AC478"/>
  <c r="AC485"/>
  <c r="AC490"/>
  <c r="AC493"/>
  <c r="AC498"/>
  <c r="AC501"/>
  <c r="AC503"/>
  <c r="AC506"/>
  <c r="AC514"/>
  <c r="AC518"/>
  <c r="AC521"/>
  <c r="AC528"/>
  <c r="AC531"/>
  <c r="AC537"/>
  <c r="AC542"/>
  <c r="AC547"/>
  <c r="AC551"/>
  <c r="AC556"/>
  <c r="AC559"/>
  <c r="AC561"/>
  <c r="AC577"/>
  <c r="AC578"/>
  <c r="AC579"/>
  <c r="AC583"/>
  <c r="AC586"/>
  <c r="AC588"/>
  <c r="AC602"/>
  <c r="AC605"/>
  <c r="AC611"/>
  <c r="AC614"/>
  <c r="AC622"/>
  <c r="AC625"/>
  <c r="AC630"/>
  <c r="AC633"/>
  <c r="AC449"/>
  <c r="AC446"/>
  <c r="AE436" i="16"/>
  <c r="AE437"/>
  <c r="AE438"/>
  <c r="AE439"/>
  <c r="AE440"/>
  <c r="AE441"/>
  <c r="AE442"/>
  <c r="AE443"/>
  <c r="AE456"/>
  <c r="AE457"/>
  <c r="AE458"/>
  <c r="AE459"/>
  <c r="AE460"/>
  <c r="AE461"/>
  <c r="AE462"/>
  <c r="AE485"/>
  <c r="AE486"/>
  <c r="AE487"/>
  <c r="AE488"/>
  <c r="AE489"/>
  <c r="AE490"/>
  <c r="AE491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64"/>
  <c r="AE565"/>
  <c r="AE566"/>
  <c r="AE567"/>
  <c r="AE568"/>
  <c r="AE589"/>
  <c r="AE590"/>
  <c r="AE603"/>
  <c r="AE604"/>
  <c r="AE605"/>
  <c r="X475" i="10"/>
  <c r="AI517" i="15"/>
  <c r="AI555"/>
  <c r="AI585"/>
  <c r="AI586"/>
  <c r="AI587"/>
  <c r="AI588"/>
  <c r="AI589"/>
  <c r="AI590"/>
  <c r="AG591"/>
  <c r="AI591" s="1"/>
  <c r="AI592"/>
  <c r="AI594"/>
  <c r="AG600"/>
  <c r="AI602"/>
  <c r="AW628" i="17"/>
  <c r="AW447"/>
  <c r="AW582"/>
  <c r="AW605"/>
  <c r="AM486" i="1"/>
  <c r="AM527"/>
  <c r="AM435"/>
  <c r="BL435" i="2" s="1"/>
  <c r="BS435" s="1"/>
  <c r="AM438" i="1"/>
  <c r="BL438" i="2" s="1"/>
  <c r="BS438" s="1"/>
  <c r="BU438" s="1"/>
  <c r="AM440" i="1"/>
  <c r="AM442"/>
  <c r="BL442" i="2" s="1"/>
  <c r="BS442" s="1"/>
  <c r="BU442" s="1"/>
  <c r="AM446" i="1"/>
  <c r="AM448"/>
  <c r="BL448" i="2" s="1"/>
  <c r="BS448" s="1"/>
  <c r="BU448" s="1"/>
  <c r="Y456" i="1"/>
  <c r="AM457"/>
  <c r="Y460"/>
  <c r="Y464"/>
  <c r="AM468"/>
  <c r="Y472"/>
  <c r="Y476"/>
  <c r="AM484"/>
  <c r="BL484" i="2" s="1"/>
  <c r="BS484" s="1"/>
  <c r="BU484" s="1"/>
  <c r="AM488" i="1"/>
  <c r="AM489"/>
  <c r="Y493"/>
  <c r="AM493" s="1"/>
  <c r="AM495"/>
  <c r="AM500"/>
  <c r="AM502"/>
  <c r="AM505"/>
  <c r="AM510"/>
  <c r="AM513"/>
  <c r="AM516"/>
  <c r="BL516" i="2" s="1"/>
  <c r="BS516" s="1"/>
  <c r="BU516" s="1"/>
  <c r="AM518" i="1"/>
  <c r="AM523"/>
  <c r="AM534"/>
  <c r="BL534" i="2" s="1"/>
  <c r="BS534" s="1"/>
  <c r="BU534" s="1"/>
  <c r="AM536" i="1"/>
  <c r="BL536" i="2" s="1"/>
  <c r="BS536" s="1"/>
  <c r="BU536" s="1"/>
  <c r="AM541" i="1"/>
  <c r="AM544"/>
  <c r="BL544" i="2" s="1"/>
  <c r="BS544" s="1"/>
  <c r="BU544" s="1"/>
  <c r="AM547" i="1"/>
  <c r="AM552"/>
  <c r="BL552" i="2" s="1"/>
  <c r="BS552" s="1"/>
  <c r="BU552" s="1"/>
  <c r="AM553" i="1"/>
  <c r="AM555"/>
  <c r="AM557"/>
  <c r="AM558"/>
  <c r="BL558" i="2" s="1"/>
  <c r="BS558" s="1"/>
  <c r="BU558" s="1"/>
  <c r="AM559" i="1"/>
  <c r="BL559" i="2" s="1"/>
  <c r="BS559" s="1"/>
  <c r="BU559" s="1"/>
  <c r="AM560" i="1"/>
  <c r="BL560" i="2" s="1"/>
  <c r="BS560" s="1"/>
  <c r="BU560" s="1"/>
  <c r="AM561" i="1"/>
  <c r="AM563"/>
  <c r="AM564"/>
  <c r="BL564" i="2" s="1"/>
  <c r="BS564" s="1"/>
  <c r="BU564" s="1"/>
  <c r="AM566" i="1"/>
  <c r="Y568"/>
  <c r="AM568" s="1"/>
  <c r="Y572"/>
  <c r="AM573"/>
  <c r="Y579"/>
  <c r="AM580"/>
  <c r="Y583"/>
  <c r="AM584"/>
  <c r="Y587"/>
  <c r="AM587" s="1"/>
  <c r="AM589"/>
  <c r="AM592"/>
  <c r="BL592" i="2" s="1"/>
  <c r="BS592" s="1"/>
  <c r="BU592" s="1"/>
  <c r="AM594" i="1"/>
  <c r="AM600"/>
  <c r="Y602"/>
  <c r="AM612"/>
  <c r="AM613"/>
  <c r="AM614"/>
  <c r="AM618"/>
  <c r="Y623"/>
  <c r="AM625"/>
  <c r="AM631"/>
  <c r="BL631" i="2" s="1"/>
  <c r="BS631" s="1"/>
  <c r="BU631" s="1"/>
  <c r="AM632" i="1"/>
  <c r="AM633"/>
  <c r="AM634"/>
  <c r="AM635"/>
  <c r="BL440" i="2"/>
  <c r="BS440" s="1"/>
  <c r="BL444"/>
  <c r="BS444" s="1"/>
  <c r="BU444" s="1"/>
  <c r="BL445"/>
  <c r="BS445" s="1"/>
  <c r="BL447"/>
  <c r="BS447" s="1"/>
  <c r="BU447" s="1"/>
  <c r="BL451"/>
  <c r="BS451" s="1"/>
  <c r="BL453"/>
  <c r="BS453" s="1"/>
  <c r="BU453" s="1"/>
  <c r="BL455"/>
  <c r="BS455" s="1"/>
  <c r="BL457"/>
  <c r="BS457" s="1"/>
  <c r="BU457" s="1"/>
  <c r="BL459"/>
  <c r="BS459" s="1"/>
  <c r="BL463"/>
  <c r="BS463" s="1"/>
  <c r="BU463" s="1"/>
  <c r="BL467"/>
  <c r="BS467" s="1"/>
  <c r="BL474"/>
  <c r="BS474" s="1"/>
  <c r="BU474" s="1"/>
  <c r="BL482"/>
  <c r="BS482" s="1"/>
  <c r="BL486"/>
  <c r="BS486" s="1"/>
  <c r="BU486" s="1"/>
  <c r="BL488"/>
  <c r="BS488" s="1"/>
  <c r="BL498"/>
  <c r="BS498" s="1"/>
  <c r="BU498" s="1"/>
  <c r="BL500"/>
  <c r="BS500" s="1"/>
  <c r="BL503"/>
  <c r="BS503" s="1"/>
  <c r="BU503" s="1"/>
  <c r="BL518"/>
  <c r="BS518" s="1"/>
  <c r="BL520"/>
  <c r="BS520" s="1"/>
  <c r="BU520" s="1"/>
  <c r="BL522"/>
  <c r="BS522" s="1"/>
  <c r="BL524"/>
  <c r="BS524" s="1"/>
  <c r="BU524" s="1"/>
  <c r="BL526"/>
  <c r="BS526" s="1"/>
  <c r="BL528"/>
  <c r="BS528" s="1"/>
  <c r="BU528" s="1"/>
  <c r="BL530"/>
  <c r="BS530" s="1"/>
  <c r="BL532"/>
  <c r="BS532" s="1"/>
  <c r="BL538"/>
  <c r="BS538" s="1"/>
  <c r="BL540"/>
  <c r="BS540" s="1"/>
  <c r="BU540" s="1"/>
  <c r="BL546"/>
  <c r="BS546" s="1"/>
  <c r="BL566"/>
  <c r="BS566" s="1"/>
  <c r="BU566" s="1"/>
  <c r="BL568"/>
  <c r="BS568" s="1"/>
  <c r="BL570"/>
  <c r="BS570" s="1"/>
  <c r="BU570" s="1"/>
  <c r="BL580"/>
  <c r="BS580" s="1"/>
  <c r="BL582"/>
  <c r="BS582" s="1"/>
  <c r="BU582" s="1"/>
  <c r="BL594"/>
  <c r="BS594" s="1"/>
  <c r="BL599"/>
  <c r="BS599" s="1"/>
  <c r="BU599" s="1"/>
  <c r="BL604"/>
  <c r="BS604" s="1"/>
  <c r="BL605"/>
  <c r="BS605" s="1"/>
  <c r="BU605" s="1"/>
  <c r="BL607"/>
  <c r="BS607" s="1"/>
  <c r="BL608"/>
  <c r="BS608" s="1"/>
  <c r="BU608" s="1"/>
  <c r="BL613"/>
  <c r="BS613" s="1"/>
  <c r="BL618"/>
  <c r="BS618" s="1"/>
  <c r="BU618" s="1"/>
  <c r="BL634"/>
  <c r="BS634" s="1"/>
  <c r="AM450" i="1"/>
  <c r="BL450" i="2" s="1"/>
  <c r="BS450" s="1"/>
  <c r="BU450" s="1"/>
  <c r="AM465" i="1"/>
  <c r="BL465" i="2" s="1"/>
  <c r="BS465" s="1"/>
  <c r="BU465" s="1"/>
  <c r="AM469" i="1"/>
  <c r="BL469" i="2" s="1"/>
  <c r="BS469" s="1"/>
  <c r="BU469" s="1"/>
  <c r="AM473" i="1"/>
  <c r="AM480"/>
  <c r="BL480" i="2" s="1"/>
  <c r="BS480" s="1"/>
  <c r="BU480" s="1"/>
  <c r="AM492" i="1"/>
  <c r="BL492" i="2" s="1"/>
  <c r="BS492" s="1"/>
  <c r="BU492" s="1"/>
  <c r="AM494" i="1"/>
  <c r="BL494" i="2" s="1"/>
  <c r="BS494" s="1"/>
  <c r="BU494" s="1"/>
  <c r="AM496" i="1"/>
  <c r="BL496" i="2" s="1"/>
  <c r="BS496" s="1"/>
  <c r="BU496" s="1"/>
  <c r="AM506" i="1"/>
  <c r="BL506" i="2" s="1"/>
  <c r="BS506" s="1"/>
  <c r="BU506" s="1"/>
  <c r="AM529" i="1"/>
  <c r="AM550"/>
  <c r="BL550" i="2" s="1"/>
  <c r="BS550" s="1"/>
  <c r="BU550" s="1"/>
  <c r="AM554" i="1"/>
  <c r="BL554" i="2" s="1"/>
  <c r="BS554" s="1"/>
  <c r="BU554" s="1"/>
  <c r="AM562" i="1"/>
  <c r="BL562" i="2" s="1"/>
  <c r="BS562" s="1"/>
  <c r="BU562" s="1"/>
  <c r="AM567" i="1"/>
  <c r="BL567" i="2" s="1"/>
  <c r="BS567" s="1"/>
  <c r="BU567" s="1"/>
  <c r="AM577" i="1"/>
  <c r="BL577" i="2" s="1"/>
  <c r="BS577" s="1"/>
  <c r="BU577" s="1"/>
  <c r="AM581" i="1"/>
  <c r="AM585"/>
  <c r="BL585" i="2" s="1"/>
  <c r="BS585" s="1"/>
  <c r="BU585" s="1"/>
  <c r="AM588" i="1"/>
  <c r="BL588" i="2" s="1"/>
  <c r="BS588" s="1"/>
  <c r="BU588" s="1"/>
  <c r="AM601" i="1"/>
  <c r="BL601" i="2" s="1"/>
  <c r="BS601" s="1"/>
  <c r="BU601" s="1"/>
  <c r="AM620" i="1"/>
  <c r="BL620" i="2" s="1"/>
  <c r="BS620" s="1"/>
  <c r="BU620" s="1"/>
  <c r="AM621" i="1"/>
  <c r="BL621" i="2" s="1"/>
  <c r="BS621" s="1"/>
  <c r="BU621" s="1"/>
  <c r="AM622" i="1"/>
  <c r="AM623"/>
  <c r="BL623" i="2" s="1"/>
  <c r="BS623" s="1"/>
  <c r="BU623" s="1"/>
  <c r="BL436"/>
  <c r="BS436" s="1"/>
  <c r="BL439"/>
  <c r="BS439" s="1"/>
  <c r="BL441"/>
  <c r="BS441" s="1"/>
  <c r="BL443"/>
  <c r="BS443" s="1"/>
  <c r="BL446"/>
  <c r="BS446" s="1"/>
  <c r="BL449"/>
  <c r="BS449" s="1"/>
  <c r="BU449" s="1"/>
  <c r="BL452"/>
  <c r="BS452" s="1"/>
  <c r="BL454"/>
  <c r="BS454" s="1"/>
  <c r="BU454" s="1"/>
  <c r="BL466"/>
  <c r="BS466" s="1"/>
  <c r="BL468"/>
  <c r="BS468" s="1"/>
  <c r="BU468" s="1"/>
  <c r="BL470"/>
  <c r="BS470" s="1"/>
  <c r="BL471"/>
  <c r="BS471" s="1"/>
  <c r="BU471" s="1"/>
  <c r="BL473"/>
  <c r="BS473" s="1"/>
  <c r="BL475"/>
  <c r="BS475" s="1"/>
  <c r="BU475" s="1"/>
  <c r="BL479"/>
  <c r="BS479" s="1"/>
  <c r="BL481"/>
  <c r="BS481" s="1"/>
  <c r="BU481" s="1"/>
  <c r="BL483"/>
  <c r="BS483" s="1"/>
  <c r="BL485"/>
  <c r="BS485" s="1"/>
  <c r="BU485" s="1"/>
  <c r="BL489"/>
  <c r="BS489" s="1"/>
  <c r="BL491"/>
  <c r="BS491" s="1"/>
  <c r="BU491" s="1"/>
  <c r="BL493"/>
  <c r="BS493" s="1"/>
  <c r="BL495"/>
  <c r="BS495" s="1"/>
  <c r="BU495" s="1"/>
  <c r="BL497"/>
  <c r="BS497" s="1"/>
  <c r="BL499"/>
  <c r="BS499" s="1"/>
  <c r="BU499" s="1"/>
  <c r="BL502"/>
  <c r="BS502" s="1"/>
  <c r="BL504"/>
  <c r="BS504" s="1"/>
  <c r="BU504" s="1"/>
  <c r="BL505"/>
  <c r="BS505" s="1"/>
  <c r="BL510"/>
  <c r="BS510" s="1"/>
  <c r="BU510" s="1"/>
  <c r="BL513"/>
  <c r="BS513" s="1"/>
  <c r="BL517"/>
  <c r="BS517" s="1"/>
  <c r="BU517" s="1"/>
  <c r="BL521"/>
  <c r="BS521" s="1"/>
  <c r="BL523"/>
  <c r="BS523" s="1"/>
  <c r="BU523" s="1"/>
  <c r="BL525"/>
  <c r="BS525" s="1"/>
  <c r="BL527"/>
  <c r="BS527" s="1"/>
  <c r="BL529"/>
  <c r="BS529" s="1"/>
  <c r="BL531"/>
  <c r="BS531" s="1"/>
  <c r="BU531" s="1"/>
  <c r="BL533"/>
  <c r="BS533" s="1"/>
  <c r="BL535"/>
  <c r="BS535" s="1"/>
  <c r="BU535" s="1"/>
  <c r="BL539"/>
  <c r="BS539" s="1"/>
  <c r="BL541"/>
  <c r="BS541" s="1"/>
  <c r="BL547"/>
  <c r="BS547" s="1"/>
  <c r="BL553"/>
  <c r="BS553" s="1"/>
  <c r="BU553" s="1"/>
  <c r="BL555"/>
  <c r="BS555" s="1"/>
  <c r="BL557"/>
  <c r="BS557" s="1"/>
  <c r="BU557" s="1"/>
  <c r="BL561"/>
  <c r="BS561" s="1"/>
  <c r="BL563"/>
  <c r="BS563" s="1"/>
  <c r="BU563" s="1"/>
  <c r="BL569"/>
  <c r="BS569" s="1"/>
  <c r="BL571"/>
  <c r="BS571" s="1"/>
  <c r="BU571" s="1"/>
  <c r="BL573"/>
  <c r="BS573" s="1"/>
  <c r="BL575"/>
  <c r="BS575" s="1"/>
  <c r="BU575" s="1"/>
  <c r="BL576"/>
  <c r="BS576" s="1"/>
  <c r="BL578"/>
  <c r="BS578" s="1"/>
  <c r="BU578" s="1"/>
  <c r="BL581"/>
  <c r="BS581" s="1"/>
  <c r="BL584"/>
  <c r="BS584" s="1"/>
  <c r="BU584" s="1"/>
  <c r="BL586"/>
  <c r="BS586" s="1"/>
  <c r="BL587"/>
  <c r="BS587" s="1"/>
  <c r="BU587" s="1"/>
  <c r="BL589"/>
  <c r="BS589" s="1"/>
  <c r="BL591"/>
  <c r="BS591" s="1"/>
  <c r="BU591" s="1"/>
  <c r="BL598"/>
  <c r="BS598" s="1"/>
  <c r="BL600"/>
  <c r="BS600" s="1"/>
  <c r="BU600" s="1"/>
  <c r="BL603"/>
  <c r="BS603" s="1"/>
  <c r="BU603" s="1"/>
  <c r="BL606"/>
  <c r="BS606" s="1"/>
  <c r="BU606" s="1"/>
  <c r="BL609"/>
  <c r="BS609" s="1"/>
  <c r="BU609" s="1"/>
  <c r="BL611"/>
  <c r="BS611" s="1"/>
  <c r="BU611" s="1"/>
  <c r="BL612"/>
  <c r="BS612" s="1"/>
  <c r="BU612" s="1"/>
  <c r="BL614"/>
  <c r="BS614" s="1"/>
  <c r="BU614" s="1"/>
  <c r="BL622"/>
  <c r="BS622" s="1"/>
  <c r="BU622" s="1"/>
  <c r="BL624"/>
  <c r="BS624" s="1"/>
  <c r="BU624" s="1"/>
  <c r="BL625"/>
  <c r="BS625" s="1"/>
  <c r="BU625" s="1"/>
  <c r="BL629"/>
  <c r="BS629" s="1"/>
  <c r="BU629" s="1"/>
  <c r="BL632"/>
  <c r="BS632" s="1"/>
  <c r="BU632" s="1"/>
  <c r="BL633"/>
  <c r="BS633" s="1"/>
  <c r="BU633" s="1"/>
  <c r="BL635"/>
  <c r="BS635" s="1"/>
  <c r="BU635" s="1"/>
  <c r="AC452" i="26"/>
  <c r="AC453"/>
  <c r="AC454"/>
  <c r="AA455"/>
  <c r="AA456"/>
  <c r="AC457"/>
  <c r="AC467"/>
  <c r="AA467"/>
  <c r="AC468"/>
  <c r="AA468"/>
  <c r="AA469"/>
  <c r="AC470"/>
  <c r="AA470"/>
  <c r="AA501"/>
  <c r="AC502"/>
  <c r="AA506"/>
  <c r="AC510"/>
  <c r="AA510"/>
  <c r="AC511"/>
  <c r="AA511"/>
  <c r="AC512"/>
  <c r="AA512"/>
  <c r="AA513"/>
  <c r="AC514"/>
  <c r="AA514"/>
  <c r="AC515"/>
  <c r="AA515"/>
  <c r="AC531"/>
  <c r="AC533"/>
  <c r="AA533"/>
  <c r="AC534"/>
  <c r="AA539"/>
  <c r="AA540"/>
  <c r="AA551"/>
  <c r="AC552"/>
  <c r="AC554"/>
  <c r="AC555"/>
  <c r="AA556"/>
  <c r="AC557"/>
  <c r="AA557"/>
  <c r="AC558"/>
  <c r="AA560"/>
  <c r="AA561"/>
  <c r="AA562"/>
  <c r="AA563"/>
  <c r="AA565"/>
  <c r="AC566"/>
  <c r="AC569"/>
  <c r="AA569"/>
  <c r="AC571"/>
  <c r="AC572"/>
  <c r="AA572"/>
  <c r="AA586"/>
  <c r="AA587"/>
  <c r="AA607"/>
  <c r="AC608"/>
  <c r="AA608"/>
  <c r="AA609"/>
  <c r="AA610"/>
  <c r="AC632"/>
  <c r="AA632"/>
  <c r="AA436"/>
  <c r="AO527" i="22"/>
  <c r="Y437"/>
  <c r="AO437" s="1"/>
  <c r="BL437" i="25" s="1"/>
  <c r="BT437" s="1"/>
  <c r="AO440" i="22"/>
  <c r="AO441"/>
  <c r="BL441" i="25" s="1"/>
  <c r="BT441" s="1"/>
  <c r="BV441" s="1"/>
  <c r="AO442" i="22"/>
  <c r="AO443"/>
  <c r="AO444"/>
  <c r="AO445"/>
  <c r="BL445" i="25" s="1"/>
  <c r="BT445" s="1"/>
  <c r="BV445" s="1"/>
  <c r="AO446" i="22"/>
  <c r="AO447"/>
  <c r="AO448"/>
  <c r="AO449"/>
  <c r="BL449" i="25" s="1"/>
  <c r="BT449" s="1"/>
  <c r="BV449" s="1"/>
  <c r="Y450" i="22"/>
  <c r="AO450" s="1"/>
  <c r="Y456"/>
  <c r="AO456" s="1"/>
  <c r="BL456" i="25" s="1"/>
  <c r="BT456" s="1"/>
  <c r="AO459" i="22"/>
  <c r="Y460"/>
  <c r="AO460" s="1"/>
  <c r="BL460" i="25" s="1"/>
  <c r="BT460" s="1"/>
  <c r="Y462" i="22"/>
  <c r="AO462" s="1"/>
  <c r="BL462" i="25" s="1"/>
  <c r="BT462" s="1"/>
  <c r="AO470" i="22"/>
  <c r="AO471"/>
  <c r="Y472"/>
  <c r="AO472" s="1"/>
  <c r="BL472" i="25" s="1"/>
  <c r="BT472" s="1"/>
  <c r="AO481" i="22"/>
  <c r="AO482"/>
  <c r="Y483"/>
  <c r="AO483" s="1"/>
  <c r="Y485"/>
  <c r="AO485" s="1"/>
  <c r="Y491"/>
  <c r="AO491" s="1"/>
  <c r="AO494"/>
  <c r="BL494" i="25" s="1"/>
  <c r="BT494" s="1"/>
  <c r="Y496" i="22"/>
  <c r="AO496" s="1"/>
  <c r="Y504"/>
  <c r="AO504" s="1"/>
  <c r="Y515"/>
  <c r="AO515" s="1"/>
  <c r="Y526"/>
  <c r="AO526" s="1"/>
  <c r="BL526" i="25" s="1"/>
  <c r="BT526" s="1"/>
  <c r="Y533" i="22"/>
  <c r="AO533" s="1"/>
  <c r="Y542"/>
  <c r="AO542" s="1"/>
  <c r="Y546"/>
  <c r="AO546" s="1"/>
  <c r="Y550"/>
  <c r="AO550" s="1"/>
  <c r="BL550" i="25" s="1"/>
  <c r="BT550" s="1"/>
  <c r="AO552" i="22"/>
  <c r="BL552" i="25" s="1"/>
  <c r="BT552" s="1"/>
  <c r="BV552" s="1"/>
  <c r="AO555" i="22"/>
  <c r="BL555" i="25" s="1"/>
  <c r="BT555" s="1"/>
  <c r="AO556" i="22"/>
  <c r="AO557"/>
  <c r="BL557" i="25" s="1"/>
  <c r="BT557" s="1"/>
  <c r="AO558" i="22"/>
  <c r="AO559"/>
  <c r="AO560"/>
  <c r="AO561"/>
  <c r="BL561" i="25" s="1"/>
  <c r="BT561" s="1"/>
  <c r="Y562" i="22"/>
  <c r="AO562" s="1"/>
  <c r="AO564"/>
  <c r="AO565"/>
  <c r="AO566"/>
  <c r="BL566" i="25" s="1"/>
  <c r="BT566" s="1"/>
  <c r="BV566" s="1"/>
  <c r="Y568" i="22"/>
  <c r="AO568" s="1"/>
  <c r="AO570"/>
  <c r="BL570" i="25" s="1"/>
  <c r="BT570" s="1"/>
  <c r="BV570" s="1"/>
  <c r="AO571" i="22"/>
  <c r="BL571" i="25" s="1"/>
  <c r="BT571" s="1"/>
  <c r="BV571" s="1"/>
  <c r="Y572" i="22"/>
  <c r="AO572" s="1"/>
  <c r="AO576"/>
  <c r="AO577"/>
  <c r="BL577" i="25" s="1"/>
  <c r="BT577" s="1"/>
  <c r="AO580" i="22"/>
  <c r="Y587"/>
  <c r="AO587" s="1"/>
  <c r="AO599"/>
  <c r="AO600"/>
  <c r="Y601"/>
  <c r="AO601" s="1"/>
  <c r="BL601" i="25" s="1"/>
  <c r="BT601" s="1"/>
  <c r="BV601" s="1"/>
  <c r="Y603" i="22"/>
  <c r="AO603" s="1"/>
  <c r="Y607"/>
  <c r="AO607" s="1"/>
  <c r="BL607" i="25" s="1"/>
  <c r="BT607" s="1"/>
  <c r="BV607" s="1"/>
  <c r="Y611" i="22"/>
  <c r="AO611" s="1"/>
  <c r="AO617"/>
  <c r="BL617" i="25" s="1"/>
  <c r="BT617" s="1"/>
  <c r="AO618" i="22"/>
  <c r="Y619"/>
  <c r="AO619" s="1"/>
  <c r="BL619" i="25" s="1"/>
  <c r="BT619" s="1"/>
  <c r="BV619" s="1"/>
  <c r="Y626" i="22"/>
  <c r="AO626" s="1"/>
  <c r="BL438" i="25"/>
  <c r="BT438" s="1"/>
  <c r="BL440"/>
  <c r="BT440" s="1"/>
  <c r="BV440" s="1"/>
  <c r="BL442"/>
  <c r="BT442" s="1"/>
  <c r="BV442" s="1"/>
  <c r="BL444"/>
  <c r="BT444" s="1"/>
  <c r="BL446"/>
  <c r="BT446" s="1"/>
  <c r="BV446" s="1"/>
  <c r="BL448"/>
  <c r="BT448" s="1"/>
  <c r="BL450"/>
  <c r="BT450" s="1"/>
  <c r="BV450" s="1"/>
  <c r="BL457"/>
  <c r="BT457" s="1"/>
  <c r="BV457" s="1"/>
  <c r="BL459"/>
  <c r="BT459" s="1"/>
  <c r="BV459" s="1"/>
  <c r="BL461"/>
  <c r="BT461" s="1"/>
  <c r="BL463"/>
  <c r="BT463" s="1"/>
  <c r="BL465"/>
  <c r="BT465" s="1"/>
  <c r="BL467"/>
  <c r="BT467" s="1"/>
  <c r="BL469"/>
  <c r="BT469" s="1"/>
  <c r="BL471"/>
  <c r="BT471" s="1"/>
  <c r="BL473"/>
  <c r="BT473" s="1"/>
  <c r="BL477"/>
  <c r="BT477" s="1"/>
  <c r="BL479"/>
  <c r="BT479" s="1"/>
  <c r="BL481"/>
  <c r="BT481" s="1"/>
  <c r="BV481" s="1"/>
  <c r="BL483"/>
  <c r="BT483" s="1"/>
  <c r="BL485"/>
  <c r="BT485" s="1"/>
  <c r="BL487"/>
  <c r="BT487" s="1"/>
  <c r="BL489"/>
  <c r="BT489" s="1"/>
  <c r="BL496"/>
  <c r="BT496" s="1"/>
  <c r="BL499"/>
  <c r="BT499" s="1"/>
  <c r="BV499" s="1"/>
  <c r="BL503"/>
  <c r="BT503" s="1"/>
  <c r="BL510"/>
  <c r="BT510" s="1"/>
  <c r="BV510" s="1"/>
  <c r="BL512"/>
  <c r="BT512" s="1"/>
  <c r="BL514"/>
  <c r="BT514" s="1"/>
  <c r="BL517"/>
  <c r="BT517" s="1"/>
  <c r="BV517" s="1"/>
  <c r="BL518"/>
  <c r="BT518" s="1"/>
  <c r="BV518" s="1"/>
  <c r="BL520"/>
  <c r="BT520" s="1"/>
  <c r="BV520" s="1"/>
  <c r="BL522"/>
  <c r="BT522" s="1"/>
  <c r="BV522" s="1"/>
  <c r="BL524"/>
  <c r="BT524" s="1"/>
  <c r="BL528"/>
  <c r="BT528" s="1"/>
  <c r="BV528" s="1"/>
  <c r="BL530"/>
  <c r="BT530" s="1"/>
  <c r="BV530" s="1"/>
  <c r="BL532"/>
  <c r="BT532" s="1"/>
  <c r="BL533"/>
  <c r="BT533" s="1"/>
  <c r="BL535"/>
  <c r="BT535" s="1"/>
  <c r="BL536"/>
  <c r="BT536" s="1"/>
  <c r="BL538"/>
  <c r="BT538" s="1"/>
  <c r="BL541"/>
  <c r="BT541" s="1"/>
  <c r="BL543"/>
  <c r="BT543" s="1"/>
  <c r="BL546"/>
  <c r="BT546" s="1"/>
  <c r="BV546" s="1"/>
  <c r="BL553"/>
  <c r="BT553" s="1"/>
  <c r="BL556"/>
  <c r="BT556" s="1"/>
  <c r="BL558"/>
  <c r="BT558" s="1"/>
  <c r="BV558" s="1"/>
  <c r="BL560"/>
  <c r="BT560" s="1"/>
  <c r="BL562"/>
  <c r="BT562" s="1"/>
  <c r="BL564"/>
  <c r="BT564" s="1"/>
  <c r="BV564" s="1"/>
  <c r="BL565"/>
  <c r="BT565" s="1"/>
  <c r="BL567"/>
  <c r="BT567" s="1"/>
  <c r="BL574"/>
  <c r="BT574" s="1"/>
  <c r="BL576"/>
  <c r="BT576" s="1"/>
  <c r="BL578"/>
  <c r="BT578" s="1"/>
  <c r="BV578" s="1"/>
  <c r="BL580"/>
  <c r="BT580" s="1"/>
  <c r="BV580" s="1"/>
  <c r="BL583"/>
  <c r="BT583" s="1"/>
  <c r="BV583" s="1"/>
  <c r="BL587"/>
  <c r="BT587" s="1"/>
  <c r="BV587" s="1"/>
  <c r="BL591"/>
  <c r="BT591" s="1"/>
  <c r="BV591" s="1"/>
  <c r="BL593"/>
  <c r="BT593" s="1"/>
  <c r="BV593" s="1"/>
  <c r="BL598"/>
  <c r="BT598" s="1"/>
  <c r="BL600"/>
  <c r="BT600" s="1"/>
  <c r="BV600" s="1"/>
  <c r="BL604"/>
  <c r="BT604" s="1"/>
  <c r="BL611"/>
  <c r="BT611" s="1"/>
  <c r="BL616"/>
  <c r="BT616" s="1"/>
  <c r="BL621"/>
  <c r="BT621" s="1"/>
  <c r="BL626"/>
  <c r="BT626" s="1"/>
  <c r="BL628"/>
  <c r="BT628" s="1"/>
  <c r="BL631"/>
  <c r="BT631" s="1"/>
  <c r="BL633"/>
  <c r="BT633" s="1"/>
  <c r="BV633" s="1"/>
  <c r="BV473"/>
  <c r="AO464" i="22"/>
  <c r="BL464" i="25" s="1"/>
  <c r="BT464" s="1"/>
  <c r="AO590" i="22"/>
  <c r="BL590" i="25" s="1"/>
  <c r="BT590" s="1"/>
  <c r="BV590" s="1"/>
  <c r="AO623" i="22"/>
  <c r="BL623" i="25" s="1"/>
  <c r="BT623" s="1"/>
  <c r="BV623" s="1"/>
  <c r="BL436"/>
  <c r="BT436" s="1"/>
  <c r="BL439"/>
  <c r="BT439" s="1"/>
  <c r="BL443"/>
  <c r="BT443" s="1"/>
  <c r="BV443" s="1"/>
  <c r="BL447"/>
  <c r="BT447" s="1"/>
  <c r="BL451"/>
  <c r="BT451" s="1"/>
  <c r="BV451" s="1"/>
  <c r="BL452"/>
  <c r="BT452" s="1"/>
  <c r="BL454"/>
  <c r="BT454" s="1"/>
  <c r="BL458"/>
  <c r="BT458" s="1"/>
  <c r="BL466"/>
  <c r="BT466" s="1"/>
  <c r="BV466" s="1"/>
  <c r="BL468"/>
  <c r="BT468" s="1"/>
  <c r="BL470"/>
  <c r="BT470" s="1"/>
  <c r="BV470" s="1"/>
  <c r="BL474"/>
  <c r="BT474" s="1"/>
  <c r="BL476"/>
  <c r="BT476" s="1"/>
  <c r="BL478"/>
  <c r="BT478" s="1"/>
  <c r="BL480"/>
  <c r="BT480" s="1"/>
  <c r="BL482"/>
  <c r="BT482" s="1"/>
  <c r="BL484"/>
  <c r="BT484" s="1"/>
  <c r="BL486"/>
  <c r="BT486" s="1"/>
  <c r="BL491"/>
  <c r="BT491" s="1"/>
  <c r="BL493"/>
  <c r="BT493" s="1"/>
  <c r="BL497"/>
  <c r="BT497" s="1"/>
  <c r="BL498"/>
  <c r="BT498" s="1"/>
  <c r="BL500"/>
  <c r="BT500" s="1"/>
  <c r="BL504"/>
  <c r="BT504" s="1"/>
  <c r="BL506"/>
  <c r="BT506" s="1"/>
  <c r="BL511"/>
  <c r="BT511" s="1"/>
  <c r="BL515"/>
  <c r="BT515" s="1"/>
  <c r="BV515" s="1"/>
  <c r="BL521"/>
  <c r="BT521" s="1"/>
  <c r="BV521" s="1"/>
  <c r="BL525"/>
  <c r="BT525" s="1"/>
  <c r="BV525" s="1"/>
  <c r="BL527"/>
  <c r="BT527" s="1"/>
  <c r="BL529"/>
  <c r="BT529" s="1"/>
  <c r="BL534"/>
  <c r="BT534" s="1"/>
  <c r="BV534" s="1"/>
  <c r="BL542"/>
  <c r="BT542" s="1"/>
  <c r="BL548"/>
  <c r="BT548" s="1"/>
  <c r="BV548" s="1"/>
  <c r="BL554"/>
  <c r="BT554" s="1"/>
  <c r="BL559"/>
  <c r="BT559" s="1"/>
  <c r="BV559" s="1"/>
  <c r="BL563"/>
  <c r="BT563" s="1"/>
  <c r="BV563" s="1"/>
  <c r="BL568"/>
  <c r="BT568" s="1"/>
  <c r="BL572"/>
  <c r="BT572" s="1"/>
  <c r="BL573"/>
  <c r="BT573" s="1"/>
  <c r="BV573" s="1"/>
  <c r="BL575"/>
  <c r="BT575" s="1"/>
  <c r="BL579"/>
  <c r="BT579" s="1"/>
  <c r="BL581"/>
  <c r="BT581" s="1"/>
  <c r="BV581" s="1"/>
  <c r="BL584"/>
  <c r="BT584" s="1"/>
  <c r="BL588"/>
  <c r="BT588" s="1"/>
  <c r="BL592"/>
  <c r="BT592" s="1"/>
  <c r="BV592" s="1"/>
  <c r="BL599"/>
  <c r="BT599" s="1"/>
  <c r="BL603"/>
  <c r="BT603" s="1"/>
  <c r="BL608"/>
  <c r="BT608" s="1"/>
  <c r="BV608" s="1"/>
  <c r="BL610"/>
  <c r="BT610" s="1"/>
  <c r="BL613"/>
  <c r="BT613" s="1"/>
  <c r="BL615"/>
  <c r="BT615" s="1"/>
  <c r="BL618"/>
  <c r="BT618" s="1"/>
  <c r="BV618" s="1"/>
  <c r="BL622"/>
  <c r="BT622" s="1"/>
  <c r="BV622" s="1"/>
  <c r="BL627"/>
  <c r="BT627" s="1"/>
  <c r="BL630"/>
  <c r="BT630" s="1"/>
  <c r="BL634"/>
  <c r="BT634" s="1"/>
  <c r="BV621"/>
  <c r="S462" i="10"/>
  <c r="S475"/>
  <c r="S515"/>
  <c r="S579"/>
  <c r="S621"/>
  <c r="S472"/>
  <c r="S503"/>
  <c r="S535"/>
  <c r="S605"/>
  <c r="AO435" i="22"/>
  <c r="BL435" i="25" s="1"/>
  <c r="BT435" s="1"/>
  <c r="BV435" s="1"/>
  <c r="AC435" i="14"/>
  <c r="AE435" i="16"/>
  <c r="AO434" i="22"/>
  <c r="BL434" i="25" s="1"/>
  <c r="BT434" s="1"/>
  <c r="BV434" s="1"/>
  <c r="AC434" i="26"/>
  <c r="AM434" i="1"/>
  <c r="BL434" i="2" s="1"/>
  <c r="BS434" s="1"/>
  <c r="BU434" s="1"/>
  <c r="AO433" i="22"/>
  <c r="BL433" i="25" s="1"/>
  <c r="BT433" s="1"/>
  <c r="BV433" s="1"/>
  <c r="AM433" i="1"/>
  <c r="BL433" i="2" s="1"/>
  <c r="BS433" s="1"/>
  <c r="BU433" s="1"/>
  <c r="AC433" i="14"/>
  <c r="AE433" i="16"/>
  <c r="AO432" i="22"/>
  <c r="BL432" i="25" s="1"/>
  <c r="BT432" s="1"/>
  <c r="BV432" s="1"/>
  <c r="AC432" i="26"/>
  <c r="AM432" i="1"/>
  <c r="BL432" i="2" s="1"/>
  <c r="BS432" s="1"/>
  <c r="AE432" i="16"/>
  <c r="AO431" i="22"/>
  <c r="BL431" i="25" s="1"/>
  <c r="BT431" s="1"/>
  <c r="BV431" s="1"/>
  <c r="AC431" i="26"/>
  <c r="AM431" i="1"/>
  <c r="BL431" i="2" s="1"/>
  <c r="BS431" s="1"/>
  <c r="BU431" s="1"/>
  <c r="AC431" i="14"/>
  <c r="AI631" i="15"/>
  <c r="AI632"/>
  <c r="AG633"/>
  <c r="AI633" s="1"/>
  <c r="AG635"/>
  <c r="AI635" s="1"/>
  <c r="AI433"/>
  <c r="AI435"/>
  <c r="AY435" i="17" s="1"/>
  <c r="AG436" i="15"/>
  <c r="AI436" s="1"/>
  <c r="AI441"/>
  <c r="AI456"/>
  <c r="AI457"/>
  <c r="AI458"/>
  <c r="AI459"/>
  <c r="AI460"/>
  <c r="AI481"/>
  <c r="AI485"/>
  <c r="AG498"/>
  <c r="AI498" s="1"/>
  <c r="AI499"/>
  <c r="AI511"/>
  <c r="AI545"/>
  <c r="AI606"/>
  <c r="AI431"/>
  <c r="AY431" i="17" s="1"/>
  <c r="BC431" s="1"/>
  <c r="BE431" s="1"/>
  <c r="AE431" i="16"/>
  <c r="AC432" i="14"/>
  <c r="AC434"/>
  <c r="AC436"/>
  <c r="AC439"/>
  <c r="AC441"/>
  <c r="AC444"/>
  <c r="AC445"/>
  <c r="AC452"/>
  <c r="AC455"/>
  <c r="AC456"/>
  <c r="AC460"/>
  <c r="AC464"/>
  <c r="AC465"/>
  <c r="AC466"/>
  <c r="AC467"/>
  <c r="AC468"/>
  <c r="AC471"/>
  <c r="AC472"/>
  <c r="AC475"/>
  <c r="AC476"/>
  <c r="AC479"/>
  <c r="AC480"/>
  <c r="AC481"/>
  <c r="AC483"/>
  <c r="AC484"/>
  <c r="AC487"/>
  <c r="AC488"/>
  <c r="AC491"/>
  <c r="AC492"/>
  <c r="AC495"/>
  <c r="AC496"/>
  <c r="AC500"/>
  <c r="AC504"/>
  <c r="AC505"/>
  <c r="AC511"/>
  <c r="AC512"/>
  <c r="AC515"/>
  <c r="AC516"/>
  <c r="AC519"/>
  <c r="AC520"/>
  <c r="AC523"/>
  <c r="AC525"/>
  <c r="AC526"/>
  <c r="AC530"/>
  <c r="AC532"/>
  <c r="AA532"/>
  <c r="AC533"/>
  <c r="AC534"/>
  <c r="AC535"/>
  <c r="AC536"/>
  <c r="AC540"/>
  <c r="AC544"/>
  <c r="AC545"/>
  <c r="AC548"/>
  <c r="AC550"/>
  <c r="AC554"/>
  <c r="AC557"/>
  <c r="AC558"/>
  <c r="AC560"/>
  <c r="AC563"/>
  <c r="AC564"/>
  <c r="AC566"/>
  <c r="AC569"/>
  <c r="AC570"/>
  <c r="AC572"/>
  <c r="AC573"/>
  <c r="AC574"/>
  <c r="AC575"/>
  <c r="AC581"/>
  <c r="AC584"/>
  <c r="AC585"/>
  <c r="AC590"/>
  <c r="AC591"/>
  <c r="AC592"/>
  <c r="AC594"/>
  <c r="AC599"/>
  <c r="AC600"/>
  <c r="AC603"/>
  <c r="AC604"/>
  <c r="AC608"/>
  <c r="AC609"/>
  <c r="AC612"/>
  <c r="AC613"/>
  <c r="AC616"/>
  <c r="AC617"/>
  <c r="AC618"/>
  <c r="AC619"/>
  <c r="AC620"/>
  <c r="AC623"/>
  <c r="AC624"/>
  <c r="AC627"/>
  <c r="AC628"/>
  <c r="AC631"/>
  <c r="AC632"/>
  <c r="AC635"/>
  <c r="BU432" i="2"/>
  <c r="BU436"/>
  <c r="BU439"/>
  <c r="BU440"/>
  <c r="BU443"/>
  <c r="BU455"/>
  <c r="BU459"/>
  <c r="BU473"/>
  <c r="BU500"/>
  <c r="BU586"/>
  <c r="BU604"/>
  <c r="BU607"/>
  <c r="BU435"/>
  <c r="BU441"/>
  <c r="BU445"/>
  <c r="BU446"/>
  <c r="BU451"/>
  <c r="BU452"/>
  <c r="BU466"/>
  <c r="BU467"/>
  <c r="BU470"/>
  <c r="BU479"/>
  <c r="BU482"/>
  <c r="BU483"/>
  <c r="BU488"/>
  <c r="BU489"/>
  <c r="BU493"/>
  <c r="BU497"/>
  <c r="BU502"/>
  <c r="BU505"/>
  <c r="BU513"/>
  <c r="BU518"/>
  <c r="BU521"/>
  <c r="BU522"/>
  <c r="BU525"/>
  <c r="BU526"/>
  <c r="BU527"/>
  <c r="BU529"/>
  <c r="BU530"/>
  <c r="BU533"/>
  <c r="BU538"/>
  <c r="BU539"/>
  <c r="BU541"/>
  <c r="BU546"/>
  <c r="BU547"/>
  <c r="BU555"/>
  <c r="BU561"/>
  <c r="BU568"/>
  <c r="BU569"/>
  <c r="BU573"/>
  <c r="BU576"/>
  <c r="BU580"/>
  <c r="BU581"/>
  <c r="BU589"/>
  <c r="BU594"/>
  <c r="BU598"/>
  <c r="BU613"/>
  <c r="BU634"/>
  <c r="AZ582" i="25"/>
  <c r="BJ582" s="1"/>
  <c r="AZ605"/>
  <c r="BJ605" s="1"/>
  <c r="BL605" s="1"/>
  <c r="BT605" s="1"/>
  <c r="AI446" i="15"/>
  <c r="AI447"/>
  <c r="AI451"/>
  <c r="AI454"/>
  <c r="AI462"/>
  <c r="AI467"/>
  <c r="AI468"/>
  <c r="AG469"/>
  <c r="AI469" s="1"/>
  <c r="AI470"/>
  <c r="AI476"/>
  <c r="AI480"/>
  <c r="AI486"/>
  <c r="AG490"/>
  <c r="AI490" s="1"/>
  <c r="AI492"/>
  <c r="AI496"/>
  <c r="AI513"/>
  <c r="AG529"/>
  <c r="AI529" s="1"/>
  <c r="AI530"/>
  <c r="AI533"/>
  <c r="AI543"/>
  <c r="AG546"/>
  <c r="AI546" s="1"/>
  <c r="AI549"/>
  <c r="AI550"/>
  <c r="AI551"/>
  <c r="AI552"/>
  <c r="AI553"/>
  <c r="AG557"/>
  <c r="AI557" s="1"/>
  <c r="AI567"/>
  <c r="AI568"/>
  <c r="AI569"/>
  <c r="AI571"/>
  <c r="AI572"/>
  <c r="AI604"/>
  <c r="AI608"/>
  <c r="AI444"/>
  <c r="AI453"/>
  <c r="AI461"/>
  <c r="AI463"/>
  <c r="AI465"/>
  <c r="AI475"/>
  <c r="AI477"/>
  <c r="AI479"/>
  <c r="AI491"/>
  <c r="AI493"/>
  <c r="AI495"/>
  <c r="AI510"/>
  <c r="AI512"/>
  <c r="AI527"/>
  <c r="AI532"/>
  <c r="AI542"/>
  <c r="AI544"/>
  <c r="AI547"/>
  <c r="AI554"/>
  <c r="AI556"/>
  <c r="AI565"/>
  <c r="AI600"/>
  <c r="AI601"/>
  <c r="AI603"/>
  <c r="AI605"/>
  <c r="AI607"/>
  <c r="AI617"/>
  <c r="AI634"/>
  <c r="AG629"/>
  <c r="AI629" s="1"/>
  <c r="AI432"/>
  <c r="AI434"/>
  <c r="AI437"/>
  <c r="AI438"/>
  <c r="AI439"/>
  <c r="AI440"/>
  <c r="AI442"/>
  <c r="AI443"/>
  <c r="AI445"/>
  <c r="AG448"/>
  <c r="AI448" s="1"/>
  <c r="AI452"/>
  <c r="AG455"/>
  <c r="AI455" s="1"/>
  <c r="AI466"/>
  <c r="AI471"/>
  <c r="AI472"/>
  <c r="AI473"/>
  <c r="AI474"/>
  <c r="AI482"/>
  <c r="AI483"/>
  <c r="AG484"/>
  <c r="AI484" s="1"/>
  <c r="AI487"/>
  <c r="AG488"/>
  <c r="AI488" s="1"/>
  <c r="AI489"/>
  <c r="AG497"/>
  <c r="AI497" s="1"/>
  <c r="AI500"/>
  <c r="AI501"/>
  <c r="AI502"/>
  <c r="AI503"/>
  <c r="AI504"/>
  <c r="AI505"/>
  <c r="AI506"/>
  <c r="AG514"/>
  <c r="AI514" s="1"/>
  <c r="AI518"/>
  <c r="AI519"/>
  <c r="AI520"/>
  <c r="AI521"/>
  <c r="AI522"/>
  <c r="AI524"/>
  <c r="AG525"/>
  <c r="AI525" s="1"/>
  <c r="AI528"/>
  <c r="AI531"/>
  <c r="AI535"/>
  <c r="AI536"/>
  <c r="AI537"/>
  <c r="AI538"/>
  <c r="AI539"/>
  <c r="AG540"/>
  <c r="AI540" s="1"/>
  <c r="AI548"/>
  <c r="AI558"/>
  <c r="AI559"/>
  <c r="AI560"/>
  <c r="AI561"/>
  <c r="AI562"/>
  <c r="AI563"/>
  <c r="AI564"/>
  <c r="AI566"/>
  <c r="AI570"/>
  <c r="AI574"/>
  <c r="AI575"/>
  <c r="AI576"/>
  <c r="AG577"/>
  <c r="AI577" s="1"/>
  <c r="AI578"/>
  <c r="AG582"/>
  <c r="AI582" s="1"/>
  <c r="AG583"/>
  <c r="AI583" s="1"/>
  <c r="AI584"/>
  <c r="AI593"/>
  <c r="AI598"/>
  <c r="AI599"/>
  <c r="AG609"/>
  <c r="AI609" s="1"/>
  <c r="AI618"/>
  <c r="AG621"/>
  <c r="AI621" s="1"/>
  <c r="K462" i="26"/>
  <c r="AC462" s="1"/>
  <c r="AC433"/>
  <c r="AC435"/>
  <c r="AC436"/>
  <c r="AA437"/>
  <c r="K438"/>
  <c r="AC438" s="1"/>
  <c r="AA602"/>
  <c r="AC603"/>
  <c r="AA603"/>
  <c r="AC604"/>
  <c r="AA604"/>
  <c r="AC605"/>
  <c r="AA605"/>
  <c r="AC606"/>
  <c r="AA606"/>
  <c r="AC610"/>
  <c r="AA611"/>
  <c r="AC612"/>
  <c r="AA612"/>
  <c r="AC613"/>
  <c r="AA613"/>
  <c r="AC614"/>
  <c r="AA614"/>
  <c r="AC615"/>
  <c r="AA615"/>
  <c r="BV615" i="25" s="1"/>
  <c r="AA616" i="26"/>
  <c r="AA617"/>
  <c r="AC619"/>
  <c r="AC620"/>
  <c r="AC621"/>
  <c r="AC622"/>
  <c r="AC623"/>
  <c r="AC624"/>
  <c r="AA625"/>
  <c r="AC626"/>
  <c r="AA626"/>
  <c r="AC627"/>
  <c r="AA627"/>
  <c r="AC628"/>
  <c r="AA628"/>
  <c r="AC629"/>
  <c r="AC630"/>
  <c r="AC631"/>
  <c r="AA438"/>
  <c r="AC441"/>
  <c r="AC444"/>
  <c r="AA444"/>
  <c r="BV444" i="25" s="1"/>
  <c r="AC445" i="26"/>
  <c r="AC447"/>
  <c r="AA447"/>
  <c r="AC448"/>
  <c r="AA448"/>
  <c r="AC449"/>
  <c r="AC451"/>
  <c r="AA452"/>
  <c r="BV452" i="25" s="1"/>
  <c r="AA453" i="26"/>
  <c r="AA454"/>
  <c r="AC455"/>
  <c r="AA458"/>
  <c r="AC460"/>
  <c r="AC461"/>
  <c r="AA462"/>
  <c r="AC463"/>
  <c r="AA463"/>
  <c r="AC464"/>
  <c r="AA464"/>
  <c r="AC465"/>
  <c r="AA465"/>
  <c r="AC466"/>
  <c r="K471"/>
  <c r="AC471" s="1"/>
  <c r="AA471"/>
  <c r="BV471" i="25" s="1"/>
  <c r="AA472" i="26"/>
  <c r="AC473"/>
  <c r="AC474"/>
  <c r="AA474"/>
  <c r="AC475"/>
  <c r="AA475"/>
  <c r="AC476"/>
  <c r="AA476"/>
  <c r="BV476" i="25" s="1"/>
  <c r="AC477" i="26"/>
  <c r="AA477"/>
  <c r="AA478"/>
  <c r="AC479"/>
  <c r="AA482"/>
  <c r="AC483"/>
  <c r="AA483"/>
  <c r="AC484"/>
  <c r="AA484"/>
  <c r="AC485"/>
  <c r="AA485"/>
  <c r="AC486"/>
  <c r="AA486"/>
  <c r="AC487"/>
  <c r="AA487"/>
  <c r="AC488"/>
  <c r="AA488"/>
  <c r="AC489"/>
  <c r="AA489"/>
  <c r="AA490"/>
  <c r="AC491"/>
  <c r="AA491"/>
  <c r="AC492"/>
  <c r="AA492"/>
  <c r="AC493"/>
  <c r="K496"/>
  <c r="AC496" s="1"/>
  <c r="AA496"/>
  <c r="AC497"/>
  <c r="AA497"/>
  <c r="AC498"/>
  <c r="AA498"/>
  <c r="AC500"/>
  <c r="AA500"/>
  <c r="AC501"/>
  <c r="AC503"/>
  <c r="AA503"/>
  <c r="AC504"/>
  <c r="AA504"/>
  <c r="AC505"/>
  <c r="AA505"/>
  <c r="AC506"/>
  <c r="K516"/>
  <c r="AC516" s="1"/>
  <c r="AA516"/>
  <c r="AC523"/>
  <c r="K529"/>
  <c r="AC529" s="1"/>
  <c r="AA529"/>
  <c r="AC530"/>
  <c r="AA532"/>
  <c r="AC535"/>
  <c r="AA535"/>
  <c r="AC536"/>
  <c r="AA536"/>
  <c r="BV536" i="25" s="1"/>
  <c r="AC537" i="26"/>
  <c r="AA537"/>
  <c r="AC538"/>
  <c r="AA538"/>
  <c r="AC539"/>
  <c r="K541"/>
  <c r="AC541" s="1"/>
  <c r="AA541"/>
  <c r="AC542"/>
  <c r="AA542"/>
  <c r="AC543"/>
  <c r="AA543"/>
  <c r="AA544"/>
  <c r="AA545"/>
  <c r="AC546"/>
  <c r="AC548"/>
  <c r="K549"/>
  <c r="AC549" s="1"/>
  <c r="AA549"/>
  <c r="AA550"/>
  <c r="AC551"/>
  <c r="AA553"/>
  <c r="AA554"/>
  <c r="AA555"/>
  <c r="AC556"/>
  <c r="AC559"/>
  <c r="AC561"/>
  <c r="AC562"/>
  <c r="AC563"/>
  <c r="AC564"/>
  <c r="AC565"/>
  <c r="AC567"/>
  <c r="AA567"/>
  <c r="AC568"/>
  <c r="AA568"/>
  <c r="AC570"/>
  <c r="AC573"/>
  <c r="AC574"/>
  <c r="AA574"/>
  <c r="AC575"/>
  <c r="AA575"/>
  <c r="AC576"/>
  <c r="AA576"/>
  <c r="AC577"/>
  <c r="AA577"/>
  <c r="AC578"/>
  <c r="K579"/>
  <c r="AC579" s="1"/>
  <c r="AA579"/>
  <c r="AC580"/>
  <c r="K584"/>
  <c r="AC584" s="1"/>
  <c r="AA584"/>
  <c r="AC585"/>
  <c r="AA585"/>
  <c r="K586"/>
  <c r="K588"/>
  <c r="AC588" s="1"/>
  <c r="AA588"/>
  <c r="AA589"/>
  <c r="AC590"/>
  <c r="AC593"/>
  <c r="AA598"/>
  <c r="BV598" i="25" s="1"/>
  <c r="AC599" i="26"/>
  <c r="AA599"/>
  <c r="AC600"/>
  <c r="AC611"/>
  <c r="AC625"/>
  <c r="AC633"/>
  <c r="AO455" i="22"/>
  <c r="BL455" i="25" s="1"/>
  <c r="BT455" s="1"/>
  <c r="AO490" i="22"/>
  <c r="BL490" i="25" s="1"/>
  <c r="BT490" s="1"/>
  <c r="AO495" i="22"/>
  <c r="BL495" i="25" s="1"/>
  <c r="BT495" s="1"/>
  <c r="AO540" i="22"/>
  <c r="BL540" i="25" s="1"/>
  <c r="BT540" s="1"/>
  <c r="AO544" i="22"/>
  <c r="BL544" i="25" s="1"/>
  <c r="BT544" s="1"/>
  <c r="AO609" i="22"/>
  <c r="BL609" i="25" s="1"/>
  <c r="BT609" s="1"/>
  <c r="AO612" i="22"/>
  <c r="BL612" i="25" s="1"/>
  <c r="BT612" s="1"/>
  <c r="AO624" i="22"/>
  <c r="BL624" i="25" s="1"/>
  <c r="BT624" s="1"/>
  <c r="AM437" i="1"/>
  <c r="BL437" i="2" s="1"/>
  <c r="BS437" s="1"/>
  <c r="BU437" s="1"/>
  <c r="AM458" i="1"/>
  <c r="BL458" i="2" s="1"/>
  <c r="BS458" s="1"/>
  <c r="BU458" s="1"/>
  <c r="AM462" i="1"/>
  <c r="BL462" i="2" s="1"/>
  <c r="BS462" s="1"/>
  <c r="BU462" s="1"/>
  <c r="AM501" i="1"/>
  <c r="BL501" i="2" s="1"/>
  <c r="BS501" s="1"/>
  <c r="BU501" s="1"/>
  <c r="AM549" i="1"/>
  <c r="BL549" i="2" s="1"/>
  <c r="BS549" s="1"/>
  <c r="BU549" s="1"/>
  <c r="AM590" i="1"/>
  <c r="BL590" i="2" s="1"/>
  <c r="BS590" s="1"/>
  <c r="BU590" s="1"/>
  <c r="AM619" i="1"/>
  <c r="BL619" i="2" s="1"/>
  <c r="BS619" s="1"/>
  <c r="BU619" s="1"/>
  <c r="AM630" i="1"/>
  <c r="BL630" i="2" s="1"/>
  <c r="BS630" s="1"/>
  <c r="BU630" s="1"/>
  <c r="AM456" i="1"/>
  <c r="BL456" i="2" s="1"/>
  <c r="BS456" s="1"/>
  <c r="BU456" s="1"/>
  <c r="AM460" i="1"/>
  <c r="BL460" i="2" s="1"/>
  <c r="BS460" s="1"/>
  <c r="BU460" s="1"/>
  <c r="AM461" i="1"/>
  <c r="BL461" i="2" s="1"/>
  <c r="BS461" s="1"/>
  <c r="BU461" s="1"/>
  <c r="AM464" i="1"/>
  <c r="BL464" i="2" s="1"/>
  <c r="BS464" s="1"/>
  <c r="BU464" s="1"/>
  <c r="AM472" i="1"/>
  <c r="BL472" i="2" s="1"/>
  <c r="BS472" s="1"/>
  <c r="BU472" s="1"/>
  <c r="AM476" i="1"/>
  <c r="BL476" i="2" s="1"/>
  <c r="BS476" s="1"/>
  <c r="BU476" s="1"/>
  <c r="AM477" i="1"/>
  <c r="BL477" i="2" s="1"/>
  <c r="BS477" s="1"/>
  <c r="BU477" s="1"/>
  <c r="AM478" i="1"/>
  <c r="BL478" i="2" s="1"/>
  <c r="BS478" s="1"/>
  <c r="BU478" s="1"/>
  <c r="AM487" i="1"/>
  <c r="BL487" i="2" s="1"/>
  <c r="BS487" s="1"/>
  <c r="BU487" s="1"/>
  <c r="AM490" i="1"/>
  <c r="BL490" i="2" s="1"/>
  <c r="BS490" s="1"/>
  <c r="BU490" s="1"/>
  <c r="AM511" i="1"/>
  <c r="BL511" i="2" s="1"/>
  <c r="BS511" s="1"/>
  <c r="BU511" s="1"/>
  <c r="AM512" i="1"/>
  <c r="BL512" i="2" s="1"/>
  <c r="BS512" s="1"/>
  <c r="BU512" s="1"/>
  <c r="AM514" i="1"/>
  <c r="BL514" i="2" s="1"/>
  <c r="BS514" s="1"/>
  <c r="BU514" s="1"/>
  <c r="AM515" i="1"/>
  <c r="BL515" i="2" s="1"/>
  <c r="BS515" s="1"/>
  <c r="BU515" s="1"/>
  <c r="AM519" i="1"/>
  <c r="BL519" i="2" s="1"/>
  <c r="BS519" s="1"/>
  <c r="BU519" s="1"/>
  <c r="AM537" i="1"/>
  <c r="BL537" i="2" s="1"/>
  <c r="BS537" s="1"/>
  <c r="BU537" s="1"/>
  <c r="AM542" i="1"/>
  <c r="BL542" i="2" s="1"/>
  <c r="BS542" s="1"/>
  <c r="BU542" s="1"/>
  <c r="AM543" i="1"/>
  <c r="BL543" i="2" s="1"/>
  <c r="BS543" s="1"/>
  <c r="BU543" s="1"/>
  <c r="AM545" i="1"/>
  <c r="BL545" i="2" s="1"/>
  <c r="BS545" s="1"/>
  <c r="BU545" s="1"/>
  <c r="AM548" i="1"/>
  <c r="BL548" i="2" s="1"/>
  <c r="BS548" s="1"/>
  <c r="BU548" s="1"/>
  <c r="AM551" i="1"/>
  <c r="BL551" i="2" s="1"/>
  <c r="BS551" s="1"/>
  <c r="BU551" s="1"/>
  <c r="AM556" i="1"/>
  <c r="BL556" i="2" s="1"/>
  <c r="BS556" s="1"/>
  <c r="BU556" s="1"/>
  <c r="AM565" i="1"/>
  <c r="BL565" i="2" s="1"/>
  <c r="BS565" s="1"/>
  <c r="BU565" s="1"/>
  <c r="AM572" i="1"/>
  <c r="BL572" i="2" s="1"/>
  <c r="BS572" s="1"/>
  <c r="BU572" s="1"/>
  <c r="AM574" i="1"/>
  <c r="BL574" i="2" s="1"/>
  <c r="BS574" s="1"/>
  <c r="BU574" s="1"/>
  <c r="AM579" i="1"/>
  <c r="BL579" i="2" s="1"/>
  <c r="BS579" s="1"/>
  <c r="BU579" s="1"/>
  <c r="AM583" i="1"/>
  <c r="BL583" i="2" s="1"/>
  <c r="BS583" s="1"/>
  <c r="BU583" s="1"/>
  <c r="AM602" i="1"/>
  <c r="BL602" i="2" s="1"/>
  <c r="BS602" s="1"/>
  <c r="BU602" s="1"/>
  <c r="AM610" i="1"/>
  <c r="BL610" i="2" s="1"/>
  <c r="BS610" s="1"/>
  <c r="BU610" s="1"/>
  <c r="AM615" i="1"/>
  <c r="BL615" i="2" s="1"/>
  <c r="BS615" s="1"/>
  <c r="BU615" s="1"/>
  <c r="AM616" i="1"/>
  <c r="BL616" i="2" s="1"/>
  <c r="BS616" s="1"/>
  <c r="BU616" s="1"/>
  <c r="AM617" i="1"/>
  <c r="BL617" i="2" s="1"/>
  <c r="BS617" s="1"/>
  <c r="BU617" s="1"/>
  <c r="AM626" i="1"/>
  <c r="BL626" i="2" s="1"/>
  <c r="BS626" s="1"/>
  <c r="BU626" s="1"/>
  <c r="AM627" i="1"/>
  <c r="BL627" i="2" s="1"/>
  <c r="BS627" s="1"/>
  <c r="BU627" s="1"/>
  <c r="AM628" i="1"/>
  <c r="BL628" i="2" s="1"/>
  <c r="BS628" s="1"/>
  <c r="BU628" s="1"/>
  <c r="AC550" i="26"/>
  <c r="AC437"/>
  <c r="AC450"/>
  <c r="AC456"/>
  <c r="K458"/>
  <c r="AC458" s="1"/>
  <c r="AC469"/>
  <c r="AC472"/>
  <c r="AC478"/>
  <c r="AC482"/>
  <c r="AC494"/>
  <c r="AC513"/>
  <c r="K518"/>
  <c r="AC518" s="1"/>
  <c r="K519"/>
  <c r="AC519" s="1"/>
  <c r="AC524"/>
  <c r="K528"/>
  <c r="AC528" s="1"/>
  <c r="K532"/>
  <c r="AC532" s="1"/>
  <c r="K540"/>
  <c r="AC540" s="1"/>
  <c r="K544"/>
  <c r="AC544" s="1"/>
  <c r="K547"/>
  <c r="AC547" s="1"/>
  <c r="K553"/>
  <c r="AC553" s="1"/>
  <c r="K560"/>
  <c r="AC560" s="1"/>
  <c r="K583"/>
  <c r="AC583" s="1"/>
  <c r="AC586"/>
  <c r="K587"/>
  <c r="AC587" s="1"/>
  <c r="K589"/>
  <c r="AC589" s="1"/>
  <c r="K598"/>
  <c r="AC598" s="1"/>
  <c r="K607"/>
  <c r="AC607" s="1"/>
  <c r="K609"/>
  <c r="AC609" s="1"/>
  <c r="K616"/>
  <c r="AC616" s="1"/>
  <c r="AC635"/>
  <c r="K439"/>
  <c r="AC439" s="1"/>
  <c r="K458" i="14"/>
  <c r="AC458" s="1"/>
  <c r="K462"/>
  <c r="AC462" s="1"/>
  <c r="K529"/>
  <c r="AC529" s="1"/>
  <c r="K539"/>
  <c r="AC539" s="1"/>
  <c r="K549"/>
  <c r="AC549" s="1"/>
  <c r="K553"/>
  <c r="AC553" s="1"/>
  <c r="AE434" i="16"/>
  <c r="AE450"/>
  <c r="AG137" i="1"/>
  <c r="W138" i="22"/>
  <c r="Y138" i="26"/>
  <c r="U138"/>
  <c r="W138" i="1"/>
  <c r="U138" i="14"/>
  <c r="O138" i="15"/>
  <c r="Q138" i="16"/>
  <c r="AV137" i="25"/>
  <c r="AE137" i="22"/>
  <c r="AI137"/>
  <c r="W137"/>
  <c r="K137"/>
  <c r="Y137" i="26"/>
  <c r="U137"/>
  <c r="Q137"/>
  <c r="AV137" i="2"/>
  <c r="W137" i="1"/>
  <c r="U137" i="14"/>
  <c r="Q137"/>
  <c r="S137" i="15"/>
  <c r="Q137" i="16"/>
  <c r="W136" i="22"/>
  <c r="K136"/>
  <c r="Y136" i="26"/>
  <c r="U136"/>
  <c r="Q136"/>
  <c r="W136" i="1"/>
  <c r="K136"/>
  <c r="U136" i="14"/>
  <c r="Q136"/>
  <c r="Q136" i="16"/>
  <c r="M135" i="25"/>
  <c r="W135" i="22"/>
  <c r="Y135" i="26"/>
  <c r="U135"/>
  <c r="M135" i="2"/>
  <c r="W135" i="1"/>
  <c r="U135" i="14"/>
  <c r="M135" i="17"/>
  <c r="O135" i="15"/>
  <c r="Q135" i="16"/>
  <c r="O135" i="10"/>
  <c r="W134" i="22"/>
  <c r="K134"/>
  <c r="Y134" i="26"/>
  <c r="U134"/>
  <c r="W134" i="1"/>
  <c r="U134" i="14"/>
  <c r="O134" i="15"/>
  <c r="Q134" i="16"/>
  <c r="AV133" i="25"/>
  <c r="AE133" i="22"/>
  <c r="W133"/>
  <c r="Y133" i="26"/>
  <c r="U133"/>
  <c r="U133" i="14"/>
  <c r="O133" i="15"/>
  <c r="Q133" i="16"/>
  <c r="W132" i="22"/>
  <c r="Y132" i="26"/>
  <c r="W132" i="1"/>
  <c r="Q132" i="16"/>
  <c r="W130" i="22"/>
  <c r="K130"/>
  <c r="Y130" i="26"/>
  <c r="U130"/>
  <c r="Q130"/>
  <c r="U130" i="14"/>
  <c r="Q130"/>
  <c r="Q130" i="16"/>
  <c r="AV129" i="25"/>
  <c r="W129" i="22"/>
  <c r="Y129" i="26"/>
  <c r="U129"/>
  <c r="W129" i="1"/>
  <c r="U129" i="14"/>
  <c r="Q129" i="16"/>
  <c r="AV127" i="25"/>
  <c r="M127"/>
  <c r="AE127" i="22"/>
  <c r="W127"/>
  <c r="Y127" i="26"/>
  <c r="U127"/>
  <c r="G127"/>
  <c r="M127" i="2"/>
  <c r="W127" i="1"/>
  <c r="U127" i="14"/>
  <c r="M127" i="17"/>
  <c r="Q127" i="16"/>
  <c r="G127" i="10"/>
  <c r="AV126" i="25"/>
  <c r="AE126" i="22"/>
  <c r="W126"/>
  <c r="Y126" i="26"/>
  <c r="U126"/>
  <c r="W126" i="1"/>
  <c r="U126" i="14"/>
  <c r="BA126" i="17"/>
  <c r="I126" i="15"/>
  <c r="G126"/>
  <c r="AA126"/>
  <c r="O126"/>
  <c r="Q126" i="16"/>
  <c r="I126" i="10"/>
  <c r="W125" i="22"/>
  <c r="K125"/>
  <c r="Y125" i="26"/>
  <c r="U125"/>
  <c r="Q125"/>
  <c r="W125" i="1"/>
  <c r="U125" i="14"/>
  <c r="Q125"/>
  <c r="Q125" i="16"/>
  <c r="W124" i="22"/>
  <c r="K124"/>
  <c r="Y124" i="26"/>
  <c r="U124"/>
  <c r="Q124"/>
  <c r="W124" i="1"/>
  <c r="K124"/>
  <c r="U124" i="14"/>
  <c r="Q124"/>
  <c r="Q124" i="16"/>
  <c r="W121" i="22"/>
  <c r="K121"/>
  <c r="Y121" i="26"/>
  <c r="U121"/>
  <c r="Q121"/>
  <c r="G121"/>
  <c r="W121" i="1"/>
  <c r="U121" i="14"/>
  <c r="Q121"/>
  <c r="Q121" i="16"/>
  <c r="AV120" i="25"/>
  <c r="AI120" i="22"/>
  <c r="W120"/>
  <c r="Y120" i="26"/>
  <c r="U120"/>
  <c r="I120"/>
  <c r="W120" i="1"/>
  <c r="U120" i="14"/>
  <c r="O120" i="15"/>
  <c r="Q120" i="16"/>
  <c r="M120" i="10"/>
  <c r="AP119" i="25"/>
  <c r="W119" i="22"/>
  <c r="K119"/>
  <c r="Y119" i="26"/>
  <c r="U119"/>
  <c r="Q119"/>
  <c r="AP119" i="2"/>
  <c r="W119" i="1"/>
  <c r="K119"/>
  <c r="U119" i="14"/>
  <c r="Q119"/>
  <c r="Q119" i="16"/>
  <c r="G119" i="10"/>
  <c r="M118" i="25"/>
  <c r="K118" i="22"/>
  <c r="Y118" i="26"/>
  <c r="U118"/>
  <c r="M118" i="2"/>
  <c r="K118" i="1"/>
  <c r="U118" i="14"/>
  <c r="M118" i="17"/>
  <c r="O118" i="15"/>
  <c r="Q118" i="16"/>
  <c r="G118" i="10"/>
  <c r="AI117" i="25"/>
  <c r="M117"/>
  <c r="W117" i="22"/>
  <c r="Y117" i="26"/>
  <c r="U117"/>
  <c r="AI117" i="2"/>
  <c r="M117"/>
  <c r="U117" i="14"/>
  <c r="BA117" i="17"/>
  <c r="M117"/>
  <c r="I117" i="15"/>
  <c r="G117"/>
  <c r="AA117" i="16"/>
  <c r="Y117"/>
  <c r="U117"/>
  <c r="S117"/>
  <c r="K117"/>
  <c r="I117"/>
  <c r="Q117"/>
  <c r="O117"/>
  <c r="O117" i="10"/>
  <c r="G117"/>
  <c r="U117"/>
  <c r="W116" i="22"/>
  <c r="Y116" i="26"/>
  <c r="U116"/>
  <c r="U116" i="14"/>
  <c r="O116" i="15"/>
  <c r="Q116" i="16"/>
  <c r="AI115" i="25"/>
  <c r="W115" i="22"/>
  <c r="Y115" i="26"/>
  <c r="U115"/>
  <c r="U115" i="14"/>
  <c r="O115" i="15"/>
  <c r="Q115" i="16"/>
  <c r="W114" i="22"/>
  <c r="K114"/>
  <c r="Y114" i="26"/>
  <c r="U114"/>
  <c r="Q114"/>
  <c r="W114" i="1"/>
  <c r="U114" i="14"/>
  <c r="Q114"/>
  <c r="Q114" i="16"/>
  <c r="W113" i="22"/>
  <c r="K113"/>
  <c r="Y113" i="26"/>
  <c r="U113"/>
  <c r="Q113"/>
  <c r="W113" i="1"/>
  <c r="K113"/>
  <c r="U113" i="14"/>
  <c r="Q113"/>
  <c r="Q113" i="16"/>
  <c r="W112" i="22"/>
  <c r="Y112" i="26"/>
  <c r="U112"/>
  <c r="U112" i="14"/>
  <c r="O112" i="15"/>
  <c r="Q112" i="16"/>
  <c r="G112" i="10"/>
  <c r="M111" i="25"/>
  <c r="AI111" i="22"/>
  <c r="W111"/>
  <c r="Y111" i="26"/>
  <c r="U111"/>
  <c r="M111" i="2"/>
  <c r="AG111" i="1"/>
  <c r="W111"/>
  <c r="U111" i="14"/>
  <c r="M111" i="17"/>
  <c r="O111" i="15"/>
  <c r="Q111" i="16"/>
  <c r="W110" i="22"/>
  <c r="K110"/>
  <c r="Y110" i="26"/>
  <c r="U110"/>
  <c r="Q110"/>
  <c r="W110" i="1"/>
  <c r="K110"/>
  <c r="U110" i="14"/>
  <c r="Q110"/>
  <c r="Q110" i="16"/>
  <c r="AE109" i="22"/>
  <c r="W109"/>
  <c r="K109"/>
  <c r="Y109" i="26"/>
  <c r="U109"/>
  <c r="Q109"/>
  <c r="K109" i="1"/>
  <c r="U109" i="14"/>
  <c r="Q109"/>
  <c r="Q109" i="16"/>
  <c r="W108" i="22"/>
  <c r="K108"/>
  <c r="Y108" i="26"/>
  <c r="U108"/>
  <c r="Q108"/>
  <c r="W108" i="1"/>
  <c r="K108"/>
  <c r="U108" i="14"/>
  <c r="Q108"/>
  <c r="Q108" i="16"/>
  <c r="W107" i="22"/>
  <c r="Y107" i="26"/>
  <c r="U107"/>
  <c r="W107" i="1"/>
  <c r="U107" i="14"/>
  <c r="Q107" i="16"/>
  <c r="W106" i="22"/>
  <c r="Y106" i="26"/>
  <c r="U106"/>
  <c r="W106" i="1"/>
  <c r="U106" i="14"/>
  <c r="Q106" i="16"/>
  <c r="W104" i="22"/>
  <c r="K104"/>
  <c r="Y104" i="26"/>
  <c r="U104"/>
  <c r="Q104"/>
  <c r="W104" i="1"/>
  <c r="U104" i="14"/>
  <c r="Q104"/>
  <c r="Q104" i="16"/>
  <c r="W103" i="22"/>
  <c r="Y103" i="26"/>
  <c r="U103"/>
  <c r="W103" i="1"/>
  <c r="U103" i="14"/>
  <c r="G103" i="15"/>
  <c r="O103"/>
  <c r="Q103" i="16"/>
  <c r="O103" i="10"/>
  <c r="W101" i="22"/>
  <c r="Y101" i="26"/>
  <c r="U101"/>
  <c r="U101" i="14"/>
  <c r="O101" i="15"/>
  <c r="Q101" i="16"/>
  <c r="W100" i="22"/>
  <c r="Y100" i="26"/>
  <c r="U100"/>
  <c r="W100" i="1"/>
  <c r="U100" i="14"/>
  <c r="Q100" i="16"/>
  <c r="M97" i="25"/>
  <c r="W97" i="22"/>
  <c r="Y97" i="26"/>
  <c r="U97"/>
  <c r="M97" i="2"/>
  <c r="W97" i="1"/>
  <c r="U97" i="14"/>
  <c r="M97" i="17"/>
  <c r="Q97" i="16"/>
  <c r="W96" i="22"/>
  <c r="U96" i="26"/>
  <c r="Y96"/>
  <c r="W96" i="1"/>
  <c r="Q96" i="16"/>
  <c r="AM94" i="22"/>
  <c r="W94"/>
  <c r="K94"/>
  <c r="Y94" i="26"/>
  <c r="U94"/>
  <c r="Q94"/>
  <c r="I94"/>
  <c r="K94" i="1"/>
  <c r="U94" i="14"/>
  <c r="Q94"/>
  <c r="Q94" i="16"/>
  <c r="AV93" i="25"/>
  <c r="W93" i="22"/>
  <c r="Y93" i="26"/>
  <c r="U93"/>
  <c r="W93" i="1"/>
  <c r="U93" i="14"/>
  <c r="O93" i="15"/>
  <c r="Q93" i="16"/>
  <c r="M92" i="25"/>
  <c r="W92" i="22"/>
  <c r="K92"/>
  <c r="Y92" i="26"/>
  <c r="U92"/>
  <c r="Q92"/>
  <c r="W92" i="1"/>
  <c r="K92"/>
  <c r="U92" i="14"/>
  <c r="Q92"/>
  <c r="M92" i="17"/>
  <c r="Q92" i="16"/>
  <c r="G92" i="10"/>
  <c r="M91" i="25"/>
  <c r="W91" i="22"/>
  <c r="K91"/>
  <c r="Y91" i="26"/>
  <c r="U91"/>
  <c r="Q91"/>
  <c r="W91" i="1"/>
  <c r="K91"/>
  <c r="U91" i="14"/>
  <c r="Q91"/>
  <c r="M91" i="17"/>
  <c r="Q91" i="16"/>
  <c r="K91" i="10"/>
  <c r="O91"/>
  <c r="AE90" i="22"/>
  <c r="W90"/>
  <c r="Y90" i="26"/>
  <c r="U90"/>
  <c r="W90" i="1"/>
  <c r="U90" i="14"/>
  <c r="Q90" i="16"/>
  <c r="G90" i="10"/>
  <c r="I90"/>
  <c r="BV569" i="25" l="1"/>
  <c r="BL516"/>
  <c r="BT516" s="1"/>
  <c r="BV599"/>
  <c r="BV588"/>
  <c r="BV579"/>
  <c r="BV555"/>
  <c r="BV553"/>
  <c r="BV550"/>
  <c r="BV538"/>
  <c r="BV537"/>
  <c r="BV535"/>
  <c r="BV532"/>
  <c r="BV529"/>
  <c r="BV505"/>
  <c r="BV504"/>
  <c r="BV503"/>
  <c r="BV492"/>
  <c r="BV491"/>
  <c r="BV477"/>
  <c r="BV475"/>
  <c r="BV474"/>
  <c r="BV458"/>
  <c r="BV454"/>
  <c r="BV617"/>
  <c r="BV614"/>
  <c r="BV613"/>
  <c r="BV611"/>
  <c r="BV606"/>
  <c r="BV604"/>
  <c r="BV603"/>
  <c r="BV602"/>
  <c r="BV437"/>
  <c r="BL582"/>
  <c r="BT582" s="1"/>
  <c r="BV582" s="1"/>
  <c r="BV577"/>
  <c r="BV545"/>
  <c r="BV498"/>
  <c r="BV488"/>
  <c r="BV484"/>
  <c r="BV472"/>
  <c r="BV625"/>
  <c r="BV585"/>
  <c r="BV576"/>
  <c r="BV543"/>
  <c r="BV516"/>
  <c r="BV496"/>
  <c r="BV487"/>
  <c r="BV483"/>
  <c r="BV463"/>
  <c r="BV453"/>
  <c r="BV448"/>
  <c r="BV628"/>
  <c r="BV467"/>
  <c r="BV605"/>
  <c r="BV565"/>
  <c r="BV562"/>
  <c r="BV539"/>
  <c r="BV512"/>
  <c r="BV506"/>
  <c r="BV501"/>
  <c r="BV547"/>
  <c r="BV479"/>
  <c r="BV460"/>
  <c r="BV436"/>
  <c r="BV572"/>
  <c r="BV560"/>
  <c r="BV556"/>
  <c r="BV511"/>
  <c r="BV494"/>
  <c r="BV439"/>
  <c r="BV584"/>
  <c r="BV575"/>
  <c r="BV574"/>
  <c r="BV568"/>
  <c r="BV567"/>
  <c r="BV554"/>
  <c r="BV549"/>
  <c r="BV542"/>
  <c r="BV541"/>
  <c r="BV500"/>
  <c r="BV497"/>
  <c r="BV489"/>
  <c r="BV486"/>
  <c r="BV485"/>
  <c r="BV482"/>
  <c r="BV478"/>
  <c r="BV465"/>
  <c r="BV447"/>
  <c r="BV438"/>
  <c r="BV627"/>
  <c r="BV626"/>
  <c r="BV616"/>
  <c r="BV586"/>
  <c r="BV514"/>
  <c r="BV469"/>
  <c r="BV456"/>
  <c r="BV526"/>
  <c r="BV480"/>
  <c r="BV461"/>
  <c r="BV462"/>
  <c r="BV557"/>
  <c r="BV551"/>
  <c r="BV468"/>
  <c r="BV624"/>
  <c r="BV609"/>
  <c r="BV634"/>
  <c r="BV540"/>
  <c r="BV635"/>
  <c r="BV632"/>
  <c r="BV610"/>
  <c r="BV561"/>
  <c r="BV527"/>
  <c r="BV519"/>
  <c r="BV513"/>
  <c r="BV493"/>
  <c r="BV631"/>
  <c r="BV524"/>
  <c r="BV495"/>
  <c r="BV455"/>
  <c r="BV630"/>
  <c r="BV533"/>
  <c r="BU532" i="2"/>
  <c r="BV464" i="25"/>
  <c r="BV589"/>
  <c r="BV490"/>
  <c r="BV544"/>
  <c r="BV612"/>
  <c r="BC435" i="17"/>
  <c r="BE435" s="1"/>
  <c r="AY434"/>
  <c r="BC434" s="1"/>
  <c r="BE434" s="1"/>
  <c r="AY433"/>
  <c r="BC433" s="1"/>
  <c r="BE433" s="1"/>
  <c r="AY432"/>
  <c r="BC432" s="1"/>
  <c r="BE432" s="1"/>
  <c r="AM90" i="22" l="1"/>
  <c r="AM91"/>
  <c r="AM92"/>
  <c r="AM93"/>
  <c r="AM95"/>
  <c r="AO178"/>
  <c r="W10" i="10"/>
  <c r="AM96" i="22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1"/>
  <c r="AM162"/>
  <c r="AM163"/>
  <c r="AM164"/>
  <c r="AM165"/>
  <c r="AM166"/>
  <c r="AM167"/>
  <c r="AM168"/>
  <c r="AM169"/>
  <c r="AM174"/>
  <c r="AM175"/>
  <c r="AM179"/>
  <c r="AM180"/>
  <c r="AM181"/>
  <c r="AM182"/>
  <c r="AM183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4"/>
  <c r="AM205"/>
  <c r="AM206"/>
  <c r="AM207"/>
  <c r="AM208"/>
  <c r="AM209"/>
  <c r="AM210"/>
  <c r="AM211"/>
  <c r="AM212"/>
  <c r="AM213"/>
  <c r="AM214"/>
  <c r="AM215"/>
  <c r="AM216"/>
  <c r="AM217"/>
  <c r="AM218"/>
  <c r="AM219"/>
  <c r="AM220"/>
  <c r="AM221"/>
  <c r="AM222"/>
  <c r="AM223"/>
  <c r="AM224"/>
  <c r="AM225"/>
  <c r="AM226"/>
  <c r="AM227"/>
  <c r="AM228"/>
  <c r="AM229"/>
  <c r="AM230"/>
  <c r="AM231"/>
  <c r="AM232"/>
  <c r="AM233"/>
  <c r="AM234"/>
  <c r="AM235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9"/>
  <c r="AM260"/>
  <c r="AM262"/>
  <c r="AM263"/>
  <c r="AM264"/>
  <c r="AM265"/>
  <c r="AM266"/>
  <c r="AM267"/>
  <c r="AM268"/>
  <c r="AM269"/>
  <c r="AM270"/>
  <c r="AM273"/>
  <c r="AM274"/>
  <c r="AM275"/>
  <c r="AM276"/>
  <c r="AM277"/>
  <c r="AM278"/>
  <c r="AM279"/>
  <c r="AM280"/>
  <c r="AM281"/>
  <c r="AM282"/>
  <c r="AM283"/>
  <c r="AM284"/>
  <c r="AM285"/>
  <c r="AM286"/>
  <c r="AM287"/>
  <c r="AM288"/>
  <c r="AM289"/>
  <c r="AM290"/>
  <c r="AM292"/>
  <c r="AM293"/>
  <c r="AM294"/>
  <c r="AM296"/>
  <c r="AM297"/>
  <c r="AM298"/>
  <c r="AM299"/>
  <c r="AM300"/>
  <c r="AM301"/>
  <c r="AM302"/>
  <c r="AM303"/>
  <c r="AM304"/>
  <c r="AM305"/>
  <c r="AM306"/>
  <c r="AM307"/>
  <c r="AM308"/>
  <c r="AM309"/>
  <c r="AM310"/>
  <c r="AM311"/>
  <c r="AM312"/>
  <c r="AM313"/>
  <c r="AM314"/>
  <c r="AM315"/>
  <c r="AM316"/>
  <c r="AM317"/>
  <c r="AM318"/>
  <c r="AM319"/>
  <c r="AM376"/>
  <c r="AM378"/>
  <c r="AM379"/>
  <c r="AM380"/>
  <c r="AM381"/>
  <c r="AM382"/>
  <c r="AM383"/>
  <c r="AM384"/>
  <c r="AM385"/>
  <c r="AM386"/>
  <c r="AM387"/>
  <c r="AM388"/>
  <c r="AM389"/>
  <c r="AM390"/>
  <c r="AM391"/>
  <c r="AM392"/>
  <c r="AM393"/>
  <c r="AM394"/>
  <c r="AM395"/>
  <c r="AM396"/>
  <c r="AM397"/>
  <c r="AM398"/>
  <c r="AM399"/>
  <c r="AM400"/>
  <c r="AM401"/>
  <c r="AM402"/>
  <c r="AM403"/>
  <c r="AM404"/>
  <c r="AM405"/>
  <c r="AM406"/>
  <c r="AM407"/>
  <c r="AM409"/>
  <c r="AM411"/>
  <c r="AM412"/>
  <c r="AM413"/>
  <c r="AM414"/>
  <c r="AM415"/>
  <c r="AM416"/>
  <c r="AM417"/>
  <c r="AM419"/>
  <c r="AM420"/>
  <c r="AM421"/>
  <c r="AM422"/>
  <c r="AM424"/>
  <c r="AM425"/>
  <c r="AM429"/>
  <c r="AM430"/>
  <c r="AZ90" i="25" l="1"/>
  <c r="BJ90" s="1"/>
  <c r="AZ91"/>
  <c r="BJ91" s="1"/>
  <c r="AZ92"/>
  <c r="BJ92" s="1"/>
  <c r="AZ93"/>
  <c r="BJ93" s="1"/>
  <c r="AZ94"/>
  <c r="BJ94" s="1"/>
  <c r="AZ95"/>
  <c r="BJ95" s="1"/>
  <c r="Y90" i="22"/>
  <c r="AO90" s="1"/>
  <c r="Y91"/>
  <c r="AO91" s="1"/>
  <c r="Y92"/>
  <c r="AO92" s="1"/>
  <c r="Y93"/>
  <c r="AO93" s="1"/>
  <c r="Y94"/>
  <c r="AO94" s="1"/>
  <c r="Y95"/>
  <c r="AO95" s="1"/>
  <c r="BL92" i="25" l="1"/>
  <c r="BT92" s="1"/>
  <c r="BL95"/>
  <c r="BT95" s="1"/>
  <c r="BL90"/>
  <c r="BT90" s="1"/>
  <c r="BL94"/>
  <c r="BT94" s="1"/>
  <c r="BL93"/>
  <c r="BT93" s="1"/>
  <c r="BL91"/>
  <c r="BT91" s="1"/>
  <c r="AZ90" i="2" l="1"/>
  <c r="BJ90" s="1"/>
  <c r="AZ91"/>
  <c r="BJ91" s="1"/>
  <c r="AZ92"/>
  <c r="AZ93"/>
  <c r="BJ93" s="1"/>
  <c r="AZ94"/>
  <c r="BJ94" s="1"/>
  <c r="AZ95"/>
  <c r="BJ95" s="1"/>
  <c r="AZ96"/>
  <c r="BJ96" s="1"/>
  <c r="AZ97"/>
  <c r="BJ97" s="1"/>
  <c r="BJ92" l="1"/>
  <c r="AK116" i="1" l="1"/>
  <c r="AK192"/>
  <c r="AK193"/>
  <c r="AK194"/>
  <c r="AK195"/>
  <c r="K91" i="14"/>
  <c r="S186" i="10" l="1"/>
  <c r="X186"/>
  <c r="S187"/>
  <c r="X187"/>
  <c r="S188"/>
  <c r="X188"/>
  <c r="S189"/>
  <c r="X189"/>
  <c r="K402" i="14" l="1"/>
  <c r="AC401"/>
  <c r="AA401"/>
  <c r="Y401" i="1"/>
  <c r="Y402"/>
  <c r="AA402" i="14"/>
  <c r="S413" i="10" l="1"/>
  <c r="S412"/>
  <c r="S411"/>
  <c r="S410"/>
  <c r="AZ419" i="25"/>
  <c r="BJ419" s="1"/>
  <c r="AZ417"/>
  <c r="BJ417" s="1"/>
  <c r="AZ416"/>
  <c r="BJ416" s="1"/>
  <c r="AZ413"/>
  <c r="BJ413" s="1"/>
  <c r="AZ412"/>
  <c r="BJ412" s="1"/>
  <c r="AZ411"/>
  <c r="BJ411" s="1"/>
  <c r="AZ410"/>
  <c r="BJ410" s="1"/>
  <c r="Y419" i="22"/>
  <c r="AO419" s="1"/>
  <c r="Y417"/>
  <c r="AO417" s="1"/>
  <c r="Y416"/>
  <c r="AO416" s="1"/>
  <c r="Y413"/>
  <c r="AO413" s="1"/>
  <c r="Y412"/>
  <c r="AO412" s="1"/>
  <c r="Y411"/>
  <c r="AO411" s="1"/>
  <c r="Y410"/>
  <c r="AO410" s="1"/>
  <c r="O419" i="26"/>
  <c r="K419"/>
  <c r="O417"/>
  <c r="K417"/>
  <c r="O416"/>
  <c r="K416"/>
  <c r="O413"/>
  <c r="K413"/>
  <c r="O412"/>
  <c r="K412"/>
  <c r="O411"/>
  <c r="K411"/>
  <c r="O410"/>
  <c r="K410"/>
  <c r="AZ415" i="2"/>
  <c r="BJ415" s="1"/>
  <c r="AZ420"/>
  <c r="BJ420" s="1"/>
  <c r="AZ419"/>
  <c r="BJ419" s="1"/>
  <c r="AZ417"/>
  <c r="BJ417" s="1"/>
  <c r="AZ416"/>
  <c r="BJ416" s="1"/>
  <c r="AZ413"/>
  <c r="BJ413" s="1"/>
  <c r="AZ412"/>
  <c r="BJ412" s="1"/>
  <c r="AZ411"/>
  <c r="BJ411" s="1"/>
  <c r="AZ410"/>
  <c r="BJ410" s="1"/>
  <c r="AK420" i="1"/>
  <c r="Y420"/>
  <c r="AK419"/>
  <c r="Y419"/>
  <c r="AK417"/>
  <c r="Y417"/>
  <c r="AK416"/>
  <c r="Y416"/>
  <c r="AK413"/>
  <c r="Y413"/>
  <c r="AK412"/>
  <c r="Y412"/>
  <c r="AK411"/>
  <c r="Y411"/>
  <c r="AK410"/>
  <c r="Y410"/>
  <c r="O420" i="14"/>
  <c r="K420"/>
  <c r="O419"/>
  <c r="K419"/>
  <c r="O417"/>
  <c r="K417"/>
  <c r="O416"/>
  <c r="K416"/>
  <c r="O413"/>
  <c r="K413"/>
  <c r="O412"/>
  <c r="K412"/>
  <c r="O411"/>
  <c r="K411"/>
  <c r="K410"/>
  <c r="AW420" i="17"/>
  <c r="AW419"/>
  <c r="AW417"/>
  <c r="AW416"/>
  <c r="AW413"/>
  <c r="AW412"/>
  <c r="AW411"/>
  <c r="AW410"/>
  <c r="AW409"/>
  <c r="AG420" i="15"/>
  <c r="M420"/>
  <c r="AG419"/>
  <c r="M419"/>
  <c r="AG417"/>
  <c r="M417"/>
  <c r="AG416"/>
  <c r="M416"/>
  <c r="AG413"/>
  <c r="M413"/>
  <c r="AG412"/>
  <c r="M412"/>
  <c r="M411"/>
  <c r="AG410"/>
  <c r="M410"/>
  <c r="W420" i="16"/>
  <c r="M420"/>
  <c r="G420"/>
  <c r="W419"/>
  <c r="M419"/>
  <c r="G419"/>
  <c r="W417"/>
  <c r="M417"/>
  <c r="G417"/>
  <c r="W416"/>
  <c r="M416"/>
  <c r="G416"/>
  <c r="W413"/>
  <c r="M413"/>
  <c r="G413"/>
  <c r="W412"/>
  <c r="M412"/>
  <c r="G412"/>
  <c r="W411"/>
  <c r="M411"/>
  <c r="G411"/>
  <c r="W410"/>
  <c r="M410"/>
  <c r="G410"/>
  <c r="AZ414" i="25"/>
  <c r="BJ414" s="1"/>
  <c r="AZ408"/>
  <c r="BJ408" s="1"/>
  <c r="AZ407"/>
  <c r="BJ407" s="1"/>
  <c r="AZ406"/>
  <c r="BJ406" s="1"/>
  <c r="AZ405"/>
  <c r="BJ405" s="1"/>
  <c r="AZ404"/>
  <c r="BJ404" s="1"/>
  <c r="Y414" i="22"/>
  <c r="AO414" s="1"/>
  <c r="Y408"/>
  <c r="AO408" s="1"/>
  <c r="Y407"/>
  <c r="AO407" s="1"/>
  <c r="Y406"/>
  <c r="AO406" s="1"/>
  <c r="Y405"/>
  <c r="AO405" s="1"/>
  <c r="Y404"/>
  <c r="AO404" s="1"/>
  <c r="O415" i="26"/>
  <c r="K415"/>
  <c r="O414"/>
  <c r="K414"/>
  <c r="O408"/>
  <c r="K408"/>
  <c r="O407"/>
  <c r="K407"/>
  <c r="O406"/>
  <c r="K406"/>
  <c r="O405"/>
  <c r="K405"/>
  <c r="O404"/>
  <c r="K404"/>
  <c r="AZ414" i="2"/>
  <c r="BJ414" s="1"/>
  <c r="AZ408"/>
  <c r="BJ408" s="1"/>
  <c r="AZ407"/>
  <c r="BJ407" s="1"/>
  <c r="AZ406"/>
  <c r="BJ406" s="1"/>
  <c r="AZ405"/>
  <c r="BJ405" s="1"/>
  <c r="AZ404"/>
  <c r="BJ404" s="1"/>
  <c r="AK415" i="1"/>
  <c r="Y415"/>
  <c r="AK414"/>
  <c r="Y414"/>
  <c r="AK408"/>
  <c r="Y408"/>
  <c r="AK407"/>
  <c r="Y407"/>
  <c r="AK406"/>
  <c r="Y406"/>
  <c r="AK405"/>
  <c r="Y405"/>
  <c r="AK404"/>
  <c r="Y404"/>
  <c r="O415" i="14"/>
  <c r="K415"/>
  <c r="O414"/>
  <c r="K414"/>
  <c r="O408"/>
  <c r="K408"/>
  <c r="O407"/>
  <c r="K407"/>
  <c r="O406"/>
  <c r="K406"/>
  <c r="O405"/>
  <c r="K405"/>
  <c r="O404"/>
  <c r="K404"/>
  <c r="AW415" i="17"/>
  <c r="AW414"/>
  <c r="AW408"/>
  <c r="AW407"/>
  <c r="AW406"/>
  <c r="AW405"/>
  <c r="AW404"/>
  <c r="M415" i="15"/>
  <c r="M414"/>
  <c r="M408"/>
  <c r="M407"/>
  <c r="M406"/>
  <c r="M405"/>
  <c r="M404"/>
  <c r="W415" i="16"/>
  <c r="M415"/>
  <c r="G415"/>
  <c r="W414"/>
  <c r="M414"/>
  <c r="G414"/>
  <c r="W408"/>
  <c r="M408"/>
  <c r="G408"/>
  <c r="W407"/>
  <c r="M407"/>
  <c r="G407"/>
  <c r="W406"/>
  <c r="M406"/>
  <c r="G406"/>
  <c r="W405"/>
  <c r="M405"/>
  <c r="G405"/>
  <c r="W404"/>
  <c r="M404"/>
  <c r="G404"/>
  <c r="BL410" i="25" l="1"/>
  <c r="BL408"/>
  <c r="BL417"/>
  <c r="BL416"/>
  <c r="BL414"/>
  <c r="BL413"/>
  <c r="BL412"/>
  <c r="BL411"/>
  <c r="AG411" i="15"/>
  <c r="AA325" i="14" l="1"/>
  <c r="AC325" i="16"/>
  <c r="X325" i="10"/>
  <c r="M178" i="15"/>
  <c r="AW178" i="17"/>
  <c r="AC178" i="16"/>
  <c r="W178"/>
  <c r="G178"/>
  <c r="AG178" i="15" l="1"/>
  <c r="AI178" s="1"/>
  <c r="AY178" i="17" s="1"/>
  <c r="BC178" s="1"/>
  <c r="BE178" s="1"/>
  <c r="AC325" i="26"/>
  <c r="AE325" i="16"/>
  <c r="AE178"/>
  <c r="AC325" i="14"/>
  <c r="BL325" i="2"/>
  <c r="BS325" s="1"/>
  <c r="BU325" s="1"/>
  <c r="BL325" i="25"/>
  <c r="BT325" s="1"/>
  <c r="BV325" s="1"/>
  <c r="AY325" i="17"/>
  <c r="BC325" s="1"/>
  <c r="BE325" s="1"/>
  <c r="AA355" i="14" l="1"/>
  <c r="AA335" l="1"/>
  <c r="AC335" i="16"/>
  <c r="AC335" i="14" l="1"/>
  <c r="AC335" i="26"/>
  <c r="BL335" i="2"/>
  <c r="BS335" s="1"/>
  <c r="BU335" s="1"/>
  <c r="BL335" i="25"/>
  <c r="BT335" s="1"/>
  <c r="BV335" s="1"/>
  <c r="AY335" i="17"/>
  <c r="BC335" s="1"/>
  <c r="BE335" s="1"/>
  <c r="AE335" i="16"/>
  <c r="X335" i="10"/>
  <c r="AA323" i="14" l="1"/>
  <c r="AC323" i="16"/>
  <c r="X323" i="10"/>
  <c r="BL323" i="25" l="1"/>
  <c r="BT323" s="1"/>
  <c r="BV323" s="1"/>
  <c r="AC323" i="26"/>
  <c r="AC323" i="14"/>
  <c r="BL323" i="2"/>
  <c r="BS323" s="1"/>
  <c r="BU323" s="1"/>
  <c r="AE323" i="16"/>
  <c r="AY323" i="17" l="1"/>
  <c r="BC323" s="1"/>
  <c r="BE323" s="1"/>
  <c r="AW309"/>
  <c r="AW310"/>
  <c r="AW311"/>
  <c r="AW314"/>
  <c r="AW315"/>
  <c r="AW316"/>
  <c r="AW312"/>
  <c r="AW313" l="1"/>
  <c r="AA308" i="14"/>
  <c r="AC307" i="16"/>
  <c r="AC308"/>
  <c r="AC309"/>
  <c r="AC310"/>
  <c r="AC311"/>
  <c r="AC312"/>
  <c r="AC313"/>
  <c r="AC314"/>
  <c r="AC315"/>
  <c r="AC316"/>
  <c r="AC317"/>
  <c r="AC318"/>
  <c r="AC319"/>
  <c r="W308"/>
  <c r="W309"/>
  <c r="W310"/>
  <c r="W311"/>
  <c r="W312"/>
  <c r="X306" i="10"/>
  <c r="X307"/>
  <c r="X308"/>
  <c r="X309"/>
  <c r="X310"/>
  <c r="X311"/>
  <c r="X312"/>
  <c r="AA307" i="14"/>
  <c r="S307" i="10"/>
  <c r="Y306" i="1"/>
  <c r="S306" i="10"/>
  <c r="Y305" i="22"/>
  <c r="AO305" s="1"/>
  <c r="AA305" i="26"/>
  <c r="AZ305" i="25"/>
  <c r="BJ305" s="1"/>
  <c r="AZ306"/>
  <c r="BJ306" s="1"/>
  <c r="AZ304"/>
  <c r="Y304" i="22"/>
  <c r="AO304" s="1"/>
  <c r="AA304" i="26"/>
  <c r="K304"/>
  <c r="AC304" s="1"/>
  <c r="AZ305" i="2"/>
  <c r="BJ305" s="1"/>
  <c r="AZ306"/>
  <c r="AZ304"/>
  <c r="BJ306"/>
  <c r="Y304" i="1"/>
  <c r="AK304"/>
  <c r="AK305"/>
  <c r="AK306"/>
  <c r="AA305" i="14"/>
  <c r="AA306"/>
  <c r="AA304"/>
  <c r="O304"/>
  <c r="O305"/>
  <c r="O306"/>
  <c r="K304"/>
  <c r="K305"/>
  <c r="K306"/>
  <c r="K307"/>
  <c r="AW305" i="17"/>
  <c r="AW306"/>
  <c r="AW307"/>
  <c r="AW304"/>
  <c r="AG305" i="15"/>
  <c r="AG306"/>
  <c r="AG304"/>
  <c r="M304"/>
  <c r="AC304" i="16"/>
  <c r="AC305"/>
  <c r="AC306"/>
  <c r="W304"/>
  <c r="W305"/>
  <c r="W306"/>
  <c r="M304"/>
  <c r="M305"/>
  <c r="M306"/>
  <c r="M307"/>
  <c r="M308"/>
  <c r="M309"/>
  <c r="G304"/>
  <c r="G305"/>
  <c r="G306"/>
  <c r="G307"/>
  <c r="G308"/>
  <c r="X304" i="10"/>
  <c r="X305"/>
  <c r="S304"/>
  <c r="S305"/>
  <c r="BJ304" i="2" l="1"/>
  <c r="AI304" i="15"/>
  <c r="AC304" i="14"/>
  <c r="BJ304" i="25"/>
  <c r="BL304" s="1"/>
  <c r="BT304" s="1"/>
  <c r="BV304" s="1"/>
  <c r="AC305" i="14"/>
  <c r="AY304" i="17"/>
  <c r="BC304" s="1"/>
  <c r="BE304" s="1"/>
  <c r="AE306" i="16"/>
  <c r="AE304"/>
  <c r="AM304" i="1"/>
  <c r="Y305"/>
  <c r="AM305" s="1"/>
  <c r="BL305" i="2" s="1"/>
  <c r="BS305" s="1"/>
  <c r="BU305" s="1"/>
  <c r="AM306" i="1"/>
  <c r="AE308" i="16"/>
  <c r="AC306" i="14"/>
  <c r="AE305" i="16"/>
  <c r="S403" i="10"/>
  <c r="S402"/>
  <c r="S401"/>
  <c r="S400"/>
  <c r="S399"/>
  <c r="S398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8"/>
  <c r="AZ403" i="25"/>
  <c r="BJ403" s="1"/>
  <c r="AZ402"/>
  <c r="BJ402" s="1"/>
  <c r="AZ401"/>
  <c r="BJ401" s="1"/>
  <c r="AZ400"/>
  <c r="BJ400" s="1"/>
  <c r="AZ399"/>
  <c r="BJ399" s="1"/>
  <c r="AZ398"/>
  <c r="BJ398" s="1"/>
  <c r="AZ397"/>
  <c r="BJ397" s="1"/>
  <c r="AZ396"/>
  <c r="BJ396" s="1"/>
  <c r="AZ395"/>
  <c r="BJ395" s="1"/>
  <c r="AZ394"/>
  <c r="BJ394" s="1"/>
  <c r="AZ393"/>
  <c r="BJ393" s="1"/>
  <c r="AZ392"/>
  <c r="BJ392" s="1"/>
  <c r="AZ391"/>
  <c r="BJ391" s="1"/>
  <c r="AZ390"/>
  <c r="BJ390" s="1"/>
  <c r="AZ389"/>
  <c r="BJ389" s="1"/>
  <c r="AZ388"/>
  <c r="BJ388" s="1"/>
  <c r="AZ387"/>
  <c r="BJ387" s="1"/>
  <c r="AZ386"/>
  <c r="BJ386" s="1"/>
  <c r="AZ384"/>
  <c r="BJ384" s="1"/>
  <c r="AZ383"/>
  <c r="BJ383" s="1"/>
  <c r="AZ382"/>
  <c r="BJ382" s="1"/>
  <c r="AZ381"/>
  <c r="BJ381" s="1"/>
  <c r="AZ380"/>
  <c r="BJ380" s="1"/>
  <c r="AZ379"/>
  <c r="BJ379" s="1"/>
  <c r="AZ378"/>
  <c r="BJ378" s="1"/>
  <c r="AZ376"/>
  <c r="BJ376" s="1"/>
  <c r="Y402" i="22"/>
  <c r="AO402" s="1"/>
  <c r="Y401"/>
  <c r="AO401" s="1"/>
  <c r="Y399"/>
  <c r="AO399" s="1"/>
  <c r="Y398"/>
  <c r="AO398" s="1"/>
  <c r="Y397"/>
  <c r="AO397" s="1"/>
  <c r="Y396"/>
  <c r="AO396" s="1"/>
  <c r="Y393"/>
  <c r="AO393" s="1"/>
  <c r="Y391"/>
  <c r="AO391" s="1"/>
  <c r="Y389"/>
  <c r="AO389" s="1"/>
  <c r="Y388"/>
  <c r="AO388" s="1"/>
  <c r="Y387"/>
  <c r="AO387" s="1"/>
  <c r="Y386"/>
  <c r="AO386" s="1"/>
  <c r="Y384"/>
  <c r="AO384" s="1"/>
  <c r="Y382"/>
  <c r="AO382" s="1"/>
  <c r="Y381"/>
  <c r="AO381" s="1"/>
  <c r="Y380"/>
  <c r="AO380" s="1"/>
  <c r="Y378"/>
  <c r="AO378" s="1"/>
  <c r="Y376"/>
  <c r="AO376" s="1"/>
  <c r="AA403" i="26"/>
  <c r="O403"/>
  <c r="K403"/>
  <c r="AA402"/>
  <c r="O402"/>
  <c r="K402"/>
  <c r="AA401"/>
  <c r="O401"/>
  <c r="K401"/>
  <c r="O400"/>
  <c r="K400"/>
  <c r="AA399"/>
  <c r="O399"/>
  <c r="K399"/>
  <c r="O398"/>
  <c r="K398"/>
  <c r="O397"/>
  <c r="K397"/>
  <c r="O396"/>
  <c r="K396"/>
  <c r="AA395"/>
  <c r="O395"/>
  <c r="K395"/>
  <c r="O394"/>
  <c r="K394"/>
  <c r="AA393"/>
  <c r="O393"/>
  <c r="K393"/>
  <c r="O392"/>
  <c r="K392"/>
  <c r="O391"/>
  <c r="K391"/>
  <c r="O390"/>
  <c r="K390"/>
  <c r="AA389"/>
  <c r="O389"/>
  <c r="K389"/>
  <c r="AA388"/>
  <c r="O388"/>
  <c r="K388"/>
  <c r="O387"/>
  <c r="K387"/>
  <c r="O386"/>
  <c r="K386"/>
  <c r="O385"/>
  <c r="K385"/>
  <c r="AA384"/>
  <c r="O384"/>
  <c r="K384"/>
  <c r="AA383"/>
  <c r="O383"/>
  <c r="K383"/>
  <c r="AA382"/>
  <c r="O382"/>
  <c r="K382"/>
  <c r="O381"/>
  <c r="K381"/>
  <c r="O380"/>
  <c r="K380"/>
  <c r="O379"/>
  <c r="K379"/>
  <c r="O378"/>
  <c r="K378"/>
  <c r="O376"/>
  <c r="K376"/>
  <c r="AZ403" i="2"/>
  <c r="BJ403" s="1"/>
  <c r="AZ402"/>
  <c r="BJ402" s="1"/>
  <c r="AZ401"/>
  <c r="BJ401" s="1"/>
  <c r="AZ400"/>
  <c r="BJ400" s="1"/>
  <c r="AZ399"/>
  <c r="BJ399" s="1"/>
  <c r="AZ398"/>
  <c r="BJ398" s="1"/>
  <c r="AZ397"/>
  <c r="BJ397" s="1"/>
  <c r="AZ396"/>
  <c r="BJ396" s="1"/>
  <c r="AZ395"/>
  <c r="BJ395" s="1"/>
  <c r="AZ394"/>
  <c r="BJ394" s="1"/>
  <c r="AZ393"/>
  <c r="BJ393" s="1"/>
  <c r="AZ392"/>
  <c r="BJ392" s="1"/>
  <c r="AZ391"/>
  <c r="BJ391" s="1"/>
  <c r="AZ390"/>
  <c r="BJ390" s="1"/>
  <c r="AZ389"/>
  <c r="BJ389" s="1"/>
  <c r="AZ388"/>
  <c r="BJ388" s="1"/>
  <c r="AZ387"/>
  <c r="BJ387" s="1"/>
  <c r="AZ386"/>
  <c r="BJ386" s="1"/>
  <c r="AZ384"/>
  <c r="BJ384" s="1"/>
  <c r="AZ383"/>
  <c r="BJ383" s="1"/>
  <c r="AZ382"/>
  <c r="BJ382" s="1"/>
  <c r="AZ381"/>
  <c r="BJ381" s="1"/>
  <c r="AZ380"/>
  <c r="BJ380" s="1"/>
  <c r="AZ379"/>
  <c r="BJ379" s="1"/>
  <c r="AZ378"/>
  <c r="BJ378" s="1"/>
  <c r="AZ376"/>
  <c r="BJ376" s="1"/>
  <c r="BL376" s="1"/>
  <c r="AK403" i="1"/>
  <c r="Y403"/>
  <c r="AK402"/>
  <c r="AK401"/>
  <c r="AK400"/>
  <c r="Y400"/>
  <c r="AK399"/>
  <c r="Y399"/>
  <c r="AK398"/>
  <c r="Y398"/>
  <c r="AK397"/>
  <c r="Y397"/>
  <c r="AK396"/>
  <c r="Y396"/>
  <c r="AK395"/>
  <c r="Y395"/>
  <c r="AK394"/>
  <c r="AK393"/>
  <c r="Y393"/>
  <c r="AK392"/>
  <c r="Y392"/>
  <c r="Y391"/>
  <c r="AM391" s="1"/>
  <c r="AK390"/>
  <c r="AK389"/>
  <c r="Y389"/>
  <c r="AK388"/>
  <c r="Y388"/>
  <c r="AK387"/>
  <c r="Y387"/>
  <c r="AK386"/>
  <c r="Y386"/>
  <c r="AK385"/>
  <c r="Y385"/>
  <c r="AK384"/>
  <c r="Y384"/>
  <c r="AK383"/>
  <c r="Y383"/>
  <c r="AK382"/>
  <c r="Y382"/>
  <c r="AK381"/>
  <c r="Y381"/>
  <c r="AK380"/>
  <c r="Y380"/>
  <c r="AK379"/>
  <c r="Y379"/>
  <c r="AK378"/>
  <c r="Y378"/>
  <c r="AA403" i="14"/>
  <c r="O403"/>
  <c r="K403"/>
  <c r="O402"/>
  <c r="AC402" s="1"/>
  <c r="AA400"/>
  <c r="O400"/>
  <c r="K400"/>
  <c r="AA399"/>
  <c r="O399"/>
  <c r="K399"/>
  <c r="AA398"/>
  <c r="O398"/>
  <c r="K398"/>
  <c r="AA397"/>
  <c r="O397"/>
  <c r="K397"/>
  <c r="AA396"/>
  <c r="O396"/>
  <c r="K396"/>
  <c r="AA395"/>
  <c r="O395"/>
  <c r="K395"/>
  <c r="AA394"/>
  <c r="O394"/>
  <c r="K394"/>
  <c r="AA393"/>
  <c r="O393"/>
  <c r="K393"/>
  <c r="AA392"/>
  <c r="O392"/>
  <c r="K392"/>
  <c r="AA391"/>
  <c r="O391"/>
  <c r="K391"/>
  <c r="AA390"/>
  <c r="O390"/>
  <c r="K390"/>
  <c r="AA389"/>
  <c r="O389"/>
  <c r="K389"/>
  <c r="AA388"/>
  <c r="O388"/>
  <c r="K388"/>
  <c r="AA387"/>
  <c r="O387"/>
  <c r="K387"/>
  <c r="AA386"/>
  <c r="O386"/>
  <c r="K386"/>
  <c r="AA385"/>
  <c r="O385"/>
  <c r="K385"/>
  <c r="AA384"/>
  <c r="O384"/>
  <c r="K384"/>
  <c r="AA383"/>
  <c r="O383"/>
  <c r="K383"/>
  <c r="AA382"/>
  <c r="O382"/>
  <c r="K382"/>
  <c r="AA381"/>
  <c r="O381"/>
  <c r="AA380"/>
  <c r="O380"/>
  <c r="K380"/>
  <c r="AA379"/>
  <c r="O379"/>
  <c r="K379"/>
  <c r="AA378"/>
  <c r="O378"/>
  <c r="K378"/>
  <c r="AA376"/>
  <c r="O376"/>
  <c r="K376"/>
  <c r="AW403" i="17"/>
  <c r="AW402"/>
  <c r="AW401"/>
  <c r="AW400"/>
  <c r="AW399"/>
  <c r="AW398"/>
  <c r="AW397"/>
  <c r="AW396"/>
  <c r="AW395"/>
  <c r="AW394"/>
  <c r="AW393"/>
  <c r="AW392"/>
  <c r="AW391"/>
  <c r="AW390"/>
  <c r="AW389"/>
  <c r="AY389" s="1"/>
  <c r="AW388"/>
  <c r="AW387"/>
  <c r="AW386"/>
  <c r="AW385"/>
  <c r="AW384"/>
  <c r="AW383"/>
  <c r="AW382"/>
  <c r="AW381"/>
  <c r="AW380"/>
  <c r="AW379"/>
  <c r="AW378"/>
  <c r="AW376"/>
  <c r="M403" i="15"/>
  <c r="AG402"/>
  <c r="M402"/>
  <c r="AG401"/>
  <c r="M401"/>
  <c r="AG400"/>
  <c r="M400"/>
  <c r="AG399"/>
  <c r="M399"/>
  <c r="AG398"/>
  <c r="M398"/>
  <c r="AG397"/>
  <c r="M397"/>
  <c r="AG396"/>
  <c r="M396"/>
  <c r="M395"/>
  <c r="AG394"/>
  <c r="M394"/>
  <c r="AG393"/>
  <c r="M393"/>
  <c r="AG392"/>
  <c r="M392"/>
  <c r="AG391"/>
  <c r="M391"/>
  <c r="AG390"/>
  <c r="M390"/>
  <c r="AG388"/>
  <c r="M388"/>
  <c r="AG387"/>
  <c r="M387"/>
  <c r="AG386"/>
  <c r="M386"/>
  <c r="AG385"/>
  <c r="M385"/>
  <c r="AG384"/>
  <c r="M384"/>
  <c r="AG383"/>
  <c r="M383"/>
  <c r="AG382"/>
  <c r="M382"/>
  <c r="AG381"/>
  <c r="M381"/>
  <c r="AG380"/>
  <c r="M380"/>
  <c r="AG379"/>
  <c r="M379"/>
  <c r="AG378"/>
  <c r="M378"/>
  <c r="AG376"/>
  <c r="M376"/>
  <c r="W403" i="16"/>
  <c r="M403"/>
  <c r="G403"/>
  <c r="W402"/>
  <c r="M402"/>
  <c r="G402"/>
  <c r="W401"/>
  <c r="M401"/>
  <c r="G401"/>
  <c r="W400"/>
  <c r="M400"/>
  <c r="G400"/>
  <c r="W399"/>
  <c r="M399"/>
  <c r="G399"/>
  <c r="W398"/>
  <c r="M398"/>
  <c r="G398"/>
  <c r="W397"/>
  <c r="M397"/>
  <c r="G397"/>
  <c r="W396"/>
  <c r="M396"/>
  <c r="G396"/>
  <c r="W395"/>
  <c r="M395"/>
  <c r="G395"/>
  <c r="W394"/>
  <c r="M394"/>
  <c r="G394"/>
  <c r="W393"/>
  <c r="M393"/>
  <c r="G393"/>
  <c r="W392"/>
  <c r="M392"/>
  <c r="G392"/>
  <c r="W391"/>
  <c r="M391"/>
  <c r="G391"/>
  <c r="W390"/>
  <c r="M390"/>
  <c r="G390"/>
  <c r="W389"/>
  <c r="M389"/>
  <c r="G389"/>
  <c r="W388"/>
  <c r="M388"/>
  <c r="G388"/>
  <c r="W387"/>
  <c r="M387"/>
  <c r="G387"/>
  <c r="W386"/>
  <c r="M386"/>
  <c r="G386"/>
  <c r="W385"/>
  <c r="M385"/>
  <c r="G385"/>
  <c r="W384"/>
  <c r="M384"/>
  <c r="G384"/>
  <c r="W383"/>
  <c r="M383"/>
  <c r="G383"/>
  <c r="M382"/>
  <c r="G382"/>
  <c r="W381"/>
  <c r="M381"/>
  <c r="W380"/>
  <c r="M380"/>
  <c r="G380"/>
  <c r="W379"/>
  <c r="M379"/>
  <c r="G379"/>
  <c r="W378"/>
  <c r="M378"/>
  <c r="G378"/>
  <c r="W376"/>
  <c r="M376"/>
  <c r="G376"/>
  <c r="AE401" l="1"/>
  <c r="AI376" i="15"/>
  <c r="AY376" i="17" s="1"/>
  <c r="AI380" i="15"/>
  <c r="AY380" i="17" s="1"/>
  <c r="BL304" i="2"/>
  <c r="BS304" s="1"/>
  <c r="BU304" s="1"/>
  <c r="AC386" i="26"/>
  <c r="AC387"/>
  <c r="AC390"/>
  <c r="AA390"/>
  <c r="AC391"/>
  <c r="AA391"/>
  <c r="AC392"/>
  <c r="AA392"/>
  <c r="AC393"/>
  <c r="AC396"/>
  <c r="AA396"/>
  <c r="AC397"/>
  <c r="AA397"/>
  <c r="AC398"/>
  <c r="AA398"/>
  <c r="Y383" i="22"/>
  <c r="AO383" s="1"/>
  <c r="Y390"/>
  <c r="AO390" s="1"/>
  <c r="Y394"/>
  <c r="AO394" s="1"/>
  <c r="Y403"/>
  <c r="AO403" s="1"/>
  <c r="AC401" i="26"/>
  <c r="AC399"/>
  <c r="AC384"/>
  <c r="AM380" i="1"/>
  <c r="BL380" i="2" s="1"/>
  <c r="AM381" i="1"/>
  <c r="BL381" i="2" s="1"/>
  <c r="AM385" i="1"/>
  <c r="AI382" i="15"/>
  <c r="AY382" i="17" s="1"/>
  <c r="AI383" i="15"/>
  <c r="AI384"/>
  <c r="AI385"/>
  <c r="AI386"/>
  <c r="AI387"/>
  <c r="AI388"/>
  <c r="AI390"/>
  <c r="AI397"/>
  <c r="AI398"/>
  <c r="AI399"/>
  <c r="AI400"/>
  <c r="AC388" i="14"/>
  <c r="AC389"/>
  <c r="AC390"/>
  <c r="AC403"/>
  <c r="AM393" i="1"/>
  <c r="S376" i="10"/>
  <c r="S397"/>
  <c r="Y379" i="22"/>
  <c r="AO379" s="1"/>
  <c r="Y395"/>
  <c r="AO395" s="1"/>
  <c r="AC383" i="26"/>
  <c r="AC394"/>
  <c r="AA394"/>
  <c r="AC395"/>
  <c r="AC395" i="14"/>
  <c r="AC396"/>
  <c r="AC379"/>
  <c r="AC392"/>
  <c r="AC378"/>
  <c r="AC384"/>
  <c r="AC387"/>
  <c r="AC391"/>
  <c r="AC397"/>
  <c r="AI401" i="15"/>
  <c r="AZ385" i="2"/>
  <c r="BJ385" s="1"/>
  <c r="AM382" i="1"/>
  <c r="AM383"/>
  <c r="AM388"/>
  <c r="Y390"/>
  <c r="AM390" s="1"/>
  <c r="Y394"/>
  <c r="AM394" s="1"/>
  <c r="AM396"/>
  <c r="AM397"/>
  <c r="AM399"/>
  <c r="AM400"/>
  <c r="AM402"/>
  <c r="AM403"/>
  <c r="AZ385" i="25"/>
  <c r="BJ385" s="1"/>
  <c r="S379" i="10"/>
  <c r="Y385" i="22"/>
  <c r="AO385" s="1"/>
  <c r="Y392"/>
  <c r="AO392" s="1"/>
  <c r="Y400"/>
  <c r="AO400" s="1"/>
  <c r="AC376" i="26"/>
  <c r="AA376"/>
  <c r="AC378"/>
  <c r="AA378"/>
  <c r="AC379"/>
  <c r="AA379"/>
  <c r="AC380"/>
  <c r="AA380"/>
  <c r="AC381"/>
  <c r="AA381"/>
  <c r="AC382"/>
  <c r="AA385"/>
  <c r="AA386"/>
  <c r="AA387"/>
  <c r="AC388"/>
  <c r="AC389"/>
  <c r="AA400"/>
  <c r="AC402"/>
  <c r="AC403"/>
  <c r="AM378" i="1"/>
  <c r="BL378" i="2" s="1"/>
  <c r="AM384" i="1"/>
  <c r="AM386"/>
  <c r="AM389"/>
  <c r="AM392"/>
  <c r="AM398"/>
  <c r="AM401"/>
  <c r="AM395"/>
  <c r="AC376" i="14"/>
  <c r="AC380"/>
  <c r="AC382"/>
  <c r="AC385"/>
  <c r="AC386"/>
  <c r="AC393"/>
  <c r="AC394"/>
  <c r="AC398"/>
  <c r="AC399"/>
  <c r="AI379" i="15"/>
  <c r="AY379" i="17" s="1"/>
  <c r="AI391" i="15"/>
  <c r="AI392"/>
  <c r="AI393"/>
  <c r="AI394"/>
  <c r="AG395"/>
  <c r="AI395" s="1"/>
  <c r="AI396"/>
  <c r="AI402"/>
  <c r="AG403"/>
  <c r="AI403" s="1"/>
  <c r="AI378"/>
  <c r="AY378" i="17" s="1"/>
  <c r="AI381" i="15"/>
  <c r="AY381" i="17" s="1"/>
  <c r="AC385" i="26"/>
  <c r="AC400"/>
  <c r="AM379" i="1"/>
  <c r="BL379" i="2" s="1"/>
  <c r="AM387" i="1"/>
  <c r="AC383" i="14"/>
  <c r="AC400"/>
  <c r="K381"/>
  <c r="AC381" s="1"/>
  <c r="AA284" l="1"/>
  <c r="S284" i="10"/>
  <c r="AZ283" i="25"/>
  <c r="BJ283" s="1"/>
  <c r="AZ284"/>
  <c r="BJ284" s="1"/>
  <c r="O283" i="26"/>
  <c r="O284"/>
  <c r="O285"/>
  <c r="K283"/>
  <c r="K284"/>
  <c r="K285"/>
  <c r="K286"/>
  <c r="AZ283" i="2"/>
  <c r="BJ283" s="1"/>
  <c r="AZ284"/>
  <c r="BJ284" s="1"/>
  <c r="AA283" i="14"/>
  <c r="AA285"/>
  <c r="O283"/>
  <c r="O284"/>
  <c r="O285"/>
  <c r="O286"/>
  <c r="K283"/>
  <c r="AC283" s="1"/>
  <c r="K284"/>
  <c r="K285"/>
  <c r="AC285" s="1"/>
  <c r="K286"/>
  <c r="AC286" s="1"/>
  <c r="AW283" i="17"/>
  <c r="AW284"/>
  <c r="AW285"/>
  <c r="AW286"/>
  <c r="AG283" i="15"/>
  <c r="AG284"/>
  <c r="AG285"/>
  <c r="M282"/>
  <c r="M283"/>
  <c r="M284"/>
  <c r="M285"/>
  <c r="M286"/>
  <c r="M287"/>
  <c r="M288"/>
  <c r="W284" i="16"/>
  <c r="W285"/>
  <c r="W286"/>
  <c r="W287"/>
  <c r="M283"/>
  <c r="M284"/>
  <c r="M285"/>
  <c r="S285" i="10"/>
  <c r="AC284" i="26" l="1"/>
  <c r="AC284" i="14"/>
  <c r="AI283" i="15"/>
  <c r="AY283" i="17" s="1"/>
  <c r="BC283" s="1"/>
  <c r="BE283" s="1"/>
  <c r="AC285" i="26"/>
  <c r="AI284" i="15"/>
  <c r="AY284" i="17" s="1"/>
  <c r="BC284" s="1"/>
  <c r="BE284" s="1"/>
  <c r="Y283" i="22"/>
  <c r="AO283" s="1"/>
  <c r="Y284"/>
  <c r="AO284" s="1"/>
  <c r="Y285"/>
  <c r="AO285" s="1"/>
  <c r="AC283" i="26"/>
  <c r="AA283"/>
  <c r="AA284"/>
  <c r="AA285"/>
  <c r="Y283" i="1"/>
  <c r="Y284"/>
  <c r="Y285"/>
  <c r="G281" i="16"/>
  <c r="G282"/>
  <c r="G283"/>
  <c r="G284"/>
  <c r="AE284" s="1"/>
  <c r="G285"/>
  <c r="AE285" s="1"/>
  <c r="AC279"/>
  <c r="AC280"/>
  <c r="AC281"/>
  <c r="AC282"/>
  <c r="AC283"/>
  <c r="AC284"/>
  <c r="X283" i="10"/>
  <c r="X284"/>
  <c r="X285"/>
  <c r="X286"/>
  <c r="X278"/>
  <c r="X279"/>
  <c r="X280"/>
  <c r="X281"/>
  <c r="X282" l="1"/>
  <c r="Y275" i="22"/>
  <c r="AO275" s="1"/>
  <c r="AA275" i="14"/>
  <c r="AG275" i="15"/>
  <c r="X274" i="10"/>
  <c r="X276"/>
  <c r="X277"/>
  <c r="S275"/>
  <c r="Y274" i="1"/>
  <c r="AG274" i="15"/>
  <c r="AZ271" i="25"/>
  <c r="BJ271" s="1"/>
  <c r="AZ272"/>
  <c r="BJ272" s="1"/>
  <c r="AZ273"/>
  <c r="BJ273" s="1"/>
  <c r="AZ274"/>
  <c r="BJ274" s="1"/>
  <c r="AZ275"/>
  <c r="BJ275" s="1"/>
  <c r="Y271" i="22"/>
  <c r="AO271" s="1"/>
  <c r="Y272"/>
  <c r="AO272" s="1"/>
  <c r="AA271" i="26"/>
  <c r="AA272"/>
  <c r="O272"/>
  <c r="O273"/>
  <c r="O274"/>
  <c r="O275"/>
  <c r="O276"/>
  <c r="K271"/>
  <c r="K272"/>
  <c r="K273"/>
  <c r="K274"/>
  <c r="K275"/>
  <c r="K276"/>
  <c r="AZ271" i="2"/>
  <c r="BJ271" s="1"/>
  <c r="AZ272"/>
  <c r="BJ272" s="1"/>
  <c r="AZ273"/>
  <c r="BJ273" s="1"/>
  <c r="AZ274"/>
  <c r="Y271" i="1"/>
  <c r="Y272"/>
  <c r="AM272" s="1"/>
  <c r="Y273"/>
  <c r="AA271" i="14"/>
  <c r="AA272"/>
  <c r="AA273"/>
  <c r="AA274"/>
  <c r="O272"/>
  <c r="O273"/>
  <c r="O274"/>
  <c r="K271"/>
  <c r="K272"/>
  <c r="K273"/>
  <c r="AC273" s="1"/>
  <c r="K274"/>
  <c r="AC274" s="1"/>
  <c r="K275"/>
  <c r="AW271" i="17"/>
  <c r="AW273"/>
  <c r="AW274"/>
  <c r="AW272"/>
  <c r="AG271" i="15"/>
  <c r="AG273"/>
  <c r="M271"/>
  <c r="M272"/>
  <c r="M273"/>
  <c r="M274"/>
  <c r="M275"/>
  <c r="AC271" i="16"/>
  <c r="AC272"/>
  <c r="AC273"/>
  <c r="AC274"/>
  <c r="AC275"/>
  <c r="AC276"/>
  <c r="AC277"/>
  <c r="W271"/>
  <c r="W272"/>
  <c r="W273"/>
  <c r="W274"/>
  <c r="W275"/>
  <c r="W276"/>
  <c r="M271"/>
  <c r="M272"/>
  <c r="M273"/>
  <c r="M274"/>
  <c r="M276"/>
  <c r="M277"/>
  <c r="M278"/>
  <c r="G271"/>
  <c r="G272"/>
  <c r="G273"/>
  <c r="G274"/>
  <c r="G275"/>
  <c r="G276"/>
  <c r="G277"/>
  <c r="S271" i="10"/>
  <c r="S272"/>
  <c r="S273"/>
  <c r="S274"/>
  <c r="S276"/>
  <c r="S277"/>
  <c r="S278"/>
  <c r="S279"/>
  <c r="X271"/>
  <c r="X272"/>
  <c r="X273"/>
  <c r="Y270" i="1"/>
  <c r="AA270" i="14"/>
  <c r="AZ269" i="25"/>
  <c r="BJ269" s="1"/>
  <c r="AZ270"/>
  <c r="BJ270" s="1"/>
  <c r="Y269" i="22"/>
  <c r="AO269" s="1"/>
  <c r="AA269" i="26"/>
  <c r="O270"/>
  <c r="O271"/>
  <c r="K270"/>
  <c r="AZ269" i="2"/>
  <c r="BJ269" s="1"/>
  <c r="AZ270"/>
  <c r="BJ270" s="1"/>
  <c r="Y269" i="1"/>
  <c r="O270" i="14"/>
  <c r="O271"/>
  <c r="K270"/>
  <c r="AW269" i="17"/>
  <c r="AW270"/>
  <c r="AG270" i="15"/>
  <c r="M270"/>
  <c r="AC270" i="16"/>
  <c r="W270"/>
  <c r="M270"/>
  <c r="G270"/>
  <c r="X270" i="10"/>
  <c r="X259"/>
  <c r="X260"/>
  <c r="X261"/>
  <c r="X262"/>
  <c r="X263"/>
  <c r="X264"/>
  <c r="X265"/>
  <c r="X266"/>
  <c r="X267"/>
  <c r="X268"/>
  <c r="X269"/>
  <c r="Y263" i="1"/>
  <c r="Y262" i="22"/>
  <c r="AO262" s="1"/>
  <c r="Y262" i="1"/>
  <c r="AA262" i="14"/>
  <c r="AW262" i="17"/>
  <c r="AZ262" i="25"/>
  <c r="AZ261"/>
  <c r="BJ261" s="1"/>
  <c r="O261" i="26"/>
  <c r="O262"/>
  <c r="K261"/>
  <c r="K262"/>
  <c r="AZ261" i="2"/>
  <c r="AZ262"/>
  <c r="Y261" i="1"/>
  <c r="AM261" s="1"/>
  <c r="AA261" i="14"/>
  <c r="AA263"/>
  <c r="O261"/>
  <c r="O262"/>
  <c r="O263"/>
  <c r="K261"/>
  <c r="K262"/>
  <c r="K263"/>
  <c r="AW261" i="17"/>
  <c r="AG262" i="15"/>
  <c r="AG261"/>
  <c r="M261"/>
  <c r="AC261" i="16"/>
  <c r="AC262"/>
  <c r="W261"/>
  <c r="W262"/>
  <c r="M261"/>
  <c r="M262"/>
  <c r="G261"/>
  <c r="AE261" s="1"/>
  <c r="G262"/>
  <c r="G263"/>
  <c r="G264"/>
  <c r="X255" i="10"/>
  <c r="M249" i="16"/>
  <c r="M250"/>
  <c r="M251"/>
  <c r="AW237" i="17"/>
  <c r="M238" i="15"/>
  <c r="W238" i="16"/>
  <c r="G238"/>
  <c r="Y237" i="22"/>
  <c r="AO237" s="1"/>
  <c r="AA237" i="26"/>
  <c r="AZ237" i="2"/>
  <c r="BJ237" s="1"/>
  <c r="Y237" i="1"/>
  <c r="AG237" i="15"/>
  <c r="M237"/>
  <c r="X237" i="10"/>
  <c r="S237"/>
  <c r="Y238" i="1"/>
  <c r="O233" i="26"/>
  <c r="O234"/>
  <c r="AW233" i="17"/>
  <c r="AA232" i="14"/>
  <c r="Y231" i="22"/>
  <c r="AO231" s="1"/>
  <c r="AA231" i="14"/>
  <c r="AZ231" i="25"/>
  <c r="AZ231" i="2"/>
  <c r="BJ231" s="1"/>
  <c r="AW231" i="17"/>
  <c r="AG231" i="15"/>
  <c r="X231" i="10"/>
  <c r="S231"/>
  <c r="AZ232" i="25"/>
  <c r="AG232" i="15"/>
  <c r="S250" i="10"/>
  <c r="S251"/>
  <c r="AZ217" i="2"/>
  <c r="Y217" i="1"/>
  <c r="AA217" i="14"/>
  <c r="K217"/>
  <c r="AW217" i="17"/>
  <c r="AG217" i="15"/>
  <c r="M217" i="16"/>
  <c r="X217" i="10"/>
  <c r="S217"/>
  <c r="Y214" i="1"/>
  <c r="AZ214" i="25"/>
  <c r="BJ214" s="1"/>
  <c r="K214" i="26"/>
  <c r="AZ214" i="2"/>
  <c r="BJ214" s="1"/>
  <c r="AA214" i="14"/>
  <c r="O214"/>
  <c r="AG214" i="15"/>
  <c r="S214" i="10"/>
  <c r="X214"/>
  <c r="K215" i="26"/>
  <c r="S215" i="10"/>
  <c r="Y205" i="22"/>
  <c r="AO205" s="1"/>
  <c r="BJ205" i="25"/>
  <c r="O205" i="26"/>
  <c r="K205"/>
  <c r="AZ205" i="2"/>
  <c r="K205" i="14"/>
  <c r="AW205" i="17"/>
  <c r="AG205" i="15"/>
  <c r="S205" i="10"/>
  <c r="X205"/>
  <c r="K204" i="26"/>
  <c r="AZ204" i="2"/>
  <c r="BJ204" s="1"/>
  <c r="Y204" i="1"/>
  <c r="BJ204" i="25"/>
  <c r="Y203" i="22"/>
  <c r="AO203" s="1"/>
  <c r="AA203" i="26"/>
  <c r="O203"/>
  <c r="O204"/>
  <c r="K203"/>
  <c r="AZ203" i="2"/>
  <c r="AZ206"/>
  <c r="BJ206" s="1"/>
  <c r="Y203" i="1"/>
  <c r="AM203" s="1"/>
  <c r="AA203" i="14"/>
  <c r="AA204"/>
  <c r="O203"/>
  <c r="O204"/>
  <c r="O205"/>
  <c r="O206"/>
  <c r="K203"/>
  <c r="AC203" s="1"/>
  <c r="K204"/>
  <c r="K206"/>
  <c r="AW203" i="17"/>
  <c r="AW204"/>
  <c r="AG203" i="15"/>
  <c r="AG204"/>
  <c r="M204"/>
  <c r="AC204" i="16"/>
  <c r="W204"/>
  <c r="W205"/>
  <c r="M203"/>
  <c r="M204"/>
  <c r="G204"/>
  <c r="G203"/>
  <c r="X203" i="10"/>
  <c r="X204"/>
  <c r="S203"/>
  <c r="S204"/>
  <c r="Y196" i="1"/>
  <c r="BJ195" i="25"/>
  <c r="BJ194"/>
  <c r="Y194" i="22"/>
  <c r="AO194" s="1"/>
  <c r="O194" i="26"/>
  <c r="K194"/>
  <c r="K195"/>
  <c r="AZ194" i="2"/>
  <c r="BJ194" s="1"/>
  <c r="AZ195"/>
  <c r="BJ195" s="1"/>
  <c r="Y195" i="1"/>
  <c r="Y194"/>
  <c r="AM194" s="1"/>
  <c r="AA194" i="14"/>
  <c r="AA195"/>
  <c r="O194"/>
  <c r="K194"/>
  <c r="AW194" i="17"/>
  <c r="AW195"/>
  <c r="AG194" i="15"/>
  <c r="M194"/>
  <c r="W194" i="16"/>
  <c r="AC194"/>
  <c r="M194"/>
  <c r="G194"/>
  <c r="S194" i="10"/>
  <c r="S195"/>
  <c r="X194"/>
  <c r="X195"/>
  <c r="AA193" i="14"/>
  <c r="BJ192" i="25"/>
  <c r="Y192" i="22"/>
  <c r="AO192" s="1"/>
  <c r="O192" i="26"/>
  <c r="K192"/>
  <c r="AZ192" i="2"/>
  <c r="Y192" i="1"/>
  <c r="AM192" s="1"/>
  <c r="AA192" i="14"/>
  <c r="O192"/>
  <c r="O193"/>
  <c r="K192"/>
  <c r="K193"/>
  <c r="AC193" s="1"/>
  <c r="AW192" i="17"/>
  <c r="AW193"/>
  <c r="AG193" i="15"/>
  <c r="AG192"/>
  <c r="M192"/>
  <c r="X192" i="10"/>
  <c r="X193"/>
  <c r="S192"/>
  <c r="AC192" i="16"/>
  <c r="W192"/>
  <c r="W193"/>
  <c r="M192"/>
  <c r="M193"/>
  <c r="G192"/>
  <c r="G193"/>
  <c r="G188"/>
  <c r="Y185" i="22"/>
  <c r="AO185" s="1"/>
  <c r="AA185" i="26"/>
  <c r="Y185" i="1"/>
  <c r="AG185" i="15"/>
  <c r="X185" i="10"/>
  <c r="O185" i="26"/>
  <c r="K185"/>
  <c r="K186"/>
  <c r="AZ185" i="2"/>
  <c r="BJ185" s="1"/>
  <c r="O185" i="14"/>
  <c r="K185"/>
  <c r="AW185" i="17"/>
  <c r="AC272" i="14" l="1"/>
  <c r="Y214" i="22"/>
  <c r="AO214" s="1"/>
  <c r="AI194" i="15"/>
  <c r="AY194" i="17" s="1"/>
  <c r="BC194" s="1"/>
  <c r="BE194" s="1"/>
  <c r="AC185" i="14"/>
  <c r="AA273" i="26"/>
  <c r="AA274"/>
  <c r="AA275"/>
  <c r="BJ192" i="2"/>
  <c r="BJ274"/>
  <c r="W203" i="16"/>
  <c r="M275"/>
  <c r="Y273" i="22"/>
  <c r="AO273" s="1"/>
  <c r="Y274"/>
  <c r="AO274" s="1"/>
  <c r="BJ231" i="25"/>
  <c r="AE271" i="16"/>
  <c r="Y261" i="22"/>
  <c r="AO261" s="1"/>
  <c r="AC204" i="26"/>
  <c r="AA192"/>
  <c r="AA194"/>
  <c r="AA204"/>
  <c r="BJ203" i="2"/>
  <c r="BL203" s="1"/>
  <c r="BS203" s="1"/>
  <c r="BU203" s="1"/>
  <c r="BJ205"/>
  <c r="BJ262"/>
  <c r="AG272" i="15"/>
  <c r="AI272" s="1"/>
  <c r="AY272" i="17" s="1"/>
  <c r="BC272" s="1"/>
  <c r="BE272" s="1"/>
  <c r="AA214" i="26"/>
  <c r="AA231"/>
  <c r="AA262"/>
  <c r="BJ203" i="25"/>
  <c r="BL203" s="1"/>
  <c r="BT203" s="1"/>
  <c r="BV203" s="1"/>
  <c r="AA270" i="26"/>
  <c r="AI261" i="15"/>
  <c r="AY261" i="17" s="1"/>
  <c r="BC261" s="1"/>
  <c r="BE261" s="1"/>
  <c r="Y270" i="22"/>
  <c r="AO270" s="1"/>
  <c r="BJ261" i="2"/>
  <c r="BL261" s="1"/>
  <c r="BS261" s="1"/>
  <c r="BU261" s="1"/>
  <c r="AC263" i="14"/>
  <c r="AC261"/>
  <c r="AC262"/>
  <c r="M203" i="15"/>
  <c r="AI203" s="1"/>
  <c r="AY203" i="17" s="1"/>
  <c r="BC203" s="1"/>
  <c r="BE203" s="1"/>
  <c r="AI204" i="15"/>
  <c r="AY204" i="17" s="1"/>
  <c r="BC204" s="1"/>
  <c r="BE204" s="1"/>
  <c r="AC261" i="26"/>
  <c r="AC194" i="14"/>
  <c r="AA261" i="26"/>
  <c r="AC270"/>
  <c r="AC271" i="14"/>
  <c r="M252" i="16"/>
  <c r="AE276"/>
  <c r="S270" i="10"/>
  <c r="BJ262" i="25"/>
  <c r="AC185" i="26"/>
  <c r="AC194"/>
  <c r="AA195"/>
  <c r="AC203"/>
  <c r="AC262"/>
  <c r="AC274"/>
  <c r="AC272"/>
  <c r="AI192" i="15"/>
  <c r="AI237"/>
  <c r="AY237" i="17" s="1"/>
  <c r="BC237" s="1"/>
  <c r="BE237" s="1"/>
  <c r="AI271" i="15"/>
  <c r="AY271" i="17" s="1"/>
  <c r="BC271" s="1"/>
  <c r="BE271" s="1"/>
  <c r="AE275" i="16"/>
  <c r="X275" i="10"/>
  <c r="AC271" i="26"/>
  <c r="BL272" i="25"/>
  <c r="BT272" s="1"/>
  <c r="BV272" s="1"/>
  <c r="AC192" i="26"/>
  <c r="BL272" i="2"/>
  <c r="BS272" s="1"/>
  <c r="BU272" s="1"/>
  <c r="AC270" i="14"/>
  <c r="AI274" i="15"/>
  <c r="AY274" i="17" s="1"/>
  <c r="BC274" s="1"/>
  <c r="BE274" s="1"/>
  <c r="AI275" i="15"/>
  <c r="AE203" i="16"/>
  <c r="AC203"/>
  <c r="AE192"/>
  <c r="AE194"/>
  <c r="AE272"/>
  <c r="AE274"/>
  <c r="AC273" i="26"/>
  <c r="AI273" i="15"/>
  <c r="AY273" i="17" s="1"/>
  <c r="BC273" s="1"/>
  <c r="BE273" s="1"/>
  <c r="AE273" i="16"/>
  <c r="AI270" i="15"/>
  <c r="AY270" i="17" s="1"/>
  <c r="BC270" s="1"/>
  <c r="BE270" s="1"/>
  <c r="AE270" i="16"/>
  <c r="AE262"/>
  <c r="BL194" i="25"/>
  <c r="BT194" s="1"/>
  <c r="BL192"/>
  <c r="BT192" s="1"/>
  <c r="BL192" i="2"/>
  <c r="BS192" s="1"/>
  <c r="BU192" s="1"/>
  <c r="BL194"/>
  <c r="BS194" s="1"/>
  <c r="BU194" s="1"/>
  <c r="AY192" i="17"/>
  <c r="BC192" s="1"/>
  <c r="BE192" s="1"/>
  <c r="AC192" i="14"/>
  <c r="AC205"/>
  <c r="AC204"/>
  <c r="AE204" i="16"/>
  <c r="M185" i="15"/>
  <c r="AI185" s="1"/>
  <c r="AY185" i="17" s="1"/>
  <c r="BC185" s="1"/>
  <c r="BE185" s="1"/>
  <c r="G185" i="16"/>
  <c r="S99" i="10"/>
  <c r="AG184" i="15"/>
  <c r="AG186"/>
  <c r="AG187"/>
  <c r="AW183" i="17"/>
  <c r="AW184"/>
  <c r="AW186"/>
  <c r="AW187"/>
  <c r="AW188"/>
  <c r="S181" i="10"/>
  <c r="Y180" i="22"/>
  <c r="AO180" s="1"/>
  <c r="Y180" i="1"/>
  <c r="Y179" i="22"/>
  <c r="AO179" s="1"/>
  <c r="AW179" i="17"/>
  <c r="M179" i="16"/>
  <c r="S179" i="10"/>
  <c r="Y177" i="22"/>
  <c r="AO177" s="1"/>
  <c r="BT176" i="25" s="1"/>
  <c r="BV176" s="1"/>
  <c r="O177" i="26"/>
  <c r="O179"/>
  <c r="K177"/>
  <c r="K179"/>
  <c r="K180"/>
  <c r="K181"/>
  <c r="AZ177" i="2"/>
  <c r="AZ179"/>
  <c r="AZ180"/>
  <c r="Y177" i="1"/>
  <c r="AM177" s="1"/>
  <c r="AA177" i="14"/>
  <c r="O177"/>
  <c r="O179"/>
  <c r="K177"/>
  <c r="K179"/>
  <c r="AW177" i="17"/>
  <c r="AG179" i="15"/>
  <c r="AG180"/>
  <c r="AG181"/>
  <c r="AG177"/>
  <c r="M177"/>
  <c r="AC177" i="16"/>
  <c r="W177"/>
  <c r="W179"/>
  <c r="M177"/>
  <c r="G177"/>
  <c r="S177" i="10"/>
  <c r="X177"/>
  <c r="X179"/>
  <c r="Y179" i="1"/>
  <c r="S169" i="10"/>
  <c r="Y167" i="22"/>
  <c r="AO167" s="1"/>
  <c r="Y167" i="1"/>
  <c r="AA167" i="14"/>
  <c r="BJ167" i="25"/>
  <c r="BJ168"/>
  <c r="Y168" i="22"/>
  <c r="AO168" s="1"/>
  <c r="AA168" i="26"/>
  <c r="O167"/>
  <c r="O168"/>
  <c r="O169"/>
  <c r="AZ167" i="2"/>
  <c r="BJ167" s="1"/>
  <c r="AZ168"/>
  <c r="Y168" i="1"/>
  <c r="AA168" i="14"/>
  <c r="AA169"/>
  <c r="O167"/>
  <c r="O168"/>
  <c r="O169"/>
  <c r="AW167" i="17"/>
  <c r="AW168"/>
  <c r="AG167" i="15"/>
  <c r="AG168"/>
  <c r="AC167" i="16"/>
  <c r="W167"/>
  <c r="W168"/>
  <c r="W169"/>
  <c r="M167"/>
  <c r="M168"/>
  <c r="M169"/>
  <c r="G167"/>
  <c r="G168"/>
  <c r="X167" i="10"/>
  <c r="X168"/>
  <c r="S167"/>
  <c r="S166"/>
  <c r="Y162" i="22"/>
  <c r="AO162" s="1"/>
  <c r="Y162" i="1"/>
  <c r="BJ161" i="25"/>
  <c r="AZ161" i="2"/>
  <c r="Y161" i="1"/>
  <c r="AA161" i="14"/>
  <c r="AW161" i="17"/>
  <c r="Y161" i="22"/>
  <c r="AO161" s="1"/>
  <c r="Y160"/>
  <c r="AO160" s="1"/>
  <c r="AA160" i="26"/>
  <c r="O160"/>
  <c r="O161"/>
  <c r="K160"/>
  <c r="AZ160" i="2"/>
  <c r="BJ160" s="1"/>
  <c r="AZ162"/>
  <c r="Y160" i="1"/>
  <c r="AM160" s="1"/>
  <c r="AA160" i="14"/>
  <c r="K160"/>
  <c r="AC160" s="1"/>
  <c r="AW160" i="17"/>
  <c r="AG160" i="15"/>
  <c r="M160"/>
  <c r="AC160" i="16"/>
  <c r="AC161"/>
  <c r="W160"/>
  <c r="W161"/>
  <c r="S160" i="10"/>
  <c r="M160" i="16"/>
  <c r="M161"/>
  <c r="M162"/>
  <c r="M163"/>
  <c r="M164"/>
  <c r="G160"/>
  <c r="G161"/>
  <c r="G162"/>
  <c r="G163"/>
  <c r="G164"/>
  <c r="G165"/>
  <c r="X160" i="10"/>
  <c r="X161"/>
  <c r="X162"/>
  <c r="S161"/>
  <c r="Y155" i="1"/>
  <c r="Y154" i="22"/>
  <c r="AO154" s="1"/>
  <c r="Y154" i="1"/>
  <c r="AA154" i="14"/>
  <c r="Y153" i="22"/>
  <c r="AO153" s="1"/>
  <c r="AA153" i="14"/>
  <c r="AZ153" i="25"/>
  <c r="BJ153" s="1"/>
  <c r="AZ154"/>
  <c r="BJ154" s="1"/>
  <c r="AZ152"/>
  <c r="BJ152" s="1"/>
  <c r="Y152" i="22"/>
  <c r="AO152" s="1"/>
  <c r="O152" i="26"/>
  <c r="O153"/>
  <c r="O154"/>
  <c r="O155"/>
  <c r="K152"/>
  <c r="K153"/>
  <c r="K154"/>
  <c r="K155"/>
  <c r="K156"/>
  <c r="AZ153" i="2"/>
  <c r="BJ153" s="1"/>
  <c r="AZ154"/>
  <c r="BJ154" s="1"/>
  <c r="AZ152"/>
  <c r="BJ152" s="1"/>
  <c r="Y153" i="1"/>
  <c r="Y152"/>
  <c r="AM152" s="1"/>
  <c r="AA152" i="14"/>
  <c r="O152"/>
  <c r="O153"/>
  <c r="O154"/>
  <c r="K152"/>
  <c r="K153"/>
  <c r="K154"/>
  <c r="K155"/>
  <c r="AW152" i="17"/>
  <c r="AW153"/>
  <c r="AG152" i="15"/>
  <c r="AG153"/>
  <c r="M152"/>
  <c r="W152" i="16"/>
  <c r="AC152"/>
  <c r="M152"/>
  <c r="G152"/>
  <c r="X152" i="10"/>
  <c r="X153"/>
  <c r="X154"/>
  <c r="S152"/>
  <c r="S153"/>
  <c r="S154"/>
  <c r="S151"/>
  <c r="Y151" i="1"/>
  <c r="AZ149" i="25"/>
  <c r="Y149" i="22"/>
  <c r="AO149" s="1"/>
  <c r="Y149" i="1"/>
  <c r="Y148" i="22"/>
  <c r="AO148" s="1"/>
  <c r="X148" i="10"/>
  <c r="X149"/>
  <c r="AZ148" i="25"/>
  <c r="AZ150"/>
  <c r="BJ150" s="1"/>
  <c r="O148" i="26"/>
  <c r="O149"/>
  <c r="K148"/>
  <c r="K149"/>
  <c r="K150"/>
  <c r="K151"/>
  <c r="Y148" i="1"/>
  <c r="Y150"/>
  <c r="AZ148" i="2"/>
  <c r="BJ148" s="1"/>
  <c r="O148" i="14"/>
  <c r="O149"/>
  <c r="K148"/>
  <c r="K149"/>
  <c r="AW148" i="17"/>
  <c r="AW149"/>
  <c r="AG148" i="15"/>
  <c r="AG149"/>
  <c r="M148"/>
  <c r="W148" i="16"/>
  <c r="M147"/>
  <c r="M148"/>
  <c r="S147" i="10"/>
  <c r="Y147" i="22"/>
  <c r="AO147" s="1"/>
  <c r="AZ146" i="25"/>
  <c r="BJ146" s="1"/>
  <c r="Y146" i="22"/>
  <c r="AO146" s="1"/>
  <c r="Y146" i="1"/>
  <c r="AA145" i="14"/>
  <c r="Y144" i="22"/>
  <c r="AO144" s="1"/>
  <c r="AA144" i="14"/>
  <c r="W141" i="16"/>
  <c r="AZ145" i="25"/>
  <c r="BJ145" s="1"/>
  <c r="O145" i="26"/>
  <c r="O146"/>
  <c r="K145"/>
  <c r="K146"/>
  <c r="AZ145" i="2"/>
  <c r="BJ145" s="1"/>
  <c r="AA146" i="14"/>
  <c r="AA147"/>
  <c r="O144"/>
  <c r="O145"/>
  <c r="O146"/>
  <c r="O150"/>
  <c r="K144"/>
  <c r="K145"/>
  <c r="K146"/>
  <c r="K147"/>
  <c r="K150"/>
  <c r="AW145" i="17"/>
  <c r="M145" i="15"/>
  <c r="X145" i="10"/>
  <c r="AZ143" i="25"/>
  <c r="BJ143" s="1"/>
  <c r="AZ144"/>
  <c r="O143" i="26"/>
  <c r="O144"/>
  <c r="K143"/>
  <c r="K144"/>
  <c r="AZ143" i="2"/>
  <c r="AW143" i="17"/>
  <c r="AG143" i="15"/>
  <c r="AG144"/>
  <c r="AG145"/>
  <c r="AG146"/>
  <c r="AG147"/>
  <c r="AA143" i="14"/>
  <c r="S140" i="10"/>
  <c r="AZ140" i="25"/>
  <c r="BJ140" s="1"/>
  <c r="Y140" i="22"/>
  <c r="AO140" s="1"/>
  <c r="AA140" i="26"/>
  <c r="O140"/>
  <c r="K140"/>
  <c r="AZ140" i="2"/>
  <c r="Y140" i="1"/>
  <c r="AM140" s="1"/>
  <c r="AA140" i="14"/>
  <c r="O140"/>
  <c r="K140"/>
  <c r="AG140" i="15"/>
  <c r="M140"/>
  <c r="AC140" i="16"/>
  <c r="W140"/>
  <c r="G140"/>
  <c r="X140" i="10"/>
  <c r="X141"/>
  <c r="G135" i="16"/>
  <c r="S128" i="10"/>
  <c r="Y127" i="22"/>
  <c r="AO127" s="1"/>
  <c r="M122" i="16"/>
  <c r="S122" i="10"/>
  <c r="X122"/>
  <c r="AZ122" i="25"/>
  <c r="Y122" i="22"/>
  <c r="AO122" s="1"/>
  <c r="AA122" i="26"/>
  <c r="O122"/>
  <c r="K122"/>
  <c r="AZ122" i="2"/>
  <c r="Y122" i="1"/>
  <c r="AM122" s="1"/>
  <c r="AA122" i="14"/>
  <c r="O122"/>
  <c r="K122"/>
  <c r="AW122" i="17"/>
  <c r="AG122" i="15"/>
  <c r="M122"/>
  <c r="AC122" i="16"/>
  <c r="W122"/>
  <c r="G122"/>
  <c r="X116" i="10"/>
  <c r="AZ116" i="25"/>
  <c r="BJ116" s="1"/>
  <c r="Y116" i="22"/>
  <c r="AO116" s="1"/>
  <c r="O116" i="26"/>
  <c r="K116"/>
  <c r="AZ116" i="2"/>
  <c r="BJ116" s="1"/>
  <c r="Y116" i="1"/>
  <c r="AM116" s="1"/>
  <c r="AA116" i="14"/>
  <c r="O116"/>
  <c r="K116"/>
  <c r="AW116" i="17"/>
  <c r="AG116" i="15"/>
  <c r="M116"/>
  <c r="W116" i="16"/>
  <c r="AC116"/>
  <c r="M116"/>
  <c r="G116"/>
  <c r="S116" i="10"/>
  <c r="BV194" i="25" l="1"/>
  <c r="AC122" i="26"/>
  <c r="AI145" i="15"/>
  <c r="BV192" i="25"/>
  <c r="AA145" i="26"/>
  <c r="AC145"/>
  <c r="BL261" i="25"/>
  <c r="BT261" s="1"/>
  <c r="BV261" s="1"/>
  <c r="BJ149"/>
  <c r="Y145" i="1"/>
  <c r="Y143"/>
  <c r="AC146" i="14"/>
  <c r="AC144"/>
  <c r="AC147"/>
  <c r="AC145"/>
  <c r="AA142" i="26"/>
  <c r="BJ161" i="2"/>
  <c r="BJ179" i="25"/>
  <c r="AA141" i="26"/>
  <c r="AA154"/>
  <c r="AA179"/>
  <c r="AC160"/>
  <c r="BJ179" i="2"/>
  <c r="BJ177"/>
  <c r="BL177" s="1"/>
  <c r="BS177" s="1"/>
  <c r="BU177" s="1"/>
  <c r="AC116" i="14"/>
  <c r="AI122" i="15"/>
  <c r="AY122" i="17" s="1"/>
  <c r="BC122" s="1"/>
  <c r="BE122" s="1"/>
  <c r="S180" i="10"/>
  <c r="X180"/>
  <c r="AA146" i="26"/>
  <c r="AI177" i="15"/>
  <c r="AY177" i="17" s="1"/>
  <c r="BC177" s="1"/>
  <c r="BE177" s="1"/>
  <c r="BJ122" i="25"/>
  <c r="BL122" s="1"/>
  <c r="BT122" s="1"/>
  <c r="BV122" s="1"/>
  <c r="Y145" i="22"/>
  <c r="AO145" s="1"/>
  <c r="BJ140" i="2"/>
  <c r="BL140" s="1"/>
  <c r="BS140" s="1"/>
  <c r="BU140" s="1"/>
  <c r="AW140" i="17"/>
  <c r="BJ144" i="25"/>
  <c r="AA167" i="26"/>
  <c r="AC177"/>
  <c r="AA177"/>
  <c r="Y143" i="22"/>
  <c r="AO143" s="1"/>
  <c r="AA148" i="26"/>
  <c r="AC154"/>
  <c r="AC152"/>
  <c r="AA161"/>
  <c r="AC177" i="14"/>
  <c r="AI160" i="15"/>
  <c r="AY160" i="17" s="1"/>
  <c r="BC160" s="1"/>
  <c r="BE160" s="1"/>
  <c r="BJ160" i="25"/>
  <c r="BL160" s="1"/>
  <c r="BT160" s="1"/>
  <c r="BV160" s="1"/>
  <c r="BJ177"/>
  <c r="BL177" s="1"/>
  <c r="BT177" s="1"/>
  <c r="AC116" i="26"/>
  <c r="AA116"/>
  <c r="AC140"/>
  <c r="AA143"/>
  <c r="AC146"/>
  <c r="AA144"/>
  <c r="AC149"/>
  <c r="AA152"/>
  <c r="AA153"/>
  <c r="AE116" i="16"/>
  <c r="AE140"/>
  <c r="AE160"/>
  <c r="AE168"/>
  <c r="AE177"/>
  <c r="AE152"/>
  <c r="AC122" i="14"/>
  <c r="AC140"/>
  <c r="AC152"/>
  <c r="AI140" i="15"/>
  <c r="AI116"/>
  <c r="AY116" i="17" s="1"/>
  <c r="BC116" s="1"/>
  <c r="BE116" s="1"/>
  <c r="AI152" i="15"/>
  <c r="AY152" i="17" s="1"/>
  <c r="BC152" s="1"/>
  <c r="BE152" s="1"/>
  <c r="AE167" i="16"/>
  <c r="BL152" i="25"/>
  <c r="BT152" s="1"/>
  <c r="BJ148"/>
  <c r="BL152" i="2"/>
  <c r="BS152" s="1"/>
  <c r="BU152" s="1"/>
  <c r="AC179" i="14"/>
  <c r="AE122" i="16"/>
  <c r="AC179" i="26"/>
  <c r="BL160" i="2"/>
  <c r="BS160" s="1"/>
  <c r="BU160" s="1"/>
  <c r="AE161" i="16"/>
  <c r="AC143" i="26"/>
  <c r="AC154" i="14"/>
  <c r="AC153" i="26"/>
  <c r="AC153" i="14"/>
  <c r="AC148" i="26"/>
  <c r="AC148" i="14"/>
  <c r="AI148" i="15"/>
  <c r="AY148" i="17" s="1"/>
  <c r="BC148" s="1"/>
  <c r="BE148" s="1"/>
  <c r="AC144" i="26"/>
  <c r="BL140" i="25"/>
  <c r="BT140" s="1"/>
  <c r="BV140" s="1"/>
  <c r="BL116"/>
  <c r="BT116" s="1"/>
  <c r="BL116" i="2"/>
  <c r="BS116" s="1"/>
  <c r="BU116" s="1"/>
  <c r="BJ122"/>
  <c r="BL122" s="1"/>
  <c r="BS122" s="1"/>
  <c r="BU122" s="1"/>
  <c r="BV116" i="25" l="1"/>
  <c r="BV177"/>
  <c r="BV152"/>
  <c r="AY140" i="17"/>
  <c r="BC140" s="1"/>
  <c r="BE140" s="1"/>
  <c r="W112" i="16"/>
  <c r="AG112" i="15" l="1"/>
  <c r="S112" i="10"/>
  <c r="AA107" i="14"/>
  <c r="Y98" i="22"/>
  <c r="AO98" s="1"/>
  <c r="AZ97" i="25"/>
  <c r="BJ97" s="1"/>
  <c r="G279" i="16"/>
  <c r="G223"/>
  <c r="S269" i="10"/>
  <c r="S268"/>
  <c r="S267"/>
  <c r="S266"/>
  <c r="S265"/>
  <c r="S264"/>
  <c r="S263"/>
  <c r="S262"/>
  <c r="S260"/>
  <c r="S259"/>
  <c r="S255"/>
  <c r="AZ268" i="25"/>
  <c r="BJ268" s="1"/>
  <c r="AZ267"/>
  <c r="BJ267" s="1"/>
  <c r="AZ266"/>
  <c r="BJ266" s="1"/>
  <c r="AZ265"/>
  <c r="BJ265" s="1"/>
  <c r="AZ264"/>
  <c r="BJ264" s="1"/>
  <c r="AZ263"/>
  <c r="BJ263" s="1"/>
  <c r="AZ260"/>
  <c r="BJ260" s="1"/>
  <c r="AZ259"/>
  <c r="BJ259" s="1"/>
  <c r="AZ255"/>
  <c r="BJ255" s="1"/>
  <c r="Y268" i="22"/>
  <c r="AO268" s="1"/>
  <c r="Y267"/>
  <c r="AO267" s="1"/>
  <c r="Y266"/>
  <c r="AO266" s="1"/>
  <c r="Y265"/>
  <c r="AO265" s="1"/>
  <c r="Y264"/>
  <c r="AO264" s="1"/>
  <c r="Y263"/>
  <c r="AO263" s="1"/>
  <c r="Y260"/>
  <c r="AO260" s="1"/>
  <c r="Y259"/>
  <c r="AO259" s="1"/>
  <c r="Y255"/>
  <c r="AO255" s="1"/>
  <c r="O269" i="26"/>
  <c r="K269"/>
  <c r="AA268"/>
  <c r="O268"/>
  <c r="K268"/>
  <c r="AA267"/>
  <c r="O267"/>
  <c r="AA266"/>
  <c r="O266"/>
  <c r="K266"/>
  <c r="AA265"/>
  <c r="O265"/>
  <c r="K265"/>
  <c r="AA264"/>
  <c r="O264"/>
  <c r="K264"/>
  <c r="AA263"/>
  <c r="O263"/>
  <c r="K263"/>
  <c r="AA260"/>
  <c r="O260"/>
  <c r="AA259"/>
  <c r="O259"/>
  <c r="K259"/>
  <c r="AA255"/>
  <c r="O255"/>
  <c r="K255"/>
  <c r="AZ268" i="2"/>
  <c r="BJ268" s="1"/>
  <c r="AZ267"/>
  <c r="BJ267" s="1"/>
  <c r="AZ266"/>
  <c r="BJ266" s="1"/>
  <c r="AZ265"/>
  <c r="BJ265" s="1"/>
  <c r="AZ264"/>
  <c r="BJ264" s="1"/>
  <c r="AZ263"/>
  <c r="BJ263" s="1"/>
  <c r="AZ260"/>
  <c r="BJ260" s="1"/>
  <c r="AZ259"/>
  <c r="BJ259" s="1"/>
  <c r="AZ255"/>
  <c r="BJ255" s="1"/>
  <c r="AK271" i="1"/>
  <c r="AM271" s="1"/>
  <c r="BL271" i="2" s="1"/>
  <c r="AK270" i="1"/>
  <c r="AM270" s="1"/>
  <c r="BL270" i="2" s="1"/>
  <c r="BS270" s="1"/>
  <c r="BU270" s="1"/>
  <c r="AK269" i="1"/>
  <c r="AM269" s="1"/>
  <c r="BL269" i="2" s="1"/>
  <c r="AK268" i="1"/>
  <c r="Y268"/>
  <c r="AK267"/>
  <c r="Y267"/>
  <c r="AK266"/>
  <c r="Y266"/>
  <c r="AK265"/>
  <c r="Y265"/>
  <c r="AK264"/>
  <c r="Y264"/>
  <c r="AK263"/>
  <c r="AM263" s="1"/>
  <c r="AK262"/>
  <c r="AM262" s="1"/>
  <c r="BL262" i="2" s="1"/>
  <c r="BS262" s="1"/>
  <c r="BU262" s="1"/>
  <c r="AK260" i="1"/>
  <c r="Y260"/>
  <c r="AK259"/>
  <c r="Y259"/>
  <c r="AK255"/>
  <c r="Y255"/>
  <c r="AA269" i="14"/>
  <c r="O269"/>
  <c r="K269"/>
  <c r="AA268"/>
  <c r="O268"/>
  <c r="K268"/>
  <c r="AA267"/>
  <c r="O267"/>
  <c r="K267"/>
  <c r="AA266"/>
  <c r="O266"/>
  <c r="K266"/>
  <c r="AA265"/>
  <c r="O265"/>
  <c r="K265"/>
  <c r="AA264"/>
  <c r="O264"/>
  <c r="K264"/>
  <c r="AA260"/>
  <c r="O260"/>
  <c r="K260"/>
  <c r="AA259"/>
  <c r="O259"/>
  <c r="K259"/>
  <c r="AA255"/>
  <c r="O255"/>
  <c r="K255"/>
  <c r="AW268" i="17"/>
  <c r="AW267"/>
  <c r="AW266"/>
  <c r="AW265"/>
  <c r="AW264"/>
  <c r="AW263"/>
  <c r="AW260"/>
  <c r="AW259"/>
  <c r="AW255"/>
  <c r="AG269" i="15"/>
  <c r="M269"/>
  <c r="AG268"/>
  <c r="M268"/>
  <c r="AG267"/>
  <c r="M267"/>
  <c r="AG266"/>
  <c r="M266"/>
  <c r="AG265"/>
  <c r="M265"/>
  <c r="AG264"/>
  <c r="M264"/>
  <c r="AG263"/>
  <c r="M263"/>
  <c r="M262"/>
  <c r="AI262" s="1"/>
  <c r="AY262" i="17" s="1"/>
  <c r="BC262" s="1"/>
  <c r="BE262" s="1"/>
  <c r="AG260" i="15"/>
  <c r="M260"/>
  <c r="AG255"/>
  <c r="M255"/>
  <c r="AC266" i="16"/>
  <c r="W266"/>
  <c r="M266"/>
  <c r="G266"/>
  <c r="AC265"/>
  <c r="W265"/>
  <c r="M265"/>
  <c r="G265"/>
  <c r="AC264"/>
  <c r="W264"/>
  <c r="M264"/>
  <c r="AC263"/>
  <c r="W263"/>
  <c r="M263"/>
  <c r="AC260"/>
  <c r="W260"/>
  <c r="M260"/>
  <c r="G260"/>
  <c r="AC255"/>
  <c r="W255"/>
  <c r="M255"/>
  <c r="G255"/>
  <c r="K260" i="26"/>
  <c r="AC260" s="1"/>
  <c r="K267"/>
  <c r="G254" i="16"/>
  <c r="G252"/>
  <c r="G251"/>
  <c r="Y250" i="1"/>
  <c r="Y249" i="22"/>
  <c r="AO249" s="1"/>
  <c r="G248" i="16"/>
  <c r="AZ246" i="2"/>
  <c r="BJ246" s="1"/>
  <c r="G246" i="16"/>
  <c r="G245"/>
  <c r="G237"/>
  <c r="M236"/>
  <c r="G236"/>
  <c r="AA218" i="26"/>
  <c r="G215" i="16"/>
  <c r="S223" i="10"/>
  <c r="K223" i="14"/>
  <c r="AC223" i="16"/>
  <c r="G229"/>
  <c r="G212"/>
  <c r="G213"/>
  <c r="AW236" i="17"/>
  <c r="G241" i="16"/>
  <c r="AG240" i="15"/>
  <c r="G247" i="16"/>
  <c r="G292"/>
  <c r="X94" i="10"/>
  <c r="X93"/>
  <c r="X92"/>
  <c r="X91"/>
  <c r="X90"/>
  <c r="S210"/>
  <c r="S209"/>
  <c r="S208"/>
  <c r="S207"/>
  <c r="S206"/>
  <c r="S202"/>
  <c r="S201"/>
  <c r="S200"/>
  <c r="S199"/>
  <c r="S198"/>
  <c r="S197"/>
  <c r="S196"/>
  <c r="S193"/>
  <c r="S191"/>
  <c r="S190"/>
  <c r="S185"/>
  <c r="S184"/>
  <c r="S183"/>
  <c r="S182"/>
  <c r="BJ210" i="25"/>
  <c r="BJ209"/>
  <c r="BJ208"/>
  <c r="BJ207"/>
  <c r="BJ202"/>
  <c r="BJ201"/>
  <c r="BJ200"/>
  <c r="BJ199"/>
  <c r="BJ198"/>
  <c r="BJ197"/>
  <c r="BJ196"/>
  <c r="BJ191"/>
  <c r="BJ190"/>
  <c r="BJ189"/>
  <c r="BJ188"/>
  <c r="BJ187"/>
  <c r="BJ186"/>
  <c r="BJ184"/>
  <c r="BJ183"/>
  <c r="BJ182"/>
  <c r="Y210" i="22"/>
  <c r="AO210" s="1"/>
  <c r="Y209"/>
  <c r="AO209" s="1"/>
  <c r="Y208"/>
  <c r="AO208" s="1"/>
  <c r="Y207"/>
  <c r="AO207" s="1"/>
  <c r="Y206"/>
  <c r="AO206" s="1"/>
  <c r="Y204"/>
  <c r="AO204" s="1"/>
  <c r="Y202"/>
  <c r="AO202" s="1"/>
  <c r="Y201"/>
  <c r="AO201" s="1"/>
  <c r="Y200"/>
  <c r="AO200" s="1"/>
  <c r="Y199"/>
  <c r="AO199" s="1"/>
  <c r="Y198"/>
  <c r="AO198" s="1"/>
  <c r="Y197"/>
  <c r="AO197" s="1"/>
  <c r="Y196"/>
  <c r="AO196" s="1"/>
  <c r="Y195"/>
  <c r="AO195" s="1"/>
  <c r="Y193"/>
  <c r="AO193" s="1"/>
  <c r="Y191"/>
  <c r="AO191" s="1"/>
  <c r="Y190"/>
  <c r="AO190" s="1"/>
  <c r="Y189"/>
  <c r="AO189" s="1"/>
  <c r="Y188"/>
  <c r="AO188" s="1"/>
  <c r="Y187"/>
  <c r="AO187" s="1"/>
  <c r="Y186"/>
  <c r="AO186" s="1"/>
  <c r="Y184"/>
  <c r="AO184" s="1"/>
  <c r="Y183"/>
  <c r="AO183" s="1"/>
  <c r="Y182"/>
  <c r="AO182" s="1"/>
  <c r="O210" i="26"/>
  <c r="K210"/>
  <c r="O209"/>
  <c r="K209"/>
  <c r="O208"/>
  <c r="K208"/>
  <c r="O207"/>
  <c r="K207"/>
  <c r="O206"/>
  <c r="K206"/>
  <c r="O202"/>
  <c r="K202"/>
  <c r="O201"/>
  <c r="K201"/>
  <c r="O200"/>
  <c r="K200"/>
  <c r="O199"/>
  <c r="K199"/>
  <c r="O198"/>
  <c r="K198"/>
  <c r="O197"/>
  <c r="K197"/>
  <c r="O196"/>
  <c r="K196"/>
  <c r="O195"/>
  <c r="AC195" s="1"/>
  <c r="O193"/>
  <c r="K193"/>
  <c r="O191"/>
  <c r="K191"/>
  <c r="O189"/>
  <c r="K189"/>
  <c r="O188"/>
  <c r="K188"/>
  <c r="O187"/>
  <c r="K187"/>
  <c r="O186"/>
  <c r="O184"/>
  <c r="K184"/>
  <c r="O183"/>
  <c r="K183"/>
  <c r="O182"/>
  <c r="K182"/>
  <c r="AZ210" i="2"/>
  <c r="BJ210" s="1"/>
  <c r="AZ209"/>
  <c r="AZ208"/>
  <c r="AZ207"/>
  <c r="AZ202"/>
  <c r="BJ202" s="1"/>
  <c r="AZ201"/>
  <c r="AZ200"/>
  <c r="BJ200" s="1"/>
  <c r="AZ199"/>
  <c r="AZ198"/>
  <c r="BJ198" s="1"/>
  <c r="AZ197"/>
  <c r="AZ196"/>
  <c r="AZ193"/>
  <c r="AZ191"/>
  <c r="AZ190"/>
  <c r="AZ189"/>
  <c r="AZ188"/>
  <c r="AZ187"/>
  <c r="AZ186"/>
  <c r="AZ184"/>
  <c r="BJ184" s="1"/>
  <c r="AZ183"/>
  <c r="AZ182"/>
  <c r="BJ182" s="1"/>
  <c r="Y210" i="1"/>
  <c r="Y209"/>
  <c r="Y208"/>
  <c r="Y207"/>
  <c r="Y206"/>
  <c r="Y205"/>
  <c r="Y202"/>
  <c r="Y201"/>
  <c r="Y200"/>
  <c r="Y199"/>
  <c r="Y198"/>
  <c r="Y197"/>
  <c r="Y193"/>
  <c r="Y191"/>
  <c r="Y190"/>
  <c r="Y189"/>
  <c r="Y188"/>
  <c r="Y187"/>
  <c r="Y186"/>
  <c r="Y184"/>
  <c r="Y183"/>
  <c r="Y182"/>
  <c r="O210" i="14"/>
  <c r="K210"/>
  <c r="O209"/>
  <c r="K209"/>
  <c r="O208"/>
  <c r="K208"/>
  <c r="AC208" s="1"/>
  <c r="O207"/>
  <c r="K207"/>
  <c r="O202"/>
  <c r="K202"/>
  <c r="O201"/>
  <c r="K201"/>
  <c r="AC201" s="1"/>
  <c r="O200"/>
  <c r="K200"/>
  <c r="O199"/>
  <c r="K199"/>
  <c r="O198"/>
  <c r="K198"/>
  <c r="O197"/>
  <c r="K197"/>
  <c r="O196"/>
  <c r="K196"/>
  <c r="O195"/>
  <c r="K195"/>
  <c r="O191"/>
  <c r="K191"/>
  <c r="O190"/>
  <c r="K190"/>
  <c r="O189"/>
  <c r="K189"/>
  <c r="AC189" s="1"/>
  <c r="O188"/>
  <c r="K188"/>
  <c r="O187"/>
  <c r="K187"/>
  <c r="O186"/>
  <c r="K186"/>
  <c r="O184"/>
  <c r="K184"/>
  <c r="O183"/>
  <c r="K183"/>
  <c r="O182"/>
  <c r="K182"/>
  <c r="M210" i="15"/>
  <c r="M209"/>
  <c r="M208"/>
  <c r="M207"/>
  <c r="M206"/>
  <c r="M205"/>
  <c r="AI205" s="1"/>
  <c r="AY205" i="17" s="1"/>
  <c r="BC205" s="1"/>
  <c r="BE205" s="1"/>
  <c r="M202" i="15"/>
  <c r="M201"/>
  <c r="M200"/>
  <c r="M199"/>
  <c r="M198"/>
  <c r="M197"/>
  <c r="M196"/>
  <c r="M195"/>
  <c r="M193"/>
  <c r="AI193" s="1"/>
  <c r="AY193" i="17" s="1"/>
  <c r="BC193" s="1"/>
  <c r="BE193" s="1"/>
  <c r="M191" i="15"/>
  <c r="M190"/>
  <c r="M189"/>
  <c r="M188"/>
  <c r="M187"/>
  <c r="AI187" s="1"/>
  <c r="AY187" i="17" s="1"/>
  <c r="BC187" s="1"/>
  <c r="BE187" s="1"/>
  <c r="M186" i="15"/>
  <c r="AI186" s="1"/>
  <c r="AY186" i="17" s="1"/>
  <c r="BC186" s="1"/>
  <c r="BE186" s="1"/>
  <c r="M184" i="15"/>
  <c r="AI184" s="1"/>
  <c r="AY184" i="17" s="1"/>
  <c r="BC184" s="1"/>
  <c r="BE184" s="1"/>
  <c r="M183" i="15"/>
  <c r="M182"/>
  <c r="W210" i="16"/>
  <c r="W209"/>
  <c r="W208"/>
  <c r="W207"/>
  <c r="W206"/>
  <c r="W202"/>
  <c r="W201"/>
  <c r="W200"/>
  <c r="W199"/>
  <c r="W198"/>
  <c r="W197"/>
  <c r="W196"/>
  <c r="W195"/>
  <c r="W191"/>
  <c r="W190"/>
  <c r="W189"/>
  <c r="W188"/>
  <c r="W187"/>
  <c r="W186"/>
  <c r="W185"/>
  <c r="W184"/>
  <c r="W183"/>
  <c r="W182"/>
  <c r="BJ206" i="25"/>
  <c r="BJ193"/>
  <c r="BJ185"/>
  <c r="AZ430"/>
  <c r="BJ430" s="1"/>
  <c r="AZ429"/>
  <c r="BJ429" s="1"/>
  <c r="AZ425"/>
  <c r="BJ425" s="1"/>
  <c r="AZ424"/>
  <c r="BJ424" s="1"/>
  <c r="Y430" i="22"/>
  <c r="AO430" s="1"/>
  <c r="Y429"/>
  <c r="AO429" s="1"/>
  <c r="Y425"/>
  <c r="AO425" s="1"/>
  <c r="Y424"/>
  <c r="AO424" s="1"/>
  <c r="AA430" i="26"/>
  <c r="O430"/>
  <c r="K430"/>
  <c r="AA429"/>
  <c r="O429"/>
  <c r="K429"/>
  <c r="AA425"/>
  <c r="O425"/>
  <c r="K425"/>
  <c r="AA424"/>
  <c r="O424"/>
  <c r="K424"/>
  <c r="AZ430" i="2"/>
  <c r="AZ429"/>
  <c r="BJ429" s="1"/>
  <c r="AZ425"/>
  <c r="AZ424"/>
  <c r="BJ424" s="1"/>
  <c r="Y430" i="1"/>
  <c r="Y429"/>
  <c r="Y425"/>
  <c r="Y424"/>
  <c r="O425" i="14"/>
  <c r="K425"/>
  <c r="M430" i="15"/>
  <c r="M429"/>
  <c r="M425"/>
  <c r="M424"/>
  <c r="W430" i="16"/>
  <c r="M430"/>
  <c r="G430"/>
  <c r="W429"/>
  <c r="M429"/>
  <c r="G429"/>
  <c r="W425"/>
  <c r="M425"/>
  <c r="G425"/>
  <c r="W424"/>
  <c r="M424"/>
  <c r="G424"/>
  <c r="S157" i="10"/>
  <c r="S156"/>
  <c r="S155"/>
  <c r="S150"/>
  <c r="S149"/>
  <c r="S148"/>
  <c r="S146"/>
  <c r="S145"/>
  <c r="BJ157" i="25"/>
  <c r="BJ156"/>
  <c r="AZ155"/>
  <c r="BJ155" s="1"/>
  <c r="AZ151"/>
  <c r="BJ151" s="1"/>
  <c r="AZ147"/>
  <c r="BJ147" s="1"/>
  <c r="Y157" i="22"/>
  <c r="AO157" s="1"/>
  <c r="Y156"/>
  <c r="AO156" s="1"/>
  <c r="Y155"/>
  <c r="AO155" s="1"/>
  <c r="Y151"/>
  <c r="AO151" s="1"/>
  <c r="Y150"/>
  <c r="AO150" s="1"/>
  <c r="O157" i="26"/>
  <c r="K157"/>
  <c r="O156"/>
  <c r="AC156" s="1"/>
  <c r="O151"/>
  <c r="AC151" s="1"/>
  <c r="O150"/>
  <c r="AC150" s="1"/>
  <c r="AZ157" i="2"/>
  <c r="BJ157" s="1"/>
  <c r="AZ156"/>
  <c r="BJ156" s="1"/>
  <c r="AZ155"/>
  <c r="BJ155" s="1"/>
  <c r="AZ151"/>
  <c r="BJ151" s="1"/>
  <c r="AZ150"/>
  <c r="BJ150" s="1"/>
  <c r="AZ149"/>
  <c r="BJ149" s="1"/>
  <c r="AZ147"/>
  <c r="BJ147" s="1"/>
  <c r="AZ146"/>
  <c r="BJ146" s="1"/>
  <c r="Y157" i="1"/>
  <c r="Y156"/>
  <c r="Y147"/>
  <c r="AA157" i="14"/>
  <c r="O157"/>
  <c r="K157"/>
  <c r="AA156"/>
  <c r="O156"/>
  <c r="K156"/>
  <c r="AA155"/>
  <c r="O155"/>
  <c r="AC155" s="1"/>
  <c r="AA151"/>
  <c r="O151"/>
  <c r="K151"/>
  <c r="AA150"/>
  <c r="AA149"/>
  <c r="AA148"/>
  <c r="AG151" i="15"/>
  <c r="AC205" i="26"/>
  <c r="AC186"/>
  <c r="AC155"/>
  <c r="AA422"/>
  <c r="AA421"/>
  <c r="AA420"/>
  <c r="AA419"/>
  <c r="AA417"/>
  <c r="AA416"/>
  <c r="AA415"/>
  <c r="AA414"/>
  <c r="AA413"/>
  <c r="AA412"/>
  <c r="AA411"/>
  <c r="AA410"/>
  <c r="AA409"/>
  <c r="AA408"/>
  <c r="AA407"/>
  <c r="AA406"/>
  <c r="AA405"/>
  <c r="AA404"/>
  <c r="AA319"/>
  <c r="AA318"/>
  <c r="AA317"/>
  <c r="AA316"/>
  <c r="AA315"/>
  <c r="AA314"/>
  <c r="AA313"/>
  <c r="AA312"/>
  <c r="AA311"/>
  <c r="AA310"/>
  <c r="AA309"/>
  <c r="AA308"/>
  <c r="AA307"/>
  <c r="AA306"/>
  <c r="AA303"/>
  <c r="AA302"/>
  <c r="AA301"/>
  <c r="AA300"/>
  <c r="AA299"/>
  <c r="AA298"/>
  <c r="AA297"/>
  <c r="AA296"/>
  <c r="AA294"/>
  <c r="AA293"/>
  <c r="AA292"/>
  <c r="AA291"/>
  <c r="AA290"/>
  <c r="AA289"/>
  <c r="AA288"/>
  <c r="AA287"/>
  <c r="AA286"/>
  <c r="AA282"/>
  <c r="AA281"/>
  <c r="AA280"/>
  <c r="AA279"/>
  <c r="AA278"/>
  <c r="AA277"/>
  <c r="AA276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6"/>
  <c r="AA235"/>
  <c r="AA234"/>
  <c r="AA233"/>
  <c r="AA232"/>
  <c r="AA230"/>
  <c r="AA229"/>
  <c r="AA228"/>
  <c r="AA227"/>
  <c r="AA226"/>
  <c r="AA225"/>
  <c r="AA224"/>
  <c r="AA223"/>
  <c r="AA222"/>
  <c r="AA221"/>
  <c r="AA220"/>
  <c r="AA219"/>
  <c r="AA217"/>
  <c r="AA216"/>
  <c r="AA215"/>
  <c r="AA213"/>
  <c r="AA212"/>
  <c r="AA211"/>
  <c r="AA210"/>
  <c r="AA209"/>
  <c r="AA208"/>
  <c r="AA207"/>
  <c r="AA206"/>
  <c r="AA205"/>
  <c r="AA202"/>
  <c r="AA201"/>
  <c r="AA200"/>
  <c r="AA199"/>
  <c r="AA198"/>
  <c r="AA197"/>
  <c r="AA196"/>
  <c r="AA193"/>
  <c r="AA191"/>
  <c r="AA189"/>
  <c r="AA188"/>
  <c r="AA187"/>
  <c r="AA186"/>
  <c r="AA184"/>
  <c r="AA183"/>
  <c r="AA182"/>
  <c r="AA181"/>
  <c r="AA180"/>
  <c r="AA175"/>
  <c r="AA174"/>
  <c r="AA170"/>
  <c r="AA169"/>
  <c r="AA166"/>
  <c r="AA165"/>
  <c r="AA164"/>
  <c r="AA163"/>
  <c r="AA162"/>
  <c r="AA159"/>
  <c r="AA158"/>
  <c r="AA157"/>
  <c r="AA156"/>
  <c r="AA155"/>
  <c r="AA151"/>
  <c r="AA150"/>
  <c r="AA149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1"/>
  <c r="AA120"/>
  <c r="AA119"/>
  <c r="AA118"/>
  <c r="AA117"/>
  <c r="AA115"/>
  <c r="AA114"/>
  <c r="AA113"/>
  <c r="AA111"/>
  <c r="AA110"/>
  <c r="AA109"/>
  <c r="AA108"/>
  <c r="AA107"/>
  <c r="AA105"/>
  <c r="AA103"/>
  <c r="AA102"/>
  <c r="AA101"/>
  <c r="AA100"/>
  <c r="AA99"/>
  <c r="AA97"/>
  <c r="AA95"/>
  <c r="BV95" i="25" s="1"/>
  <c r="AA93" i="26"/>
  <c r="AA91"/>
  <c r="BV91" i="25" s="1"/>
  <c r="O422" i="26"/>
  <c r="O421"/>
  <c r="O420"/>
  <c r="O409"/>
  <c r="O319"/>
  <c r="O318"/>
  <c r="O317"/>
  <c r="O316"/>
  <c r="O315"/>
  <c r="O314"/>
  <c r="O313"/>
  <c r="O312"/>
  <c r="O311"/>
  <c r="O310"/>
  <c r="O309"/>
  <c r="O308"/>
  <c r="O307"/>
  <c r="O306"/>
  <c r="O305"/>
  <c r="O303"/>
  <c r="O302"/>
  <c r="O301"/>
  <c r="O300"/>
  <c r="O299"/>
  <c r="O298"/>
  <c r="O297"/>
  <c r="O296"/>
  <c r="O294"/>
  <c r="O293"/>
  <c r="O292"/>
  <c r="O291"/>
  <c r="O290"/>
  <c r="O289"/>
  <c r="O288"/>
  <c r="O287"/>
  <c r="O286"/>
  <c r="AC286" s="1"/>
  <c r="O282"/>
  <c r="O281"/>
  <c r="O280"/>
  <c r="O279"/>
  <c r="O278"/>
  <c r="O277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AC215" s="1"/>
  <c r="O214"/>
  <c r="AC214" s="1"/>
  <c r="O213"/>
  <c r="O212"/>
  <c r="O211"/>
  <c r="O181"/>
  <c r="O180"/>
  <c r="AC180" s="1"/>
  <c r="O175"/>
  <c r="O174"/>
  <c r="O170"/>
  <c r="O166"/>
  <c r="O165"/>
  <c r="O164"/>
  <c r="O163"/>
  <c r="O162"/>
  <c r="O159"/>
  <c r="O158"/>
  <c r="O142"/>
  <c r="O141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1"/>
  <c r="O120"/>
  <c r="O119"/>
  <c r="O118"/>
  <c r="O117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K422"/>
  <c r="K421"/>
  <c r="K420"/>
  <c r="AC419"/>
  <c r="AC417"/>
  <c r="AC416"/>
  <c r="AC415"/>
  <c r="AC414"/>
  <c r="AC413"/>
  <c r="AC412"/>
  <c r="AC411"/>
  <c r="AC410"/>
  <c r="K409"/>
  <c r="AC409" s="1"/>
  <c r="AC408"/>
  <c r="AC407"/>
  <c r="AC406"/>
  <c r="AC405"/>
  <c r="AC404"/>
  <c r="AC374"/>
  <c r="AC372"/>
  <c r="AC370"/>
  <c r="AC366"/>
  <c r="AC364"/>
  <c r="AC360"/>
  <c r="AC358"/>
  <c r="AC356"/>
  <c r="AC354"/>
  <c r="AC352"/>
  <c r="AC350"/>
  <c r="AC348"/>
  <c r="AC346"/>
  <c r="AC344"/>
  <c r="AC339"/>
  <c r="AC337"/>
  <c r="AC334"/>
  <c r="AC332"/>
  <c r="AC330"/>
  <c r="AC328"/>
  <c r="AC322"/>
  <c r="AC320"/>
  <c r="K319"/>
  <c r="K318"/>
  <c r="K317"/>
  <c r="K316"/>
  <c r="K315"/>
  <c r="K314"/>
  <c r="K313"/>
  <c r="K312"/>
  <c r="K311"/>
  <c r="K310"/>
  <c r="K309"/>
  <c r="K308"/>
  <c r="K307"/>
  <c r="K306"/>
  <c r="K305"/>
  <c r="K303"/>
  <c r="K302"/>
  <c r="K301"/>
  <c r="K300"/>
  <c r="K299"/>
  <c r="K298"/>
  <c r="K297"/>
  <c r="K296"/>
  <c r="K294"/>
  <c r="K293"/>
  <c r="K292"/>
  <c r="K291"/>
  <c r="K290"/>
  <c r="K289"/>
  <c r="K288"/>
  <c r="K287"/>
  <c r="K282"/>
  <c r="AC282" s="1"/>
  <c r="K281"/>
  <c r="K280"/>
  <c r="AC280" s="1"/>
  <c r="K279"/>
  <c r="K278"/>
  <c r="AC278" s="1"/>
  <c r="K277"/>
  <c r="AC276"/>
  <c r="AC275"/>
  <c r="K254"/>
  <c r="AC254" s="1"/>
  <c r="K253"/>
  <c r="K252"/>
  <c r="AC252" s="1"/>
  <c r="K251"/>
  <c r="K250"/>
  <c r="AC250" s="1"/>
  <c r="K249"/>
  <c r="K248"/>
  <c r="AC248" s="1"/>
  <c r="K247"/>
  <c r="K246"/>
  <c r="AC246" s="1"/>
  <c r="K245"/>
  <c r="K244"/>
  <c r="K243"/>
  <c r="K242"/>
  <c r="AC242" s="1"/>
  <c r="K241"/>
  <c r="K240"/>
  <c r="AC240" s="1"/>
  <c r="K239"/>
  <c r="K238"/>
  <c r="AC238" s="1"/>
  <c r="K237"/>
  <c r="K236"/>
  <c r="AC236" s="1"/>
  <c r="K235"/>
  <c r="K234"/>
  <c r="AC234" s="1"/>
  <c r="K233"/>
  <c r="AC233" s="1"/>
  <c r="K232"/>
  <c r="AC232" s="1"/>
  <c r="K231"/>
  <c r="K230"/>
  <c r="AC230" s="1"/>
  <c r="K229"/>
  <c r="K228"/>
  <c r="AC228" s="1"/>
  <c r="K227"/>
  <c r="K226"/>
  <c r="AC226" s="1"/>
  <c r="K225"/>
  <c r="K224"/>
  <c r="AC224" s="1"/>
  <c r="K223"/>
  <c r="K222"/>
  <c r="AC222" s="1"/>
  <c r="K221"/>
  <c r="K220"/>
  <c r="AC220" s="1"/>
  <c r="K219"/>
  <c r="K218"/>
  <c r="AC218" s="1"/>
  <c r="K217"/>
  <c r="K216"/>
  <c r="AC216" s="1"/>
  <c r="K213"/>
  <c r="K212"/>
  <c r="AC212" s="1"/>
  <c r="K211"/>
  <c r="AC181"/>
  <c r="K175"/>
  <c r="K174"/>
  <c r="K170"/>
  <c r="K169"/>
  <c r="AC169" s="1"/>
  <c r="K168"/>
  <c r="AC168" s="1"/>
  <c r="K167"/>
  <c r="AC167" s="1"/>
  <c r="K166"/>
  <c r="K165"/>
  <c r="AC165" s="1"/>
  <c r="K164"/>
  <c r="K163"/>
  <c r="AC163" s="1"/>
  <c r="K162"/>
  <c r="K161"/>
  <c r="AC161" s="1"/>
  <c r="K159"/>
  <c r="K158"/>
  <c r="K142"/>
  <c r="K141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1"/>
  <c r="K120"/>
  <c r="K119"/>
  <c r="K118"/>
  <c r="K117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AZ422" i="25"/>
  <c r="BJ422" s="1"/>
  <c r="AZ421"/>
  <c r="BJ421" s="1"/>
  <c r="AZ420"/>
  <c r="BJ420" s="1"/>
  <c r="AZ415"/>
  <c r="BJ415" s="1"/>
  <c r="AZ409"/>
  <c r="BJ409" s="1"/>
  <c r="AZ319"/>
  <c r="BJ319" s="1"/>
  <c r="AZ318"/>
  <c r="BJ318" s="1"/>
  <c r="AZ317"/>
  <c r="BJ317" s="1"/>
  <c r="AZ316"/>
  <c r="BJ316" s="1"/>
  <c r="AZ315"/>
  <c r="BJ315" s="1"/>
  <c r="AZ314"/>
  <c r="BJ314" s="1"/>
  <c r="AZ313"/>
  <c r="BJ313" s="1"/>
  <c r="AZ312"/>
  <c r="BJ312" s="1"/>
  <c r="AZ311"/>
  <c r="BJ311" s="1"/>
  <c r="AZ310"/>
  <c r="BJ310" s="1"/>
  <c r="AZ309"/>
  <c r="BJ309" s="1"/>
  <c r="AZ308"/>
  <c r="BJ308" s="1"/>
  <c r="AZ307"/>
  <c r="BJ307" s="1"/>
  <c r="BL305"/>
  <c r="BT305" s="1"/>
  <c r="BV305" s="1"/>
  <c r="AZ303"/>
  <c r="BJ303" s="1"/>
  <c r="AZ302"/>
  <c r="BJ302" s="1"/>
  <c r="AZ301"/>
  <c r="BJ301" s="1"/>
  <c r="AZ300"/>
  <c r="BJ300" s="1"/>
  <c r="AZ299"/>
  <c r="BJ299" s="1"/>
  <c r="AZ298"/>
  <c r="BJ298" s="1"/>
  <c r="AZ297"/>
  <c r="BJ297" s="1"/>
  <c r="AZ296"/>
  <c r="BJ296" s="1"/>
  <c r="AZ294"/>
  <c r="BJ294" s="1"/>
  <c r="AZ293"/>
  <c r="BJ293" s="1"/>
  <c r="AZ292"/>
  <c r="BJ292" s="1"/>
  <c r="AZ291"/>
  <c r="BJ291" s="1"/>
  <c r="AZ290"/>
  <c r="BJ290" s="1"/>
  <c r="AZ289"/>
  <c r="BJ289" s="1"/>
  <c r="AZ288"/>
  <c r="BJ288" s="1"/>
  <c r="AZ287"/>
  <c r="BJ287" s="1"/>
  <c r="AZ286"/>
  <c r="BJ286" s="1"/>
  <c r="AZ285"/>
  <c r="BJ285" s="1"/>
  <c r="AZ282"/>
  <c r="BJ282" s="1"/>
  <c r="AZ281"/>
  <c r="BJ281" s="1"/>
  <c r="AZ280"/>
  <c r="BJ280" s="1"/>
  <c r="AZ279"/>
  <c r="BJ279" s="1"/>
  <c r="AZ278"/>
  <c r="BJ278" s="1"/>
  <c r="AZ277"/>
  <c r="BJ277" s="1"/>
  <c r="AZ276"/>
  <c r="BJ276" s="1"/>
  <c r="AZ254"/>
  <c r="BJ254" s="1"/>
  <c r="AZ253"/>
  <c r="BJ253" s="1"/>
  <c r="AZ252"/>
  <c r="BJ252" s="1"/>
  <c r="AZ251"/>
  <c r="BJ251" s="1"/>
  <c r="AZ250"/>
  <c r="BJ250" s="1"/>
  <c r="AZ249"/>
  <c r="BJ249" s="1"/>
  <c r="AZ248"/>
  <c r="BJ248" s="1"/>
  <c r="AZ247"/>
  <c r="BJ247" s="1"/>
  <c r="AZ246"/>
  <c r="BJ246" s="1"/>
  <c r="AZ245"/>
  <c r="BJ245" s="1"/>
  <c r="AZ244"/>
  <c r="BJ244" s="1"/>
  <c r="AZ243"/>
  <c r="BJ243" s="1"/>
  <c r="AZ242"/>
  <c r="BJ242" s="1"/>
  <c r="AZ241"/>
  <c r="BJ241" s="1"/>
  <c r="AZ240"/>
  <c r="BJ240" s="1"/>
  <c r="AZ239"/>
  <c r="BJ239" s="1"/>
  <c r="AZ238"/>
  <c r="BJ238" s="1"/>
  <c r="AZ237"/>
  <c r="BJ237" s="1"/>
  <c r="AZ236"/>
  <c r="BJ236" s="1"/>
  <c r="AZ235"/>
  <c r="BJ235" s="1"/>
  <c r="AZ234"/>
  <c r="BJ234" s="1"/>
  <c r="AZ233"/>
  <c r="BJ233" s="1"/>
  <c r="BJ232"/>
  <c r="AZ230"/>
  <c r="BJ230" s="1"/>
  <c r="AZ229"/>
  <c r="BJ229" s="1"/>
  <c r="AZ228"/>
  <c r="BJ228" s="1"/>
  <c r="AZ227"/>
  <c r="BJ227" s="1"/>
  <c r="AZ226"/>
  <c r="BJ226" s="1"/>
  <c r="AZ225"/>
  <c r="BJ225" s="1"/>
  <c r="AZ224"/>
  <c r="BJ224" s="1"/>
  <c r="AZ223"/>
  <c r="BJ223" s="1"/>
  <c r="AZ222"/>
  <c r="BJ222" s="1"/>
  <c r="AZ221"/>
  <c r="BJ221" s="1"/>
  <c r="AZ220"/>
  <c r="BJ220" s="1"/>
  <c r="AZ219"/>
  <c r="BJ219" s="1"/>
  <c r="AZ218"/>
  <c r="BJ218" s="1"/>
  <c r="AZ217"/>
  <c r="BJ217" s="1"/>
  <c r="AZ216"/>
  <c r="BJ216" s="1"/>
  <c r="AZ215"/>
  <c r="BJ215" s="1"/>
  <c r="AZ213"/>
  <c r="BJ213" s="1"/>
  <c r="AZ212"/>
  <c r="BJ212" s="1"/>
  <c r="AZ211"/>
  <c r="BJ211" s="1"/>
  <c r="BJ181"/>
  <c r="BJ180"/>
  <c r="BJ175"/>
  <c r="BJ174"/>
  <c r="BJ170"/>
  <c r="BJ169"/>
  <c r="BJ166"/>
  <c r="BJ165"/>
  <c r="BJ164"/>
  <c r="BJ163"/>
  <c r="BJ162"/>
  <c r="BJ159"/>
  <c r="BJ158"/>
  <c r="AZ142"/>
  <c r="BJ142" s="1"/>
  <c r="AZ141"/>
  <c r="BJ141" s="1"/>
  <c r="AZ139"/>
  <c r="BJ139" s="1"/>
  <c r="AZ138"/>
  <c r="BJ138" s="1"/>
  <c r="AZ137"/>
  <c r="BJ137" s="1"/>
  <c r="AZ136"/>
  <c r="BJ136" s="1"/>
  <c r="AZ135"/>
  <c r="BJ135" s="1"/>
  <c r="AZ134"/>
  <c r="BJ134" s="1"/>
  <c r="AZ133"/>
  <c r="BJ133" s="1"/>
  <c r="AZ132"/>
  <c r="BJ132" s="1"/>
  <c r="AZ131"/>
  <c r="BJ131" s="1"/>
  <c r="AZ130"/>
  <c r="BJ130" s="1"/>
  <c r="AZ129"/>
  <c r="BJ129" s="1"/>
  <c r="AZ128"/>
  <c r="BJ128" s="1"/>
  <c r="AZ127"/>
  <c r="BJ127" s="1"/>
  <c r="AZ126"/>
  <c r="BJ126" s="1"/>
  <c r="AZ125"/>
  <c r="BJ125" s="1"/>
  <c r="AZ124"/>
  <c r="BJ124" s="1"/>
  <c r="AZ123"/>
  <c r="BJ123" s="1"/>
  <c r="AZ121"/>
  <c r="BJ121" s="1"/>
  <c r="AZ120"/>
  <c r="BJ120" s="1"/>
  <c r="AZ119"/>
  <c r="BJ119" s="1"/>
  <c r="AZ118"/>
  <c r="BJ118" s="1"/>
  <c r="AZ117"/>
  <c r="BJ117" s="1"/>
  <c r="AZ115"/>
  <c r="BJ115" s="1"/>
  <c r="AZ114"/>
  <c r="BJ114" s="1"/>
  <c r="AZ113"/>
  <c r="BJ113" s="1"/>
  <c r="AZ112"/>
  <c r="BJ112" s="1"/>
  <c r="AZ111"/>
  <c r="BJ111" s="1"/>
  <c r="AZ110"/>
  <c r="BJ110" s="1"/>
  <c r="AZ109"/>
  <c r="BJ109" s="1"/>
  <c r="AZ108"/>
  <c r="BJ108" s="1"/>
  <c r="AZ107"/>
  <c r="AZ106"/>
  <c r="BJ106" s="1"/>
  <c r="AZ105"/>
  <c r="AZ104"/>
  <c r="BJ104" s="1"/>
  <c r="AZ103"/>
  <c r="BJ103" s="1"/>
  <c r="AZ102"/>
  <c r="BJ102" s="1"/>
  <c r="AZ101"/>
  <c r="BJ101" s="1"/>
  <c r="AZ100"/>
  <c r="BJ100" s="1"/>
  <c r="AZ99"/>
  <c r="BJ99" s="1"/>
  <c r="AZ98"/>
  <c r="BJ98" s="1"/>
  <c r="AZ96"/>
  <c r="BJ96" s="1"/>
  <c r="Y422" i="22"/>
  <c r="AO422" s="1"/>
  <c r="Y421"/>
  <c r="AO421" s="1"/>
  <c r="Y420"/>
  <c r="AO420" s="1"/>
  <c r="Y415"/>
  <c r="AO415" s="1"/>
  <c r="Y409"/>
  <c r="AO409" s="1"/>
  <c r="Y319"/>
  <c r="AO319" s="1"/>
  <c r="Y318"/>
  <c r="AO318" s="1"/>
  <c r="Y317"/>
  <c r="AO317" s="1"/>
  <c r="Y316"/>
  <c r="AO316" s="1"/>
  <c r="Y315"/>
  <c r="AO315" s="1"/>
  <c r="Y314"/>
  <c r="AO314" s="1"/>
  <c r="Y313"/>
  <c r="AO313" s="1"/>
  <c r="Y312"/>
  <c r="AO312" s="1"/>
  <c r="Y311"/>
  <c r="AO311" s="1"/>
  <c r="Y310"/>
  <c r="AO310" s="1"/>
  <c r="Y309"/>
  <c r="AO309" s="1"/>
  <c r="Y308"/>
  <c r="AO308" s="1"/>
  <c r="Y307"/>
  <c r="AO307" s="1"/>
  <c r="Y306"/>
  <c r="AO306" s="1"/>
  <c r="Y303"/>
  <c r="AO303" s="1"/>
  <c r="Y302"/>
  <c r="AO302" s="1"/>
  <c r="Y301"/>
  <c r="AO301" s="1"/>
  <c r="Y300"/>
  <c r="AO300" s="1"/>
  <c r="Y299"/>
  <c r="AO299" s="1"/>
  <c r="Y298"/>
  <c r="AO298" s="1"/>
  <c r="Y297"/>
  <c r="AO297" s="1"/>
  <c r="Y296"/>
  <c r="AO296" s="1"/>
  <c r="Y294"/>
  <c r="AO294" s="1"/>
  <c r="Y293"/>
  <c r="AO293" s="1"/>
  <c r="Y292"/>
  <c r="AO292" s="1"/>
  <c r="Y291"/>
  <c r="AO291" s="1"/>
  <c r="Y290"/>
  <c r="AO290" s="1"/>
  <c r="Y289"/>
  <c r="AO289" s="1"/>
  <c r="Y288"/>
  <c r="AO288" s="1"/>
  <c r="Y287"/>
  <c r="AO287" s="1"/>
  <c r="Y286"/>
  <c r="AO286" s="1"/>
  <c r="Y282"/>
  <c r="AO282" s="1"/>
  <c r="Y281"/>
  <c r="AO281" s="1"/>
  <c r="Y280"/>
  <c r="AO280" s="1"/>
  <c r="Y279"/>
  <c r="AO279" s="1"/>
  <c r="Y278"/>
  <c r="AO278" s="1"/>
  <c r="Y277"/>
  <c r="AO277" s="1"/>
  <c r="Y276"/>
  <c r="AO276" s="1"/>
  <c r="Y254"/>
  <c r="AO254" s="1"/>
  <c r="Y253"/>
  <c r="AO253" s="1"/>
  <c r="Y252"/>
  <c r="AO252" s="1"/>
  <c r="Y251"/>
  <c r="AO251" s="1"/>
  <c r="Y250"/>
  <c r="AO250" s="1"/>
  <c r="Y248"/>
  <c r="AO248" s="1"/>
  <c r="Y247"/>
  <c r="AO247" s="1"/>
  <c r="Y246"/>
  <c r="AO246" s="1"/>
  <c r="Y245"/>
  <c r="AO245" s="1"/>
  <c r="Y244"/>
  <c r="AO244" s="1"/>
  <c r="Y243"/>
  <c r="AO243" s="1"/>
  <c r="Y242"/>
  <c r="AO242" s="1"/>
  <c r="Y241"/>
  <c r="AO241" s="1"/>
  <c r="Y240"/>
  <c r="AO240" s="1"/>
  <c r="Y239"/>
  <c r="AO239" s="1"/>
  <c r="Y238"/>
  <c r="AO238" s="1"/>
  <c r="Y236"/>
  <c r="AO236" s="1"/>
  <c r="Y235"/>
  <c r="AO235" s="1"/>
  <c r="Y234"/>
  <c r="AO234" s="1"/>
  <c r="Y233"/>
  <c r="AO233" s="1"/>
  <c r="Y232"/>
  <c r="AO232" s="1"/>
  <c r="Y230"/>
  <c r="AO230" s="1"/>
  <c r="Y229"/>
  <c r="AO229" s="1"/>
  <c r="Y228"/>
  <c r="AO228" s="1"/>
  <c r="Y227"/>
  <c r="AO227" s="1"/>
  <c r="Y226"/>
  <c r="AO226" s="1"/>
  <c r="Y225"/>
  <c r="AO225" s="1"/>
  <c r="Y224"/>
  <c r="AO224" s="1"/>
  <c r="Y223"/>
  <c r="AO223" s="1"/>
  <c r="Y222"/>
  <c r="AO222" s="1"/>
  <c r="Y221"/>
  <c r="AO221" s="1"/>
  <c r="Y220"/>
  <c r="AO220" s="1"/>
  <c r="Y219"/>
  <c r="AO219" s="1"/>
  <c r="Y218"/>
  <c r="AO218" s="1"/>
  <c r="Y217"/>
  <c r="AO217" s="1"/>
  <c r="Y216"/>
  <c r="AO216" s="1"/>
  <c r="Y215"/>
  <c r="AO215" s="1"/>
  <c r="Y213"/>
  <c r="AO213" s="1"/>
  <c r="Y212"/>
  <c r="AO212" s="1"/>
  <c r="Y211"/>
  <c r="AO211" s="1"/>
  <c r="Y181"/>
  <c r="AO181" s="1"/>
  <c r="Y175"/>
  <c r="AO175" s="1"/>
  <c r="Y174"/>
  <c r="AO174" s="1"/>
  <c r="Y170"/>
  <c r="AO170" s="1"/>
  <c r="Y169"/>
  <c r="AO169" s="1"/>
  <c r="Y166"/>
  <c r="AO166" s="1"/>
  <c r="Y165"/>
  <c r="AO165" s="1"/>
  <c r="Y164"/>
  <c r="AO164" s="1"/>
  <c r="Y163"/>
  <c r="AO163" s="1"/>
  <c r="Y159"/>
  <c r="AO159" s="1"/>
  <c r="Y158"/>
  <c r="AO158" s="1"/>
  <c r="Y142"/>
  <c r="AO142" s="1"/>
  <c r="Y141"/>
  <c r="AO141" s="1"/>
  <c r="Y139"/>
  <c r="AO139" s="1"/>
  <c r="Y138"/>
  <c r="AO138" s="1"/>
  <c r="Y137"/>
  <c r="AO137" s="1"/>
  <c r="Y136"/>
  <c r="AO136" s="1"/>
  <c r="Y135"/>
  <c r="AO135" s="1"/>
  <c r="Y134"/>
  <c r="AO134" s="1"/>
  <c r="Y133"/>
  <c r="AO133" s="1"/>
  <c r="Y132"/>
  <c r="AO132" s="1"/>
  <c r="Y131"/>
  <c r="AO131" s="1"/>
  <c r="Y130"/>
  <c r="AO130" s="1"/>
  <c r="Y129"/>
  <c r="AO129" s="1"/>
  <c r="Y128"/>
  <c r="AO128" s="1"/>
  <c r="Y126"/>
  <c r="AO126" s="1"/>
  <c r="Y125"/>
  <c r="AO125" s="1"/>
  <c r="Y124"/>
  <c r="AO124" s="1"/>
  <c r="Y123"/>
  <c r="AO123" s="1"/>
  <c r="Y121"/>
  <c r="AO121" s="1"/>
  <c r="Y120"/>
  <c r="AO120" s="1"/>
  <c r="Y119"/>
  <c r="AO119" s="1"/>
  <c r="Y118"/>
  <c r="AO118" s="1"/>
  <c r="Y117"/>
  <c r="AO117" s="1"/>
  <c r="Y115"/>
  <c r="AO115" s="1"/>
  <c r="Y114"/>
  <c r="AO114" s="1"/>
  <c r="Y113"/>
  <c r="AO113" s="1"/>
  <c r="Y112"/>
  <c r="AO112" s="1"/>
  <c r="Y111"/>
  <c r="AO111" s="1"/>
  <c r="Y110"/>
  <c r="AO110" s="1"/>
  <c r="Y109"/>
  <c r="AO109" s="1"/>
  <c r="Y108"/>
  <c r="AO108" s="1"/>
  <c r="Y107"/>
  <c r="AO107" s="1"/>
  <c r="Y106"/>
  <c r="AO106" s="1"/>
  <c r="Y105"/>
  <c r="AO105" s="1"/>
  <c r="Y104"/>
  <c r="AO104" s="1"/>
  <c r="Y103"/>
  <c r="AO103" s="1"/>
  <c r="Y102"/>
  <c r="AO102" s="1"/>
  <c r="Y101"/>
  <c r="AO101" s="1"/>
  <c r="Y100"/>
  <c r="AO100" s="1"/>
  <c r="Y99"/>
  <c r="AO99" s="1"/>
  <c r="Y97"/>
  <c r="AO97" s="1"/>
  <c r="Y96"/>
  <c r="AO96" s="1"/>
  <c r="AG414" i="15"/>
  <c r="AG408"/>
  <c r="AG406"/>
  <c r="AG405"/>
  <c r="AC390" i="16"/>
  <c r="AC387"/>
  <c r="AG319" i="15"/>
  <c r="AG313"/>
  <c r="AG307"/>
  <c r="AG302"/>
  <c r="AG300"/>
  <c r="AG298"/>
  <c r="O297" i="14"/>
  <c r="AG297" i="15"/>
  <c r="AG289"/>
  <c r="AG287"/>
  <c r="AG277"/>
  <c r="AG138"/>
  <c r="AG133"/>
  <c r="M129"/>
  <c r="G129" i="16"/>
  <c r="AG126" i="15"/>
  <c r="AG115"/>
  <c r="AG102"/>
  <c r="G98" i="16"/>
  <c r="AG94" i="15"/>
  <c r="AG91"/>
  <c r="AG92"/>
  <c r="G90" i="16"/>
  <c r="G92"/>
  <c r="G94"/>
  <c r="G97"/>
  <c r="G100"/>
  <c r="AW90" i="17"/>
  <c r="AG90" i="15"/>
  <c r="M90"/>
  <c r="AW91" i="17"/>
  <c r="M91" i="15"/>
  <c r="AW92" i="17"/>
  <c r="M92" i="15"/>
  <c r="AW93" i="17"/>
  <c r="AG93" i="15"/>
  <c r="M93"/>
  <c r="AW94" i="17"/>
  <c r="M94" i="15"/>
  <c r="AW95" i="17"/>
  <c r="AG95" i="15"/>
  <c r="M95"/>
  <c r="AW96" i="17"/>
  <c r="AG96" i="15"/>
  <c r="M96"/>
  <c r="AW97" i="17"/>
  <c r="AG97" i="15"/>
  <c r="M97"/>
  <c r="AW98" i="17"/>
  <c r="AG98" i="15"/>
  <c r="M98"/>
  <c r="AW99" i="17"/>
  <c r="AG99" i="15"/>
  <c r="M99"/>
  <c r="AW100" i="17"/>
  <c r="AG100" i="15"/>
  <c r="M100"/>
  <c r="AW101" i="17"/>
  <c r="AG101" i="15"/>
  <c r="M101"/>
  <c r="AW102" i="17"/>
  <c r="M102" i="15"/>
  <c r="AW103" i="17"/>
  <c r="AG103" i="15"/>
  <c r="M103"/>
  <c r="AW104" i="17"/>
  <c r="AG104" i="15"/>
  <c r="M104"/>
  <c r="AW105" i="17"/>
  <c r="AG105" i="15"/>
  <c r="M105"/>
  <c r="AW106" i="17"/>
  <c r="AG106" i="15"/>
  <c r="M106"/>
  <c r="AW107" i="17"/>
  <c r="AG107" i="15"/>
  <c r="M107"/>
  <c r="AW108" i="17"/>
  <c r="AG108" i="15"/>
  <c r="M108"/>
  <c r="AW109" i="17"/>
  <c r="AG109" i="15"/>
  <c r="M109"/>
  <c r="AW110" i="17"/>
  <c r="AG110" i="15"/>
  <c r="M110"/>
  <c r="AW111" i="17"/>
  <c r="AG111" i="15"/>
  <c r="M111"/>
  <c r="AW112" i="17"/>
  <c r="M112" i="15"/>
  <c r="AW113" i="17"/>
  <c r="AG113" i="15"/>
  <c r="M113"/>
  <c r="AW114" i="17"/>
  <c r="AG114" i="15"/>
  <c r="M114"/>
  <c r="AW115" i="17"/>
  <c r="M115" i="15"/>
  <c r="AW117" i="17"/>
  <c r="AG117" i="15"/>
  <c r="M117"/>
  <c r="AW118" i="17"/>
  <c r="AG118" i="15"/>
  <c r="M118"/>
  <c r="AW119" i="17"/>
  <c r="AG119" i="15"/>
  <c r="M119"/>
  <c r="AW120" i="17"/>
  <c r="AG120" i="15"/>
  <c r="M120"/>
  <c r="AW121" i="17"/>
  <c r="AG121" i="15"/>
  <c r="M121"/>
  <c r="AW123" i="17"/>
  <c r="AG123" i="15"/>
  <c r="M123"/>
  <c r="AW124" i="17"/>
  <c r="AG124" i="15"/>
  <c r="AI124" s="1"/>
  <c r="M124"/>
  <c r="AW125" i="17"/>
  <c r="AG125" i="15"/>
  <c r="M125"/>
  <c r="AW126" i="17"/>
  <c r="M126" i="15"/>
  <c r="AW127" i="17"/>
  <c r="AG127" i="15"/>
  <c r="M127"/>
  <c r="AW128" i="17"/>
  <c r="AG128" i="15"/>
  <c r="M128"/>
  <c r="AW129" i="17"/>
  <c r="AG129" i="15"/>
  <c r="AI129" s="1"/>
  <c r="AW130" i="17"/>
  <c r="AG130" i="15"/>
  <c r="M130"/>
  <c r="AW131" i="17"/>
  <c r="AG131" i="15"/>
  <c r="M131"/>
  <c r="AW132" i="17"/>
  <c r="AG132" i="15"/>
  <c r="AI132" s="1"/>
  <c r="M132"/>
  <c r="AW133" i="17"/>
  <c r="M133" i="15"/>
  <c r="AW134" i="17"/>
  <c r="AG134" i="15"/>
  <c r="M134"/>
  <c r="AW135" i="17"/>
  <c r="AG135" i="15"/>
  <c r="M135"/>
  <c r="AW136" i="17"/>
  <c r="AG136" i="15"/>
  <c r="M136"/>
  <c r="AW137" i="17"/>
  <c r="AG137" i="15"/>
  <c r="M137"/>
  <c r="AW138" i="17"/>
  <c r="M138" i="15"/>
  <c r="AW139" i="17"/>
  <c r="AG139" i="15"/>
  <c r="M139"/>
  <c r="AW141" i="17"/>
  <c r="AG141" i="15"/>
  <c r="M141"/>
  <c r="AW142" i="17"/>
  <c r="AG142" i="15"/>
  <c r="M142"/>
  <c r="M143"/>
  <c r="AI143" s="1"/>
  <c r="AY143" i="17" s="1"/>
  <c r="BC143" s="1"/>
  <c r="BE143" s="1"/>
  <c r="AW144"/>
  <c r="M144" i="15"/>
  <c r="AI144" s="1"/>
  <c r="AW146" i="17"/>
  <c r="M146" i="15"/>
  <c r="AI146" s="1"/>
  <c r="AW147" i="17"/>
  <c r="M147" i="15"/>
  <c r="M149"/>
  <c r="AI149" s="1"/>
  <c r="AW150" i="17"/>
  <c r="AG150" i="15"/>
  <c r="M150"/>
  <c r="AW151" i="17"/>
  <c r="M151" i="15"/>
  <c r="M153"/>
  <c r="AI153" s="1"/>
  <c r="AY153" i="17" s="1"/>
  <c r="BC153" s="1"/>
  <c r="BE153" s="1"/>
  <c r="AW154"/>
  <c r="AG154" i="15"/>
  <c r="M154"/>
  <c r="AW155" i="17"/>
  <c r="AG155" i="15"/>
  <c r="M155"/>
  <c r="AW156" i="17"/>
  <c r="AG156" i="15"/>
  <c r="M156"/>
  <c r="AW157" i="17"/>
  <c r="AG157" i="15"/>
  <c r="M157"/>
  <c r="AW158" i="17"/>
  <c r="AG158" i="15"/>
  <c r="M158"/>
  <c r="AW159" i="17"/>
  <c r="AG159" i="15"/>
  <c r="M159"/>
  <c r="AG161"/>
  <c r="M161"/>
  <c r="AW162" i="17"/>
  <c r="AG162" i="15"/>
  <c r="M162"/>
  <c r="AW163" i="17"/>
  <c r="AG163" i="15"/>
  <c r="M163"/>
  <c r="AW164" i="17"/>
  <c r="AG164" i="15"/>
  <c r="M164"/>
  <c r="AW165" i="17"/>
  <c r="AG165" i="15"/>
  <c r="M165"/>
  <c r="AW166" i="17"/>
  <c r="AG166" i="15"/>
  <c r="M166"/>
  <c r="M167"/>
  <c r="AI167" s="1"/>
  <c r="AY167" i="17" s="1"/>
  <c r="BC167" s="1"/>
  <c r="BE167" s="1"/>
  <c r="M168" i="15"/>
  <c r="AI168" s="1"/>
  <c r="AY168" i="17" s="1"/>
  <c r="BC168" s="1"/>
  <c r="BE168" s="1"/>
  <c r="AW169"/>
  <c r="AG169" i="15"/>
  <c r="M169"/>
  <c r="AW170" i="17"/>
  <c r="AG170" i="15"/>
  <c r="M170"/>
  <c r="AW174" i="17"/>
  <c r="AG174" i="15"/>
  <c r="M174"/>
  <c r="AW175" i="17"/>
  <c r="AG175" i="15"/>
  <c r="M175"/>
  <c r="M179"/>
  <c r="AI179" s="1"/>
  <c r="AY179" i="17" s="1"/>
  <c r="BC179" s="1"/>
  <c r="BE179" s="1"/>
  <c r="AW180"/>
  <c r="M180" i="15"/>
  <c r="AI180" s="1"/>
  <c r="AW181" i="17"/>
  <c r="M181" i="15"/>
  <c r="AI181" s="1"/>
  <c r="AW182" i="17"/>
  <c r="AG182" i="15"/>
  <c r="AG183"/>
  <c r="AG188"/>
  <c r="AI188" s="1"/>
  <c r="AY188" i="17" s="1"/>
  <c r="BC188" s="1"/>
  <c r="BE188" s="1"/>
  <c r="AW189"/>
  <c r="AG189" i="15"/>
  <c r="AW190" i="17"/>
  <c r="AG190" i="15"/>
  <c r="AW191" i="17"/>
  <c r="AG191" i="15"/>
  <c r="AG195"/>
  <c r="AW196" i="17"/>
  <c r="AG196" i="15"/>
  <c r="AW197" i="17"/>
  <c r="AG197" i="15"/>
  <c r="AW198" i="17"/>
  <c r="AG198" i="15"/>
  <c r="AW199" i="17"/>
  <c r="AG199" i="15"/>
  <c r="AW200" i="17"/>
  <c r="AG200" i="15"/>
  <c r="AW201" i="17"/>
  <c r="AG201" i="15"/>
  <c r="AW202" i="17"/>
  <c r="AG202" i="15"/>
  <c r="AW206" i="17"/>
  <c r="AG206" i="15"/>
  <c r="AW207" i="17"/>
  <c r="AG207" i="15"/>
  <c r="AW208" i="17"/>
  <c r="AG208" i="15"/>
  <c r="AW209" i="17"/>
  <c r="AG209" i="15"/>
  <c r="AW210" i="17"/>
  <c r="AG210" i="15"/>
  <c r="AW211" i="17"/>
  <c r="AG211" i="15"/>
  <c r="M211"/>
  <c r="AW212" i="17"/>
  <c r="AG212" i="15"/>
  <c r="M212"/>
  <c r="AW213" i="17"/>
  <c r="AG213" i="15"/>
  <c r="M213"/>
  <c r="AW214" i="17"/>
  <c r="M214" i="15"/>
  <c r="AI214" s="1"/>
  <c r="AW215" i="17"/>
  <c r="AG215" i="15"/>
  <c r="M215"/>
  <c r="AW216" i="17"/>
  <c r="AG216" i="15"/>
  <c r="M216"/>
  <c r="M217"/>
  <c r="AI217" s="1"/>
  <c r="AY217" i="17" s="1"/>
  <c r="BC217" s="1"/>
  <c r="BE217" s="1"/>
  <c r="AW218"/>
  <c r="AG218" i="15"/>
  <c r="M218"/>
  <c r="AW219" i="17"/>
  <c r="AG219" i="15"/>
  <c r="M219"/>
  <c r="AW220" i="17"/>
  <c r="AG220" i="15"/>
  <c r="M220"/>
  <c r="AW221" i="17"/>
  <c r="AG221" i="15"/>
  <c r="M221"/>
  <c r="AW222" i="17"/>
  <c r="AG222" i="15"/>
  <c r="M222"/>
  <c r="AW223" i="17"/>
  <c r="AG223" i="15"/>
  <c r="M223"/>
  <c r="AW224" i="17"/>
  <c r="AG224" i="15"/>
  <c r="M224"/>
  <c r="AW225" i="17"/>
  <c r="AG225" i="15"/>
  <c r="M225"/>
  <c r="AW226" i="17"/>
  <c r="AG226" i="15"/>
  <c r="M226"/>
  <c r="AW227" i="17"/>
  <c r="AG227" i="15"/>
  <c r="M227"/>
  <c r="AW228" i="17"/>
  <c r="AG228" i="15"/>
  <c r="M228"/>
  <c r="AW229" i="17"/>
  <c r="AG229" i="15"/>
  <c r="M229"/>
  <c r="AW230" i="17"/>
  <c r="AG230" i="15"/>
  <c r="M230"/>
  <c r="M231"/>
  <c r="AI231" s="1"/>
  <c r="AY231" i="17" s="1"/>
  <c r="BC231" s="1"/>
  <c r="BE231" s="1"/>
  <c r="AW232"/>
  <c r="M232" i="15"/>
  <c r="AI232" s="1"/>
  <c r="AG233"/>
  <c r="M233"/>
  <c r="AW234" i="17"/>
  <c r="AG234" i="15"/>
  <c r="M234"/>
  <c r="AW235" i="17"/>
  <c r="AG235" i="15"/>
  <c r="M235"/>
  <c r="AG236"/>
  <c r="M236"/>
  <c r="AW238" i="17"/>
  <c r="AG238" i="15"/>
  <c r="AI238" s="1"/>
  <c r="AW239" i="17"/>
  <c r="AG239" i="15"/>
  <c r="M239"/>
  <c r="AW240" i="17"/>
  <c r="M240" i="15"/>
  <c r="AI240" s="1"/>
  <c r="AW241" i="17"/>
  <c r="AG241" i="15"/>
  <c r="M241"/>
  <c r="AW242" i="17"/>
  <c r="AG242" i="15"/>
  <c r="M242"/>
  <c r="AW243" i="17"/>
  <c r="AG243" i="15"/>
  <c r="M243"/>
  <c r="AW244" i="17"/>
  <c r="AG244" i="15"/>
  <c r="M244"/>
  <c r="AW245" i="17"/>
  <c r="AG245" i="15"/>
  <c r="M245"/>
  <c r="AW246" i="17"/>
  <c r="AG246" i="15"/>
  <c r="M246"/>
  <c r="AW247" i="17"/>
  <c r="AG247" i="15"/>
  <c r="M247"/>
  <c r="AW248" i="17"/>
  <c r="AG248" i="15"/>
  <c r="M248"/>
  <c r="AW249" i="17"/>
  <c r="AG249" i="15"/>
  <c r="M249"/>
  <c r="AW250" i="17"/>
  <c r="AG250" i="15"/>
  <c r="M250"/>
  <c r="AW251" i="17"/>
  <c r="AG251" i="15"/>
  <c r="M251"/>
  <c r="AW252" i="17"/>
  <c r="AG252" i="15"/>
  <c r="M252"/>
  <c r="AW253" i="17"/>
  <c r="AG253" i="15"/>
  <c r="M253"/>
  <c r="AW254" i="17"/>
  <c r="AG254" i="15"/>
  <c r="M254"/>
  <c r="AG259"/>
  <c r="M259"/>
  <c r="AW275" i="17"/>
  <c r="AW276"/>
  <c r="AG276" i="15"/>
  <c r="M276"/>
  <c r="AW277" i="17"/>
  <c r="M277" i="15"/>
  <c r="AW278" i="17"/>
  <c r="AG278" i="15"/>
  <c r="M278"/>
  <c r="AW279" i="17"/>
  <c r="AG279" i="15"/>
  <c r="M279"/>
  <c r="AW280" i="17"/>
  <c r="AG280" i="15"/>
  <c r="M280"/>
  <c r="AW281" i="17"/>
  <c r="AG281" i="15"/>
  <c r="M281"/>
  <c r="AW282" i="17"/>
  <c r="AG282" i="15"/>
  <c r="AI285"/>
  <c r="AY285" i="17" s="1"/>
  <c r="BC285" s="1"/>
  <c r="BE285" s="1"/>
  <c r="AG286" i="15"/>
  <c r="AW287" i="17"/>
  <c r="AW288"/>
  <c r="AG288" i="15"/>
  <c r="AW289" i="17"/>
  <c r="M289" i="15"/>
  <c r="AW290" i="17"/>
  <c r="M290" i="15"/>
  <c r="AW291" i="17"/>
  <c r="AG291" i="15"/>
  <c r="M291"/>
  <c r="AW292" i="17"/>
  <c r="AG292" i="15"/>
  <c r="M292"/>
  <c r="AW293" i="17"/>
  <c r="AG293" i="15"/>
  <c r="M293"/>
  <c r="AW294" i="17"/>
  <c r="AY294" s="1"/>
  <c r="AG295" i="15"/>
  <c r="M295"/>
  <c r="AW296" i="17"/>
  <c r="AG296" i="15"/>
  <c r="M296"/>
  <c r="AW297" i="17"/>
  <c r="M297" i="15"/>
  <c r="AW298" i="17"/>
  <c r="M298" i="15"/>
  <c r="AW299" i="17"/>
  <c r="AG299" i="15"/>
  <c r="M299"/>
  <c r="AW300" i="17"/>
  <c r="M300" i="15"/>
  <c r="AW301" i="17"/>
  <c r="AG301" i="15"/>
  <c r="M301"/>
  <c r="AW302" i="17"/>
  <c r="M302" i="15"/>
  <c r="AW303" i="17"/>
  <c r="AG303" i="15"/>
  <c r="M303"/>
  <c r="M305"/>
  <c r="AI305" s="1"/>
  <c r="AY305" i="17" s="1"/>
  <c r="BC305" s="1"/>
  <c r="BE305" s="1"/>
  <c r="M306" i="15"/>
  <c r="AI306" s="1"/>
  <c r="AY306" i="17" s="1"/>
  <c r="BC306" s="1"/>
  <c r="BE306" s="1"/>
  <c r="M307" i="15"/>
  <c r="AW308" i="17"/>
  <c r="AG308" i="15"/>
  <c r="M308"/>
  <c r="AG309"/>
  <c r="M309"/>
  <c r="AG310"/>
  <c r="M310"/>
  <c r="AG311"/>
  <c r="M311"/>
  <c r="AG312"/>
  <c r="M312"/>
  <c r="M313"/>
  <c r="AG314"/>
  <c r="M314"/>
  <c r="AG315"/>
  <c r="M315"/>
  <c r="AG316"/>
  <c r="M316"/>
  <c r="AW317" i="17"/>
  <c r="AG317" i="15"/>
  <c r="M317"/>
  <c r="AW318" i="17"/>
  <c r="AG318" i="15"/>
  <c r="M318"/>
  <c r="AW319" i="17"/>
  <c r="M319" i="15"/>
  <c r="AG404"/>
  <c r="AG407"/>
  <c r="AG409"/>
  <c r="M409"/>
  <c r="AI413"/>
  <c r="AG415"/>
  <c r="AW421" i="17"/>
  <c r="AG421" i="15"/>
  <c r="M421"/>
  <c r="AW422" i="17"/>
  <c r="AG422" i="15"/>
  <c r="M422"/>
  <c r="AW424" i="17"/>
  <c r="AG424" i="15"/>
  <c r="AI424" s="1"/>
  <c r="AW425" i="17"/>
  <c r="AG425" i="15"/>
  <c r="AW429" i="17"/>
  <c r="AG429" i="15"/>
  <c r="AI429" s="1"/>
  <c r="AW430" i="17"/>
  <c r="AG430" i="15"/>
  <c r="O421" i="14"/>
  <c r="X397" i="10"/>
  <c r="X387"/>
  <c r="X430"/>
  <c r="X429"/>
  <c r="X425"/>
  <c r="X424"/>
  <c r="X422"/>
  <c r="X421"/>
  <c r="X420"/>
  <c r="X419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6"/>
  <c r="X395"/>
  <c r="X394"/>
  <c r="X393"/>
  <c r="X392"/>
  <c r="X391"/>
  <c r="X390"/>
  <c r="X389"/>
  <c r="X388"/>
  <c r="X386"/>
  <c r="X384"/>
  <c r="X385"/>
  <c r="X337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0"/>
  <c r="X339"/>
  <c r="X338"/>
  <c r="X336"/>
  <c r="X334"/>
  <c r="X333"/>
  <c r="X332"/>
  <c r="X331"/>
  <c r="X330"/>
  <c r="X329"/>
  <c r="X328"/>
  <c r="X327"/>
  <c r="X326"/>
  <c r="X324"/>
  <c r="Y254" i="1"/>
  <c r="Y253"/>
  <c r="AK253"/>
  <c r="AZ253" i="2"/>
  <c r="BJ253" s="1"/>
  <c r="AA253" i="14"/>
  <c r="Y252" i="1"/>
  <c r="G250" i="16"/>
  <c r="AA249" i="14"/>
  <c r="Y248" i="1"/>
  <c r="Y247"/>
  <c r="K247" i="14"/>
  <c r="AA247"/>
  <c r="O247"/>
  <c r="Y245" i="1"/>
  <c r="AA244" i="14"/>
  <c r="Y243" i="1"/>
  <c r="AA240" i="14"/>
  <c r="Y236" i="1"/>
  <c r="AK236"/>
  <c r="AZ236" i="2"/>
  <c r="BJ236" s="1"/>
  <c r="AA254" i="14"/>
  <c r="AK254" i="1"/>
  <c r="AZ254" i="2"/>
  <c r="BJ254" s="1"/>
  <c r="AA252" i="14"/>
  <c r="AK252" i="1"/>
  <c r="AZ252" i="2"/>
  <c r="BJ252" s="1"/>
  <c r="AA251" i="14"/>
  <c r="Y251" i="1"/>
  <c r="AK251"/>
  <c r="AZ251" i="2"/>
  <c r="BJ251" s="1"/>
  <c r="AA250" i="14"/>
  <c r="AK250" i="1"/>
  <c r="AZ250" i="2"/>
  <c r="BJ250" s="1"/>
  <c r="Y249" i="1"/>
  <c r="AK249"/>
  <c r="AZ249" i="2"/>
  <c r="BJ249" s="1"/>
  <c r="AA248" i="14"/>
  <c r="AK248" i="1"/>
  <c r="AZ248" i="2"/>
  <c r="BJ248" s="1"/>
  <c r="AK247" i="1"/>
  <c r="AM247" s="1"/>
  <c r="AZ247" i="2"/>
  <c r="BJ247" s="1"/>
  <c r="AA246" i="14"/>
  <c r="AK246" i="1"/>
  <c r="Y246"/>
  <c r="AA245" i="14"/>
  <c r="AK245" i="1"/>
  <c r="AM245" s="1"/>
  <c r="AZ245" i="2"/>
  <c r="BJ245" s="1"/>
  <c r="Y244" i="1"/>
  <c r="AK244"/>
  <c r="AZ244" i="2"/>
  <c r="BJ244" s="1"/>
  <c r="AA243" i="14"/>
  <c r="AK243" i="1"/>
  <c r="AZ243" i="2"/>
  <c r="BJ243" s="1"/>
  <c r="AA242" i="14"/>
  <c r="AK242" i="1"/>
  <c r="Y242"/>
  <c r="AZ242" i="2"/>
  <c r="BJ242" s="1"/>
  <c r="AA241" i="14"/>
  <c r="Y241" i="1"/>
  <c r="AK241"/>
  <c r="AZ241" i="2"/>
  <c r="BJ241" s="1"/>
  <c r="Y240" i="1"/>
  <c r="AK240"/>
  <c r="AZ240" i="2"/>
  <c r="BJ240" s="1"/>
  <c r="AA239" i="14"/>
  <c r="Y239" i="1"/>
  <c r="AK239"/>
  <c r="AZ239" i="2"/>
  <c r="BJ239" s="1"/>
  <c r="AA238" i="14"/>
  <c r="AK238" i="1"/>
  <c r="AZ238" i="2"/>
  <c r="BJ238" s="1"/>
  <c r="AA237" i="14"/>
  <c r="AK237" i="1"/>
  <c r="AM237" s="1"/>
  <c r="BL237" i="2" s="1"/>
  <c r="BS237" s="1"/>
  <c r="AA236" i="14"/>
  <c r="AA235"/>
  <c r="Y235" i="1"/>
  <c r="AK235"/>
  <c r="AZ235" i="2"/>
  <c r="BJ235" s="1"/>
  <c r="AZ234"/>
  <c r="BJ234" s="1"/>
  <c r="AK234" i="1"/>
  <c r="Y234"/>
  <c r="AA234" i="14"/>
  <c r="AK233" i="1"/>
  <c r="Y233"/>
  <c r="AZ233" i="2"/>
  <c r="BJ233" s="1"/>
  <c r="AA233" i="14"/>
  <c r="AZ232" i="2"/>
  <c r="BJ232" s="1"/>
  <c r="AK232" i="1"/>
  <c r="Y232"/>
  <c r="X375" i="10"/>
  <c r="AA375" i="14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4"/>
  <c r="AA353"/>
  <c r="AA352"/>
  <c r="AA351"/>
  <c r="AA350"/>
  <c r="AA349"/>
  <c r="AA348"/>
  <c r="AE375" i="16"/>
  <c r="AE368"/>
  <c r="AE364"/>
  <c r="AC364"/>
  <c r="AC365"/>
  <c r="AC366"/>
  <c r="AC367"/>
  <c r="AC368"/>
  <c r="AC369"/>
  <c r="AC370"/>
  <c r="AC371"/>
  <c r="AC372"/>
  <c r="AC373"/>
  <c r="AC374"/>
  <c r="AC375"/>
  <c r="X254" i="10"/>
  <c r="X253"/>
  <c r="X252"/>
  <c r="X251"/>
  <c r="X250"/>
  <c r="X249"/>
  <c r="X248"/>
  <c r="X247"/>
  <c r="X246"/>
  <c r="X245"/>
  <c r="X244"/>
  <c r="X243"/>
  <c r="X242"/>
  <c r="X241"/>
  <c r="X240"/>
  <c r="X239"/>
  <c r="X238"/>
  <c r="X236"/>
  <c r="X235"/>
  <c r="X234"/>
  <c r="X233"/>
  <c r="X232"/>
  <c r="M230" i="16"/>
  <c r="X230" i="10"/>
  <c r="X229"/>
  <c r="X228"/>
  <c r="X227"/>
  <c r="X226"/>
  <c r="X225"/>
  <c r="AA224" i="14"/>
  <c r="Y224" i="1"/>
  <c r="AK224"/>
  <c r="AZ224" i="2"/>
  <c r="BJ224" s="1"/>
  <c r="AK223" i="1"/>
  <c r="Y223"/>
  <c r="AZ223" i="2"/>
  <c r="BJ223" s="1"/>
  <c r="AA223" i="14"/>
  <c r="X224" i="10"/>
  <c r="X223"/>
  <c r="X222"/>
  <c r="W223" i="16"/>
  <c r="G222"/>
  <c r="M222"/>
  <c r="W222"/>
  <c r="AC222"/>
  <c r="G218"/>
  <c r="M218"/>
  <c r="W218"/>
  <c r="AC218"/>
  <c r="BJ208" i="2"/>
  <c r="AK208" i="1"/>
  <c r="AM208" s="1"/>
  <c r="X183" i="10"/>
  <c r="BJ183" i="2"/>
  <c r="AK183" i="1"/>
  <c r="AM183" s="1"/>
  <c r="AA183" i="14"/>
  <c r="AC183"/>
  <c r="G183" i="16"/>
  <c r="M183"/>
  <c r="AC183"/>
  <c r="AK202" i="1"/>
  <c r="AM202" s="1"/>
  <c r="AA202" i="14"/>
  <c r="AK201" i="1"/>
  <c r="AM201" s="1"/>
  <c r="BJ201" i="2"/>
  <c r="AA201" i="14"/>
  <c r="AK200" i="1"/>
  <c r="AM200" s="1"/>
  <c r="AA200" i="14"/>
  <c r="AK199" i="1"/>
  <c r="AM199" s="1"/>
  <c r="BJ199" i="2"/>
  <c r="AA199" i="14"/>
  <c r="AK198" i="1"/>
  <c r="AM198" s="1"/>
  <c r="AA198" i="14"/>
  <c r="AK197" i="1"/>
  <c r="BJ197" i="2"/>
  <c r="AA197" i="14"/>
  <c r="AK196" i="1"/>
  <c r="AM196" s="1"/>
  <c r="BJ196" i="2"/>
  <c r="AA196" i="14"/>
  <c r="AM195" i="1"/>
  <c r="BL195" i="2" s="1"/>
  <c r="BS195" s="1"/>
  <c r="BU195" s="1"/>
  <c r="AM193" i="1"/>
  <c r="BJ193" i="2"/>
  <c r="AK191" i="1"/>
  <c r="BJ191" i="2"/>
  <c r="AA191" i="14"/>
  <c r="AK190" i="1"/>
  <c r="AM190" s="1"/>
  <c r="BJ190" i="2"/>
  <c r="AA190" i="14"/>
  <c r="AK189" i="1"/>
  <c r="BJ189" i="2"/>
  <c r="AA189" i="14"/>
  <c r="AK188" i="1"/>
  <c r="AM188" s="1"/>
  <c r="BJ188" i="2"/>
  <c r="AA188" i="14"/>
  <c r="AK187" i="1"/>
  <c r="BJ187" i="2"/>
  <c r="AA187" i="14"/>
  <c r="AK186" i="1"/>
  <c r="BJ186" i="2"/>
  <c r="AA186" i="14"/>
  <c r="AK185" i="1"/>
  <c r="AM185" s="1"/>
  <c r="BL185" i="2" s="1"/>
  <c r="BS185" s="1"/>
  <c r="AA185" i="14"/>
  <c r="AK184" i="1"/>
  <c r="AA184" i="14"/>
  <c r="AA182"/>
  <c r="AK182" i="1"/>
  <c r="AK181"/>
  <c r="Y181"/>
  <c r="AZ181" i="2"/>
  <c r="BJ181" s="1"/>
  <c r="AA181" i="14"/>
  <c r="AA180"/>
  <c r="AK180" i="1"/>
  <c r="AM180" s="1"/>
  <c r="BJ180" i="2"/>
  <c r="AA179" i="14"/>
  <c r="AK179" i="1"/>
  <c r="AM179" s="1"/>
  <c r="BL179" i="2" s="1"/>
  <c r="K174" i="14"/>
  <c r="X221" i="10"/>
  <c r="X220"/>
  <c r="X219"/>
  <c r="X218"/>
  <c r="X216"/>
  <c r="X215"/>
  <c r="X213"/>
  <c r="X212"/>
  <c r="X211"/>
  <c r="X210"/>
  <c r="X209"/>
  <c r="X208"/>
  <c r="X207"/>
  <c r="X206"/>
  <c r="X202"/>
  <c r="X201"/>
  <c r="X200"/>
  <c r="X199"/>
  <c r="X198"/>
  <c r="X197"/>
  <c r="X196"/>
  <c r="X191"/>
  <c r="X190"/>
  <c r="X184"/>
  <c r="X182"/>
  <c r="X181"/>
  <c r="X175"/>
  <c r="X174"/>
  <c r="X170"/>
  <c r="X169"/>
  <c r="X166"/>
  <c r="X165"/>
  <c r="X164"/>
  <c r="X163"/>
  <c r="X159"/>
  <c r="X158"/>
  <c r="X157"/>
  <c r="X156"/>
  <c r="X155"/>
  <c r="X151"/>
  <c r="X150"/>
  <c r="X147"/>
  <c r="X146"/>
  <c r="X322"/>
  <c r="X321"/>
  <c r="X320"/>
  <c r="X319"/>
  <c r="X318"/>
  <c r="X317"/>
  <c r="X316"/>
  <c r="X315"/>
  <c r="X314"/>
  <c r="X313"/>
  <c r="X303"/>
  <c r="X302"/>
  <c r="X301"/>
  <c r="X300"/>
  <c r="S319"/>
  <c r="S318"/>
  <c r="S317"/>
  <c r="S316"/>
  <c r="S315"/>
  <c r="S314"/>
  <c r="S313"/>
  <c r="S311"/>
  <c r="S310"/>
  <c r="S309"/>
  <c r="S308"/>
  <c r="S303"/>
  <c r="S302"/>
  <c r="S301"/>
  <c r="S300"/>
  <c r="X298"/>
  <c r="X297"/>
  <c r="X296"/>
  <c r="X294"/>
  <c r="X293"/>
  <c r="X292"/>
  <c r="X291"/>
  <c r="X290"/>
  <c r="X289"/>
  <c r="X288"/>
  <c r="X287"/>
  <c r="S298"/>
  <c r="S297"/>
  <c r="S296"/>
  <c r="S294"/>
  <c r="S293"/>
  <c r="S292"/>
  <c r="S291"/>
  <c r="S290"/>
  <c r="S289"/>
  <c r="S288"/>
  <c r="S287"/>
  <c r="S286"/>
  <c r="S283"/>
  <c r="S282"/>
  <c r="S281"/>
  <c r="S280"/>
  <c r="AK319" i="1"/>
  <c r="Y319"/>
  <c r="AZ319" i="2"/>
  <c r="BJ319" s="1"/>
  <c r="AK318" i="1"/>
  <c r="Y318"/>
  <c r="AZ318" i="2"/>
  <c r="BJ318" s="1"/>
  <c r="AK317" i="1"/>
  <c r="Y317"/>
  <c r="AZ317" i="2"/>
  <c r="BJ317" s="1"/>
  <c r="AK316" i="1"/>
  <c r="Y316"/>
  <c r="AZ316" i="2"/>
  <c r="BJ316" s="1"/>
  <c r="AK315" i="1"/>
  <c r="Y315"/>
  <c r="AZ315" i="2"/>
  <c r="BJ315" s="1"/>
  <c r="AK314" i="1"/>
  <c r="Y314"/>
  <c r="AZ314" i="2"/>
  <c r="BJ314" s="1"/>
  <c r="AK313" i="1"/>
  <c r="Y313"/>
  <c r="AZ313" i="2"/>
  <c r="BJ313" s="1"/>
  <c r="AK312" i="1"/>
  <c r="Y312"/>
  <c r="AZ312" i="2"/>
  <c r="BJ312" s="1"/>
  <c r="AK311" i="1"/>
  <c r="Y311"/>
  <c r="AZ311" i="2"/>
  <c r="BJ311" s="1"/>
  <c r="AK310" i="1"/>
  <c r="Y310"/>
  <c r="AZ310" i="2"/>
  <c r="BJ310" s="1"/>
  <c r="AK309" i="1"/>
  <c r="Y309"/>
  <c r="AZ309" i="2"/>
  <c r="BJ309" s="1"/>
  <c r="AK308" i="1"/>
  <c r="Y308"/>
  <c r="AZ308" i="2"/>
  <c r="BJ308" s="1"/>
  <c r="AK307" i="1"/>
  <c r="Y307"/>
  <c r="AZ307" i="2"/>
  <c r="BJ307" s="1"/>
  <c r="AK303" i="1"/>
  <c r="Y303"/>
  <c r="AZ303" i="2"/>
  <c r="BJ303" s="1"/>
  <c r="AK302" i="1"/>
  <c r="Y302"/>
  <c r="AZ302" i="2"/>
  <c r="BJ302" s="1"/>
  <c r="AK301" i="1"/>
  <c r="Y301"/>
  <c r="AZ301" i="2"/>
  <c r="BJ301" s="1"/>
  <c r="AK300" i="1"/>
  <c r="Y300"/>
  <c r="AZ300" i="2"/>
  <c r="BJ300" s="1"/>
  <c r="AK299" i="1"/>
  <c r="Y299"/>
  <c r="AZ299" i="2"/>
  <c r="BJ299" s="1"/>
  <c r="AK298" i="1"/>
  <c r="Y298"/>
  <c r="AZ298" i="2"/>
  <c r="BJ298" s="1"/>
  <c r="AA326" i="14"/>
  <c r="AA324"/>
  <c r="AA322"/>
  <c r="AA321"/>
  <c r="AA320"/>
  <c r="AA319"/>
  <c r="AA318"/>
  <c r="AA317"/>
  <c r="AA316"/>
  <c r="AA315"/>
  <c r="AA314"/>
  <c r="AA313"/>
  <c r="AA312"/>
  <c r="AA311"/>
  <c r="AA310"/>
  <c r="AA309"/>
  <c r="AA302"/>
  <c r="AA301"/>
  <c r="AA300"/>
  <c r="AA299"/>
  <c r="AA298"/>
  <c r="AK297" i="1"/>
  <c r="Y297"/>
  <c r="AZ297" i="2"/>
  <c r="BJ297" s="1"/>
  <c r="AA297" i="14"/>
  <c r="AK294" i="1"/>
  <c r="Y294"/>
  <c r="AZ294" i="2"/>
  <c r="BJ294" s="1"/>
  <c r="AA294" i="14"/>
  <c r="AK292" i="1"/>
  <c r="Y292"/>
  <c r="AZ292" i="2"/>
  <c r="BJ292" s="1"/>
  <c r="AA292" i="14"/>
  <c r="AK291" i="1"/>
  <c r="Y291"/>
  <c r="AZ291" i="2"/>
  <c r="BJ291" s="1"/>
  <c r="AA291" i="14"/>
  <c r="AK290" i="1"/>
  <c r="Y290"/>
  <c r="AZ290" i="2"/>
  <c r="BJ290" s="1"/>
  <c r="AA290" i="14"/>
  <c r="AK289" i="1"/>
  <c r="Y289"/>
  <c r="AZ289" i="2"/>
  <c r="BJ289" s="1"/>
  <c r="AA289" i="14"/>
  <c r="AK288" i="1"/>
  <c r="Y288"/>
  <c r="AZ288" i="2"/>
  <c r="BJ288" s="1"/>
  <c r="AA288" i="14"/>
  <c r="AK287" i="1"/>
  <c r="Y287"/>
  <c r="AZ287" i="2"/>
  <c r="BJ287" s="1"/>
  <c r="AA287" i="14"/>
  <c r="AK286" i="1"/>
  <c r="Y286"/>
  <c r="AZ286" i="2"/>
  <c r="BJ286" s="1"/>
  <c r="AA286" i="14"/>
  <c r="AK285" i="1"/>
  <c r="AM285" s="1"/>
  <c r="AZ285" i="2"/>
  <c r="BJ285" s="1"/>
  <c r="AK284" i="1"/>
  <c r="AM284" s="1"/>
  <c r="BL284" i="2" s="1"/>
  <c r="BS284" s="1"/>
  <c r="BU284" s="1"/>
  <c r="AK283" i="1"/>
  <c r="AM283" s="1"/>
  <c r="BL283" i="2" s="1"/>
  <c r="BS283" s="1"/>
  <c r="BU283" s="1"/>
  <c r="AK282" i="1"/>
  <c r="Y282"/>
  <c r="AZ282" i="2"/>
  <c r="BJ282" s="1"/>
  <c r="AA282" i="14"/>
  <c r="AK281" i="1"/>
  <c r="Y281"/>
  <c r="AZ281" i="2"/>
  <c r="BJ281" s="1"/>
  <c r="AA281" i="14"/>
  <c r="AK280" i="1"/>
  <c r="Y280"/>
  <c r="AZ280" i="2"/>
  <c r="BJ280" s="1"/>
  <c r="AA280" i="14"/>
  <c r="AK279" i="1"/>
  <c r="Y279"/>
  <c r="AZ279" i="2"/>
  <c r="BJ279" s="1"/>
  <c r="AA279" i="14"/>
  <c r="AK278" i="1"/>
  <c r="Y278"/>
  <c r="AZ278" i="2"/>
  <c r="BJ278" s="1"/>
  <c r="AA278" i="14"/>
  <c r="AK277" i="1"/>
  <c r="Y277"/>
  <c r="AZ277" i="2"/>
  <c r="BJ277" s="1"/>
  <c r="AA277" i="14"/>
  <c r="AK276" i="1"/>
  <c r="Y276"/>
  <c r="AZ276" i="2"/>
  <c r="BJ276" s="1"/>
  <c r="AA276" i="14"/>
  <c r="AK275" i="1"/>
  <c r="Y275"/>
  <c r="AZ275" i="2"/>
  <c r="BJ275" s="1"/>
  <c r="AK274" i="1"/>
  <c r="AM274" s="1"/>
  <c r="BL274" i="2" s="1"/>
  <c r="BS274" s="1"/>
  <c r="BU274" s="1"/>
  <c r="AK273" i="1"/>
  <c r="AM273" s="1"/>
  <c r="BL273" i="2" s="1"/>
  <c r="BS273" s="1"/>
  <c r="BU273" s="1"/>
  <c r="AZ296"/>
  <c r="BJ296" s="1"/>
  <c r="AK296" i="1"/>
  <c r="Y296"/>
  <c r="K319" i="14"/>
  <c r="O319"/>
  <c r="K318"/>
  <c r="O318"/>
  <c r="K317"/>
  <c r="O317"/>
  <c r="K316"/>
  <c r="O316"/>
  <c r="K315"/>
  <c r="O315"/>
  <c r="K314"/>
  <c r="O314"/>
  <c r="K313"/>
  <c r="O313"/>
  <c r="K312"/>
  <c r="O312"/>
  <c r="K311"/>
  <c r="O311"/>
  <c r="K310"/>
  <c r="O310"/>
  <c r="K309"/>
  <c r="O309"/>
  <c r="K308"/>
  <c r="O308"/>
  <c r="O307"/>
  <c r="AC307" s="1"/>
  <c r="K302"/>
  <c r="O302"/>
  <c r="K301"/>
  <c r="O301"/>
  <c r="K300"/>
  <c r="O300"/>
  <c r="K299"/>
  <c r="O299"/>
  <c r="K298"/>
  <c r="O298"/>
  <c r="K297"/>
  <c r="K296"/>
  <c r="O296"/>
  <c r="AA296"/>
  <c r="K294"/>
  <c r="O294"/>
  <c r="K293"/>
  <c r="O293"/>
  <c r="AA293"/>
  <c r="K292"/>
  <c r="O292"/>
  <c r="K291"/>
  <c r="O291"/>
  <c r="K290"/>
  <c r="O290"/>
  <c r="K289"/>
  <c r="O289"/>
  <c r="K288"/>
  <c r="O288"/>
  <c r="K287"/>
  <c r="O287"/>
  <c r="K282"/>
  <c r="O282"/>
  <c r="K281"/>
  <c r="O281"/>
  <c r="K280"/>
  <c r="O280"/>
  <c r="AC280" s="1"/>
  <c r="K279"/>
  <c r="O279"/>
  <c r="K278"/>
  <c r="O278"/>
  <c r="K277"/>
  <c r="O277"/>
  <c r="K276"/>
  <c r="O276"/>
  <c r="O275"/>
  <c r="G319" i="16"/>
  <c r="M319"/>
  <c r="W319"/>
  <c r="G318"/>
  <c r="M318"/>
  <c r="W318"/>
  <c r="G317"/>
  <c r="M317"/>
  <c r="W317"/>
  <c r="G316"/>
  <c r="M316"/>
  <c r="W316"/>
  <c r="G315"/>
  <c r="M315"/>
  <c r="W315"/>
  <c r="G314"/>
  <c r="M314"/>
  <c r="W314"/>
  <c r="G313"/>
  <c r="M313"/>
  <c r="W313"/>
  <c r="G312"/>
  <c r="M312"/>
  <c r="G311"/>
  <c r="M311"/>
  <c r="G310"/>
  <c r="M310"/>
  <c r="G309"/>
  <c r="AE309" s="1"/>
  <c r="W307"/>
  <c r="AE307" s="1"/>
  <c r="G303"/>
  <c r="M303"/>
  <c r="W303"/>
  <c r="AC303"/>
  <c r="G302"/>
  <c r="M302"/>
  <c r="W302"/>
  <c r="AC302"/>
  <c r="G301"/>
  <c r="M301"/>
  <c r="W301"/>
  <c r="AC301"/>
  <c r="G300"/>
  <c r="M300"/>
  <c r="W300"/>
  <c r="AC300"/>
  <c r="G299"/>
  <c r="M299"/>
  <c r="W299"/>
  <c r="AC299"/>
  <c r="G298"/>
  <c r="M298"/>
  <c r="W298"/>
  <c r="AC298"/>
  <c r="G297"/>
  <c r="M297"/>
  <c r="W297"/>
  <c r="AC297"/>
  <c r="G296"/>
  <c r="M296"/>
  <c r="W296"/>
  <c r="AC296"/>
  <c r="M294"/>
  <c r="W294"/>
  <c r="G293"/>
  <c r="M293"/>
  <c r="W293"/>
  <c r="AC293"/>
  <c r="M292"/>
  <c r="W292"/>
  <c r="AC292"/>
  <c r="G291"/>
  <c r="M291"/>
  <c r="W291"/>
  <c r="AC291"/>
  <c r="G290"/>
  <c r="M290"/>
  <c r="W290"/>
  <c r="AC290"/>
  <c r="G289"/>
  <c r="M289"/>
  <c r="W289"/>
  <c r="AC289"/>
  <c r="G288"/>
  <c r="M288"/>
  <c r="W288"/>
  <c r="AC288"/>
  <c r="G287"/>
  <c r="M287"/>
  <c r="AC287"/>
  <c r="G286"/>
  <c r="M286"/>
  <c r="AC286"/>
  <c r="AC285"/>
  <c r="W283"/>
  <c r="AE283" s="1"/>
  <c r="M282"/>
  <c r="W282"/>
  <c r="M281"/>
  <c r="W281"/>
  <c r="G280"/>
  <c r="M280"/>
  <c r="W280"/>
  <c r="M279"/>
  <c r="W279"/>
  <c r="G278"/>
  <c r="W278"/>
  <c r="AC278"/>
  <c r="W277"/>
  <c r="AE277" s="1"/>
  <c r="G269"/>
  <c r="M269"/>
  <c r="W269"/>
  <c r="AC269"/>
  <c r="G268"/>
  <c r="M268"/>
  <c r="W268"/>
  <c r="AC268"/>
  <c r="G267"/>
  <c r="M267"/>
  <c r="W267"/>
  <c r="AC267"/>
  <c r="G259"/>
  <c r="M259"/>
  <c r="W259"/>
  <c r="AC259"/>
  <c r="G103"/>
  <c r="Y102" i="1"/>
  <c r="AA101" i="14"/>
  <c r="AA97"/>
  <c r="Y94" i="1"/>
  <c r="AA102" i="14"/>
  <c r="AK102" i="1"/>
  <c r="AZ102" i="2"/>
  <c r="BJ102" s="1"/>
  <c r="Y101" i="1"/>
  <c r="AK101"/>
  <c r="AZ101" i="2"/>
  <c r="BJ101" s="1"/>
  <c r="AA100" i="14"/>
  <c r="AK100" i="1"/>
  <c r="Y100"/>
  <c r="AZ100" i="2"/>
  <c r="BJ100" s="1"/>
  <c r="AA99" i="14"/>
  <c r="AK99" i="1"/>
  <c r="Y99"/>
  <c r="AZ99" i="2"/>
  <c r="BJ99" s="1"/>
  <c r="AA98" i="14"/>
  <c r="AK98" i="1"/>
  <c r="Y98"/>
  <c r="AZ98" i="2"/>
  <c r="BJ98" s="1"/>
  <c r="Y97" i="1"/>
  <c r="AK97"/>
  <c r="AK96"/>
  <c r="Y96"/>
  <c r="AA96" i="14"/>
  <c r="AK95" i="1"/>
  <c r="Y95"/>
  <c r="AA95" i="14"/>
  <c r="AA94"/>
  <c r="AK94" i="1"/>
  <c r="AK93"/>
  <c r="Y93"/>
  <c r="AA93" i="14"/>
  <c r="AK92" i="1"/>
  <c r="Y92"/>
  <c r="AA92" i="14"/>
  <c r="AK91" i="1"/>
  <c r="Y91"/>
  <c r="AA91" i="14"/>
  <c r="G91" i="16"/>
  <c r="M91"/>
  <c r="W91"/>
  <c r="AC91"/>
  <c r="M92"/>
  <c r="W92"/>
  <c r="AC92"/>
  <c r="X144" i="10"/>
  <c r="X143"/>
  <c r="X142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1"/>
  <c r="X120"/>
  <c r="X119"/>
  <c r="X118"/>
  <c r="X117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S225"/>
  <c r="S430"/>
  <c r="S429"/>
  <c r="S425"/>
  <c r="S424"/>
  <c r="S422"/>
  <c r="S421"/>
  <c r="S420"/>
  <c r="S419"/>
  <c r="S417"/>
  <c r="S416"/>
  <c r="S415"/>
  <c r="S414"/>
  <c r="S409"/>
  <c r="S408"/>
  <c r="S407"/>
  <c r="S406"/>
  <c r="S405"/>
  <c r="S404"/>
  <c r="S254"/>
  <c r="S253"/>
  <c r="S252"/>
  <c r="S249"/>
  <c r="S248"/>
  <c r="S247"/>
  <c r="S246"/>
  <c r="S245"/>
  <c r="S244"/>
  <c r="S243"/>
  <c r="S242"/>
  <c r="S241"/>
  <c r="S240"/>
  <c r="S239"/>
  <c r="S238"/>
  <c r="S236"/>
  <c r="S235"/>
  <c r="S234"/>
  <c r="S233"/>
  <c r="S232"/>
  <c r="S230"/>
  <c r="S229"/>
  <c r="S228"/>
  <c r="S227"/>
  <c r="S226"/>
  <c r="S224"/>
  <c r="S222"/>
  <c r="S221"/>
  <c r="S220"/>
  <c r="S219"/>
  <c r="S218"/>
  <c r="S216"/>
  <c r="S213"/>
  <c r="S212"/>
  <c r="S211"/>
  <c r="S175"/>
  <c r="S174"/>
  <c r="S170"/>
  <c r="S168"/>
  <c r="S165"/>
  <c r="S164"/>
  <c r="S163"/>
  <c r="S162"/>
  <c r="S159"/>
  <c r="S158"/>
  <c r="S144"/>
  <c r="S143"/>
  <c r="S142"/>
  <c r="S141"/>
  <c r="S139"/>
  <c r="S138"/>
  <c r="S137"/>
  <c r="S136"/>
  <c r="S135"/>
  <c r="S134"/>
  <c r="S133"/>
  <c r="S132"/>
  <c r="S131"/>
  <c r="S130"/>
  <c r="S129"/>
  <c r="S127"/>
  <c r="S126"/>
  <c r="S125"/>
  <c r="S124"/>
  <c r="S123"/>
  <c r="S121"/>
  <c r="S120"/>
  <c r="S119"/>
  <c r="S118"/>
  <c r="S117"/>
  <c r="S115"/>
  <c r="S114"/>
  <c r="S113"/>
  <c r="S111"/>
  <c r="S110"/>
  <c r="S109"/>
  <c r="S108"/>
  <c r="S107"/>
  <c r="S106"/>
  <c r="S105"/>
  <c r="S104"/>
  <c r="S103"/>
  <c r="S102"/>
  <c r="S101"/>
  <c r="S100"/>
  <c r="S98"/>
  <c r="S97"/>
  <c r="S96"/>
  <c r="S95"/>
  <c r="S94"/>
  <c r="S93"/>
  <c r="S92"/>
  <c r="S91"/>
  <c r="S90"/>
  <c r="AK204" i="1"/>
  <c r="AZ103" i="2"/>
  <c r="BJ103" s="1"/>
  <c r="Y103" i="1"/>
  <c r="AK103"/>
  <c r="AA103" i="14"/>
  <c r="BJ430" i="2"/>
  <c r="AK430" i="1"/>
  <c r="AM430" s="1"/>
  <c r="AK429"/>
  <c r="AM429" s="1"/>
  <c r="BJ425" i="2"/>
  <c r="AK425" i="1"/>
  <c r="AM425" s="1"/>
  <c r="AA425" i="14"/>
  <c r="AK424" i="1"/>
  <c r="AM424" s="1"/>
  <c r="AA424" i="14"/>
  <c r="AZ422" i="2"/>
  <c r="BJ422" s="1"/>
  <c r="Y422" i="1"/>
  <c r="AK422"/>
  <c r="AA422" i="14"/>
  <c r="AZ421" i="2"/>
  <c r="BJ421" s="1"/>
  <c r="Y421" i="1"/>
  <c r="AK421"/>
  <c r="AA421" i="14"/>
  <c r="AA420"/>
  <c r="AA419"/>
  <c r="AA417"/>
  <c r="AA416"/>
  <c r="AA415"/>
  <c r="AA414"/>
  <c r="AA413"/>
  <c r="AA412"/>
  <c r="AA411"/>
  <c r="AA410"/>
  <c r="AZ409" i="2"/>
  <c r="BJ409" s="1"/>
  <c r="Y409" i="1"/>
  <c r="AK409"/>
  <c r="AA409" i="14"/>
  <c r="AA408"/>
  <c r="AA407"/>
  <c r="AA406"/>
  <c r="AA405"/>
  <c r="AA404"/>
  <c r="AA347"/>
  <c r="AA346"/>
  <c r="AA345"/>
  <c r="AA344"/>
  <c r="AA340"/>
  <c r="AA339"/>
  <c r="AA338"/>
  <c r="AA337"/>
  <c r="AA336"/>
  <c r="AA334"/>
  <c r="AA333"/>
  <c r="AA332"/>
  <c r="AA331"/>
  <c r="AA330"/>
  <c r="AA329"/>
  <c r="AA328"/>
  <c r="AA327"/>
  <c r="Y231" i="1"/>
  <c r="AK231"/>
  <c r="AZ230" i="2"/>
  <c r="BJ230" s="1"/>
  <c r="Y230" i="1"/>
  <c r="AK230"/>
  <c r="AA230" i="14"/>
  <c r="AZ229" i="2"/>
  <c r="BJ229" s="1"/>
  <c r="Y229" i="1"/>
  <c r="AK229"/>
  <c r="AA229" i="14"/>
  <c r="AZ228" i="2"/>
  <c r="BJ228" s="1"/>
  <c r="Y228" i="1"/>
  <c r="AK228"/>
  <c r="AA228" i="14"/>
  <c r="AZ227" i="2"/>
  <c r="BJ227" s="1"/>
  <c r="Y227" i="1"/>
  <c r="AK227"/>
  <c r="AA227" i="14"/>
  <c r="AZ226" i="2"/>
  <c r="BJ226" s="1"/>
  <c r="Y226" i="1"/>
  <c r="AK226"/>
  <c r="AA226" i="14"/>
  <c r="AZ225" i="2"/>
  <c r="BJ225" s="1"/>
  <c r="Y225" i="1"/>
  <c r="AK225"/>
  <c r="AA225" i="14"/>
  <c r="AZ222" i="2"/>
  <c r="BJ222" s="1"/>
  <c r="Y222" i="1"/>
  <c r="AK222"/>
  <c r="AA222" i="14"/>
  <c r="AZ221" i="2"/>
  <c r="BJ221" s="1"/>
  <c r="AK221" i="1"/>
  <c r="Y221"/>
  <c r="AA221" i="14"/>
  <c r="AZ220" i="2"/>
  <c r="BJ220" s="1"/>
  <c r="Y220" i="1"/>
  <c r="AK220"/>
  <c r="AA220" i="14"/>
  <c r="AZ219" i="2"/>
  <c r="BJ219" s="1"/>
  <c r="Y219" i="1"/>
  <c r="AK219"/>
  <c r="AA219" i="14"/>
  <c r="AZ218" i="2"/>
  <c r="BJ218" s="1"/>
  <c r="Y218" i="1"/>
  <c r="AK218"/>
  <c r="AA218" i="14"/>
  <c r="BJ217" i="2"/>
  <c r="AK217" i="1"/>
  <c r="AM217" s="1"/>
  <c r="AZ216" i="2"/>
  <c r="BJ216" s="1"/>
  <c r="AK216" i="1"/>
  <c r="Y216"/>
  <c r="AA216" i="14"/>
  <c r="AZ215" i="2"/>
  <c r="BJ215" s="1"/>
  <c r="Y215" i="1"/>
  <c r="AK215"/>
  <c r="AA215" i="14"/>
  <c r="AK214" i="1"/>
  <c r="AM214" s="1"/>
  <c r="BL214" i="2" s="1"/>
  <c r="BS214" s="1"/>
  <c r="BU214" s="1"/>
  <c r="AZ213"/>
  <c r="BJ213" s="1"/>
  <c r="AK213" i="1"/>
  <c r="Y213"/>
  <c r="AA213" i="14"/>
  <c r="AZ212" i="2"/>
  <c r="BJ212" s="1"/>
  <c r="Y212" i="1"/>
  <c r="AK212"/>
  <c r="AA212" i="14"/>
  <c r="AZ211" i="2"/>
  <c r="BJ211" s="1"/>
  <c r="AK211" i="1"/>
  <c r="Y211"/>
  <c r="AA211" i="14"/>
  <c r="AK210" i="1"/>
  <c r="AM210" s="1"/>
  <c r="AA210" i="14"/>
  <c r="BJ209" i="2"/>
  <c r="AK209" i="1"/>
  <c r="AM209" s="1"/>
  <c r="AA209" i="14"/>
  <c r="AA208"/>
  <c r="BJ207" i="2"/>
  <c r="AK207" i="1"/>
  <c r="AM207" s="1"/>
  <c r="AA207" i="14"/>
  <c r="AK206" i="1"/>
  <c r="AM206" s="1"/>
  <c r="BL206" i="2" s="1"/>
  <c r="BS206" s="1"/>
  <c r="AA206" i="14"/>
  <c r="AK205" i="1"/>
  <c r="AM205" s="1"/>
  <c r="BL205" i="2" s="1"/>
  <c r="AA205" i="14"/>
  <c r="AZ175" i="2"/>
  <c r="BJ175" s="1"/>
  <c r="Y175" i="1"/>
  <c r="AK175"/>
  <c r="AA175" i="14"/>
  <c r="AZ174" i="2"/>
  <c r="BJ174" s="1"/>
  <c r="Y174" i="1"/>
  <c r="AK174"/>
  <c r="AA174" i="14"/>
  <c r="AZ170" i="2"/>
  <c r="BJ170" s="1"/>
  <c r="AK170" i="1"/>
  <c r="Y170"/>
  <c r="AA170" i="14"/>
  <c r="AZ169" i="2"/>
  <c r="BJ169" s="1"/>
  <c r="Y169" i="1"/>
  <c r="AK169"/>
  <c r="BJ168" i="2"/>
  <c r="AK168" i="1"/>
  <c r="AM168" s="1"/>
  <c r="AK167"/>
  <c r="AM167" s="1"/>
  <c r="BL167" i="2" s="1"/>
  <c r="BS167" s="1"/>
  <c r="BU167" s="1"/>
  <c r="AZ166"/>
  <c r="BJ166" s="1"/>
  <c r="AK166" i="1"/>
  <c r="Y166"/>
  <c r="AA166" i="14"/>
  <c r="AZ165" i="2"/>
  <c r="BJ165" s="1"/>
  <c r="Y165" i="1"/>
  <c r="AK165"/>
  <c r="AA165" i="14"/>
  <c r="AZ164" i="2"/>
  <c r="BJ164" s="1"/>
  <c r="Y164" i="1"/>
  <c r="AK164"/>
  <c r="AA164" i="14"/>
  <c r="AZ163" i="2"/>
  <c r="BJ163" s="1"/>
  <c r="Y163" i="1"/>
  <c r="AK163"/>
  <c r="AA163" i="14"/>
  <c r="BJ162" i="2"/>
  <c r="AK162" i="1"/>
  <c r="AM162" s="1"/>
  <c r="AA162" i="14"/>
  <c r="AK161" i="1"/>
  <c r="AM161" s="1"/>
  <c r="BL161" i="2" s="1"/>
  <c r="BS161" s="1"/>
  <c r="BU161" s="1"/>
  <c r="AZ159"/>
  <c r="BJ159" s="1"/>
  <c r="AK159" i="1"/>
  <c r="Y159"/>
  <c r="AA159" i="14"/>
  <c r="AZ158" i="2"/>
  <c r="BJ158" s="1"/>
  <c r="Y158" i="1"/>
  <c r="AK158"/>
  <c r="AA158" i="14"/>
  <c r="AK157" i="1"/>
  <c r="AM157" s="1"/>
  <c r="AK156"/>
  <c r="AM156" s="1"/>
  <c r="BL156" i="2" s="1"/>
  <c r="BS156" s="1"/>
  <c r="BU156" s="1"/>
  <c r="AK155" i="1"/>
  <c r="AK154"/>
  <c r="AK153"/>
  <c r="AM153" s="1"/>
  <c r="BL153" i="2" s="1"/>
  <c r="BS153" s="1"/>
  <c r="BU153" s="1"/>
  <c r="AK151" i="1"/>
  <c r="AM151" s="1"/>
  <c r="AK150"/>
  <c r="AK149"/>
  <c r="AM149" s="1"/>
  <c r="AK148"/>
  <c r="AM148" s="1"/>
  <c r="BL148" i="2" s="1"/>
  <c r="BS148" s="1"/>
  <c r="AK147" i="1"/>
  <c r="AM147" s="1"/>
  <c r="AK146"/>
  <c r="AM146" s="1"/>
  <c r="AM145"/>
  <c r="BL145" i="2" s="1"/>
  <c r="BS145" s="1"/>
  <c r="BU145" s="1"/>
  <c r="AZ144"/>
  <c r="BJ144" s="1"/>
  <c r="Y144" i="1"/>
  <c r="AK144"/>
  <c r="BJ143" i="2"/>
  <c r="AK143" i="1"/>
  <c r="AM143" s="1"/>
  <c r="AZ142" i="2"/>
  <c r="BJ142" s="1"/>
  <c r="Y142" i="1"/>
  <c r="AK142"/>
  <c r="AA142" i="14"/>
  <c r="AZ141" i="2"/>
  <c r="BJ141" s="1"/>
  <c r="Y141" i="1"/>
  <c r="AK141"/>
  <c r="AA141" i="14"/>
  <c r="AZ139" i="2"/>
  <c r="BJ139" s="1"/>
  <c r="Y139" i="1"/>
  <c r="AK139"/>
  <c r="AA139" i="14"/>
  <c r="AZ138" i="2"/>
  <c r="BJ138" s="1"/>
  <c r="Y138" i="1"/>
  <c r="AK138"/>
  <c r="AA138" i="14"/>
  <c r="AZ137" i="2"/>
  <c r="BJ137" s="1"/>
  <c r="Y137" i="1"/>
  <c r="AK137"/>
  <c r="AA137" i="14"/>
  <c r="AZ136" i="2"/>
  <c r="BJ136" s="1"/>
  <c r="Y136" i="1"/>
  <c r="AK136"/>
  <c r="AA136" i="14"/>
  <c r="AZ135" i="2"/>
  <c r="BJ135" s="1"/>
  <c r="Y135" i="1"/>
  <c r="AK135"/>
  <c r="AA135" i="14"/>
  <c r="AZ134" i="2"/>
  <c r="BJ134" s="1"/>
  <c r="Y134" i="1"/>
  <c r="AK134"/>
  <c r="AA134" i="14"/>
  <c r="AZ133" i="2"/>
  <c r="BJ133" s="1"/>
  <c r="AK133" i="1"/>
  <c r="Y133"/>
  <c r="AA133" i="14"/>
  <c r="AZ132" i="2"/>
  <c r="BJ132" s="1"/>
  <c r="Y132" i="1"/>
  <c r="AK132"/>
  <c r="AA132" i="14"/>
  <c r="AZ131" i="2"/>
  <c r="BJ131" s="1"/>
  <c r="AK131" i="1"/>
  <c r="Y131"/>
  <c r="AA131" i="14"/>
  <c r="AZ130" i="2"/>
  <c r="BJ130" s="1"/>
  <c r="Y130" i="1"/>
  <c r="AK130"/>
  <c r="AA130" i="14"/>
  <c r="AZ129" i="2"/>
  <c r="BJ129" s="1"/>
  <c r="Y129" i="1"/>
  <c r="AK129"/>
  <c r="AA129" i="14"/>
  <c r="AZ128" i="2"/>
  <c r="BJ128" s="1"/>
  <c r="AK128" i="1"/>
  <c r="Y128"/>
  <c r="AA128" i="14"/>
  <c r="AZ127" i="2"/>
  <c r="BJ127" s="1"/>
  <c r="Y127" i="1"/>
  <c r="AK127"/>
  <c r="AA127" i="14"/>
  <c r="AZ126" i="2"/>
  <c r="BJ126" s="1"/>
  <c r="Y126" i="1"/>
  <c r="AK126"/>
  <c r="AA126" i="14"/>
  <c r="AZ125" i="2"/>
  <c r="BJ125" s="1"/>
  <c r="Y125" i="1"/>
  <c r="AK125"/>
  <c r="AA125" i="14"/>
  <c r="AZ124" i="2"/>
  <c r="BJ124" s="1"/>
  <c r="Y124" i="1"/>
  <c r="AK124"/>
  <c r="AA124" i="14"/>
  <c r="AZ123" i="2"/>
  <c r="BJ123" s="1"/>
  <c r="AK123" i="1"/>
  <c r="Y123"/>
  <c r="AA123" i="14"/>
  <c r="AZ121" i="2"/>
  <c r="BJ121" s="1"/>
  <c r="Y121" i="1"/>
  <c r="AK121"/>
  <c r="AA121" i="14"/>
  <c r="AZ120" i="2"/>
  <c r="BJ120" s="1"/>
  <c r="Y120" i="1"/>
  <c r="AK120"/>
  <c r="AA120" i="14"/>
  <c r="AZ119" i="2"/>
  <c r="BJ119" s="1"/>
  <c r="Y119" i="1"/>
  <c r="AK119"/>
  <c r="AA119" i="14"/>
  <c r="AZ118" i="2"/>
  <c r="BJ118" s="1"/>
  <c r="Y118" i="1"/>
  <c r="AK118"/>
  <c r="AA118" i="14"/>
  <c r="AZ117" i="2"/>
  <c r="BJ117" s="1"/>
  <c r="Y117" i="1"/>
  <c r="AK117"/>
  <c r="AA117" i="14"/>
  <c r="AZ115" i="2"/>
  <c r="BJ115" s="1"/>
  <c r="Y115" i="1"/>
  <c r="AK115"/>
  <c r="AA115" i="14"/>
  <c r="AZ114" i="2"/>
  <c r="BJ114" s="1"/>
  <c r="Y114" i="1"/>
  <c r="AK114"/>
  <c r="AA114" i="14"/>
  <c r="AZ113" i="2"/>
  <c r="BJ113" s="1"/>
  <c r="Y113" i="1"/>
  <c r="AK113"/>
  <c r="AA113" i="14"/>
  <c r="AZ112" i="2"/>
  <c r="BJ112" s="1"/>
  <c r="Y112" i="1"/>
  <c r="AK112"/>
  <c r="AA112" i="14"/>
  <c r="AZ111" i="2"/>
  <c r="BJ111" s="1"/>
  <c r="Y111" i="1"/>
  <c r="AK111"/>
  <c r="AA111" i="14"/>
  <c r="AZ110" i="2"/>
  <c r="BJ110" s="1"/>
  <c r="Y110" i="1"/>
  <c r="AK110"/>
  <c r="AA110" i="14"/>
  <c r="AZ109" i="2"/>
  <c r="BJ109" s="1"/>
  <c r="AK109" i="1"/>
  <c r="Y109"/>
  <c r="AA109" i="14"/>
  <c r="AZ108" i="2"/>
  <c r="BJ108" s="1"/>
  <c r="AK108" i="1"/>
  <c r="Y108"/>
  <c r="AA108" i="14"/>
  <c r="AZ107" i="2"/>
  <c r="BJ107" s="1"/>
  <c r="Y107" i="1"/>
  <c r="AK107"/>
  <c r="AZ106" i="2"/>
  <c r="BJ106" s="1"/>
  <c r="Y106" i="1"/>
  <c r="AK106"/>
  <c r="AA106" i="14"/>
  <c r="AZ105" i="2"/>
  <c r="BJ105" s="1"/>
  <c r="Y105" i="1"/>
  <c r="AK105"/>
  <c r="AA105" i="14"/>
  <c r="AZ104" i="2"/>
  <c r="BJ104" s="1"/>
  <c r="Y104" i="1"/>
  <c r="AK104"/>
  <c r="AA104" i="14"/>
  <c r="Y90" i="1"/>
  <c r="AK90"/>
  <c r="AA90" i="14"/>
  <c r="O91"/>
  <c r="K424"/>
  <c r="O424"/>
  <c r="K422"/>
  <c r="O422"/>
  <c r="K421"/>
  <c r="K409"/>
  <c r="O409"/>
  <c r="AC373"/>
  <c r="AC369"/>
  <c r="AC365"/>
  <c r="K254"/>
  <c r="O254"/>
  <c r="K253"/>
  <c r="O253"/>
  <c r="K252"/>
  <c r="O252"/>
  <c r="K251"/>
  <c r="O251"/>
  <c r="K250"/>
  <c r="O250"/>
  <c r="K249"/>
  <c r="O249"/>
  <c r="K248"/>
  <c r="O248"/>
  <c r="K246"/>
  <c r="O246"/>
  <c r="K245"/>
  <c r="O245"/>
  <c r="K244"/>
  <c r="O244"/>
  <c r="K243"/>
  <c r="O243"/>
  <c r="K242"/>
  <c r="O242"/>
  <c r="K241"/>
  <c r="O241"/>
  <c r="K240"/>
  <c r="O240"/>
  <c r="K239"/>
  <c r="O239"/>
  <c r="K238"/>
  <c r="O238"/>
  <c r="K237"/>
  <c r="O237"/>
  <c r="K236"/>
  <c r="O236"/>
  <c r="K235"/>
  <c r="O235"/>
  <c r="K234"/>
  <c r="O234"/>
  <c r="K233"/>
  <c r="O233"/>
  <c r="K232"/>
  <c r="O232"/>
  <c r="K231"/>
  <c r="O231"/>
  <c r="K230"/>
  <c r="O230"/>
  <c r="K229"/>
  <c r="O229"/>
  <c r="K228"/>
  <c r="O228"/>
  <c r="K227"/>
  <c r="O227"/>
  <c r="K226"/>
  <c r="O226"/>
  <c r="K225"/>
  <c r="O225"/>
  <c r="K224"/>
  <c r="O224"/>
  <c r="O223"/>
  <c r="K222"/>
  <c r="O222"/>
  <c r="K221"/>
  <c r="O221"/>
  <c r="K220"/>
  <c r="O220"/>
  <c r="K219"/>
  <c r="O219"/>
  <c r="K218"/>
  <c r="O218"/>
  <c r="O217"/>
  <c r="AC217" s="1"/>
  <c r="K216"/>
  <c r="O216"/>
  <c r="K215"/>
  <c r="O215"/>
  <c r="K214"/>
  <c r="AC214" s="1"/>
  <c r="K213"/>
  <c r="O213"/>
  <c r="K212"/>
  <c r="O212"/>
  <c r="K211"/>
  <c r="O211"/>
  <c r="AC206"/>
  <c r="AC197"/>
  <c r="AC184"/>
  <c r="K181"/>
  <c r="O181"/>
  <c r="K180"/>
  <c r="O180"/>
  <c r="K175"/>
  <c r="O175"/>
  <c r="O174"/>
  <c r="K170"/>
  <c r="O170"/>
  <c r="K169"/>
  <c r="AC169" s="1"/>
  <c r="K168"/>
  <c r="AC168" s="1"/>
  <c r="K167"/>
  <c r="AC167" s="1"/>
  <c r="K166"/>
  <c r="O166"/>
  <c r="K165"/>
  <c r="O165"/>
  <c r="K164"/>
  <c r="O164"/>
  <c r="K163"/>
  <c r="O163"/>
  <c r="K162"/>
  <c r="O162"/>
  <c r="K161"/>
  <c r="O161"/>
  <c r="K159"/>
  <c r="O159"/>
  <c r="K158"/>
  <c r="O158"/>
  <c r="AC150"/>
  <c r="K143"/>
  <c r="O143"/>
  <c r="K142"/>
  <c r="O142"/>
  <c r="K141"/>
  <c r="O141"/>
  <c r="K139"/>
  <c r="O139"/>
  <c r="K138"/>
  <c r="O138"/>
  <c r="K137"/>
  <c r="O137"/>
  <c r="K136"/>
  <c r="O136"/>
  <c r="K135"/>
  <c r="O135"/>
  <c r="K134"/>
  <c r="O134"/>
  <c r="K133"/>
  <c r="O133"/>
  <c r="K132"/>
  <c r="O132"/>
  <c r="K131"/>
  <c r="O131"/>
  <c r="K130"/>
  <c r="O130"/>
  <c r="K129"/>
  <c r="O129"/>
  <c r="K128"/>
  <c r="O128"/>
  <c r="K127"/>
  <c r="O127"/>
  <c r="K126"/>
  <c r="O126"/>
  <c r="K125"/>
  <c r="O125"/>
  <c r="K124"/>
  <c r="O124"/>
  <c r="K123"/>
  <c r="O123"/>
  <c r="K121"/>
  <c r="O121"/>
  <c r="K120"/>
  <c r="O120"/>
  <c r="K119"/>
  <c r="O119"/>
  <c r="K118"/>
  <c r="O118"/>
  <c r="K117"/>
  <c r="O117"/>
  <c r="K115"/>
  <c r="O115"/>
  <c r="K114"/>
  <c r="O114"/>
  <c r="K113"/>
  <c r="O113"/>
  <c r="K112"/>
  <c r="O112"/>
  <c r="K111"/>
  <c r="O111"/>
  <c r="K110"/>
  <c r="O110"/>
  <c r="K109"/>
  <c r="O109"/>
  <c r="K108"/>
  <c r="O108"/>
  <c r="K107"/>
  <c r="O107"/>
  <c r="K106"/>
  <c r="O106"/>
  <c r="K105"/>
  <c r="O105"/>
  <c r="K104"/>
  <c r="O104"/>
  <c r="K103"/>
  <c r="O103"/>
  <c r="K102"/>
  <c r="O102"/>
  <c r="K101"/>
  <c r="O101"/>
  <c r="K100"/>
  <c r="O100"/>
  <c r="K99"/>
  <c r="O99"/>
  <c r="K98"/>
  <c r="O98"/>
  <c r="K97"/>
  <c r="O97"/>
  <c r="K96"/>
  <c r="O96"/>
  <c r="K95"/>
  <c r="O95"/>
  <c r="K94"/>
  <c r="O94"/>
  <c r="K93"/>
  <c r="O93"/>
  <c r="K92"/>
  <c r="O92"/>
  <c r="K90"/>
  <c r="O90"/>
  <c r="W422" i="16"/>
  <c r="M422"/>
  <c r="G422"/>
  <c r="W421"/>
  <c r="M421"/>
  <c r="G421"/>
  <c r="W409"/>
  <c r="M409"/>
  <c r="G409"/>
  <c r="AE329"/>
  <c r="W254"/>
  <c r="M254"/>
  <c r="W253"/>
  <c r="M253"/>
  <c r="G253"/>
  <c r="W252"/>
  <c r="W251"/>
  <c r="W250"/>
  <c r="W249"/>
  <c r="G249"/>
  <c r="W248"/>
  <c r="M248"/>
  <c r="W247"/>
  <c r="M247"/>
  <c r="W246"/>
  <c r="M246"/>
  <c r="W245"/>
  <c r="M245"/>
  <c r="W244"/>
  <c r="M244"/>
  <c r="G244"/>
  <c r="W243"/>
  <c r="M243"/>
  <c r="G243"/>
  <c r="W242"/>
  <c r="M242"/>
  <c r="G242"/>
  <c r="W241"/>
  <c r="M241"/>
  <c r="W240"/>
  <c r="M240"/>
  <c r="G240"/>
  <c r="W239"/>
  <c r="M239"/>
  <c r="G239"/>
  <c r="M238"/>
  <c r="AE238" s="1"/>
  <c r="W237"/>
  <c r="M237"/>
  <c r="W236"/>
  <c r="W235"/>
  <c r="M235"/>
  <c r="G235"/>
  <c r="W234"/>
  <c r="M234"/>
  <c r="G234"/>
  <c r="W233"/>
  <c r="M233"/>
  <c r="G233"/>
  <c r="W231"/>
  <c r="M231"/>
  <c r="G231"/>
  <c r="W230"/>
  <c r="G230"/>
  <c r="W229"/>
  <c r="M229"/>
  <c r="W228"/>
  <c r="M228"/>
  <c r="G228"/>
  <c r="W227"/>
  <c r="M227"/>
  <c r="G227"/>
  <c r="W226"/>
  <c r="M226"/>
  <c r="G226"/>
  <c r="W225"/>
  <c r="M225"/>
  <c r="G225"/>
  <c r="W224"/>
  <c r="M224"/>
  <c r="G224"/>
  <c r="M223"/>
  <c r="W221"/>
  <c r="M221"/>
  <c r="G221"/>
  <c r="W220"/>
  <c r="M220"/>
  <c r="G220"/>
  <c r="W219"/>
  <c r="M219"/>
  <c r="G219"/>
  <c r="W217"/>
  <c r="G217"/>
  <c r="W216"/>
  <c r="M216"/>
  <c r="G216"/>
  <c r="W215"/>
  <c r="M215"/>
  <c r="W214"/>
  <c r="M214"/>
  <c r="G214"/>
  <c r="W213"/>
  <c r="M213"/>
  <c r="W212"/>
  <c r="M212"/>
  <c r="W211"/>
  <c r="M211"/>
  <c r="G211"/>
  <c r="M210"/>
  <c r="G210"/>
  <c r="M209"/>
  <c r="G209"/>
  <c r="M208"/>
  <c r="G208"/>
  <c r="M207"/>
  <c r="G207"/>
  <c r="M206"/>
  <c r="G206"/>
  <c r="M205"/>
  <c r="G205"/>
  <c r="M202"/>
  <c r="G202"/>
  <c r="M201"/>
  <c r="G201"/>
  <c r="M200"/>
  <c r="G200"/>
  <c r="M199"/>
  <c r="G199"/>
  <c r="M198"/>
  <c r="G198"/>
  <c r="M197"/>
  <c r="G197"/>
  <c r="M196"/>
  <c r="G196"/>
  <c r="M195"/>
  <c r="G195"/>
  <c r="M191"/>
  <c r="G191"/>
  <c r="M190"/>
  <c r="G190"/>
  <c r="M189"/>
  <c r="G189"/>
  <c r="M188"/>
  <c r="M187"/>
  <c r="G187"/>
  <c r="M186"/>
  <c r="G186"/>
  <c r="M185"/>
  <c r="M184"/>
  <c r="G184"/>
  <c r="M182"/>
  <c r="G182"/>
  <c r="W181"/>
  <c r="M181"/>
  <c r="G181"/>
  <c r="W180"/>
  <c r="M180"/>
  <c r="G180"/>
  <c r="G179"/>
  <c r="AE179" s="1"/>
  <c r="W175"/>
  <c r="M175"/>
  <c r="G175"/>
  <c r="W174"/>
  <c r="M174"/>
  <c r="G174"/>
  <c r="W170"/>
  <c r="M170"/>
  <c r="G170"/>
  <c r="G169"/>
  <c r="W166"/>
  <c r="M166"/>
  <c r="G166"/>
  <c r="W165"/>
  <c r="M165"/>
  <c r="W164"/>
  <c r="W163"/>
  <c r="W162"/>
  <c r="W159"/>
  <c r="M159"/>
  <c r="G159"/>
  <c r="W158"/>
  <c r="M158"/>
  <c r="G158"/>
  <c r="W157"/>
  <c r="M157"/>
  <c r="G157"/>
  <c r="W156"/>
  <c r="M156"/>
  <c r="G156"/>
  <c r="W155"/>
  <c r="M155"/>
  <c r="G155"/>
  <c r="W154"/>
  <c r="M154"/>
  <c r="G154"/>
  <c r="G153"/>
  <c r="W151"/>
  <c r="M151"/>
  <c r="G151"/>
  <c r="M150"/>
  <c r="G150"/>
  <c r="M149"/>
  <c r="G149"/>
  <c r="G148"/>
  <c r="AE148" s="1"/>
  <c r="W147"/>
  <c r="G147"/>
  <c r="W146"/>
  <c r="M146"/>
  <c r="G146"/>
  <c r="W145"/>
  <c r="M145"/>
  <c r="G145"/>
  <c r="W144"/>
  <c r="M144"/>
  <c r="G144"/>
  <c r="W143"/>
  <c r="M143"/>
  <c r="G143"/>
  <c r="W142"/>
  <c r="M142"/>
  <c r="M141"/>
  <c r="G141"/>
  <c r="W139"/>
  <c r="M139"/>
  <c r="G139"/>
  <c r="W138"/>
  <c r="M138"/>
  <c r="G138"/>
  <c r="W137"/>
  <c r="M137"/>
  <c r="G137"/>
  <c r="W136"/>
  <c r="M136"/>
  <c r="G136"/>
  <c r="W135"/>
  <c r="M135"/>
  <c r="W134"/>
  <c r="M134"/>
  <c r="G134"/>
  <c r="W133"/>
  <c r="M133"/>
  <c r="G133"/>
  <c r="W132"/>
  <c r="M132"/>
  <c r="G132"/>
  <c r="W131"/>
  <c r="M131"/>
  <c r="G131"/>
  <c r="W130"/>
  <c r="M130"/>
  <c r="G130"/>
  <c r="W129"/>
  <c r="M129"/>
  <c r="W128"/>
  <c r="M128"/>
  <c r="G128"/>
  <c r="W127"/>
  <c r="M127"/>
  <c r="G127"/>
  <c r="W126"/>
  <c r="M126"/>
  <c r="G126"/>
  <c r="W125"/>
  <c r="M125"/>
  <c r="G125"/>
  <c r="W124"/>
  <c r="M124"/>
  <c r="G124"/>
  <c r="W123"/>
  <c r="M123"/>
  <c r="G123"/>
  <c r="W121"/>
  <c r="M121"/>
  <c r="G121"/>
  <c r="W120"/>
  <c r="M120"/>
  <c r="G120"/>
  <c r="W119"/>
  <c r="M119"/>
  <c r="G119"/>
  <c r="W118"/>
  <c r="M118"/>
  <c r="G118"/>
  <c r="W117"/>
  <c r="M117"/>
  <c r="G117"/>
  <c r="W115"/>
  <c r="M115"/>
  <c r="G115"/>
  <c r="W114"/>
  <c r="M114"/>
  <c r="G114"/>
  <c r="W113"/>
  <c r="M113"/>
  <c r="G113"/>
  <c r="M112"/>
  <c r="G112"/>
  <c r="W111"/>
  <c r="M111"/>
  <c r="G111"/>
  <c r="W110"/>
  <c r="M110"/>
  <c r="G110"/>
  <c r="W109"/>
  <c r="M109"/>
  <c r="G109"/>
  <c r="W108"/>
  <c r="M108"/>
  <c r="G108"/>
  <c r="W107"/>
  <c r="M107"/>
  <c r="G107"/>
  <c r="W106"/>
  <c r="M106"/>
  <c r="G106"/>
  <c r="W105"/>
  <c r="M105"/>
  <c r="G105"/>
  <c r="W104"/>
  <c r="M104"/>
  <c r="G104"/>
  <c r="W103"/>
  <c r="M103"/>
  <c r="W102"/>
  <c r="M102"/>
  <c r="G102"/>
  <c r="W101"/>
  <c r="M101"/>
  <c r="G101"/>
  <c r="W100"/>
  <c r="M100"/>
  <c r="W99"/>
  <c r="M99"/>
  <c r="G99"/>
  <c r="W98"/>
  <c r="M98"/>
  <c r="W97"/>
  <c r="M97"/>
  <c r="W96"/>
  <c r="M96"/>
  <c r="G96"/>
  <c r="W95"/>
  <c r="M95"/>
  <c r="G95"/>
  <c r="W94"/>
  <c r="M94"/>
  <c r="W93"/>
  <c r="M93"/>
  <c r="G93"/>
  <c r="W90"/>
  <c r="M90"/>
  <c r="S299" i="10"/>
  <c r="AZ293" i="2"/>
  <c r="BJ293" s="1"/>
  <c r="Y293" i="1"/>
  <c r="AC334" i="16"/>
  <c r="AC336"/>
  <c r="AC187"/>
  <c r="AC189"/>
  <c r="AC186"/>
  <c r="AC162"/>
  <c r="AC145"/>
  <c r="AC243"/>
  <c r="AC244"/>
  <c r="AC234"/>
  <c r="AC230"/>
  <c r="AC229"/>
  <c r="AE400"/>
  <c r="G232"/>
  <c r="M232"/>
  <c r="W232"/>
  <c r="M153"/>
  <c r="W153"/>
  <c r="AC379"/>
  <c r="AC98"/>
  <c r="AC351"/>
  <c r="AC395"/>
  <c r="AC326"/>
  <c r="AC333"/>
  <c r="AC207"/>
  <c r="AC188"/>
  <c r="AC181"/>
  <c r="AC430"/>
  <c r="AC402"/>
  <c r="AC399"/>
  <c r="AC361"/>
  <c r="AC348"/>
  <c r="AC217"/>
  <c r="AC216"/>
  <c r="AC201"/>
  <c r="AC190"/>
  <c r="AC168"/>
  <c r="AC156"/>
  <c r="AC146"/>
  <c r="AC133"/>
  <c r="AC131"/>
  <c r="AC108"/>
  <c r="AC142"/>
  <c r="AC135"/>
  <c r="AC322"/>
  <c r="AK293" i="1"/>
  <c r="AC128" i="16"/>
  <c r="X299" i="10"/>
  <c r="AC429" i="16"/>
  <c r="AC425"/>
  <c r="AC424"/>
  <c r="AC422"/>
  <c r="AC421"/>
  <c r="AC420"/>
  <c r="AC419"/>
  <c r="AC417"/>
  <c r="AC416"/>
  <c r="AC415"/>
  <c r="AC414"/>
  <c r="AC413"/>
  <c r="AC412"/>
  <c r="AC411"/>
  <c r="AC410"/>
  <c r="AC409"/>
  <c r="AC408"/>
  <c r="AC407"/>
  <c r="AC406"/>
  <c r="AC405"/>
  <c r="AC404"/>
  <c r="AC403"/>
  <c r="AC401"/>
  <c r="AC400"/>
  <c r="AC398"/>
  <c r="AC397"/>
  <c r="AC396"/>
  <c r="AC394"/>
  <c r="AC393"/>
  <c r="AC392"/>
  <c r="AC391"/>
  <c r="AC389"/>
  <c r="AC388"/>
  <c r="AC386"/>
  <c r="AC385"/>
  <c r="AC384"/>
  <c r="AC383"/>
  <c r="AC382"/>
  <c r="AC381"/>
  <c r="AC380"/>
  <c r="AC378"/>
  <c r="AC376"/>
  <c r="AC363"/>
  <c r="AC362"/>
  <c r="AC360"/>
  <c r="AC359"/>
  <c r="AC358"/>
  <c r="AC357"/>
  <c r="AC356"/>
  <c r="AC355"/>
  <c r="AC354"/>
  <c r="AC353"/>
  <c r="AC352"/>
  <c r="AC350"/>
  <c r="AC349"/>
  <c r="AC347"/>
  <c r="AC346"/>
  <c r="AC345"/>
  <c r="AC344"/>
  <c r="AC340"/>
  <c r="AC339"/>
  <c r="AC338"/>
  <c r="AC337"/>
  <c r="AC332"/>
  <c r="AC331"/>
  <c r="AC330"/>
  <c r="AC329"/>
  <c r="AC328"/>
  <c r="AC327"/>
  <c r="AC324"/>
  <c r="AC321"/>
  <c r="AC320"/>
  <c r="AC254"/>
  <c r="AC253"/>
  <c r="AC252"/>
  <c r="AC251"/>
  <c r="AC249"/>
  <c r="AC248"/>
  <c r="AC247"/>
  <c r="AC246"/>
  <c r="AC245"/>
  <c r="AC242"/>
  <c r="AC241"/>
  <c r="AC240"/>
  <c r="AC239"/>
  <c r="AC238"/>
  <c r="AC237"/>
  <c r="AC236"/>
  <c r="AC235"/>
  <c r="AC233"/>
  <c r="AC232"/>
  <c r="AC231"/>
  <c r="AC228"/>
  <c r="AC227"/>
  <c r="AC226"/>
  <c r="AC225"/>
  <c r="AC224"/>
  <c r="AC221"/>
  <c r="AC220"/>
  <c r="AC219"/>
  <c r="AC215"/>
  <c r="AC214"/>
  <c r="AC213"/>
  <c r="AC212"/>
  <c r="AC211"/>
  <c r="AC210"/>
  <c r="AC209"/>
  <c r="AC208"/>
  <c r="AC206"/>
  <c r="AC205"/>
  <c r="AC202"/>
  <c r="AC200"/>
  <c r="AC199"/>
  <c r="AC198"/>
  <c r="AC197"/>
  <c r="AC196"/>
  <c r="AC195"/>
  <c r="AC193"/>
  <c r="AC191"/>
  <c r="AC185"/>
  <c r="AC184"/>
  <c r="AC182"/>
  <c r="AC180"/>
  <c r="AC179"/>
  <c r="AC175"/>
  <c r="AC174"/>
  <c r="AC170"/>
  <c r="AC169"/>
  <c r="AC166"/>
  <c r="AC165"/>
  <c r="AC164"/>
  <c r="AC163"/>
  <c r="AC159"/>
  <c r="AC158"/>
  <c r="AC157"/>
  <c r="AC155"/>
  <c r="AC154"/>
  <c r="AC153"/>
  <c r="AC151"/>
  <c r="AC150"/>
  <c r="AC149"/>
  <c r="AC148"/>
  <c r="AC147"/>
  <c r="AC144"/>
  <c r="AC143"/>
  <c r="AC141"/>
  <c r="AC139"/>
  <c r="AC138"/>
  <c r="AC137"/>
  <c r="AC136"/>
  <c r="AC134"/>
  <c r="AC132"/>
  <c r="AC130"/>
  <c r="AC129"/>
  <c r="AC127"/>
  <c r="AC126"/>
  <c r="AC125"/>
  <c r="AC124"/>
  <c r="AC123"/>
  <c r="AC121"/>
  <c r="AC120"/>
  <c r="AC119"/>
  <c r="AC118"/>
  <c r="AC117"/>
  <c r="AC115"/>
  <c r="AC114"/>
  <c r="AC113"/>
  <c r="AC112"/>
  <c r="AC111"/>
  <c r="AC110"/>
  <c r="AC109"/>
  <c r="AC107"/>
  <c r="AC106"/>
  <c r="AC105"/>
  <c r="AC104"/>
  <c r="AC103"/>
  <c r="AC102"/>
  <c r="AC101"/>
  <c r="AC100"/>
  <c r="AC99"/>
  <c r="AC97"/>
  <c r="AC96"/>
  <c r="AC95"/>
  <c r="AC94"/>
  <c r="AC93"/>
  <c r="AC90"/>
  <c r="AM313" i="1"/>
  <c r="BL313" i="2" s="1"/>
  <c r="BS313" s="1"/>
  <c r="BL389"/>
  <c r="BS389" s="1"/>
  <c r="BU389" s="1"/>
  <c r="AI222" i="15"/>
  <c r="AI110"/>
  <c r="AI288"/>
  <c r="AY288" i="17" s="1"/>
  <c r="BC288" s="1"/>
  <c r="BE288" s="1"/>
  <c r="AG290" i="15"/>
  <c r="AI290" s="1"/>
  <c r="AY398" i="17"/>
  <c r="BC398" s="1"/>
  <c r="BE398" s="1"/>
  <c r="BC376"/>
  <c r="BE376" s="1"/>
  <c r="AI277" i="15"/>
  <c r="AY277" i="17" s="1"/>
  <c r="BC277" s="1"/>
  <c r="BE277" s="1"/>
  <c r="AY390"/>
  <c r="BC390" s="1"/>
  <c r="BE390" s="1"/>
  <c r="AY384"/>
  <c r="BC384" s="1"/>
  <c r="BE384" s="1"/>
  <c r="AI250" i="15"/>
  <c r="AI234"/>
  <c r="AY234" i="17" s="1"/>
  <c r="BC234" s="1"/>
  <c r="BE234" s="1"/>
  <c r="AI199" i="15"/>
  <c r="AI191"/>
  <c r="AI409"/>
  <c r="AY409" i="17" s="1"/>
  <c r="BC409" s="1"/>
  <c r="BE409" s="1"/>
  <c r="AI201" i="15"/>
  <c r="AI190"/>
  <c r="AE365" i="16"/>
  <c r="AE372"/>
  <c r="AY396" i="17"/>
  <c r="BC396" s="1"/>
  <c r="BE396" s="1"/>
  <c r="G294" i="16"/>
  <c r="AC294"/>
  <c r="AY357" i="17"/>
  <c r="BC357" s="1"/>
  <c r="BE357" s="1"/>
  <c r="AM159" i="1"/>
  <c r="AC336" i="26"/>
  <c r="AC329" i="14"/>
  <c r="AI280" i="15"/>
  <c r="AE236" i="16"/>
  <c r="AM254" i="1"/>
  <c r="BL254" i="2" s="1"/>
  <c r="BS254" s="1"/>
  <c r="AM250" i="1"/>
  <c r="AM249"/>
  <c r="AI91" i="15" l="1"/>
  <c r="AI156"/>
  <c r="AY156" i="17" s="1"/>
  <c r="BC156" s="1"/>
  <c r="BE156" s="1"/>
  <c r="AE278" i="16"/>
  <c r="AC288" i="26"/>
  <c r="AC290"/>
  <c r="AC292"/>
  <c r="AC294"/>
  <c r="AC299"/>
  <c r="AC301"/>
  <c r="AC303"/>
  <c r="AC306"/>
  <c r="AC308"/>
  <c r="AC310"/>
  <c r="AC312"/>
  <c r="AC314"/>
  <c r="AC316"/>
  <c r="AC318"/>
  <c r="AC421"/>
  <c r="AC189"/>
  <c r="AC182"/>
  <c r="AC151" i="14"/>
  <c r="AC182"/>
  <c r="AC236"/>
  <c r="AC186"/>
  <c r="AC187"/>
  <c r="AC188"/>
  <c r="AC190"/>
  <c r="AC191"/>
  <c r="AC196"/>
  <c r="AC198"/>
  <c r="AC199"/>
  <c r="AC200"/>
  <c r="AC202"/>
  <c r="AC207"/>
  <c r="AC209"/>
  <c r="AC210"/>
  <c r="AC212"/>
  <c r="AC223"/>
  <c r="AC421"/>
  <c r="AY132" i="17"/>
  <c r="BC132" s="1"/>
  <c r="BE132" s="1"/>
  <c r="AY124"/>
  <c r="BC124" s="1"/>
  <c r="BE124" s="1"/>
  <c r="AI278" i="15"/>
  <c r="AY278" i="17" s="1"/>
  <c r="BC278" s="1"/>
  <c r="BE278" s="1"/>
  <c r="AI253" i="15"/>
  <c r="AI243"/>
  <c r="AY243" i="17" s="1"/>
  <c r="BC243" s="1"/>
  <c r="BE243" s="1"/>
  <c r="AI281" i="15"/>
  <c r="AY281" i="17" s="1"/>
  <c r="BC281" s="1"/>
  <c r="BE281" s="1"/>
  <c r="AI183" i="15"/>
  <c r="AY183" i="17" s="1"/>
  <c r="BC183" s="1"/>
  <c r="BE183" s="1"/>
  <c r="AE222" i="16"/>
  <c r="AE429"/>
  <c r="AC297" i="26"/>
  <c r="BL409" i="25"/>
  <c r="BL415"/>
  <c r="AE291" i="16"/>
  <c r="AE288"/>
  <c r="AE287"/>
  <c r="AE279"/>
  <c r="AE259"/>
  <c r="AY250" i="17"/>
  <c r="BC250" s="1"/>
  <c r="BE250" s="1"/>
  <c r="AY240"/>
  <c r="BC240" s="1"/>
  <c r="BE240" s="1"/>
  <c r="AY199"/>
  <c r="BC199" s="1"/>
  <c r="BE199" s="1"/>
  <c r="AY222"/>
  <c r="BC222" s="1"/>
  <c r="BE222" s="1"/>
  <c r="BL120" i="25"/>
  <c r="BT120" s="1"/>
  <c r="BV120" s="1"/>
  <c r="BV93"/>
  <c r="AE92" i="16"/>
  <c r="AC291" i="26"/>
  <c r="AC293"/>
  <c r="AC296"/>
  <c r="AC298"/>
  <c r="AC300"/>
  <c r="AC302"/>
  <c r="AC305"/>
  <c r="AC307"/>
  <c r="AC309"/>
  <c r="AC311"/>
  <c r="AC313"/>
  <c r="AC315"/>
  <c r="AC317"/>
  <c r="AC321"/>
  <c r="AC324"/>
  <c r="AC327"/>
  <c r="AC329"/>
  <c r="AC331"/>
  <c r="AC333"/>
  <c r="AC338"/>
  <c r="AC340"/>
  <c r="AC345"/>
  <c r="AC347"/>
  <c r="AC349"/>
  <c r="AC353"/>
  <c r="AC355"/>
  <c r="AC357"/>
  <c r="AC359"/>
  <c r="AC361"/>
  <c r="AC363"/>
  <c r="AC365"/>
  <c r="AC369"/>
  <c r="AC371"/>
  <c r="AC373"/>
  <c r="AC375"/>
  <c r="AC420"/>
  <c r="AC422"/>
  <c r="AC134" i="14"/>
  <c r="AC181"/>
  <c r="AC218"/>
  <c r="AC221"/>
  <c r="AY181" i="17"/>
  <c r="BC181" s="1"/>
  <c r="BE181" s="1"/>
  <c r="AE370" i="16"/>
  <c r="AE294"/>
  <c r="AE223"/>
  <c r="AE351"/>
  <c r="AC200" i="26"/>
  <c r="AC245" i="14"/>
  <c r="AC249"/>
  <c r="AC250"/>
  <c r="AC251"/>
  <c r="AC367"/>
  <c r="AC371"/>
  <c r="AC375"/>
  <c r="AY280" i="17"/>
  <c r="BC280" s="1"/>
  <c r="BE280" s="1"/>
  <c r="AY339"/>
  <c r="BC339" s="1"/>
  <c r="BE339" s="1"/>
  <c r="AY190"/>
  <c r="AY191"/>
  <c r="BC191" s="1"/>
  <c r="BE191" s="1"/>
  <c r="AI291" i="15"/>
  <c r="AI279"/>
  <c r="AI254"/>
  <c r="AY254" i="17" s="1"/>
  <c r="BC254" s="1"/>
  <c r="BE254" s="1"/>
  <c r="AI224" i="15"/>
  <c r="AY224" i="17" s="1"/>
  <c r="BC224" s="1"/>
  <c r="BE224" s="1"/>
  <c r="AI220" i="15"/>
  <c r="AI211"/>
  <c r="AI210"/>
  <c r="AI208"/>
  <c r="AI206"/>
  <c r="AI200"/>
  <c r="AI198"/>
  <c r="AC91" i="26"/>
  <c r="AC93"/>
  <c r="AC95"/>
  <c r="AC97"/>
  <c r="AC99"/>
  <c r="AC101"/>
  <c r="AC105"/>
  <c r="AC107"/>
  <c r="AC109"/>
  <c r="AC111"/>
  <c r="AC113"/>
  <c r="AC115"/>
  <c r="AC118"/>
  <c r="AC120"/>
  <c r="AC123"/>
  <c r="AC125"/>
  <c r="AC127"/>
  <c r="AC129"/>
  <c r="AC131"/>
  <c r="AC133"/>
  <c r="AC137"/>
  <c r="AC139"/>
  <c r="AC142"/>
  <c r="AC159"/>
  <c r="AC170"/>
  <c r="AC175"/>
  <c r="AC287"/>
  <c r="AC289"/>
  <c r="AC364" i="14"/>
  <c r="AC366"/>
  <c r="AC368"/>
  <c r="AC370"/>
  <c r="AC372"/>
  <c r="AC374"/>
  <c r="AC247"/>
  <c r="AC157"/>
  <c r="BL166" i="25"/>
  <c r="BT166" s="1"/>
  <c r="BV166" s="1"/>
  <c r="BL306"/>
  <c r="BT306" s="1"/>
  <c r="BV306" s="1"/>
  <c r="BL238"/>
  <c r="BT238" s="1"/>
  <c r="BV238" s="1"/>
  <c r="BL322"/>
  <c r="BT322" s="1"/>
  <c r="BV322" s="1"/>
  <c r="BL337"/>
  <c r="BT337" s="1"/>
  <c r="BV337" s="1"/>
  <c r="BL344"/>
  <c r="BT344" s="1"/>
  <c r="BV344" s="1"/>
  <c r="BL283"/>
  <c r="BT283" s="1"/>
  <c r="BV283" s="1"/>
  <c r="BL309"/>
  <c r="BT309" s="1"/>
  <c r="BV309" s="1"/>
  <c r="BL284"/>
  <c r="BT284" s="1"/>
  <c r="BV284" s="1"/>
  <c r="BL275"/>
  <c r="BT275" s="1"/>
  <c r="BV275" s="1"/>
  <c r="BL274"/>
  <c r="BT274" s="1"/>
  <c r="BV274" s="1"/>
  <c r="BL273"/>
  <c r="BT273" s="1"/>
  <c r="BV273" s="1"/>
  <c r="BL271"/>
  <c r="BT271" s="1"/>
  <c r="BV271" s="1"/>
  <c r="BL270"/>
  <c r="BT270" s="1"/>
  <c r="BV270" s="1"/>
  <c r="BL269"/>
  <c r="BT269" s="1"/>
  <c r="BV269" s="1"/>
  <c r="BL262"/>
  <c r="BT262" s="1"/>
  <c r="BV262" s="1"/>
  <c r="BL231"/>
  <c r="BT231" s="1"/>
  <c r="BV231" s="1"/>
  <c r="BL214"/>
  <c r="BT214" s="1"/>
  <c r="BV214" s="1"/>
  <c r="AC209" i="26"/>
  <c r="BL205" i="25"/>
  <c r="BT205" s="1"/>
  <c r="BV205" s="1"/>
  <c r="BL179"/>
  <c r="BT179" s="1"/>
  <c r="BV179" s="1"/>
  <c r="BL168"/>
  <c r="BT168" s="1"/>
  <c r="BV168" s="1"/>
  <c r="BL167"/>
  <c r="BT167" s="1"/>
  <c r="BV167" s="1"/>
  <c r="BL161"/>
  <c r="BT161" s="1"/>
  <c r="BV161" s="1"/>
  <c r="BL154"/>
  <c r="BT154" s="1"/>
  <c r="BV154" s="1"/>
  <c r="BL153"/>
  <c r="BT153" s="1"/>
  <c r="BV153" s="1"/>
  <c r="BL104"/>
  <c r="BT104" s="1"/>
  <c r="BL114"/>
  <c r="BT114" s="1"/>
  <c r="BV114" s="1"/>
  <c r="BL103"/>
  <c r="BT103" s="1"/>
  <c r="BV103" s="1"/>
  <c r="BL149"/>
  <c r="BT149" s="1"/>
  <c r="BV149" s="1"/>
  <c r="BL148"/>
  <c r="BT148" s="1"/>
  <c r="BV148" s="1"/>
  <c r="BL144"/>
  <c r="BT144" s="1"/>
  <c r="BV144" s="1"/>
  <c r="BL145"/>
  <c r="BT145" s="1"/>
  <c r="BV145" s="1"/>
  <c r="BL143"/>
  <c r="BT143" s="1"/>
  <c r="BV143" s="1"/>
  <c r="BL420"/>
  <c r="BT420" s="1"/>
  <c r="BV420" s="1"/>
  <c r="AC368" i="26"/>
  <c r="BL147" i="2"/>
  <c r="BS147" s="1"/>
  <c r="BU147" s="1"/>
  <c r="AM213" i="1"/>
  <c r="BL324" i="2"/>
  <c r="BS324" s="1"/>
  <c r="BU324" s="1"/>
  <c r="BU254"/>
  <c r="AC297" i="14"/>
  <c r="AC355"/>
  <c r="AC255"/>
  <c r="AC265"/>
  <c r="AY91" i="17"/>
  <c r="BC91" s="1"/>
  <c r="BE91" s="1"/>
  <c r="AY424"/>
  <c r="BC424" s="1"/>
  <c r="BE424" s="1"/>
  <c r="AY364"/>
  <c r="BC364" s="1"/>
  <c r="BE364" s="1"/>
  <c r="AY359"/>
  <c r="BC359" s="1"/>
  <c r="BE359" s="1"/>
  <c r="AI107" i="15"/>
  <c r="AY107" i="17" s="1"/>
  <c r="BC107" s="1"/>
  <c r="BE107" s="1"/>
  <c r="AI421" i="15"/>
  <c r="AY421" i="17" s="1"/>
  <c r="BC421" s="1"/>
  <c r="BE421" s="1"/>
  <c r="AI126" i="15"/>
  <c r="AI115"/>
  <c r="AY115" i="17" s="1"/>
  <c r="BC115" s="1"/>
  <c r="BE115" s="1"/>
  <c r="AI313" i="15"/>
  <c r="AY313" i="17" s="1"/>
  <c r="BC313" s="1"/>
  <c r="BE313" s="1"/>
  <c r="AI230" i="15"/>
  <c r="AY230" i="17" s="1"/>
  <c r="BC230" s="1"/>
  <c r="BE230" s="1"/>
  <c r="AC424" i="26"/>
  <c r="BL162" i="25"/>
  <c r="BT162" s="1"/>
  <c r="BV162" s="1"/>
  <c r="BL97"/>
  <c r="BT97" s="1"/>
  <c r="BV97" s="1"/>
  <c r="BL364"/>
  <c r="BT364" s="1"/>
  <c r="BV364" s="1"/>
  <c r="BL368"/>
  <c r="BT368" s="1"/>
  <c r="BV368" s="1"/>
  <c r="BL372"/>
  <c r="BT372" s="1"/>
  <c r="BV372" s="1"/>
  <c r="BT410"/>
  <c r="BV410" s="1"/>
  <c r="BT414"/>
  <c r="BV414" s="1"/>
  <c r="BL419"/>
  <c r="BT419" s="1"/>
  <c r="BV419" s="1"/>
  <c r="BL333"/>
  <c r="BT333" s="1"/>
  <c r="BV333" s="1"/>
  <c r="BL375"/>
  <c r="BT375" s="1"/>
  <c r="BV375" s="1"/>
  <c r="BL369"/>
  <c r="BT369" s="1"/>
  <c r="BV369" s="1"/>
  <c r="AC367" i="26"/>
  <c r="AC362"/>
  <c r="AC351"/>
  <c r="BL329" i="25"/>
  <c r="BT329" s="1"/>
  <c r="BV329" s="1"/>
  <c r="BL328"/>
  <c r="BT328" s="1"/>
  <c r="BV328" s="1"/>
  <c r="BL326"/>
  <c r="BT326" s="1"/>
  <c r="BV326" s="1"/>
  <c r="AC326" i="26"/>
  <c r="AC319"/>
  <c r="AI319" i="15"/>
  <c r="AY319" i="17" s="1"/>
  <c r="BC319" s="1"/>
  <c r="BE319" s="1"/>
  <c r="AE319" i="16"/>
  <c r="AE318"/>
  <c r="AE317"/>
  <c r="AE316"/>
  <c r="AE314"/>
  <c r="AE315"/>
  <c r="BU313" i="2"/>
  <c r="AE313" i="16"/>
  <c r="AE310"/>
  <c r="AM307" i="1"/>
  <c r="AE312" i="16"/>
  <c r="AC310" i="14"/>
  <c r="AE311" i="16"/>
  <c r="AC237" i="14"/>
  <c r="BL232" i="25"/>
  <c r="BL285"/>
  <c r="BL321"/>
  <c r="BT321" s="1"/>
  <c r="BV321" s="1"/>
  <c r="BL324"/>
  <c r="BT324" s="1"/>
  <c r="BV324" s="1"/>
  <c r="BL327"/>
  <c r="BT327" s="1"/>
  <c r="BV327" s="1"/>
  <c r="BL367"/>
  <c r="BT367" s="1"/>
  <c r="BV367" s="1"/>
  <c r="BL373"/>
  <c r="BT373" s="1"/>
  <c r="BV373" s="1"/>
  <c r="BT411"/>
  <c r="BV411" s="1"/>
  <c r="BT415"/>
  <c r="BV415" s="1"/>
  <c r="BJ105"/>
  <c r="BL105" s="1"/>
  <c r="BT105" s="1"/>
  <c r="BV105" s="1"/>
  <c r="BJ107"/>
  <c r="BL107" s="1"/>
  <c r="BT107" s="1"/>
  <c r="BV107" s="1"/>
  <c r="AC183" i="26"/>
  <c r="AC184"/>
  <c r="AC188"/>
  <c r="AC191"/>
  <c r="AC193"/>
  <c r="AC196"/>
  <c r="AC197"/>
  <c r="AC199"/>
  <c r="AC201"/>
  <c r="AC207"/>
  <c r="AC210"/>
  <c r="AC133" i="14"/>
  <c r="AC211"/>
  <c r="AC213"/>
  <c r="AC219"/>
  <c r="AC225"/>
  <c r="AC248"/>
  <c r="AC253"/>
  <c r="AC156"/>
  <c r="AE183" i="16"/>
  <c r="AE366"/>
  <c r="AE367"/>
  <c r="AE369"/>
  <c r="AE371"/>
  <c r="AE373"/>
  <c r="AC416" i="14"/>
  <c r="AC174"/>
  <c r="AE424" i="16"/>
  <c r="AE425"/>
  <c r="AE430"/>
  <c r="AE139"/>
  <c r="AE211"/>
  <c r="AE229"/>
  <c r="AE246"/>
  <c r="AE267"/>
  <c r="AE268"/>
  <c r="AE289"/>
  <c r="AE296"/>
  <c r="AE297"/>
  <c r="AE298"/>
  <c r="AE299"/>
  <c r="AE300"/>
  <c r="AM100" i="1"/>
  <c r="BL100" i="2" s="1"/>
  <c r="BS100" s="1"/>
  <c r="BU100" s="1"/>
  <c r="AM289" i="1"/>
  <c r="AE252" i="16"/>
  <c r="BL425" i="2"/>
  <c r="BS425" s="1"/>
  <c r="BU425" s="1"/>
  <c r="AA90" i="26"/>
  <c r="BV90" i="25" s="1"/>
  <c r="AA92" i="26"/>
  <c r="BV92" i="25" s="1"/>
  <c r="AA94" i="26"/>
  <c r="AA96"/>
  <c r="AA98"/>
  <c r="AA104"/>
  <c r="AA106"/>
  <c r="BU206" i="2"/>
  <c r="AC120" i="14"/>
  <c r="AC135"/>
  <c r="AE134" i="16"/>
  <c r="AE328"/>
  <c r="AE380"/>
  <c r="AE382"/>
  <c r="AE390"/>
  <c r="AE416"/>
  <c r="AY393" i="17"/>
  <c r="BC393" s="1"/>
  <c r="BE393" s="1"/>
  <c r="AY220"/>
  <c r="BC220" s="1"/>
  <c r="BE220" s="1"/>
  <c r="AY211"/>
  <c r="BC211" s="1"/>
  <c r="BE211" s="1"/>
  <c r="AY201"/>
  <c r="BC201" s="1"/>
  <c r="BE201" s="1"/>
  <c r="AY291"/>
  <c r="BC291" s="1"/>
  <c r="BE291" s="1"/>
  <c r="AY210"/>
  <c r="BC210" s="1"/>
  <c r="BE210" s="1"/>
  <c r="AY110"/>
  <c r="BC110" s="1"/>
  <c r="BE110" s="1"/>
  <c r="AE95" i="16"/>
  <c r="AE98"/>
  <c r="AE111"/>
  <c r="AE123"/>
  <c r="AE131"/>
  <c r="AE159"/>
  <c r="AM133" i="1"/>
  <c r="BL133" i="2" s="1"/>
  <c r="BS133" s="1"/>
  <c r="BU133" s="1"/>
  <c r="AM312" i="1"/>
  <c r="BL312" i="2" s="1"/>
  <c r="BS312" s="1"/>
  <c r="BU312" s="1"/>
  <c r="AM314" i="1"/>
  <c r="BL314" i="2" s="1"/>
  <c r="BS314" s="1"/>
  <c r="BU314" s="1"/>
  <c r="AM316" i="1"/>
  <c r="BL316" i="2" s="1"/>
  <c r="BS316" s="1"/>
  <c r="BU316" s="1"/>
  <c r="AM318" i="1"/>
  <c r="BL318" i="2" s="1"/>
  <c r="BS318" s="1"/>
  <c r="BU318" s="1"/>
  <c r="AI419" i="15"/>
  <c r="AY419" i="17" s="1"/>
  <c r="BC419" s="1"/>
  <c r="BE419" s="1"/>
  <c r="AI406" i="15"/>
  <c r="AY336" i="17"/>
  <c r="BC336" s="1"/>
  <c r="BE336" s="1"/>
  <c r="AY334"/>
  <c r="BC334" s="1"/>
  <c r="BE334" s="1"/>
  <c r="AY320"/>
  <c r="BC320" s="1"/>
  <c r="BE320" s="1"/>
  <c r="AI318" i="15"/>
  <c r="AY318" i="17" s="1"/>
  <c r="BC318" s="1"/>
  <c r="BE318" s="1"/>
  <c r="AI317" i="15"/>
  <c r="AY317" i="17" s="1"/>
  <c r="BC317" s="1"/>
  <c r="BE317" s="1"/>
  <c r="AI316" i="15"/>
  <c r="AY316" i="17" s="1"/>
  <c r="BC316" s="1"/>
  <c r="BE316" s="1"/>
  <c r="AI315" i="15"/>
  <c r="AY315" i="17" s="1"/>
  <c r="BC315" s="1"/>
  <c r="BE315" s="1"/>
  <c r="AI314" i="15"/>
  <c r="AY314" i="17" s="1"/>
  <c r="BC314" s="1"/>
  <c r="BE314" s="1"/>
  <c r="AI311" i="15"/>
  <c r="AY311" i="17" s="1"/>
  <c r="BC311" s="1"/>
  <c r="BE311" s="1"/>
  <c r="AI300" i="15"/>
  <c r="AY300" i="17" s="1"/>
  <c r="BC300" s="1"/>
  <c r="BE300" s="1"/>
  <c r="AI299" i="15"/>
  <c r="AY299" i="17" s="1"/>
  <c r="BC299" s="1"/>
  <c r="BE299" s="1"/>
  <c r="AI289" i="15"/>
  <c r="AY289" i="17" s="1"/>
  <c r="BC289" s="1"/>
  <c r="BE289" s="1"/>
  <c r="AI251" i="15"/>
  <c r="AY251" i="17" s="1"/>
  <c r="BC251" s="1"/>
  <c r="BE251" s="1"/>
  <c r="AI246" i="15"/>
  <c r="AI245"/>
  <c r="AY245" i="17" s="1"/>
  <c r="BC245" s="1"/>
  <c r="BE245" s="1"/>
  <c r="AI241" i="15"/>
  <c r="AY241" i="17" s="1"/>
  <c r="BC241" s="1"/>
  <c r="BE241" s="1"/>
  <c r="AI239" i="15"/>
  <c r="AI236"/>
  <c r="AY236" i="17" s="1"/>
  <c r="BC236" s="1"/>
  <c r="BE236" s="1"/>
  <c r="AI235" i="15"/>
  <c r="AY235" i="17" s="1"/>
  <c r="BC235" s="1"/>
  <c r="BE235" s="1"/>
  <c r="AI233" i="15"/>
  <c r="AY233" i="17" s="1"/>
  <c r="BC233" s="1"/>
  <c r="BE233" s="1"/>
  <c r="AI229" i="15"/>
  <c r="AY229" i="17" s="1"/>
  <c r="BC229" s="1"/>
  <c r="BE229" s="1"/>
  <c r="AI228" i="15"/>
  <c r="AY228" i="17" s="1"/>
  <c r="BC228" s="1"/>
  <c r="BE228" s="1"/>
  <c r="AI227" i="15"/>
  <c r="AY227" i="17" s="1"/>
  <c r="BC227" s="1"/>
  <c r="BE227" s="1"/>
  <c r="AI226" i="15"/>
  <c r="AY226" i="17" s="1"/>
  <c r="BC226" s="1"/>
  <c r="BE226" s="1"/>
  <c r="AI218" i="15"/>
  <c r="AY218" i="17" s="1"/>
  <c r="BC218" s="1"/>
  <c r="BE218" s="1"/>
  <c r="AI216" i="15"/>
  <c r="AY216" i="17" s="1"/>
  <c r="BC216" s="1"/>
  <c r="BE216" s="1"/>
  <c r="AI197" i="15"/>
  <c r="AY197" i="17" s="1"/>
  <c r="BC197" s="1"/>
  <c r="BE197" s="1"/>
  <c r="AI195" i="15"/>
  <c r="AY195" i="17" s="1"/>
  <c r="BC195" s="1"/>
  <c r="BE195" s="1"/>
  <c r="AI182" i="15"/>
  <c r="AY182" i="17" s="1"/>
  <c r="BC182" s="1"/>
  <c r="BE182" s="1"/>
  <c r="AI150" i="15"/>
  <c r="AY150" i="17" s="1"/>
  <c r="BC150" s="1"/>
  <c r="BE150" s="1"/>
  <c r="AI135" i="15"/>
  <c r="AY135" i="17" s="1"/>
  <c r="BC135" s="1"/>
  <c r="BE135" s="1"/>
  <c r="AI134" i="15"/>
  <c r="AY134" i="17" s="1"/>
  <c r="BC134" s="1"/>
  <c r="BE134" s="1"/>
  <c r="AI131" i="15"/>
  <c r="AY131" i="17" s="1"/>
  <c r="BC131" s="1"/>
  <c r="BE131" s="1"/>
  <c r="AI103" i="15"/>
  <c r="AY103" i="17" s="1"/>
  <c r="BC103" s="1"/>
  <c r="BE103" s="1"/>
  <c r="AI94" i="15"/>
  <c r="AY239" i="17"/>
  <c r="BC239" s="1"/>
  <c r="BE239" s="1"/>
  <c r="AY232"/>
  <c r="BC232" s="1"/>
  <c r="BE232" s="1"/>
  <c r="AY200"/>
  <c r="BC200" s="1"/>
  <c r="BE200" s="1"/>
  <c r="AY198"/>
  <c r="BC198" s="1"/>
  <c r="BE198" s="1"/>
  <c r="AE386" i="16"/>
  <c r="AE391"/>
  <c r="BL394" i="2"/>
  <c r="BS394" s="1"/>
  <c r="BU394" s="1"/>
  <c r="BL395"/>
  <c r="BS395" s="1"/>
  <c r="BU395" s="1"/>
  <c r="AM98" i="1"/>
  <c r="BL98" i="2" s="1"/>
  <c r="BS98" s="1"/>
  <c r="BU98" s="1"/>
  <c r="BL159"/>
  <c r="BS159" s="1"/>
  <c r="BU159" s="1"/>
  <c r="AM417" i="1"/>
  <c r="BL417" i="2" s="1"/>
  <c r="BS417" s="1"/>
  <c r="BU417" s="1"/>
  <c r="AM288" i="1"/>
  <c r="BL288" i="2" s="1"/>
  <c r="BS288" s="1"/>
  <c r="BU288" s="1"/>
  <c r="AM297" i="1"/>
  <c r="BL297" i="2" s="1"/>
  <c r="BS297" s="1"/>
  <c r="BU297" s="1"/>
  <c r="AM299" i="1"/>
  <c r="BL299" i="2" s="1"/>
  <c r="BS299" s="1"/>
  <c r="BU299" s="1"/>
  <c r="AM301" i="1"/>
  <c r="BL301" i="2" s="1"/>
  <c r="BS301" s="1"/>
  <c r="BU301" s="1"/>
  <c r="AM303" i="1"/>
  <c r="AM255"/>
  <c r="BL255" i="2" s="1"/>
  <c r="BS255" s="1"/>
  <c r="BU255" s="1"/>
  <c r="AM268" i="1"/>
  <c r="BL268" i="2" s="1"/>
  <c r="BS268" s="1"/>
  <c r="BU268" s="1"/>
  <c r="AI415" i="15"/>
  <c r="AY415" i="17" s="1"/>
  <c r="BC415" s="1"/>
  <c r="BE415" s="1"/>
  <c r="AI412" i="15"/>
  <c r="AY412" i="17" s="1"/>
  <c r="BC412" s="1"/>
  <c r="BE412" s="1"/>
  <c r="BC380"/>
  <c r="BE380" s="1"/>
  <c r="AY371"/>
  <c r="BC371" s="1"/>
  <c r="BE371" s="1"/>
  <c r="AY370"/>
  <c r="BC370" s="1"/>
  <c r="BE370" s="1"/>
  <c r="AY358"/>
  <c r="BC358" s="1"/>
  <c r="BE358" s="1"/>
  <c r="AY355"/>
  <c r="BC355" s="1"/>
  <c r="BE355" s="1"/>
  <c r="AY354"/>
  <c r="BC354" s="1"/>
  <c r="BE354" s="1"/>
  <c r="AY352"/>
  <c r="BC352" s="1"/>
  <c r="BE352" s="1"/>
  <c r="AY351"/>
  <c r="BC351" s="1"/>
  <c r="BE351" s="1"/>
  <c r="AY349"/>
  <c r="BC349" s="1"/>
  <c r="BE349" s="1"/>
  <c r="AY344"/>
  <c r="BC344" s="1"/>
  <c r="BE344" s="1"/>
  <c r="AI189" i="15"/>
  <c r="AY189" i="17" s="1"/>
  <c r="BC189" s="1"/>
  <c r="BE189" s="1"/>
  <c r="AC162" i="26"/>
  <c r="AC164"/>
  <c r="AC166"/>
  <c r="AC211"/>
  <c r="AC213"/>
  <c r="AC157"/>
  <c r="AC267"/>
  <c r="AC263"/>
  <c r="AC264"/>
  <c r="AC269"/>
  <c r="BL190" i="2"/>
  <c r="BS190" s="1"/>
  <c r="BU190" s="1"/>
  <c r="BL193"/>
  <c r="BS193" s="1"/>
  <c r="BU193" s="1"/>
  <c r="BL375"/>
  <c r="BS375" s="1"/>
  <c r="BU375" s="1"/>
  <c r="AM234" i="1"/>
  <c r="AM244"/>
  <c r="BL244" i="2" s="1"/>
  <c r="BS244" s="1"/>
  <c r="BU244" s="1"/>
  <c r="AM246" i="1"/>
  <c r="BL246" i="2" s="1"/>
  <c r="BS246" s="1"/>
  <c r="BU246" s="1"/>
  <c r="AM236" i="1"/>
  <c r="BL236" i="2" s="1"/>
  <c r="BS236" s="1"/>
  <c r="BU236" s="1"/>
  <c r="AY429" i="17"/>
  <c r="BC429" s="1"/>
  <c r="BE429" s="1"/>
  <c r="AY413"/>
  <c r="BC413" s="1"/>
  <c r="BE413" s="1"/>
  <c r="BC379"/>
  <c r="BE379" s="1"/>
  <c r="AY94"/>
  <c r="BC94" s="1"/>
  <c r="BE94" s="1"/>
  <c r="AI151" i="15"/>
  <c r="AI138"/>
  <c r="AY138" i="17" s="1"/>
  <c r="BC138" s="1"/>
  <c r="BE138" s="1"/>
  <c r="AI92" i="15"/>
  <c r="AY92" i="17" s="1"/>
  <c r="BC92" s="1"/>
  <c r="BE92" s="1"/>
  <c r="BL360" i="2"/>
  <c r="BS360" s="1"/>
  <c r="BU360" s="1"/>
  <c r="BL162"/>
  <c r="BS162" s="1"/>
  <c r="BU162" s="1"/>
  <c r="BL430"/>
  <c r="BS430" s="1"/>
  <c r="BU430" s="1"/>
  <c r="AM108" i="1"/>
  <c r="BL108" i="2" s="1"/>
  <c r="BS108" s="1"/>
  <c r="BU108" s="1"/>
  <c r="AM134" i="1"/>
  <c r="BL134" i="2" s="1"/>
  <c r="BS134" s="1"/>
  <c r="BU134" s="1"/>
  <c r="AM135" i="1"/>
  <c r="BL135" i="2" s="1"/>
  <c r="BS135" s="1"/>
  <c r="BU135" s="1"/>
  <c r="AM220" i="1"/>
  <c r="BL220" i="2" s="1"/>
  <c r="BS220" s="1"/>
  <c r="BU220" s="1"/>
  <c r="BL399"/>
  <c r="BS399" s="1"/>
  <c r="BU399" s="1"/>
  <c r="AM410" i="1"/>
  <c r="AM95"/>
  <c r="BL95" i="2" s="1"/>
  <c r="BS95" s="1"/>
  <c r="BU95" s="1"/>
  <c r="AM286" i="1"/>
  <c r="AM287"/>
  <c r="BL287" i="2" s="1"/>
  <c r="BS287" s="1"/>
  <c r="BU287" s="1"/>
  <c r="AM290" i="1"/>
  <c r="BL290" i="2" s="1"/>
  <c r="BS290" s="1"/>
  <c r="BU290" s="1"/>
  <c r="AM292" i="1"/>
  <c r="BL292" i="2" s="1"/>
  <c r="BS292" s="1"/>
  <c r="BU292" s="1"/>
  <c r="AM294" i="1"/>
  <c r="BL294" i="2" s="1"/>
  <c r="BS294" s="1"/>
  <c r="BU294" s="1"/>
  <c r="AM298" i="1"/>
  <c r="BL298" i="2" s="1"/>
  <c r="BS298" s="1"/>
  <c r="BU298" s="1"/>
  <c r="AM300" i="1"/>
  <c r="AM302"/>
  <c r="BL302" i="2" s="1"/>
  <c r="BS302" s="1"/>
  <c r="BU302" s="1"/>
  <c r="AM309" i="1"/>
  <c r="AM319"/>
  <c r="BL319" i="2" s="1"/>
  <c r="BS319" s="1"/>
  <c r="BU319" s="1"/>
  <c r="AM184" i="1"/>
  <c r="BL184" i="2" s="1"/>
  <c r="BS184" s="1"/>
  <c r="BU184" s="1"/>
  <c r="AM187" i="1"/>
  <c r="AM189"/>
  <c r="BL189" i="2" s="1"/>
  <c r="BS189" s="1"/>
  <c r="BU189" s="1"/>
  <c r="AM191" i="1"/>
  <c r="AM197"/>
  <c r="AM241"/>
  <c r="BL241" i="2" s="1"/>
  <c r="BS241" s="1"/>
  <c r="BU241" s="1"/>
  <c r="AM267" i="1"/>
  <c r="BL267" i="2" s="1"/>
  <c r="BS267" s="1"/>
  <c r="BU267" s="1"/>
  <c r="AE184" i="16"/>
  <c r="AE202"/>
  <c r="AE212"/>
  <c r="AE241"/>
  <c r="AE322"/>
  <c r="AE333"/>
  <c r="AE340"/>
  <c r="AE347"/>
  <c r="AE355"/>
  <c r="AE359"/>
  <c r="AE363"/>
  <c r="AE396"/>
  <c r="AE404"/>
  <c r="AE408"/>
  <c r="AE412"/>
  <c r="AE421"/>
  <c r="AC430" i="26"/>
  <c r="AA112"/>
  <c r="BL429" i="2"/>
  <c r="BS429" s="1"/>
  <c r="BU429" s="1"/>
  <c r="BL372"/>
  <c r="BS372" s="1"/>
  <c r="BU372" s="1"/>
  <c r="AC358" i="14"/>
  <c r="AC90" i="26"/>
  <c r="AC92"/>
  <c r="AC94"/>
  <c r="AC96"/>
  <c r="AC100"/>
  <c r="AC102"/>
  <c r="AC104"/>
  <c r="AC106"/>
  <c r="AC108"/>
  <c r="AC110"/>
  <c r="AC112"/>
  <c r="AC114"/>
  <c r="AC117"/>
  <c r="AC119"/>
  <c r="AC121"/>
  <c r="AC124"/>
  <c r="AC128"/>
  <c r="AC130"/>
  <c r="AC132"/>
  <c r="AC134"/>
  <c r="AC136"/>
  <c r="AC138"/>
  <c r="AC141"/>
  <c r="AC158"/>
  <c r="AC217"/>
  <c r="AC219"/>
  <c r="AC221"/>
  <c r="AC227"/>
  <c r="AC229"/>
  <c r="AC231"/>
  <c r="AC235"/>
  <c r="AC237"/>
  <c r="AC239"/>
  <c r="AC241"/>
  <c r="AC243"/>
  <c r="AC245"/>
  <c r="AC247"/>
  <c r="AC249"/>
  <c r="AC251"/>
  <c r="AC253"/>
  <c r="AC277"/>
  <c r="AC279"/>
  <c r="AC425"/>
  <c r="AC143" i="14"/>
  <c r="AC246"/>
  <c r="AC254"/>
  <c r="AC291"/>
  <c r="AC296"/>
  <c r="AY340" i="17"/>
  <c r="BC340" s="1"/>
  <c r="BE340" s="1"/>
  <c r="AI165" i="15"/>
  <c r="AY165" i="17" s="1"/>
  <c r="BC165" s="1"/>
  <c r="BE165" s="1"/>
  <c r="AI292" i="15"/>
  <c r="AY292" i="17" s="1"/>
  <c r="BC292" s="1"/>
  <c r="BE292" s="1"/>
  <c r="AE125" i="16"/>
  <c r="AE149"/>
  <c r="AE166"/>
  <c r="AE198"/>
  <c r="AE207"/>
  <c r="AE216"/>
  <c r="AE228"/>
  <c r="AE245"/>
  <c r="AE320"/>
  <c r="AE326"/>
  <c r="AE331"/>
  <c r="AE338"/>
  <c r="AE345"/>
  <c r="AE349"/>
  <c r="AE353"/>
  <c r="AE357"/>
  <c r="AE361"/>
  <c r="AE378"/>
  <c r="AE384"/>
  <c r="AE388"/>
  <c r="AC292" i="14"/>
  <c r="AC290"/>
  <c r="AY290" i="17"/>
  <c r="BC290" s="1"/>
  <c r="BE290" s="1"/>
  <c r="BL289" i="2"/>
  <c r="BS289" s="1"/>
  <c r="BU289" s="1"/>
  <c r="AC289" i="14"/>
  <c r="AC288"/>
  <c r="BL285" i="2"/>
  <c r="BS285" s="1"/>
  <c r="BU285" s="1"/>
  <c r="AE394" i="16"/>
  <c r="AE398"/>
  <c r="AE402"/>
  <c r="AE406"/>
  <c r="AE410"/>
  <c r="AE414"/>
  <c r="AE419"/>
  <c r="AE232"/>
  <c r="AC265" i="26"/>
  <c r="BL237" i="25"/>
  <c r="BT237" s="1"/>
  <c r="BV237" s="1"/>
  <c r="BL143" i="2"/>
  <c r="BS143" s="1"/>
  <c r="BU143" s="1"/>
  <c r="AM112" i="1"/>
  <c r="BL112" i="2" s="1"/>
  <c r="BS112" s="1"/>
  <c r="BU112" s="1"/>
  <c r="AM129" i="1"/>
  <c r="AM131"/>
  <c r="AM163"/>
  <c r="BL163" i="2" s="1"/>
  <c r="BS163" s="1"/>
  <c r="BU163" s="1"/>
  <c r="BL168"/>
  <c r="BS168" s="1"/>
  <c r="BU168" s="1"/>
  <c r="AM231" i="1"/>
  <c r="BL231" i="2" s="1"/>
  <c r="BS231" s="1"/>
  <c r="BU231" s="1"/>
  <c r="AM275" i="1"/>
  <c r="BL275" i="2" s="1"/>
  <c r="BS275" s="1"/>
  <c r="BU275" s="1"/>
  <c r="AM278" i="1"/>
  <c r="BL278" i="2" s="1"/>
  <c r="BS278" s="1"/>
  <c r="BU278" s="1"/>
  <c r="AM280" i="1"/>
  <c r="AC238" i="14"/>
  <c r="AC252"/>
  <c r="AC338"/>
  <c r="AC350"/>
  <c r="AC354"/>
  <c r="AC356"/>
  <c r="AC357"/>
  <c r="AC417"/>
  <c r="AC282"/>
  <c r="AC287"/>
  <c r="BU185" i="2"/>
  <c r="AC259" i="14"/>
  <c r="AC264"/>
  <c r="AY402" i="17"/>
  <c r="BC402" s="1"/>
  <c r="BE402" s="1"/>
  <c r="AY253"/>
  <c r="BC253" s="1"/>
  <c r="BE253" s="1"/>
  <c r="AE114" i="16"/>
  <c r="AE156"/>
  <c r="AE170"/>
  <c r="AE191"/>
  <c r="AE280"/>
  <c r="AE281"/>
  <c r="AE282"/>
  <c r="AE286"/>
  <c r="AC281" i="26"/>
  <c r="AC279" i="14"/>
  <c r="AY279" i="17"/>
  <c r="BC279" s="1"/>
  <c r="BE279" s="1"/>
  <c r="AI276" i="15"/>
  <c r="AY276" i="17" s="1"/>
  <c r="BC276" s="1"/>
  <c r="BE276" s="1"/>
  <c r="AE265" i="16"/>
  <c r="AC268" i="14"/>
  <c r="AC266" i="26"/>
  <c r="AC260" i="14"/>
  <c r="AI259" i="15"/>
  <c r="AY259" i="17" s="1"/>
  <c r="BC259" s="1"/>
  <c r="BE259" s="1"/>
  <c r="AE250" i="16"/>
  <c r="AE249"/>
  <c r="AM248" i="1"/>
  <c r="BL248" i="2" s="1"/>
  <c r="BS248" s="1"/>
  <c r="BU248" s="1"/>
  <c r="AY246" i="17"/>
  <c r="BC246" s="1"/>
  <c r="BE246" s="1"/>
  <c r="AC244" i="26"/>
  <c r="AC244" i="14"/>
  <c r="AC243"/>
  <c r="AC241"/>
  <c r="AC242"/>
  <c r="BL185" i="25"/>
  <c r="BT185" s="1"/>
  <c r="BV185" s="1"/>
  <c r="BL204"/>
  <c r="BT204" s="1"/>
  <c r="BV204" s="1"/>
  <c r="AC240" i="14"/>
  <c r="AM235" i="1"/>
  <c r="BL235" i="2" s="1"/>
  <c r="BS235" s="1"/>
  <c r="BU235" s="1"/>
  <c r="AC233" i="14"/>
  <c r="AC232"/>
  <c r="AC231"/>
  <c r="AC225" i="26"/>
  <c r="AC224" i="14"/>
  <c r="AC223" i="26"/>
  <c r="AC215" i="14"/>
  <c r="AI215" i="15"/>
  <c r="AY215" i="17" s="1"/>
  <c r="BC215" s="1"/>
  <c r="BE215" s="1"/>
  <c r="AM150" i="1"/>
  <c r="BL150" i="2" s="1"/>
  <c r="BS150" s="1"/>
  <c r="BU150" s="1"/>
  <c r="AM154" i="1"/>
  <c r="BL154" i="2" s="1"/>
  <c r="BS154" s="1"/>
  <c r="BU154" s="1"/>
  <c r="AM204" i="1"/>
  <c r="BL204" i="2" s="1"/>
  <c r="BS204" s="1"/>
  <c r="BU204" s="1"/>
  <c r="BL196"/>
  <c r="BS196" s="1"/>
  <c r="BU196" s="1"/>
  <c r="BU148"/>
  <c r="BL146"/>
  <c r="BS146" s="1"/>
  <c r="BU146" s="1"/>
  <c r="AM186" i="1"/>
  <c r="BL186" i="2" s="1"/>
  <c r="BS186" s="1"/>
  <c r="BU186" s="1"/>
  <c r="AM155" i="1"/>
  <c r="BL155" i="2" s="1"/>
  <c r="BS155" s="1"/>
  <c r="BU155" s="1"/>
  <c r="AM166" i="1"/>
  <c r="BL166" i="2" s="1"/>
  <c r="BS166" s="1"/>
  <c r="BU166" s="1"/>
  <c r="BL332"/>
  <c r="BS332" s="1"/>
  <c r="BU332" s="1"/>
  <c r="BL338"/>
  <c r="BS338" s="1"/>
  <c r="BU338" s="1"/>
  <c r="BL340"/>
  <c r="BS340" s="1"/>
  <c r="BU340" s="1"/>
  <c r="BL344"/>
  <c r="BS344" s="1"/>
  <c r="BU344" s="1"/>
  <c r="BL346"/>
  <c r="BS346" s="1"/>
  <c r="BU346" s="1"/>
  <c r="BL391"/>
  <c r="BS391" s="1"/>
  <c r="BU391" s="1"/>
  <c r="BL393"/>
  <c r="BS393" s="1"/>
  <c r="BU393" s="1"/>
  <c r="BL322"/>
  <c r="BS322" s="1"/>
  <c r="BU322" s="1"/>
  <c r="AY406" i="17"/>
  <c r="BC406" s="1"/>
  <c r="BE406" s="1"/>
  <c r="BL207" i="2"/>
  <c r="BS207" s="1"/>
  <c r="BU207" s="1"/>
  <c r="AC105" i="14"/>
  <c r="AC124"/>
  <c r="AC216"/>
  <c r="AC220"/>
  <c r="AC222"/>
  <c r="AC328"/>
  <c r="AC333"/>
  <c r="AC334"/>
  <c r="AC336"/>
  <c r="AC337"/>
  <c r="AC408"/>
  <c r="AC412"/>
  <c r="AC413"/>
  <c r="AC414"/>
  <c r="AC415"/>
  <c r="AC422"/>
  <c r="AC424"/>
  <c r="AY206" i="17"/>
  <c r="BC206" s="1"/>
  <c r="BE206" s="1"/>
  <c r="AC195" i="14"/>
  <c r="AI310" i="15"/>
  <c r="AY310" i="17" s="1"/>
  <c r="BC310" s="1"/>
  <c r="BE310" s="1"/>
  <c r="AI309" i="15"/>
  <c r="AY309" i="17" s="1"/>
  <c r="BC309" s="1"/>
  <c r="BE309" s="1"/>
  <c r="AI308" i="15"/>
  <c r="AY308" i="17" s="1"/>
  <c r="BC308" s="1"/>
  <c r="BE308" s="1"/>
  <c r="AI303" i="15"/>
  <c r="AY303" i="17" s="1"/>
  <c r="BC303" s="1"/>
  <c r="BE303" s="1"/>
  <c r="AI112" i="15"/>
  <c r="AY112" i="17" s="1"/>
  <c r="BC112" s="1"/>
  <c r="BE112" s="1"/>
  <c r="AI420" i="15"/>
  <c r="AY420" i="17" s="1"/>
  <c r="BC420" s="1"/>
  <c r="BE420" s="1"/>
  <c r="AI417" i="15"/>
  <c r="AY417" i="17" s="1"/>
  <c r="BC417" s="1"/>
  <c r="BE417" s="1"/>
  <c r="AI416" i="15"/>
  <c r="AY416" i="17" s="1"/>
  <c r="BC416" s="1"/>
  <c r="BE416" s="1"/>
  <c r="AI411" i="15"/>
  <c r="AY411" i="17" s="1"/>
  <c r="BC411" s="1"/>
  <c r="BE411" s="1"/>
  <c r="AI410" i="15"/>
  <c r="AY410" i="17" s="1"/>
  <c r="BC410" s="1"/>
  <c r="BE410" s="1"/>
  <c r="AY403"/>
  <c r="BC403" s="1"/>
  <c r="BE403" s="1"/>
  <c r="AY401"/>
  <c r="BC401" s="1"/>
  <c r="BE401" s="1"/>
  <c r="AY400"/>
  <c r="BC400" s="1"/>
  <c r="BE400" s="1"/>
  <c r="AY399"/>
  <c r="BC399" s="1"/>
  <c r="BE399" s="1"/>
  <c r="AY395"/>
  <c r="BC395" s="1"/>
  <c r="BE395" s="1"/>
  <c r="AY391"/>
  <c r="BC391" s="1"/>
  <c r="BE391" s="1"/>
  <c r="BC389"/>
  <c r="BE389" s="1"/>
  <c r="AY388"/>
  <c r="BC388" s="1"/>
  <c r="BE388" s="1"/>
  <c r="AY387"/>
  <c r="BC387" s="1"/>
  <c r="BE387" s="1"/>
  <c r="AY386"/>
  <c r="BC386" s="1"/>
  <c r="BE386" s="1"/>
  <c r="AY385"/>
  <c r="BC385" s="1"/>
  <c r="BE385" s="1"/>
  <c r="BC382"/>
  <c r="BE382" s="1"/>
  <c r="BC378"/>
  <c r="BE378" s="1"/>
  <c r="AY374"/>
  <c r="BC374" s="1"/>
  <c r="BE374" s="1"/>
  <c r="AY373"/>
  <c r="BC373" s="1"/>
  <c r="BE373" s="1"/>
  <c r="AY368"/>
  <c r="BC368" s="1"/>
  <c r="BE368" s="1"/>
  <c r="AY366"/>
  <c r="BC366" s="1"/>
  <c r="BE366" s="1"/>
  <c r="BC190"/>
  <c r="BE190" s="1"/>
  <c r="AE247" i="16"/>
  <c r="AE254"/>
  <c r="AM182" i="1"/>
  <c r="BL182" i="2" s="1"/>
  <c r="BS182" s="1"/>
  <c r="BU182" s="1"/>
  <c r="AC180" i="14"/>
  <c r="AY180" i="17"/>
  <c r="BC180" s="1"/>
  <c r="BE180" s="1"/>
  <c r="AI175" i="15"/>
  <c r="AC174" i="26"/>
  <c r="AI174" i="15"/>
  <c r="AY174" i="17" s="1"/>
  <c r="BC174" s="1"/>
  <c r="BE174" s="1"/>
  <c r="AC170" i="14"/>
  <c r="AI170" i="15"/>
  <c r="AY170" i="17" s="1"/>
  <c r="BC170" s="1"/>
  <c r="BE170" s="1"/>
  <c r="AI169" i="15"/>
  <c r="AY169" i="17" s="1"/>
  <c r="BC169" s="1"/>
  <c r="BE169" s="1"/>
  <c r="AC166" i="14"/>
  <c r="AI166" i="15"/>
  <c r="AY166" i="17" s="1"/>
  <c r="BC166" s="1"/>
  <c r="BE166" s="1"/>
  <c r="AM165" i="1"/>
  <c r="BL165" i="2" s="1"/>
  <c r="BS165" s="1"/>
  <c r="BU165" s="1"/>
  <c r="AM164" i="1"/>
  <c r="BL164" i="2" s="1"/>
  <c r="BS164" s="1"/>
  <c r="BU164" s="1"/>
  <c r="AI164" i="15"/>
  <c r="AY164" i="17" s="1"/>
  <c r="BC164" s="1"/>
  <c r="BE164" s="1"/>
  <c r="AC163" i="14"/>
  <c r="AC162"/>
  <c r="AC161"/>
  <c r="AI161" i="15"/>
  <c r="AY161" i="17" s="1"/>
  <c r="BC161" s="1"/>
  <c r="BE161" s="1"/>
  <c r="AC206" i="26"/>
  <c r="AI159" i="15"/>
  <c r="AY159" i="17" s="1"/>
  <c r="BC159" s="1"/>
  <c r="BE159" s="1"/>
  <c r="AM158" i="1"/>
  <c r="AI158" i="15"/>
  <c r="AY158" i="17" s="1"/>
  <c r="BC158" s="1"/>
  <c r="BE158" s="1"/>
  <c r="AI157" i="15"/>
  <c r="AY157" i="17" s="1"/>
  <c r="BC157" s="1"/>
  <c r="BE157" s="1"/>
  <c r="AI155" i="15"/>
  <c r="AY155" i="17" s="1"/>
  <c r="BC155" s="1"/>
  <c r="BE155" s="1"/>
  <c r="AI154" i="15"/>
  <c r="AY154" i="17" s="1"/>
  <c r="BC154" s="1"/>
  <c r="BE154" s="1"/>
  <c r="AY151"/>
  <c r="BC151" s="1"/>
  <c r="BE151" s="1"/>
  <c r="AY149"/>
  <c r="BC149" s="1"/>
  <c r="BE149" s="1"/>
  <c r="AC141" i="14"/>
  <c r="AY144" i="17"/>
  <c r="BC144" s="1"/>
  <c r="BE144" s="1"/>
  <c r="AM109" i="1"/>
  <c r="BL109" i="2" s="1"/>
  <c r="BS109" s="1"/>
  <c r="BU109" s="1"/>
  <c r="AM127" i="1"/>
  <c r="AM211"/>
  <c r="BL211" i="2" s="1"/>
  <c r="BS211" s="1"/>
  <c r="BU211" s="1"/>
  <c r="AM212" i="1"/>
  <c r="BL212" i="2" s="1"/>
  <c r="BS212" s="1"/>
  <c r="BU212" s="1"/>
  <c r="AM215" i="1"/>
  <c r="AM218"/>
  <c r="BL218" i="2" s="1"/>
  <c r="BS218" s="1"/>
  <c r="BU218" s="1"/>
  <c r="AM219" i="1"/>
  <c r="BL219" i="2" s="1"/>
  <c r="BS219" s="1"/>
  <c r="BU219" s="1"/>
  <c r="AM221" i="1"/>
  <c r="BL221" i="2" s="1"/>
  <c r="BS221" s="1"/>
  <c r="BU221" s="1"/>
  <c r="BL330"/>
  <c r="BS330" s="1"/>
  <c r="BU330" s="1"/>
  <c r="AM406" i="1"/>
  <c r="AM291"/>
  <c r="BL291" i="2" s="1"/>
  <c r="BS291" s="1"/>
  <c r="BU291" s="1"/>
  <c r="BL326"/>
  <c r="BS326" s="1"/>
  <c r="BU326" s="1"/>
  <c r="BL366"/>
  <c r="BS366" s="1"/>
  <c r="BU366" s="1"/>
  <c r="BL383"/>
  <c r="BS383" s="1"/>
  <c r="BU383" s="1"/>
  <c r="AE143" i="16"/>
  <c r="AC142" i="14"/>
  <c r="AY397" i="17"/>
  <c r="BC397" s="1"/>
  <c r="BE397" s="1"/>
  <c r="AY383"/>
  <c r="BC383" s="1"/>
  <c r="BE383" s="1"/>
  <c r="BC381"/>
  <c r="BE381" s="1"/>
  <c r="AY369"/>
  <c r="BC369" s="1"/>
  <c r="BE369" s="1"/>
  <c r="BL163" i="25"/>
  <c r="BT163" s="1"/>
  <c r="BV163" s="1"/>
  <c r="BL348" i="2"/>
  <c r="BS348" s="1"/>
  <c r="BU348" s="1"/>
  <c r="BS378"/>
  <c r="BU378" s="1"/>
  <c r="BS380"/>
  <c r="BU380" s="1"/>
  <c r="AM233" i="1"/>
  <c r="BL233" i="2" s="1"/>
  <c r="BS233" s="1"/>
  <c r="BU233" s="1"/>
  <c r="AM123" i="1"/>
  <c r="AM128"/>
  <c r="AM142"/>
  <c r="BL142" i="2" s="1"/>
  <c r="BS142" s="1"/>
  <c r="BU142" s="1"/>
  <c r="AM144" i="1"/>
  <c r="BL144" i="2" s="1"/>
  <c r="BS144" s="1"/>
  <c r="BU144" s="1"/>
  <c r="BL410"/>
  <c r="BS410" s="1"/>
  <c r="BU410" s="1"/>
  <c r="AM419" i="1"/>
  <c r="BL419" i="2" s="1"/>
  <c r="BS419" s="1"/>
  <c r="BU419" s="1"/>
  <c r="AM420" i="1"/>
  <c r="BL420" i="2" s="1"/>
  <c r="BS420" s="1"/>
  <c r="BU420" s="1"/>
  <c r="AM421" i="1"/>
  <c r="AM422"/>
  <c r="AM91"/>
  <c r="BL91" i="2" s="1"/>
  <c r="BS91" s="1"/>
  <c r="BU91" s="1"/>
  <c r="AM93" i="1"/>
  <c r="BL93" i="2" s="1"/>
  <c r="BS93" s="1"/>
  <c r="BU93" s="1"/>
  <c r="AM282" i="1"/>
  <c r="BL282" i="2" s="1"/>
  <c r="BS282" s="1"/>
  <c r="BU282" s="1"/>
  <c r="AM308" i="1"/>
  <c r="AM310"/>
  <c r="AM141"/>
  <c r="BL141" i="2" s="1"/>
  <c r="BS141" s="1"/>
  <c r="BU141" s="1"/>
  <c r="AM139" i="1"/>
  <c r="BL139" i="2" s="1"/>
  <c r="BS139" s="1"/>
  <c r="BU139" s="1"/>
  <c r="AC139" i="14"/>
  <c r="AI137" i="15"/>
  <c r="AI136"/>
  <c r="AY136" i="17" s="1"/>
  <c r="BC136" s="1"/>
  <c r="BE136" s="1"/>
  <c r="AC135" i="26"/>
  <c r="BL303" i="2"/>
  <c r="BS303" s="1"/>
  <c r="BU303" s="1"/>
  <c r="AM132" i="1"/>
  <c r="BL132" i="2" s="1"/>
  <c r="BS132" s="1"/>
  <c r="BU132" s="1"/>
  <c r="AC132" i="14"/>
  <c r="AI130" i="15"/>
  <c r="AY130" i="17" s="1"/>
  <c r="BC130" s="1"/>
  <c r="BE130" s="1"/>
  <c r="AI127" i="15"/>
  <c r="AY127" i="17" s="1"/>
  <c r="BC127" s="1"/>
  <c r="BE127" s="1"/>
  <c r="AC126" i="26"/>
  <c r="AI125" i="15"/>
  <c r="AY125" i="17" s="1"/>
  <c r="BC125" s="1"/>
  <c r="BE125" s="1"/>
  <c r="AC123" i="14"/>
  <c r="AI123" i="15"/>
  <c r="AM121" i="1"/>
  <c r="BL121" i="2" s="1"/>
  <c r="BS121" s="1"/>
  <c r="BU121" s="1"/>
  <c r="AC121" i="14"/>
  <c r="AM120" i="1"/>
  <c r="AC119" i="14"/>
  <c r="AM118" i="1"/>
  <c r="BL118" i="2" s="1"/>
  <c r="BS118" s="1"/>
  <c r="BU118" s="1"/>
  <c r="AC118" i="14"/>
  <c r="AI118" i="15"/>
  <c r="AY118" i="17" s="1"/>
  <c r="BC118" s="1"/>
  <c r="BE118" s="1"/>
  <c r="AM117" i="1"/>
  <c r="AM101"/>
  <c r="AC101" i="14"/>
  <c r="AM115" i="1"/>
  <c r="BL115" i="2" s="1"/>
  <c r="BS115" s="1"/>
  <c r="BU115" s="1"/>
  <c r="AE126" i="16"/>
  <c r="AE239"/>
  <c r="AE240"/>
  <c r="AE242"/>
  <c r="AE248"/>
  <c r="AE251"/>
  <c r="AE321"/>
  <c r="AE324"/>
  <c r="AE327"/>
  <c r="AE330"/>
  <c r="AE332"/>
  <c r="AE334"/>
  <c r="AE337"/>
  <c r="AE339"/>
  <c r="AE344"/>
  <c r="AE346"/>
  <c r="AE348"/>
  <c r="AE350"/>
  <c r="AE352"/>
  <c r="AE354"/>
  <c r="AE356"/>
  <c r="AE376"/>
  <c r="AE379"/>
  <c r="AE392"/>
  <c r="AE395"/>
  <c r="AE397"/>
  <c r="AE399"/>
  <c r="AE403"/>
  <c r="AE405"/>
  <c r="AE407"/>
  <c r="AE409"/>
  <c r="AE411"/>
  <c r="AE413"/>
  <c r="AE415"/>
  <c r="AE417"/>
  <c r="AE420"/>
  <c r="AM114" i="1"/>
  <c r="BL114" i="2" s="1"/>
  <c r="BS114" s="1"/>
  <c r="BU114" s="1"/>
  <c r="AC113" i="14"/>
  <c r="AM111" i="1"/>
  <c r="BL111" i="2" s="1"/>
  <c r="BS111" s="1"/>
  <c r="BU111" s="1"/>
  <c r="AM110" i="1"/>
  <c r="AM102"/>
  <c r="BL102" i="2" s="1"/>
  <c r="BS102" s="1"/>
  <c r="BU102" s="1"/>
  <c r="AC102" i="14"/>
  <c r="AE106" i="16"/>
  <c r="AM104" i="1"/>
  <c r="BL104" i="2" s="1"/>
  <c r="BS104" s="1"/>
  <c r="BU104" s="1"/>
  <c r="AC104" i="14"/>
  <c r="AC103" i="26"/>
  <c r="AM103" i="1"/>
  <c r="AC103" i="14"/>
  <c r="AI102" i="15"/>
  <c r="AY102" i="17" s="1"/>
  <c r="BC102" s="1"/>
  <c r="BE102" s="1"/>
  <c r="BL98" i="25"/>
  <c r="BT98" s="1"/>
  <c r="BV98" s="1"/>
  <c r="AC98" i="26"/>
  <c r="AC97" i="14"/>
  <c r="AE96" i="16"/>
  <c r="AM94" i="1"/>
  <c r="BL94" i="2" s="1"/>
  <c r="BS94" s="1"/>
  <c r="BU94" s="1"/>
  <c r="AM90" i="1"/>
  <c r="BL90" i="2" s="1"/>
  <c r="BS90" s="1"/>
  <c r="BU90" s="1"/>
  <c r="AE422" i="16"/>
  <c r="AM293" i="1"/>
  <c r="BL293" i="2" s="1"/>
  <c r="BS293" s="1"/>
  <c r="BU293" s="1"/>
  <c r="AC93" i="14"/>
  <c r="AC94"/>
  <c r="AC95"/>
  <c r="AC96"/>
  <c r="AC109"/>
  <c r="AC110"/>
  <c r="AC111"/>
  <c r="AC112"/>
  <c r="AC128"/>
  <c r="AC129"/>
  <c r="AC130"/>
  <c r="AC131"/>
  <c r="AC164"/>
  <c r="AC165"/>
  <c r="AC229"/>
  <c r="AC230"/>
  <c r="AC322"/>
  <c r="AC324"/>
  <c r="AC326"/>
  <c r="AC327"/>
  <c r="AC345"/>
  <c r="AC346"/>
  <c r="AC347"/>
  <c r="AC349"/>
  <c r="AC362"/>
  <c r="AC363"/>
  <c r="AC404"/>
  <c r="AC405"/>
  <c r="AC406"/>
  <c r="AC407"/>
  <c r="AM113" i="1"/>
  <c r="AM124"/>
  <c r="AM126"/>
  <c r="AM130"/>
  <c r="BL130" i="2" s="1"/>
  <c r="BS130" s="1"/>
  <c r="BU130" s="1"/>
  <c r="AM138" i="1"/>
  <c r="BL138" i="2" s="1"/>
  <c r="BS138" s="1"/>
  <c r="BU138" s="1"/>
  <c r="AM222" i="1"/>
  <c r="BL222" i="2" s="1"/>
  <c r="BS222" s="1"/>
  <c r="BU222" s="1"/>
  <c r="AM225" i="1"/>
  <c r="AM226"/>
  <c r="BL226" i="2" s="1"/>
  <c r="BS226" s="1"/>
  <c r="BU226" s="1"/>
  <c r="AM227" i="1"/>
  <c r="BL227" i="2" s="1"/>
  <c r="BS227" s="1"/>
  <c r="BU227" s="1"/>
  <c r="AM228" i="1"/>
  <c r="BL228" i="2" s="1"/>
  <c r="BS228" s="1"/>
  <c r="BU228" s="1"/>
  <c r="AM229" i="1"/>
  <c r="AM230"/>
  <c r="BL230" i="2" s="1"/>
  <c r="BS230" s="1"/>
  <c r="BU230" s="1"/>
  <c r="BL334"/>
  <c r="BS334" s="1"/>
  <c r="BU334" s="1"/>
  <c r="BL339"/>
  <c r="BS339" s="1"/>
  <c r="BU339" s="1"/>
  <c r="AM415" i="1"/>
  <c r="BL415" i="2" s="1"/>
  <c r="BS415" s="1"/>
  <c r="BU415" s="1"/>
  <c r="AM416" i="1"/>
  <c r="BL368" i="2"/>
  <c r="BS368" s="1"/>
  <c r="BU368" s="1"/>
  <c r="AM170" i="1"/>
  <c r="BL170" i="2" s="1"/>
  <c r="BS170" s="1"/>
  <c r="BU170" s="1"/>
  <c r="AM174" i="1"/>
  <c r="AM175"/>
  <c r="BL396" i="2"/>
  <c r="BS396" s="1"/>
  <c r="BU396" s="1"/>
  <c r="AM407" i="1"/>
  <c r="AM408"/>
  <c r="BL408" i="2" s="1"/>
  <c r="BS408" s="1"/>
  <c r="BU408" s="1"/>
  <c r="AM97" i="1"/>
  <c r="BL97" i="2" s="1"/>
  <c r="BS97" s="1"/>
  <c r="BU97" s="1"/>
  <c r="AC275" i="14"/>
  <c r="AC276"/>
  <c r="AC277"/>
  <c r="AC278"/>
  <c r="AM276" i="1"/>
  <c r="BL276" i="2" s="1"/>
  <c r="BS276" s="1"/>
  <c r="BU276" s="1"/>
  <c r="AM279" i="1"/>
  <c r="BL279" i="2" s="1"/>
  <c r="BS279" s="1"/>
  <c r="BU279" s="1"/>
  <c r="AM281" i="1"/>
  <c r="BL281" i="2" s="1"/>
  <c r="BS281" s="1"/>
  <c r="BU281" s="1"/>
  <c r="BL307"/>
  <c r="BS307" s="1"/>
  <c r="BU307" s="1"/>
  <c r="AM311" i="1"/>
  <c r="BL311" i="2" s="1"/>
  <c r="BS311" s="1"/>
  <c r="BU311" s="1"/>
  <c r="AM315" i="1"/>
  <c r="BL315" i="2" s="1"/>
  <c r="BS315" s="1"/>
  <c r="AM317" i="1"/>
  <c r="BL317" i="2" s="1"/>
  <c r="BS317" s="1"/>
  <c r="BU317" s="1"/>
  <c r="BL320"/>
  <c r="BS320" s="1"/>
  <c r="BU320" s="1"/>
  <c r="AM181" i="1"/>
  <c r="BL188" i="2"/>
  <c r="BS188" s="1"/>
  <c r="BU188" s="1"/>
  <c r="BL208"/>
  <c r="BS208" s="1"/>
  <c r="BU208" s="1"/>
  <c r="AM223" i="1"/>
  <c r="BL223" i="2" s="1"/>
  <c r="BS223" s="1"/>
  <c r="BU223" s="1"/>
  <c r="AM224" i="1"/>
  <c r="BL224" i="2" s="1"/>
  <c r="BS224" s="1"/>
  <c r="BU224" s="1"/>
  <c r="BL350"/>
  <c r="BS350" s="1"/>
  <c r="BU350" s="1"/>
  <c r="BL351"/>
  <c r="BS351" s="1"/>
  <c r="BU351" s="1"/>
  <c r="BL353"/>
  <c r="BS353" s="1"/>
  <c r="BU353" s="1"/>
  <c r="BL362"/>
  <c r="BS362" s="1"/>
  <c r="BU362" s="1"/>
  <c r="BL367"/>
  <c r="BS367" s="1"/>
  <c r="BU367" s="1"/>
  <c r="BL369"/>
  <c r="BS369" s="1"/>
  <c r="BU369" s="1"/>
  <c r="BL384"/>
  <c r="BS384" s="1"/>
  <c r="BU384" s="1"/>
  <c r="BL385"/>
  <c r="BS385" s="1"/>
  <c r="BU385" s="1"/>
  <c r="AM238" i="1"/>
  <c r="BL238" i="2" s="1"/>
  <c r="BS238" s="1"/>
  <c r="BU238" s="1"/>
  <c r="AM239" i="1"/>
  <c r="BL239" i="2" s="1"/>
  <c r="BS239" s="1"/>
  <c r="BU239" s="1"/>
  <c r="AM243" i="1"/>
  <c r="BL243" i="2" s="1"/>
  <c r="BS243" s="1"/>
  <c r="BU243" s="1"/>
  <c r="BL250"/>
  <c r="BS250" s="1"/>
  <c r="BU250" s="1"/>
  <c r="AM251" i="1"/>
  <c r="BL251" i="2" s="1"/>
  <c r="BS251" s="1"/>
  <c r="BU251" s="1"/>
  <c r="AM252" i="1"/>
  <c r="AM253"/>
  <c r="BL253" i="2" s="1"/>
  <c r="BS253" s="1"/>
  <c r="BU253" s="1"/>
  <c r="AY365" i="17"/>
  <c r="BC365" s="1"/>
  <c r="BE365" s="1"/>
  <c r="AY362"/>
  <c r="BC362" s="1"/>
  <c r="BE362" s="1"/>
  <c r="AY360"/>
  <c r="BC360" s="1"/>
  <c r="BE360" s="1"/>
  <c r="AY356"/>
  <c r="BC356" s="1"/>
  <c r="BE356" s="1"/>
  <c r="AY348"/>
  <c r="BC348" s="1"/>
  <c r="BE348" s="1"/>
  <c r="AY333"/>
  <c r="BC333" s="1"/>
  <c r="BE333" s="1"/>
  <c r="AI301" i="15"/>
  <c r="AY301" i="17" s="1"/>
  <c r="BC301" s="1"/>
  <c r="BE301" s="1"/>
  <c r="AI296" i="15"/>
  <c r="AI295"/>
  <c r="BC294" i="17" s="1"/>
  <c r="BE294" s="1"/>
  <c r="AI293" i="15"/>
  <c r="AY293" i="17" s="1"/>
  <c r="BC293" s="1"/>
  <c r="BE293" s="1"/>
  <c r="AI286" i="15"/>
  <c r="BL96" i="25"/>
  <c r="BT96" s="1"/>
  <c r="BV96" s="1"/>
  <c r="BL100"/>
  <c r="BT100" s="1"/>
  <c r="BV100" s="1"/>
  <c r="BL102"/>
  <c r="BT102" s="1"/>
  <c r="BV102" s="1"/>
  <c r="BL106"/>
  <c r="BT106" s="1"/>
  <c r="BV106" s="1"/>
  <c r="BL108"/>
  <c r="BT108" s="1"/>
  <c r="BV108" s="1"/>
  <c r="BL110"/>
  <c r="BT110" s="1"/>
  <c r="BV110" s="1"/>
  <c r="BL112"/>
  <c r="BT112" s="1"/>
  <c r="BL117"/>
  <c r="BT117" s="1"/>
  <c r="BV117" s="1"/>
  <c r="BL119"/>
  <c r="BT119" s="1"/>
  <c r="BV119" s="1"/>
  <c r="BL121"/>
  <c r="BT121" s="1"/>
  <c r="BV121" s="1"/>
  <c r="BL124"/>
  <c r="BT124" s="1"/>
  <c r="BV124" s="1"/>
  <c r="BL126"/>
  <c r="BT126" s="1"/>
  <c r="BV126" s="1"/>
  <c r="BL128"/>
  <c r="BT128" s="1"/>
  <c r="BV128" s="1"/>
  <c r="BL130"/>
  <c r="BT130" s="1"/>
  <c r="BV130" s="1"/>
  <c r="BL132"/>
  <c r="BT132" s="1"/>
  <c r="BV132" s="1"/>
  <c r="BL134"/>
  <c r="BT134" s="1"/>
  <c r="BV134" s="1"/>
  <c r="BL136"/>
  <c r="BT136" s="1"/>
  <c r="BV136" s="1"/>
  <c r="BL138"/>
  <c r="BT138" s="1"/>
  <c r="BV138" s="1"/>
  <c r="BL141"/>
  <c r="BT141" s="1"/>
  <c r="BV141" s="1"/>
  <c r="BL158"/>
  <c r="BT158" s="1"/>
  <c r="BV158" s="1"/>
  <c r="BL164"/>
  <c r="BT164" s="1"/>
  <c r="BV164" s="1"/>
  <c r="BL212"/>
  <c r="BT212" s="1"/>
  <c r="BV212" s="1"/>
  <c r="BL331"/>
  <c r="BT331" s="1"/>
  <c r="BV331" s="1"/>
  <c r="BL338"/>
  <c r="BT338" s="1"/>
  <c r="BV338" s="1"/>
  <c r="BL340"/>
  <c r="BT340" s="1"/>
  <c r="BV340" s="1"/>
  <c r="BL346"/>
  <c r="BT346" s="1"/>
  <c r="BV346" s="1"/>
  <c r="BL348"/>
  <c r="BT348" s="1"/>
  <c r="BV348" s="1"/>
  <c r="BL350"/>
  <c r="BT350" s="1"/>
  <c r="BV350" s="1"/>
  <c r="BL352"/>
  <c r="BT352" s="1"/>
  <c r="BV352" s="1"/>
  <c r="BL354"/>
  <c r="BT354" s="1"/>
  <c r="BV354" s="1"/>
  <c r="BL356"/>
  <c r="BT356" s="1"/>
  <c r="BV356" s="1"/>
  <c r="BL358"/>
  <c r="BT358" s="1"/>
  <c r="BV358" s="1"/>
  <c r="BL360"/>
  <c r="BT360" s="1"/>
  <c r="BV360" s="1"/>
  <c r="BL362"/>
  <c r="BT362" s="1"/>
  <c r="BV362" s="1"/>
  <c r="BL365"/>
  <c r="BT365" s="1"/>
  <c r="BV365" s="1"/>
  <c r="BL371"/>
  <c r="BT371" s="1"/>
  <c r="BV371" s="1"/>
  <c r="BL378"/>
  <c r="BT378" s="1"/>
  <c r="BV378" s="1"/>
  <c r="BL380"/>
  <c r="BT380" s="1"/>
  <c r="BV380" s="1"/>
  <c r="BL382"/>
  <c r="BT382" s="1"/>
  <c r="BV382" s="1"/>
  <c r="BL384"/>
  <c r="BT384" s="1"/>
  <c r="BV384" s="1"/>
  <c r="BL386"/>
  <c r="BT386" s="1"/>
  <c r="BV386" s="1"/>
  <c r="BL388"/>
  <c r="BT388" s="1"/>
  <c r="BV388" s="1"/>
  <c r="BL390"/>
  <c r="BT390" s="1"/>
  <c r="BV390" s="1"/>
  <c r="BL392"/>
  <c r="BT392" s="1"/>
  <c r="BV392" s="1"/>
  <c r="BL394"/>
  <c r="BT394" s="1"/>
  <c r="BV394" s="1"/>
  <c r="BL396"/>
  <c r="BT396" s="1"/>
  <c r="BV396" s="1"/>
  <c r="BL398"/>
  <c r="BT398" s="1"/>
  <c r="BV398" s="1"/>
  <c r="BL400"/>
  <c r="BT400" s="1"/>
  <c r="BV400" s="1"/>
  <c r="BL402"/>
  <c r="BT402" s="1"/>
  <c r="BV402" s="1"/>
  <c r="BL404"/>
  <c r="BT404" s="1"/>
  <c r="BV404" s="1"/>
  <c r="BL406"/>
  <c r="BT406" s="1"/>
  <c r="BV406" s="1"/>
  <c r="BT408"/>
  <c r="BV408" s="1"/>
  <c r="BT412"/>
  <c r="BV412" s="1"/>
  <c r="BT416"/>
  <c r="BV416" s="1"/>
  <c r="BL421"/>
  <c r="BT421" s="1"/>
  <c r="BV421" s="1"/>
  <c r="AI282" i="15"/>
  <c r="AY282" i="17" s="1"/>
  <c r="BC282" s="1"/>
  <c r="BE282" s="1"/>
  <c r="AI252" i="15"/>
  <c r="AY252" i="17" s="1"/>
  <c r="BC252" s="1"/>
  <c r="BE252" s="1"/>
  <c r="AI248" i="15"/>
  <c r="AY248" i="17" s="1"/>
  <c r="BC248" s="1"/>
  <c r="BE248" s="1"/>
  <c r="AI247" i="15"/>
  <c r="AY247" i="17" s="1"/>
  <c r="BC247" s="1"/>
  <c r="BE247" s="1"/>
  <c r="AI244" i="15"/>
  <c r="AY244" i="17" s="1"/>
  <c r="BC244" s="1"/>
  <c r="BE244" s="1"/>
  <c r="AI242" i="15"/>
  <c r="AY242" i="17" s="1"/>
  <c r="BC242" s="1"/>
  <c r="BE242" s="1"/>
  <c r="AY238"/>
  <c r="BC238" s="1"/>
  <c r="BE238" s="1"/>
  <c r="AI225" i="15"/>
  <c r="AY225" i="17" s="1"/>
  <c r="BC225" s="1"/>
  <c r="BE225" s="1"/>
  <c r="AI223" i="15"/>
  <c r="AY223" i="17" s="1"/>
  <c r="BC223" s="1"/>
  <c r="BE223" s="1"/>
  <c r="AI219" i="15"/>
  <c r="AY219" i="17" s="1"/>
  <c r="BC219" s="1"/>
  <c r="BE219" s="1"/>
  <c r="AY214"/>
  <c r="BC214" s="1"/>
  <c r="BE214" s="1"/>
  <c r="AI213" i="15"/>
  <c r="AY213" i="17" s="1"/>
  <c r="BC213" s="1"/>
  <c r="BE213" s="1"/>
  <c r="AI212" i="15"/>
  <c r="AY212" i="17" s="1"/>
  <c r="BC212" s="1"/>
  <c r="BE212" s="1"/>
  <c r="BL276" i="25"/>
  <c r="BT276" s="1"/>
  <c r="BV276" s="1"/>
  <c r="BL278"/>
  <c r="BL280"/>
  <c r="BT280" s="1"/>
  <c r="BV280" s="1"/>
  <c r="BL282"/>
  <c r="BT282" s="1"/>
  <c r="BV282" s="1"/>
  <c r="BL286"/>
  <c r="BT286" s="1"/>
  <c r="BV286" s="1"/>
  <c r="BL288"/>
  <c r="BL290"/>
  <c r="BT290" s="1"/>
  <c r="BV290" s="1"/>
  <c r="BL292"/>
  <c r="BT292" s="1"/>
  <c r="BV292" s="1"/>
  <c r="BL294"/>
  <c r="BT294" s="1"/>
  <c r="BV294" s="1"/>
  <c r="BL297"/>
  <c r="BT297" s="1"/>
  <c r="BV297" s="1"/>
  <c r="BL299"/>
  <c r="BT299" s="1"/>
  <c r="BV299" s="1"/>
  <c r="BL301"/>
  <c r="BT301" s="1"/>
  <c r="BV301" s="1"/>
  <c r="BL303"/>
  <c r="BT303" s="1"/>
  <c r="BV303" s="1"/>
  <c r="BL308"/>
  <c r="BT308" s="1"/>
  <c r="BV308" s="1"/>
  <c r="BL310"/>
  <c r="BT310" s="1"/>
  <c r="BV310" s="1"/>
  <c r="BL312"/>
  <c r="BT312" s="1"/>
  <c r="BV312" s="1"/>
  <c r="BL314"/>
  <c r="BT314" s="1"/>
  <c r="BV314" s="1"/>
  <c r="BL316"/>
  <c r="BT316" s="1"/>
  <c r="BV316" s="1"/>
  <c r="BL318"/>
  <c r="BT318" s="1"/>
  <c r="BV318" s="1"/>
  <c r="BL320"/>
  <c r="BT320" s="1"/>
  <c r="BV320" s="1"/>
  <c r="BL146"/>
  <c r="BT146" s="1"/>
  <c r="BV146" s="1"/>
  <c r="BL150"/>
  <c r="BT150" s="1"/>
  <c r="BV150" s="1"/>
  <c r="BL156"/>
  <c r="BT156" s="1"/>
  <c r="BV156" s="1"/>
  <c r="AI425" i="15"/>
  <c r="AY425" i="17" s="1"/>
  <c r="BC425" s="1"/>
  <c r="BE425" s="1"/>
  <c r="AI430" i="15"/>
  <c r="AY430" i="17" s="1"/>
  <c r="BC430" s="1"/>
  <c r="BE430" s="1"/>
  <c r="BL424" i="25"/>
  <c r="BT424" s="1"/>
  <c r="BV424" s="1"/>
  <c r="BL429"/>
  <c r="BT429" s="1"/>
  <c r="BV429" s="1"/>
  <c r="AC208" i="26"/>
  <c r="BL184" i="25"/>
  <c r="BT184" s="1"/>
  <c r="BV184" s="1"/>
  <c r="BL186"/>
  <c r="BT186" s="1"/>
  <c r="BV186" s="1"/>
  <c r="BL188"/>
  <c r="BT188" s="1"/>
  <c r="BV188" s="1"/>
  <c r="BL190"/>
  <c r="BT190" s="1"/>
  <c r="BV190" s="1"/>
  <c r="BL193"/>
  <c r="BT193" s="1"/>
  <c r="BV193" s="1"/>
  <c r="BL196"/>
  <c r="BT196" s="1"/>
  <c r="BV196" s="1"/>
  <c r="BL198"/>
  <c r="BT198" s="1"/>
  <c r="BV198" s="1"/>
  <c r="BL200"/>
  <c r="BT200" s="1"/>
  <c r="BV200" s="1"/>
  <c r="BL202"/>
  <c r="BT202" s="1"/>
  <c r="BV202" s="1"/>
  <c r="BL207"/>
  <c r="BT207" s="1"/>
  <c r="BV207" s="1"/>
  <c r="BL209"/>
  <c r="BT209" s="1"/>
  <c r="BV209" s="1"/>
  <c r="AE263" i="16"/>
  <c r="AE264"/>
  <c r="AC259" i="26"/>
  <c r="BL255" i="25"/>
  <c r="BT255" s="1"/>
  <c r="BV255" s="1"/>
  <c r="BL259"/>
  <c r="BT259" s="1"/>
  <c r="BV259" s="1"/>
  <c r="BL260"/>
  <c r="BT260" s="1"/>
  <c r="BV260" s="1"/>
  <c r="BL263"/>
  <c r="BT263" s="1"/>
  <c r="BV263" s="1"/>
  <c r="BL264"/>
  <c r="BT264" s="1"/>
  <c r="BV264" s="1"/>
  <c r="BL266"/>
  <c r="BT266" s="1"/>
  <c r="BV266" s="1"/>
  <c r="BL268"/>
  <c r="BT268" s="1"/>
  <c r="BV268" s="1"/>
  <c r="BL99"/>
  <c r="BT99" s="1"/>
  <c r="BV99" s="1"/>
  <c r="BL101"/>
  <c r="BT101" s="1"/>
  <c r="BV101" s="1"/>
  <c r="BL109"/>
  <c r="BT109" s="1"/>
  <c r="BV109" s="1"/>
  <c r="BL111"/>
  <c r="BT111" s="1"/>
  <c r="BV111" s="1"/>
  <c r="BL113"/>
  <c r="BT113" s="1"/>
  <c r="BV113" s="1"/>
  <c r="BL115"/>
  <c r="BT115" s="1"/>
  <c r="BV115" s="1"/>
  <c r="BL118"/>
  <c r="BT118" s="1"/>
  <c r="BV118" s="1"/>
  <c r="BL123"/>
  <c r="BT123" s="1"/>
  <c r="BV123" s="1"/>
  <c r="BL125"/>
  <c r="BT125" s="1"/>
  <c r="BV125" s="1"/>
  <c r="BL127"/>
  <c r="BT127" s="1"/>
  <c r="BV127" s="1"/>
  <c r="BL129"/>
  <c r="BT129" s="1"/>
  <c r="BV129" s="1"/>
  <c r="BL131"/>
  <c r="BT131" s="1"/>
  <c r="BV131" s="1"/>
  <c r="BL133"/>
  <c r="BT133" s="1"/>
  <c r="BV133" s="1"/>
  <c r="BL135"/>
  <c r="BT135" s="1"/>
  <c r="BV135" s="1"/>
  <c r="BL137"/>
  <c r="BT137" s="1"/>
  <c r="BV137" s="1"/>
  <c r="BL139"/>
  <c r="BT139" s="1"/>
  <c r="BV139" s="1"/>
  <c r="BL142"/>
  <c r="BT142" s="1"/>
  <c r="BV142" s="1"/>
  <c r="BL159"/>
  <c r="BT159" s="1"/>
  <c r="BV159" s="1"/>
  <c r="BL165"/>
  <c r="BT165" s="1"/>
  <c r="BV165" s="1"/>
  <c r="BL169"/>
  <c r="BT169" s="1"/>
  <c r="BV169" s="1"/>
  <c r="BL180"/>
  <c r="BT180" s="1"/>
  <c r="BV180" s="1"/>
  <c r="BL330"/>
  <c r="BT330" s="1"/>
  <c r="BV330" s="1"/>
  <c r="BL332"/>
  <c r="BT332" s="1"/>
  <c r="BV332" s="1"/>
  <c r="BL336"/>
  <c r="BT336" s="1"/>
  <c r="BV336" s="1"/>
  <c r="BL339"/>
  <c r="BT339" s="1"/>
  <c r="BV339" s="1"/>
  <c r="BL345"/>
  <c r="BT345" s="1"/>
  <c r="BV345" s="1"/>
  <c r="BL347"/>
  <c r="BT347" s="1"/>
  <c r="BV347" s="1"/>
  <c r="BL349"/>
  <c r="BT349" s="1"/>
  <c r="BV349" s="1"/>
  <c r="BL351"/>
  <c r="BT351" s="1"/>
  <c r="BV351" s="1"/>
  <c r="BL353"/>
  <c r="BT353" s="1"/>
  <c r="BV353" s="1"/>
  <c r="BL355"/>
  <c r="BT355" s="1"/>
  <c r="BV355" s="1"/>
  <c r="BL357"/>
  <c r="BT357" s="1"/>
  <c r="BV357" s="1"/>
  <c r="BL359"/>
  <c r="BT359" s="1"/>
  <c r="BV359" s="1"/>
  <c r="BL361"/>
  <c r="BT361" s="1"/>
  <c r="BV361" s="1"/>
  <c r="BL363"/>
  <c r="BT363" s="1"/>
  <c r="BV363" s="1"/>
  <c r="BL366"/>
  <c r="BT366" s="1"/>
  <c r="BV366" s="1"/>
  <c r="BL370"/>
  <c r="BT370" s="1"/>
  <c r="BV370" s="1"/>
  <c r="BL374"/>
  <c r="BT374" s="1"/>
  <c r="BV374" s="1"/>
  <c r="BL376"/>
  <c r="BT376" s="1"/>
  <c r="BV376" s="1"/>
  <c r="BL379"/>
  <c r="BT379" s="1"/>
  <c r="BV379" s="1"/>
  <c r="BL381"/>
  <c r="BT381" s="1"/>
  <c r="BV381" s="1"/>
  <c r="BL383"/>
  <c r="BT383" s="1"/>
  <c r="BV383" s="1"/>
  <c r="BL385"/>
  <c r="BT385" s="1"/>
  <c r="BV385" s="1"/>
  <c r="BL387"/>
  <c r="BT387" s="1"/>
  <c r="BV387" s="1"/>
  <c r="BL389"/>
  <c r="BT389" s="1"/>
  <c r="BV389" s="1"/>
  <c r="BL391"/>
  <c r="BT391" s="1"/>
  <c r="BV391" s="1"/>
  <c r="BL393"/>
  <c r="BT393" s="1"/>
  <c r="BV393" s="1"/>
  <c r="BL395"/>
  <c r="BT395" s="1"/>
  <c r="BV395" s="1"/>
  <c r="BL397"/>
  <c r="BT397" s="1"/>
  <c r="BV397" s="1"/>
  <c r="BL399"/>
  <c r="BT399" s="1"/>
  <c r="BV399" s="1"/>
  <c r="BL401"/>
  <c r="BT401" s="1"/>
  <c r="BV401" s="1"/>
  <c r="BL403"/>
  <c r="BT403" s="1"/>
  <c r="BV403" s="1"/>
  <c r="BL405"/>
  <c r="BT405" s="1"/>
  <c r="BV405" s="1"/>
  <c r="BL407"/>
  <c r="BT407" s="1"/>
  <c r="BV407" s="1"/>
  <c r="BT409"/>
  <c r="BV409" s="1"/>
  <c r="BT413"/>
  <c r="BV413" s="1"/>
  <c r="BT417"/>
  <c r="BV417" s="1"/>
  <c r="BL422"/>
  <c r="BT422" s="1"/>
  <c r="BV422" s="1"/>
  <c r="AI147" i="15"/>
  <c r="AY147" i="17" s="1"/>
  <c r="BC147" s="1"/>
  <c r="BE147" s="1"/>
  <c r="AY146"/>
  <c r="BC146" s="1"/>
  <c r="BE146" s="1"/>
  <c r="AY145"/>
  <c r="BC145" s="1"/>
  <c r="BE145" s="1"/>
  <c r="AI142" i="15"/>
  <c r="AY142" i="17" s="1"/>
  <c r="BC142" s="1"/>
  <c r="BE142" s="1"/>
  <c r="AI141" i="15"/>
  <c r="AY141" i="17" s="1"/>
  <c r="BC141" s="1"/>
  <c r="BE141" s="1"/>
  <c r="AI139" i="15"/>
  <c r="AY139" i="17" s="1"/>
  <c r="BC139" s="1"/>
  <c r="BE139" s="1"/>
  <c r="AI128" i="15"/>
  <c r="AY128" i="17" s="1"/>
  <c r="BC128" s="1"/>
  <c r="BE128" s="1"/>
  <c r="AY126"/>
  <c r="BC126" s="1"/>
  <c r="BE126" s="1"/>
  <c r="AI121" i="15"/>
  <c r="AY121" i="17" s="1"/>
  <c r="BC121" s="1"/>
  <c r="BE121" s="1"/>
  <c r="AI119" i="15"/>
  <c r="AY119" i="17" s="1"/>
  <c r="BC119" s="1"/>
  <c r="BE119" s="1"/>
  <c r="AI117" i="15"/>
  <c r="AY117" i="17" s="1"/>
  <c r="BC117" s="1"/>
  <c r="BE117" s="1"/>
  <c r="AI114" i="15"/>
  <c r="AY114" i="17" s="1"/>
  <c r="BC114" s="1"/>
  <c r="BE114" s="1"/>
  <c r="AI113" i="15"/>
  <c r="AY113" i="17" s="1"/>
  <c r="BC113" s="1"/>
  <c r="BE113" s="1"/>
  <c r="AI111" i="15"/>
  <c r="AY111" i="17" s="1"/>
  <c r="BC111" s="1"/>
  <c r="BE111" s="1"/>
  <c r="AI108" i="15"/>
  <c r="AY108" i="17" s="1"/>
  <c r="BC108" s="1"/>
  <c r="BE108" s="1"/>
  <c r="AI106" i="15"/>
  <c r="AY106" i="17" s="1"/>
  <c r="BC106" s="1"/>
  <c r="BE106" s="1"/>
  <c r="AI105" i="15"/>
  <c r="AY105" i="17" s="1"/>
  <c r="BC105" s="1"/>
  <c r="BE105" s="1"/>
  <c r="AI104" i="15"/>
  <c r="AY104" i="17" s="1"/>
  <c r="BC104" s="1"/>
  <c r="BE104" s="1"/>
  <c r="AI101" i="15"/>
  <c r="AY101" i="17" s="1"/>
  <c r="BC101" s="1"/>
  <c r="BE101" s="1"/>
  <c r="AI100" i="15"/>
  <c r="AY100" i="17" s="1"/>
  <c r="BC100" s="1"/>
  <c r="BE100" s="1"/>
  <c r="AI99" i="15"/>
  <c r="AY99" i="17" s="1"/>
  <c r="BC99" s="1"/>
  <c r="BE99" s="1"/>
  <c r="AI98" i="15"/>
  <c r="AY98" i="17" s="1"/>
  <c r="BC98" s="1"/>
  <c r="BE98" s="1"/>
  <c r="AI97" i="15"/>
  <c r="AY97" i="17" s="1"/>
  <c r="BC97" s="1"/>
  <c r="BE97" s="1"/>
  <c r="AI96" i="15"/>
  <c r="AY96" i="17" s="1"/>
  <c r="BC96" s="1"/>
  <c r="BE96" s="1"/>
  <c r="AI95" i="15"/>
  <c r="AY95" i="17" s="1"/>
  <c r="BC95" s="1"/>
  <c r="BE95" s="1"/>
  <c r="AI93" i="15"/>
  <c r="AY93" i="17" s="1"/>
  <c r="BC93" s="1"/>
  <c r="BE93" s="1"/>
  <c r="AI133" i="15"/>
  <c r="AY133" i="17" s="1"/>
  <c r="BC133" s="1"/>
  <c r="BE133" s="1"/>
  <c r="AI405" i="15"/>
  <c r="AI414"/>
  <c r="AY414" i="17" s="1"/>
  <c r="BC414" s="1"/>
  <c r="BE414" s="1"/>
  <c r="BL182" i="25"/>
  <c r="BT182" s="1"/>
  <c r="BV182" s="1"/>
  <c r="BL277"/>
  <c r="BT277" s="1"/>
  <c r="BV277" s="1"/>
  <c r="BL279"/>
  <c r="BT279" s="1"/>
  <c r="BV279" s="1"/>
  <c r="BL281"/>
  <c r="BT281" s="1"/>
  <c r="BV281" s="1"/>
  <c r="BT285"/>
  <c r="BV285" s="1"/>
  <c r="BL287"/>
  <c r="BT287" s="1"/>
  <c r="BV287" s="1"/>
  <c r="BL289"/>
  <c r="BT289" s="1"/>
  <c r="BV289" s="1"/>
  <c r="BL291"/>
  <c r="BT291" s="1"/>
  <c r="BV291" s="1"/>
  <c r="BL293"/>
  <c r="BT293" s="1"/>
  <c r="BV293" s="1"/>
  <c r="BL296"/>
  <c r="BT296" s="1"/>
  <c r="BV296" s="1"/>
  <c r="BL298"/>
  <c r="BT298" s="1"/>
  <c r="BV298" s="1"/>
  <c r="BL300"/>
  <c r="BT300" s="1"/>
  <c r="BV300" s="1"/>
  <c r="BL302"/>
  <c r="BT302" s="1"/>
  <c r="BV302" s="1"/>
  <c r="BL307"/>
  <c r="BT307" s="1"/>
  <c r="BV307" s="1"/>
  <c r="BL311"/>
  <c r="BT311" s="1"/>
  <c r="BV311" s="1"/>
  <c r="BL313"/>
  <c r="BT313" s="1"/>
  <c r="BV313" s="1"/>
  <c r="BL315"/>
  <c r="BT315" s="1"/>
  <c r="BV315" s="1"/>
  <c r="BL317"/>
  <c r="BT317" s="1"/>
  <c r="BV317" s="1"/>
  <c r="BL319"/>
  <c r="BT319" s="1"/>
  <c r="BV319" s="1"/>
  <c r="BL147"/>
  <c r="BT147" s="1"/>
  <c r="BV147" s="1"/>
  <c r="BL151"/>
  <c r="BT151" s="1"/>
  <c r="BV151" s="1"/>
  <c r="BL155"/>
  <c r="BT155" s="1"/>
  <c r="BV155" s="1"/>
  <c r="BL157"/>
  <c r="BT157" s="1"/>
  <c r="BV157" s="1"/>
  <c r="BL425"/>
  <c r="BT425" s="1"/>
  <c r="BV425" s="1"/>
  <c r="AI196" i="15"/>
  <c r="AI202"/>
  <c r="AY202" i="17" s="1"/>
  <c r="BC202" s="1"/>
  <c r="BE202" s="1"/>
  <c r="AI207" i="15"/>
  <c r="AI209"/>
  <c r="AY209" i="17" s="1"/>
  <c r="BC209" s="1"/>
  <c r="BE209" s="1"/>
  <c r="BL183" i="25"/>
  <c r="BT183" s="1"/>
  <c r="BV183" s="1"/>
  <c r="BL187"/>
  <c r="BT187" s="1"/>
  <c r="BV187" s="1"/>
  <c r="BL189"/>
  <c r="BT189" s="1"/>
  <c r="BV189" s="1"/>
  <c r="BL191"/>
  <c r="BT191" s="1"/>
  <c r="BV191" s="1"/>
  <c r="BL197"/>
  <c r="BT197" s="1"/>
  <c r="BV197" s="1"/>
  <c r="BL199"/>
  <c r="BT199" s="1"/>
  <c r="BV199" s="1"/>
  <c r="BL201"/>
  <c r="BT201" s="1"/>
  <c r="BV201" s="1"/>
  <c r="BL206"/>
  <c r="BT206" s="1"/>
  <c r="BV206" s="1"/>
  <c r="BL208"/>
  <c r="BT208" s="1"/>
  <c r="BV208" s="1"/>
  <c r="BL210"/>
  <c r="BT210" s="1"/>
  <c r="BV210" s="1"/>
  <c r="BL265"/>
  <c r="BT265" s="1"/>
  <c r="BV265" s="1"/>
  <c r="BL267"/>
  <c r="BT267" s="1"/>
  <c r="BV267" s="1"/>
  <c r="BL430"/>
  <c r="BT430" s="1"/>
  <c r="BV430" s="1"/>
  <c r="BS205" i="2"/>
  <c r="BU205" s="1"/>
  <c r="BL308"/>
  <c r="BS308" s="1"/>
  <c r="BU308" s="1"/>
  <c r="BL310"/>
  <c r="BS310" s="1"/>
  <c r="BU310" s="1"/>
  <c r="BL191"/>
  <c r="BS191" s="1"/>
  <c r="BU191" s="1"/>
  <c r="BL197"/>
  <c r="BS197" s="1"/>
  <c r="BU197" s="1"/>
  <c r="BL199"/>
  <c r="BS199" s="1"/>
  <c r="BU199" s="1"/>
  <c r="BL200"/>
  <c r="BS200" s="1"/>
  <c r="BU200" s="1"/>
  <c r="BL201"/>
  <c r="BS201" s="1"/>
  <c r="BU201" s="1"/>
  <c r="BL202"/>
  <c r="BS202" s="1"/>
  <c r="BU202" s="1"/>
  <c r="BL183"/>
  <c r="BS183" s="1"/>
  <c r="BU183" s="1"/>
  <c r="BL263"/>
  <c r="BS263" s="1"/>
  <c r="BU263" s="1"/>
  <c r="BL249"/>
  <c r="BS249" s="1"/>
  <c r="BU249" s="1"/>
  <c r="BL309"/>
  <c r="BS309" s="1"/>
  <c r="BU309" s="1"/>
  <c r="BL110"/>
  <c r="BS110" s="1"/>
  <c r="BU110" s="1"/>
  <c r="BL128"/>
  <c r="BS128" s="1"/>
  <c r="BU128" s="1"/>
  <c r="AM169" i="1"/>
  <c r="BL169" i="2" s="1"/>
  <c r="BL333"/>
  <c r="BS333" s="1"/>
  <c r="BU333" s="1"/>
  <c r="BL337"/>
  <c r="BS337" s="1"/>
  <c r="BU337" s="1"/>
  <c r="BL407"/>
  <c r="BS407" s="1"/>
  <c r="BU407" s="1"/>
  <c r="AM409" i="1"/>
  <c r="BL409" i="2" s="1"/>
  <c r="BS409" s="1"/>
  <c r="BU409" s="1"/>
  <c r="BL321"/>
  <c r="BS321" s="1"/>
  <c r="BU321" s="1"/>
  <c r="BL354"/>
  <c r="BS354" s="1"/>
  <c r="BU354" s="1"/>
  <c r="AM240" i="1"/>
  <c r="BL240" i="2" s="1"/>
  <c r="BS240" s="1"/>
  <c r="BU240" s="1"/>
  <c r="AM242" i="1"/>
  <c r="BL242" i="2" s="1"/>
  <c r="BS242" s="1"/>
  <c r="BU242" s="1"/>
  <c r="BS269"/>
  <c r="BU269" s="1"/>
  <c r="BL280"/>
  <c r="BS280" s="1"/>
  <c r="BU280" s="1"/>
  <c r="BL286"/>
  <c r="BS286" s="1"/>
  <c r="BU286" s="1"/>
  <c r="AM105" i="1"/>
  <c r="BL105" i="2" s="1"/>
  <c r="BS105" s="1"/>
  <c r="BU105" s="1"/>
  <c r="AM106" i="1"/>
  <c r="AM107"/>
  <c r="BL107" i="2" s="1"/>
  <c r="BS107" s="1"/>
  <c r="BU107" s="1"/>
  <c r="AM119" i="1"/>
  <c r="BL119" i="2" s="1"/>
  <c r="BS119" s="1"/>
  <c r="BU119" s="1"/>
  <c r="BL124"/>
  <c r="BS124" s="1"/>
  <c r="BU124" s="1"/>
  <c r="AM125" i="1"/>
  <c r="BL125" i="2" s="1"/>
  <c r="BS125" s="1"/>
  <c r="BU125" s="1"/>
  <c r="BL129"/>
  <c r="BS129" s="1"/>
  <c r="BU129" s="1"/>
  <c r="AM136" i="1"/>
  <c r="AM137"/>
  <c r="BL137" i="2" s="1"/>
  <c r="BS137" s="1"/>
  <c r="BU137" s="1"/>
  <c r="BL215"/>
  <c r="BS215" s="1"/>
  <c r="BU215" s="1"/>
  <c r="BL217"/>
  <c r="BS217" s="1"/>
  <c r="BU217" s="1"/>
  <c r="BL336"/>
  <c r="BL392"/>
  <c r="BS392" s="1"/>
  <c r="BU392" s="1"/>
  <c r="BL400"/>
  <c r="BS400" s="1"/>
  <c r="BU400" s="1"/>
  <c r="AM404" i="1"/>
  <c r="AM405"/>
  <c r="BL405" i="2" s="1"/>
  <c r="BS405" s="1"/>
  <c r="BU405" s="1"/>
  <c r="AM412" i="1"/>
  <c r="BL412" i="2" s="1"/>
  <c r="BS412" s="1"/>
  <c r="BU412" s="1"/>
  <c r="AM413" i="1"/>
  <c r="AM414"/>
  <c r="BL414" i="2" s="1"/>
  <c r="BS414" s="1"/>
  <c r="BU414" s="1"/>
  <c r="BL422"/>
  <c r="BS422" s="1"/>
  <c r="BU422" s="1"/>
  <c r="BL390"/>
  <c r="BS390" s="1"/>
  <c r="BU390" s="1"/>
  <c r="AM92" i="1"/>
  <c r="BL92" i="2" s="1"/>
  <c r="BS92" s="1"/>
  <c r="BU92" s="1"/>
  <c r="AM99" i="1"/>
  <c r="BL99" i="2" s="1"/>
  <c r="BS99" s="1"/>
  <c r="BU99" s="1"/>
  <c r="BL101"/>
  <c r="BS101" s="1"/>
  <c r="BU101" s="1"/>
  <c r="AM296" i="1"/>
  <c r="BL296" i="2" s="1"/>
  <c r="BS296" s="1"/>
  <c r="BU296" s="1"/>
  <c r="BL356"/>
  <c r="BS356" s="1"/>
  <c r="BU356" s="1"/>
  <c r="BL357"/>
  <c r="BS357" s="1"/>
  <c r="BU357" s="1"/>
  <c r="BL363"/>
  <c r="BS363" s="1"/>
  <c r="BU363" s="1"/>
  <c r="BL365"/>
  <c r="BS365" s="1"/>
  <c r="BU365" s="1"/>
  <c r="BL370"/>
  <c r="BS370" s="1"/>
  <c r="BU370" s="1"/>
  <c r="BL386"/>
  <c r="BS386" s="1"/>
  <c r="BU386" s="1"/>
  <c r="BL387"/>
  <c r="BS387" s="1"/>
  <c r="BU387" s="1"/>
  <c r="BL234"/>
  <c r="BS234" s="1"/>
  <c r="BU234" s="1"/>
  <c r="BU237"/>
  <c r="BL300"/>
  <c r="BS300" s="1"/>
  <c r="BU300" s="1"/>
  <c r="AC90" i="14"/>
  <c r="AC92"/>
  <c r="AC98"/>
  <c r="AC99"/>
  <c r="AC100"/>
  <c r="AC106"/>
  <c r="AC107"/>
  <c r="AC108"/>
  <c r="AC114"/>
  <c r="AC115"/>
  <c r="AC117"/>
  <c r="AC125"/>
  <c r="AC126"/>
  <c r="AC127"/>
  <c r="AC136"/>
  <c r="AC137"/>
  <c r="AC138"/>
  <c r="AC158"/>
  <c r="AC159"/>
  <c r="AC175"/>
  <c r="AC226"/>
  <c r="AC227"/>
  <c r="AC228"/>
  <c r="AC234"/>
  <c r="AC235"/>
  <c r="AC239"/>
  <c r="AC320"/>
  <c r="AC321"/>
  <c r="AC330"/>
  <c r="AC331"/>
  <c r="AC332"/>
  <c r="AC339"/>
  <c r="AC340"/>
  <c r="AC344"/>
  <c r="AC351"/>
  <c r="AC352"/>
  <c r="AC353"/>
  <c r="AC359"/>
  <c r="AC360"/>
  <c r="AC361"/>
  <c r="AC409"/>
  <c r="AC410"/>
  <c r="AC411"/>
  <c r="AC419"/>
  <c r="AC420"/>
  <c r="AC91"/>
  <c r="AC348"/>
  <c r="AC281"/>
  <c r="AC293"/>
  <c r="AC294"/>
  <c r="AC298"/>
  <c r="AC299"/>
  <c r="AC300"/>
  <c r="AC301"/>
  <c r="AC302"/>
  <c r="AC308"/>
  <c r="AC309"/>
  <c r="AC311"/>
  <c r="AC312"/>
  <c r="AC313"/>
  <c r="AC314"/>
  <c r="AC315"/>
  <c r="AC316"/>
  <c r="AC317"/>
  <c r="AC318"/>
  <c r="AC319"/>
  <c r="AY405" i="17"/>
  <c r="BC405" s="1"/>
  <c r="BE405" s="1"/>
  <c r="AY196"/>
  <c r="BC196" s="1"/>
  <c r="BE196" s="1"/>
  <c r="AY207"/>
  <c r="BC207" s="1"/>
  <c r="BE207" s="1"/>
  <c r="AY332"/>
  <c r="BC332" s="1"/>
  <c r="BE332" s="1"/>
  <c r="AY275"/>
  <c r="BC275" s="1"/>
  <c r="BE275" s="1"/>
  <c r="AI298" i="15"/>
  <c r="AY298" i="17" s="1"/>
  <c r="BC298" s="1"/>
  <c r="BE298" s="1"/>
  <c r="AI297" i="15"/>
  <c r="AY297" i="17" s="1"/>
  <c r="BC297" s="1"/>
  <c r="BE297" s="1"/>
  <c r="AI287" i="15"/>
  <c r="AI422"/>
  <c r="AY422" i="17" s="1"/>
  <c r="BC422" s="1"/>
  <c r="BE422" s="1"/>
  <c r="AI408" i="15"/>
  <c r="AY408" i="17" s="1"/>
  <c r="BC408" s="1"/>
  <c r="BE408" s="1"/>
  <c r="AI407" i="15"/>
  <c r="AY407" i="17" s="1"/>
  <c r="BC407" s="1"/>
  <c r="BE407" s="1"/>
  <c r="AY392"/>
  <c r="BC392" s="1"/>
  <c r="BE392" s="1"/>
  <c r="AY372"/>
  <c r="BC372" s="1"/>
  <c r="BE372" s="1"/>
  <c r="AY367"/>
  <c r="BC367" s="1"/>
  <c r="BE367" s="1"/>
  <c r="AY361"/>
  <c r="BC361" s="1"/>
  <c r="BE361" s="1"/>
  <c r="AY350"/>
  <c r="BC350" s="1"/>
  <c r="BE350" s="1"/>
  <c r="AY347"/>
  <c r="BC347" s="1"/>
  <c r="BE347" s="1"/>
  <c r="AY329"/>
  <c r="BC329" s="1"/>
  <c r="BE329" s="1"/>
  <c r="AI307" i="15"/>
  <c r="AI302"/>
  <c r="AY302" i="17" s="1"/>
  <c r="BC302" s="1"/>
  <c r="BE302" s="1"/>
  <c r="AI162" i="15"/>
  <c r="AY162" i="17" s="1"/>
  <c r="BC162" s="1"/>
  <c r="BE162" s="1"/>
  <c r="AE243" i="16"/>
  <c r="AE253"/>
  <c r="AE336"/>
  <c r="AE358"/>
  <c r="AE360"/>
  <c r="AE362"/>
  <c r="AE383"/>
  <c r="AE385"/>
  <c r="AE387"/>
  <c r="AE389"/>
  <c r="AE374"/>
  <c r="AE260"/>
  <c r="AE153"/>
  <c r="AE381"/>
  <c r="AE90"/>
  <c r="AE93"/>
  <c r="AE94"/>
  <c r="AE97"/>
  <c r="AE99"/>
  <c r="AE100"/>
  <c r="AE101"/>
  <c r="AE102"/>
  <c r="AE103"/>
  <c r="AE104"/>
  <c r="AE105"/>
  <c r="AE107"/>
  <c r="AE108"/>
  <c r="AE109"/>
  <c r="AE110"/>
  <c r="AE112"/>
  <c r="AE113"/>
  <c r="AE115"/>
  <c r="AE117"/>
  <c r="AE118"/>
  <c r="AE119"/>
  <c r="AE120"/>
  <c r="AE121"/>
  <c r="AE124"/>
  <c r="AE127"/>
  <c r="AE128"/>
  <c r="AE130"/>
  <c r="AE132"/>
  <c r="AE133"/>
  <c r="AE135"/>
  <c r="AE136"/>
  <c r="AE137"/>
  <c r="AE138"/>
  <c r="AE141"/>
  <c r="AE142"/>
  <c r="AE144"/>
  <c r="AE145"/>
  <c r="AE146"/>
  <c r="AE147"/>
  <c r="AE150"/>
  <c r="AE151"/>
  <c r="AE154"/>
  <c r="AE155"/>
  <c r="AE157"/>
  <c r="AE162"/>
  <c r="AE164"/>
  <c r="AE175"/>
  <c r="AE181"/>
  <c r="AE182"/>
  <c r="AE185"/>
  <c r="AE186"/>
  <c r="AE188"/>
  <c r="AE189"/>
  <c r="AE190"/>
  <c r="AE193"/>
  <c r="AE195"/>
  <c r="AE197"/>
  <c r="AE199"/>
  <c r="AE200"/>
  <c r="AE201"/>
  <c r="AE205"/>
  <c r="AE206"/>
  <c r="AE208"/>
  <c r="AE209"/>
  <c r="AE210"/>
  <c r="AE214"/>
  <c r="AE215"/>
  <c r="AE219"/>
  <c r="AE221"/>
  <c r="AE224"/>
  <c r="AE226"/>
  <c r="AE230"/>
  <c r="AE233"/>
  <c r="AE235"/>
  <c r="AE91"/>
  <c r="AE269"/>
  <c r="AE290"/>
  <c r="AE292"/>
  <c r="AE293"/>
  <c r="AE301"/>
  <c r="AE302"/>
  <c r="AE303"/>
  <c r="AE218"/>
  <c r="BL170" i="25"/>
  <c r="BT170" s="1"/>
  <c r="BV170" s="1"/>
  <c r="BL174"/>
  <c r="BL175"/>
  <c r="BT175" s="1"/>
  <c r="BV175" s="1"/>
  <c r="BL181"/>
  <c r="BT181" s="1"/>
  <c r="BV181" s="1"/>
  <c r="BL211"/>
  <c r="BT211" s="1"/>
  <c r="BV211" s="1"/>
  <c r="BL213"/>
  <c r="BT213" s="1"/>
  <c r="BV213" s="1"/>
  <c r="BL215"/>
  <c r="BT215" s="1"/>
  <c r="BV215" s="1"/>
  <c r="BL217"/>
  <c r="BT217" s="1"/>
  <c r="BV217" s="1"/>
  <c r="BL219"/>
  <c r="BT219" s="1"/>
  <c r="BV219" s="1"/>
  <c r="BL221"/>
  <c r="BT221" s="1"/>
  <c r="BV221" s="1"/>
  <c r="BL223"/>
  <c r="BT223" s="1"/>
  <c r="BV223" s="1"/>
  <c r="BL225"/>
  <c r="BL227"/>
  <c r="BT227" s="1"/>
  <c r="BV227" s="1"/>
  <c r="BL229"/>
  <c r="BT229" s="1"/>
  <c r="BV229" s="1"/>
  <c r="BL233"/>
  <c r="BT233" s="1"/>
  <c r="BV233" s="1"/>
  <c r="BL235"/>
  <c r="BT235" s="1"/>
  <c r="BV235" s="1"/>
  <c r="BL239"/>
  <c r="BT239" s="1"/>
  <c r="BV239" s="1"/>
  <c r="BL241"/>
  <c r="BT241" s="1"/>
  <c r="BV241" s="1"/>
  <c r="BL243"/>
  <c r="BT243" s="1"/>
  <c r="BV243" s="1"/>
  <c r="BL245"/>
  <c r="BT245" s="1"/>
  <c r="BV245" s="1"/>
  <c r="BL247"/>
  <c r="BT247" s="1"/>
  <c r="BV247" s="1"/>
  <c r="BL249"/>
  <c r="BT249" s="1"/>
  <c r="BV249" s="1"/>
  <c r="BL251"/>
  <c r="BT251" s="1"/>
  <c r="BV251" s="1"/>
  <c r="BL253"/>
  <c r="BT253" s="1"/>
  <c r="BV253" s="1"/>
  <c r="BT288"/>
  <c r="BV288" s="1"/>
  <c r="BL216"/>
  <c r="BT216" s="1"/>
  <c r="BV216" s="1"/>
  <c r="BL218"/>
  <c r="BT218" s="1"/>
  <c r="BV218" s="1"/>
  <c r="BL220"/>
  <c r="BT220" s="1"/>
  <c r="BV220" s="1"/>
  <c r="BL222"/>
  <c r="BT222" s="1"/>
  <c r="BV222" s="1"/>
  <c r="BL224"/>
  <c r="BT224" s="1"/>
  <c r="BV224" s="1"/>
  <c r="BL226"/>
  <c r="BT226" s="1"/>
  <c r="BV226" s="1"/>
  <c r="BL228"/>
  <c r="BT228" s="1"/>
  <c r="BV228" s="1"/>
  <c r="BL230"/>
  <c r="BT230" s="1"/>
  <c r="BV230" s="1"/>
  <c r="BT232"/>
  <c r="BV232" s="1"/>
  <c r="BL234"/>
  <c r="BT234" s="1"/>
  <c r="BV234" s="1"/>
  <c r="BL236"/>
  <c r="BT236" s="1"/>
  <c r="BV236" s="1"/>
  <c r="BL240"/>
  <c r="BT240" s="1"/>
  <c r="BV240" s="1"/>
  <c r="BL242"/>
  <c r="BT242" s="1"/>
  <c r="BV242" s="1"/>
  <c r="BL244"/>
  <c r="BT244" s="1"/>
  <c r="BV244" s="1"/>
  <c r="BL246"/>
  <c r="BT246" s="1"/>
  <c r="BV246" s="1"/>
  <c r="BL248"/>
  <c r="BT248" s="1"/>
  <c r="BV248" s="1"/>
  <c r="BL250"/>
  <c r="BT250" s="1"/>
  <c r="BV250" s="1"/>
  <c r="BL252"/>
  <c r="BT252" s="1"/>
  <c r="BV252" s="1"/>
  <c r="BL254"/>
  <c r="BT254" s="1"/>
  <c r="BV254" s="1"/>
  <c r="BT278"/>
  <c r="BV278" s="1"/>
  <c r="AC429" i="26"/>
  <c r="AC187"/>
  <c r="AC198"/>
  <c r="AC202"/>
  <c r="AC255"/>
  <c r="AC268"/>
  <c r="AC269" i="14"/>
  <c r="AC425"/>
  <c r="AC149"/>
  <c r="AC266"/>
  <c r="AC267"/>
  <c r="BL213" i="2"/>
  <c r="BS213" s="1"/>
  <c r="BU213" s="1"/>
  <c r="BL136"/>
  <c r="BS136" s="1"/>
  <c r="BU136" s="1"/>
  <c r="BL210"/>
  <c r="BS210" s="1"/>
  <c r="BU210" s="1"/>
  <c r="BL225"/>
  <c r="BS225" s="1"/>
  <c r="BU225" s="1"/>
  <c r="BL229"/>
  <c r="BS229" s="1"/>
  <c r="BU229" s="1"/>
  <c r="BL331"/>
  <c r="BS331" s="1"/>
  <c r="BU331" s="1"/>
  <c r="BL416"/>
  <c r="BS416" s="1"/>
  <c r="BU416" s="1"/>
  <c r="BL382"/>
  <c r="BS382" s="1"/>
  <c r="BU382" s="1"/>
  <c r="BL174"/>
  <c r="BS174" s="1"/>
  <c r="BU174" s="1"/>
  <c r="BL329"/>
  <c r="BS329" s="1"/>
  <c r="BU329" s="1"/>
  <c r="BL120"/>
  <c r="BS120" s="1"/>
  <c r="BU120" s="1"/>
  <c r="BL123"/>
  <c r="BS123" s="1"/>
  <c r="BU123" s="1"/>
  <c r="BL106"/>
  <c r="BS106" s="1"/>
  <c r="BU106" s="1"/>
  <c r="BL113"/>
  <c r="BS113" s="1"/>
  <c r="BU113" s="1"/>
  <c r="BL117"/>
  <c r="BS117" s="1"/>
  <c r="BU117" s="1"/>
  <c r="BL126"/>
  <c r="BS126" s="1"/>
  <c r="BU126" s="1"/>
  <c r="BL127"/>
  <c r="BS127" s="1"/>
  <c r="BU127" s="1"/>
  <c r="BL131"/>
  <c r="BS131" s="1"/>
  <c r="BU131" s="1"/>
  <c r="BL328"/>
  <c r="BS328" s="1"/>
  <c r="BU328" s="1"/>
  <c r="BL149"/>
  <c r="BS149" s="1"/>
  <c r="BU149" s="1"/>
  <c r="BL151"/>
  <c r="BS151" s="1"/>
  <c r="BU151" s="1"/>
  <c r="BL157"/>
  <c r="BS157" s="1"/>
  <c r="BU157" s="1"/>
  <c r="BL158"/>
  <c r="BS158" s="1"/>
  <c r="BU158" s="1"/>
  <c r="BL209"/>
  <c r="BS209" s="1"/>
  <c r="BU209" s="1"/>
  <c r="BL345"/>
  <c r="BS345" s="1"/>
  <c r="BU345" s="1"/>
  <c r="BL347"/>
  <c r="BS347" s="1"/>
  <c r="BU347" s="1"/>
  <c r="BL397"/>
  <c r="BS397" s="1"/>
  <c r="BU397" s="1"/>
  <c r="BL398"/>
  <c r="BS398" s="1"/>
  <c r="BU398" s="1"/>
  <c r="BL401"/>
  <c r="BS401" s="1"/>
  <c r="BU401" s="1"/>
  <c r="BL403"/>
  <c r="BS403" s="1"/>
  <c r="BU403" s="1"/>
  <c r="BL404"/>
  <c r="BS404" s="1"/>
  <c r="BU404" s="1"/>
  <c r="BL406"/>
  <c r="BS406" s="1"/>
  <c r="BU406" s="1"/>
  <c r="BL413"/>
  <c r="BS413" s="1"/>
  <c r="BU413" s="1"/>
  <c r="BL424"/>
  <c r="BS424" s="1"/>
  <c r="BU424" s="1"/>
  <c r="BL103"/>
  <c r="BS103" s="1"/>
  <c r="BU103" s="1"/>
  <c r="BS179"/>
  <c r="BU179" s="1"/>
  <c r="BL187"/>
  <c r="BS187" s="1"/>
  <c r="BU187" s="1"/>
  <c r="BL355"/>
  <c r="BS355" s="1"/>
  <c r="BU355" s="1"/>
  <c r="BL359"/>
  <c r="BS359" s="1"/>
  <c r="BU359" s="1"/>
  <c r="BL364"/>
  <c r="BS364" s="1"/>
  <c r="BU364" s="1"/>
  <c r="BL371"/>
  <c r="BS371" s="1"/>
  <c r="BU371" s="1"/>
  <c r="BL373"/>
  <c r="BS373" s="1"/>
  <c r="BU373" s="1"/>
  <c r="BL374"/>
  <c r="BS374" s="1"/>
  <c r="BU374" s="1"/>
  <c r="BS376"/>
  <c r="BU376" s="1"/>
  <c r="BS379"/>
  <c r="BU379" s="1"/>
  <c r="BL247"/>
  <c r="BS247" s="1"/>
  <c r="BU247" s="1"/>
  <c r="BL252"/>
  <c r="BS252" s="1"/>
  <c r="BU252" s="1"/>
  <c r="BL421"/>
  <c r="BS421" s="1"/>
  <c r="BU421" s="1"/>
  <c r="BL180"/>
  <c r="BS180" s="1"/>
  <c r="BU180" s="1"/>
  <c r="BL181"/>
  <c r="BS181" s="1"/>
  <c r="BU181" s="1"/>
  <c r="BL198"/>
  <c r="BS198" s="1"/>
  <c r="BU198" s="1"/>
  <c r="BL349"/>
  <c r="BS349" s="1"/>
  <c r="BU349" s="1"/>
  <c r="BL352"/>
  <c r="BS352" s="1"/>
  <c r="BU352" s="1"/>
  <c r="BL358"/>
  <c r="BS358" s="1"/>
  <c r="BU358" s="1"/>
  <c r="BL245"/>
  <c r="BS245" s="1"/>
  <c r="BU245" s="1"/>
  <c r="AM259" i="1"/>
  <c r="BL259" i="2" s="1"/>
  <c r="BS259" s="1"/>
  <c r="BU259" s="1"/>
  <c r="AM260" i="1"/>
  <c r="BL260" i="2" s="1"/>
  <c r="BS260" s="1"/>
  <c r="BU260" s="1"/>
  <c r="AM264" i="1"/>
  <c r="BL264" i="2" s="1"/>
  <c r="BS264" s="1"/>
  <c r="BU264" s="1"/>
  <c r="AM265" i="1"/>
  <c r="BL265" i="2" s="1"/>
  <c r="BS265" s="1"/>
  <c r="BU265" s="1"/>
  <c r="AM266" i="1"/>
  <c r="BL266" i="2" s="1"/>
  <c r="BS266" s="1"/>
  <c r="BU266" s="1"/>
  <c r="AM216" i="1"/>
  <c r="BL216" i="2" s="1"/>
  <c r="BS216" s="1"/>
  <c r="BU216" s="1"/>
  <c r="BL327"/>
  <c r="BS327" s="1"/>
  <c r="BU327" s="1"/>
  <c r="BL402"/>
  <c r="BS402" s="1"/>
  <c r="BU402" s="1"/>
  <c r="AM411" i="1"/>
  <c r="BL411" i="2" s="1"/>
  <c r="BS411" s="1"/>
  <c r="BU411" s="1"/>
  <c r="AM96" i="1"/>
  <c r="BL96" i="2" s="1"/>
  <c r="BS96" s="1"/>
  <c r="BU96" s="1"/>
  <c r="AM277" i="1"/>
  <c r="BL361" i="2"/>
  <c r="BS361" s="1"/>
  <c r="BU361" s="1"/>
  <c r="BS381"/>
  <c r="BU381" s="1"/>
  <c r="BL388"/>
  <c r="BS388" s="1"/>
  <c r="BU388" s="1"/>
  <c r="AM232" i="1"/>
  <c r="BL232" i="2" s="1"/>
  <c r="BS232" s="1"/>
  <c r="BU232" s="1"/>
  <c r="AY208" i="17"/>
  <c r="BC208" s="1"/>
  <c r="BE208" s="1"/>
  <c r="AY137"/>
  <c r="BC137" s="1"/>
  <c r="BE137" s="1"/>
  <c r="AY129"/>
  <c r="BC129" s="1"/>
  <c r="BE129" s="1"/>
  <c r="AY123"/>
  <c r="BC123" s="1"/>
  <c r="BE123" s="1"/>
  <c r="AY363"/>
  <c r="BC363" s="1"/>
  <c r="BE363" s="1"/>
  <c r="AY394"/>
  <c r="BC394" s="1"/>
  <c r="BE394" s="1"/>
  <c r="AY345"/>
  <c r="BC345" s="1"/>
  <c r="BE345" s="1"/>
  <c r="AY338"/>
  <c r="BC338" s="1"/>
  <c r="BE338" s="1"/>
  <c r="AY337"/>
  <c r="BC337" s="1"/>
  <c r="BE337" s="1"/>
  <c r="AY330"/>
  <c r="BC330" s="1"/>
  <c r="BE330" s="1"/>
  <c r="AI90" i="15"/>
  <c r="AY90" i="17" s="1"/>
  <c r="BC90" s="1"/>
  <c r="BE90" s="1"/>
  <c r="AI255" i="15"/>
  <c r="AY255" i="17" s="1"/>
  <c r="BC255" s="1"/>
  <c r="BE255" s="1"/>
  <c r="AI260" i="15"/>
  <c r="AY260" i="17" s="1"/>
  <c r="BC260" s="1"/>
  <c r="BE260" s="1"/>
  <c r="AI263" i="15"/>
  <c r="AY263" i="17" s="1"/>
  <c r="BC263" s="1"/>
  <c r="BE263" s="1"/>
  <c r="AY327"/>
  <c r="BC327" s="1"/>
  <c r="BE327" s="1"/>
  <c r="AY324"/>
  <c r="BC324" s="1"/>
  <c r="BE324" s="1"/>
  <c r="AY321"/>
  <c r="BC321" s="1"/>
  <c r="BE321" s="1"/>
  <c r="AI249" i="15"/>
  <c r="AY249" i="17" s="1"/>
  <c r="BC249" s="1"/>
  <c r="BE249" s="1"/>
  <c r="AI267" i="15"/>
  <c r="AY267" i="17" s="1"/>
  <c r="BC267" s="1"/>
  <c r="BE267" s="1"/>
  <c r="AI269" i="15"/>
  <c r="AY269" i="17" s="1"/>
  <c r="BC269" s="1"/>
  <c r="BE269" s="1"/>
  <c r="AI404" i="15"/>
  <c r="AY404" i="17" s="1"/>
  <c r="BC404" s="1"/>
  <c r="BE404" s="1"/>
  <c r="AY353"/>
  <c r="BC353" s="1"/>
  <c r="BE353" s="1"/>
  <c r="AY346"/>
  <c r="BC346" s="1"/>
  <c r="BE346" s="1"/>
  <c r="AY331"/>
  <c r="BC331" s="1"/>
  <c r="BE331" s="1"/>
  <c r="AY328"/>
  <c r="BC328" s="1"/>
  <c r="BE328" s="1"/>
  <c r="AY326"/>
  <c r="BC326" s="1"/>
  <c r="BE326" s="1"/>
  <c r="AY322"/>
  <c r="BC322" s="1"/>
  <c r="BE322" s="1"/>
  <c r="AI312" i="15"/>
  <c r="AY312" i="17" s="1"/>
  <c r="BC312" s="1"/>
  <c r="BE312" s="1"/>
  <c r="AI221" i="15"/>
  <c r="AY221" i="17" s="1"/>
  <c r="BC221" s="1"/>
  <c r="BE221" s="1"/>
  <c r="AI163" i="15"/>
  <c r="AY163" i="17" s="1"/>
  <c r="BC163" s="1"/>
  <c r="BE163" s="1"/>
  <c r="AI264" i="15"/>
  <c r="AY264" i="17" s="1"/>
  <c r="BC264" s="1"/>
  <c r="BE264" s="1"/>
  <c r="AI265" i="15"/>
  <c r="AY265" i="17" s="1"/>
  <c r="BC265" s="1"/>
  <c r="BE265" s="1"/>
  <c r="AI266" i="15"/>
  <c r="AY266" i="17" s="1"/>
  <c r="BC266" s="1"/>
  <c r="BE266" s="1"/>
  <c r="AI268" i="15"/>
  <c r="AY268" i="17" s="1"/>
  <c r="BC268" s="1"/>
  <c r="BE268" s="1"/>
  <c r="AI120" i="15"/>
  <c r="AY120" i="17" s="1"/>
  <c r="BC120" s="1"/>
  <c r="BE120" s="1"/>
  <c r="AI109" i="15"/>
  <c r="AY109" i="17" s="1"/>
  <c r="BC109" s="1"/>
  <c r="BE109" s="1"/>
  <c r="AE158" i="16"/>
  <c r="AE163"/>
  <c r="AE165"/>
  <c r="AE169"/>
  <c r="AE174"/>
  <c r="AE180"/>
  <c r="AE213"/>
  <c r="AE217"/>
  <c r="AE220"/>
  <c r="AE225"/>
  <c r="AE227"/>
  <c r="AE231"/>
  <c r="AE234"/>
  <c r="AE237"/>
  <c r="AE129"/>
  <c r="AE393"/>
  <c r="AE187"/>
  <c r="AE196"/>
  <c r="AE244"/>
  <c r="AE255"/>
  <c r="AE266"/>
  <c r="BV112" i="25" l="1"/>
  <c r="AY175" i="17"/>
  <c r="BC175" s="1"/>
  <c r="BE175" s="1"/>
  <c r="BC176"/>
  <c r="BE176" s="1"/>
  <c r="BL175" i="2"/>
  <c r="BS175" s="1"/>
  <c r="BU175" s="1"/>
  <c r="BS176"/>
  <c r="BU176" s="1"/>
  <c r="AY296" i="17"/>
  <c r="BC296" s="1"/>
  <c r="BE296" s="1"/>
  <c r="AY295"/>
  <c r="BC295" s="1"/>
  <c r="BE295" s="1"/>
  <c r="AY375"/>
  <c r="BC375" s="1"/>
  <c r="BE375" s="1"/>
  <c r="BV104" i="25"/>
  <c r="BV94"/>
  <c r="BT174"/>
  <c r="BV174" s="1"/>
  <c r="BS336" i="2"/>
  <c r="BU336" s="1"/>
  <c r="BL334" i="25"/>
  <c r="BT334" s="1"/>
  <c r="BV334" s="1"/>
  <c r="BU315" i="2"/>
  <c r="AY307" i="17"/>
  <c r="BC307" s="1"/>
  <c r="BE307" s="1"/>
  <c r="AY287"/>
  <c r="BC287" s="1"/>
  <c r="BE287" s="1"/>
  <c r="AY286"/>
  <c r="BC286" s="1"/>
  <c r="BE286" s="1"/>
  <c r="BS271" i="2"/>
  <c r="BU271" s="1"/>
  <c r="BL195" i="25"/>
  <c r="BT195" s="1"/>
  <c r="BV195" s="1"/>
  <c r="BS169" i="2"/>
  <c r="BU169" s="1"/>
  <c r="BT225" i="25"/>
  <c r="BV225" s="1"/>
  <c r="BL306" i="2"/>
  <c r="BS306" s="1"/>
  <c r="BU306" s="1"/>
  <c r="BL277"/>
  <c r="BS277" s="1"/>
  <c r="BU277" s="1"/>
</calcChain>
</file>

<file path=xl/sharedStrings.xml><?xml version="1.0" encoding="utf-8"?>
<sst xmlns="http://schemas.openxmlformats.org/spreadsheetml/2006/main" count="16356" uniqueCount="962">
  <si>
    <t>Charges for</t>
  </si>
  <si>
    <t>Inter-</t>
  </si>
  <si>
    <t>Special</t>
  </si>
  <si>
    <t>Total</t>
  </si>
  <si>
    <t>County</t>
  </si>
  <si>
    <t>Taxes</t>
  </si>
  <si>
    <t>Services</t>
  </si>
  <si>
    <t>governmental</t>
  </si>
  <si>
    <t>Revenue</t>
  </si>
  <si>
    <t>Revenues</t>
  </si>
  <si>
    <t>Allen</t>
  </si>
  <si>
    <t>Ashland</t>
  </si>
  <si>
    <t>Ashtabula</t>
  </si>
  <si>
    <t>Athens</t>
  </si>
  <si>
    <t>Auglaize</t>
  </si>
  <si>
    <t>Belmont</t>
  </si>
  <si>
    <t>Carroll</t>
  </si>
  <si>
    <t>Clark</t>
  </si>
  <si>
    <t>Clinton</t>
  </si>
  <si>
    <t>Coshocton</t>
  </si>
  <si>
    <t>Cuyahoga</t>
  </si>
  <si>
    <t>Darke</t>
  </si>
  <si>
    <t>Defiance</t>
  </si>
  <si>
    <t>Delaware</t>
  </si>
  <si>
    <t>Erie</t>
  </si>
  <si>
    <t>Fairfield</t>
  </si>
  <si>
    <t>Fayette</t>
  </si>
  <si>
    <t>Franklin</t>
  </si>
  <si>
    <t>Fulton</t>
  </si>
  <si>
    <t>Gallia</t>
  </si>
  <si>
    <t>Geauga</t>
  </si>
  <si>
    <t>Guernsey</t>
  </si>
  <si>
    <t>Hamilton</t>
  </si>
  <si>
    <t>Hancock</t>
  </si>
  <si>
    <t>Henry</t>
  </si>
  <si>
    <t>Hocking</t>
  </si>
  <si>
    <t>Holmes</t>
  </si>
  <si>
    <t>Huron</t>
  </si>
  <si>
    <t>Jackson</t>
  </si>
  <si>
    <t>Jefferson</t>
  </si>
  <si>
    <t>Knox</t>
  </si>
  <si>
    <t>Lake</t>
  </si>
  <si>
    <t>Licking</t>
  </si>
  <si>
    <t>Logan</t>
  </si>
  <si>
    <t>Lorain</t>
  </si>
  <si>
    <t>Mahoning</t>
  </si>
  <si>
    <t>Marion</t>
  </si>
  <si>
    <t>Medina</t>
  </si>
  <si>
    <t>Miami</t>
  </si>
  <si>
    <t>Monroe</t>
  </si>
  <si>
    <t>Montgomery</t>
  </si>
  <si>
    <t>Muskingum</t>
  </si>
  <si>
    <t>Noble</t>
  </si>
  <si>
    <t>Ottawa</t>
  </si>
  <si>
    <t>Pickaway</t>
  </si>
  <si>
    <t>Pike</t>
  </si>
  <si>
    <t>Portage</t>
  </si>
  <si>
    <t>Preble</t>
  </si>
  <si>
    <t>Ross</t>
  </si>
  <si>
    <t>Scioto</t>
  </si>
  <si>
    <t>Seneca</t>
  </si>
  <si>
    <t>Shelby</t>
  </si>
  <si>
    <t>Stark</t>
  </si>
  <si>
    <t>Summit</t>
  </si>
  <si>
    <t>Trumbull</t>
  </si>
  <si>
    <t>Tuscarawas</t>
  </si>
  <si>
    <t>Union</t>
  </si>
  <si>
    <t>Van Wert</t>
  </si>
  <si>
    <t>Vinton</t>
  </si>
  <si>
    <t>Warren</t>
  </si>
  <si>
    <t>Washington</t>
  </si>
  <si>
    <t>Wayne</t>
  </si>
  <si>
    <t>Wood</t>
  </si>
  <si>
    <t>Capital</t>
  </si>
  <si>
    <t>Expenditures</t>
  </si>
  <si>
    <t>Outlay</t>
  </si>
  <si>
    <t>Principal</t>
  </si>
  <si>
    <t>Brown</t>
  </si>
  <si>
    <t>Morrow</t>
  </si>
  <si>
    <t>Sandusky</t>
  </si>
  <si>
    <t>Long-Term Obligations</t>
  </si>
  <si>
    <t>General</t>
  </si>
  <si>
    <t>Other</t>
  </si>
  <si>
    <t>Obligation</t>
  </si>
  <si>
    <t>Bonds</t>
  </si>
  <si>
    <t>Loans</t>
  </si>
  <si>
    <t>Obligations</t>
  </si>
  <si>
    <t>Assets</t>
  </si>
  <si>
    <t>Reserved</t>
  </si>
  <si>
    <t>Cash and</t>
  </si>
  <si>
    <t>Deferred</t>
  </si>
  <si>
    <t>Fund</t>
  </si>
  <si>
    <t>Investments</t>
  </si>
  <si>
    <t>Liabilities</t>
  </si>
  <si>
    <t>Fund Balance</t>
  </si>
  <si>
    <t>Compensated</t>
  </si>
  <si>
    <t>Notes</t>
  </si>
  <si>
    <t>Leases</t>
  </si>
  <si>
    <t>Absences</t>
  </si>
  <si>
    <t>Payables</t>
  </si>
  <si>
    <t>GLTD</t>
  </si>
  <si>
    <t>Current</t>
  </si>
  <si>
    <t>Net Assets</t>
  </si>
  <si>
    <t>Invested in</t>
  </si>
  <si>
    <t>Restricted</t>
  </si>
  <si>
    <t>Unrestricted</t>
  </si>
  <si>
    <t>Program Revenues - Governmental Activities</t>
  </si>
  <si>
    <t>Property</t>
  </si>
  <si>
    <t>Investment</t>
  </si>
  <si>
    <t>Grants</t>
  </si>
  <si>
    <t>Earnings</t>
  </si>
  <si>
    <t>Contributions</t>
  </si>
  <si>
    <t>Richland</t>
  </si>
  <si>
    <t>Crawford</t>
  </si>
  <si>
    <t>Columbiana</t>
  </si>
  <si>
    <t>Clermont</t>
  </si>
  <si>
    <t>Greene</t>
  </si>
  <si>
    <t>Lucas</t>
  </si>
  <si>
    <t>One Year</t>
  </si>
  <si>
    <t>Summary Data from the General Fund Balance Sheet</t>
  </si>
  <si>
    <t>Out</t>
  </si>
  <si>
    <t>Change in</t>
  </si>
  <si>
    <t>and Interest</t>
  </si>
  <si>
    <t>Capital Assets</t>
  </si>
  <si>
    <t>Expenses</t>
  </si>
  <si>
    <t>Grants,</t>
  </si>
  <si>
    <t>Expenses from the Statement of Activities - Governmental Activities</t>
  </si>
  <si>
    <t>Summary Data from the Statement of Net Assets - Governmental Activities</t>
  </si>
  <si>
    <t>General Fund Revenues - Modified Accrual Basis of Accounting</t>
  </si>
  <si>
    <t>All Other</t>
  </si>
  <si>
    <t>General Fund Expenditures - Modified Accrual Basis of Accounting</t>
  </si>
  <si>
    <t xml:space="preserve"> </t>
  </si>
  <si>
    <t>Revenues from the Statement of Activities - Governmental Activities</t>
  </si>
  <si>
    <t>Long-term Liabilities</t>
  </si>
  <si>
    <t>More Than 1 Yr</t>
  </si>
  <si>
    <t>Statement</t>
  </si>
  <si>
    <t>Balances if</t>
  </si>
  <si>
    <t>Value is "0"</t>
  </si>
  <si>
    <t>Program</t>
  </si>
  <si>
    <t>Grants and</t>
  </si>
  <si>
    <t>Entitlements</t>
  </si>
  <si>
    <t>Payments in</t>
  </si>
  <si>
    <t>Lieu of</t>
  </si>
  <si>
    <t>Program and</t>
  </si>
  <si>
    <t>Vocational</t>
  </si>
  <si>
    <t>Instruction</t>
  </si>
  <si>
    <t>Support Services</t>
  </si>
  <si>
    <t>Instructional</t>
  </si>
  <si>
    <t>Staff</t>
  </si>
  <si>
    <t>Board of</t>
  </si>
  <si>
    <t>Education</t>
  </si>
  <si>
    <t>Administration</t>
  </si>
  <si>
    <t>Fiscal</t>
  </si>
  <si>
    <t>Operation and</t>
  </si>
  <si>
    <t>Maintenance</t>
  </si>
  <si>
    <t>of Plant</t>
  </si>
  <si>
    <t>Pupil</t>
  </si>
  <si>
    <t>Transportation</t>
  </si>
  <si>
    <t>Non-Instructional Services</t>
  </si>
  <si>
    <t>Food</t>
  </si>
  <si>
    <t>Service</t>
  </si>
  <si>
    <t>Extracurricular</t>
  </si>
  <si>
    <t>Activities</t>
  </si>
  <si>
    <t>Interest</t>
  </si>
  <si>
    <t>Transfers</t>
  </si>
  <si>
    <t>Beginning</t>
  </si>
  <si>
    <t>of Year</t>
  </si>
  <si>
    <t>End of</t>
  </si>
  <si>
    <t>Year</t>
  </si>
  <si>
    <t>and Activities</t>
  </si>
  <si>
    <t>Balance if</t>
  </si>
  <si>
    <t>All Schools Reporting Under GAAP</t>
  </si>
  <si>
    <t>Tuition</t>
  </si>
  <si>
    <t>and Fees</t>
  </si>
  <si>
    <t>Extra-</t>
  </si>
  <si>
    <t>curricular</t>
  </si>
  <si>
    <t>Payments</t>
  </si>
  <si>
    <t>in Lieu</t>
  </si>
  <si>
    <t>of Taxes</t>
  </si>
  <si>
    <t>and</t>
  </si>
  <si>
    <t>Donations</t>
  </si>
  <si>
    <t>Debt Service</t>
  </si>
  <si>
    <t>Other Financing Uses</t>
  </si>
  <si>
    <t>Advances</t>
  </si>
  <si>
    <t>Uses</t>
  </si>
  <si>
    <t>All</t>
  </si>
  <si>
    <t>Net</t>
  </si>
  <si>
    <t>Balance</t>
  </si>
  <si>
    <t>End</t>
  </si>
  <si>
    <t>Other Uses</t>
  </si>
  <si>
    <t>Other Financing Sources</t>
  </si>
  <si>
    <t>Transfers in</t>
  </si>
  <si>
    <t>Advances in</t>
  </si>
  <si>
    <t>Proceeds</t>
  </si>
  <si>
    <t>Bond</t>
  </si>
  <si>
    <t>Financing</t>
  </si>
  <si>
    <t>Sources</t>
  </si>
  <si>
    <t>and Other</t>
  </si>
  <si>
    <t>Fund Bal.</t>
  </si>
  <si>
    <t>Governmental Fund Revenues - Modified Accrual Basis of Accounting</t>
  </si>
  <si>
    <t>Summary Data from the Governmental Fund Balance Sheet</t>
  </si>
  <si>
    <t>IRN #</t>
  </si>
  <si>
    <t>School District</t>
  </si>
  <si>
    <t>Adams</t>
  </si>
  <si>
    <t>Delphos City SD</t>
  </si>
  <si>
    <t>Perry Local SD</t>
  </si>
  <si>
    <t>Ashland City SD</t>
  </si>
  <si>
    <t>Hillsdale Local SD</t>
  </si>
  <si>
    <t>Mapleton Local SD</t>
  </si>
  <si>
    <t>Buckeye Local SD</t>
  </si>
  <si>
    <t>Conneaut Area City SD</t>
  </si>
  <si>
    <t>Grand Valley Local SD</t>
  </si>
  <si>
    <t>Jefferson Area Local SD</t>
  </si>
  <si>
    <t>Pymatuning Valley Local SD</t>
  </si>
  <si>
    <t>Athens City SD</t>
  </si>
  <si>
    <t>Nelsonville-York City SD</t>
  </si>
  <si>
    <t>Trimble Local SD</t>
  </si>
  <si>
    <t>Minster Local SD</t>
  </si>
  <si>
    <t>New Bremen Local SD</t>
  </si>
  <si>
    <t>Bellaire Local SD</t>
  </si>
  <si>
    <t>Bridgeport Ex Vill SD</t>
  </si>
  <si>
    <t>Martins Ferry City SD</t>
  </si>
  <si>
    <t>Shadyside Local SD</t>
  </si>
  <si>
    <t>Eastern Local SD</t>
  </si>
  <si>
    <t>Fayetteville-Perry Local SD</t>
  </si>
  <si>
    <t>Western Brown Local SD</t>
  </si>
  <si>
    <t>Edgewood City SD</t>
  </si>
  <si>
    <t>Butler</t>
  </si>
  <si>
    <t>Fairfield City SD</t>
  </si>
  <si>
    <t>Hamilton City SD</t>
  </si>
  <si>
    <t>Lakota Local SD</t>
  </si>
  <si>
    <t>Madison Local SD</t>
  </si>
  <si>
    <t>Middletown City SD</t>
  </si>
  <si>
    <t>Monroe Local SD</t>
  </si>
  <si>
    <t>New Miami Local SD</t>
  </si>
  <si>
    <t>Ross Local SD</t>
  </si>
  <si>
    <t>Talawanda City SD</t>
  </si>
  <si>
    <t>Brown Local SD</t>
  </si>
  <si>
    <t>Carrollton Ex Vill SD</t>
  </si>
  <si>
    <t>Graham Local SD</t>
  </si>
  <si>
    <t>Champaign</t>
  </si>
  <si>
    <t>Mechanicsburg Ex Vill SD</t>
  </si>
  <si>
    <t>Triad Local SD</t>
  </si>
  <si>
    <t>Urbana City SD</t>
  </si>
  <si>
    <t>West Liberty-Salem Local SD</t>
  </si>
  <si>
    <t>Clark-Shawnee Local SD</t>
  </si>
  <si>
    <t>Greenon Local SD</t>
  </si>
  <si>
    <t>Northeastern Local SD</t>
  </si>
  <si>
    <t>Northwestern Local SD</t>
  </si>
  <si>
    <t>Southeastern Local SD</t>
  </si>
  <si>
    <t>Tecumseh Local SD</t>
  </si>
  <si>
    <t>Batavia Local SD</t>
  </si>
  <si>
    <t>Bethel-Tate Local SD</t>
  </si>
  <si>
    <t>Felicity-Franklin Local SD</t>
  </si>
  <si>
    <t>Goshen Local SD</t>
  </si>
  <si>
    <t>Milford Ex Vill SD</t>
  </si>
  <si>
    <t>New Richmond Ex Vill SD</t>
  </si>
  <si>
    <t>West Clermont Local SD</t>
  </si>
  <si>
    <t>Williamsburg Local SD</t>
  </si>
  <si>
    <t>Blanchester Local SD</t>
  </si>
  <si>
    <t>Clinton-Massie Local SD</t>
  </si>
  <si>
    <t>East Clinton Local SD</t>
  </si>
  <si>
    <t>Wilmington City SD</t>
  </si>
  <si>
    <t>Beaver Local SD</t>
  </si>
  <si>
    <t>Columbiana Ex Vill SD</t>
  </si>
  <si>
    <t>Crestview Local SD</t>
  </si>
  <si>
    <t>East Liverpool City SD</t>
  </si>
  <si>
    <t>East Palestine City SD</t>
  </si>
  <si>
    <t>Lisbon Ex Vill SD</t>
  </si>
  <si>
    <t>Southern Local SD</t>
  </si>
  <si>
    <t>United Local SD</t>
  </si>
  <si>
    <t>Wellsville Local SD</t>
  </si>
  <si>
    <t>Coshocton City SD</t>
  </si>
  <si>
    <t>Ridgewood Local SD</t>
  </si>
  <si>
    <t>River View Local SD</t>
  </si>
  <si>
    <t>Buckeye Central Local SD</t>
  </si>
  <si>
    <t>Bucyrus City SD</t>
  </si>
  <si>
    <t>Colonel Crawford Local SD</t>
  </si>
  <si>
    <t>Galion City SD</t>
  </si>
  <si>
    <t>Wynford Local SD</t>
  </si>
  <si>
    <t>Bay Village City SD</t>
  </si>
  <si>
    <t>Beachwood City SD</t>
  </si>
  <si>
    <t>Bedford City SD</t>
  </si>
  <si>
    <t>Berea City SD</t>
  </si>
  <si>
    <t>Brooklyn City SD</t>
  </si>
  <si>
    <t>Chagrin Falls Ex Vill SD</t>
  </si>
  <si>
    <t>Cleveland Municipal SD</t>
  </si>
  <si>
    <t>Cuyahoga Heights Local SD</t>
  </si>
  <si>
    <t>East Cleveland City SD</t>
  </si>
  <si>
    <t>Euclid City SD</t>
  </si>
  <si>
    <t>Fairview Park City SD</t>
  </si>
  <si>
    <t>Garfield Heights City SD</t>
  </si>
  <si>
    <t>Independence Local SD</t>
  </si>
  <si>
    <t>Lakewood City SD</t>
  </si>
  <si>
    <t>Maple Heights City SD</t>
  </si>
  <si>
    <t>Mayfield City SD</t>
  </si>
  <si>
    <t>North Olmsted City SD</t>
  </si>
  <si>
    <t>North Royalton City SD</t>
  </si>
  <si>
    <t>Olmsted Falls City SD</t>
  </si>
  <si>
    <t>Orange City SD</t>
  </si>
  <si>
    <t>Parma City SD</t>
  </si>
  <si>
    <t>Richmond Heights Local SD</t>
  </si>
  <si>
    <t>Rocky River City SD</t>
  </si>
  <si>
    <t>Shaker Heights City SD</t>
  </si>
  <si>
    <t>Solon City SD</t>
  </si>
  <si>
    <t>South Euclid-Lyndhurst City SD</t>
  </si>
  <si>
    <t>Strongsville City SD</t>
  </si>
  <si>
    <t>Warrensville Heights City SD</t>
  </si>
  <si>
    <t>Westlake City SD</t>
  </si>
  <si>
    <t>Greenville City SD</t>
  </si>
  <si>
    <t>Ayersville Local SD</t>
  </si>
  <si>
    <t>Big Walnut Local SD</t>
  </si>
  <si>
    <t>Buckeye Valley Local SD</t>
  </si>
  <si>
    <t>Olentangy Local SD</t>
  </si>
  <si>
    <t>Berlin-Milan Local SD</t>
  </si>
  <si>
    <t>Huron City SD</t>
  </si>
  <si>
    <t>Kelleys Island Local SD</t>
  </si>
  <si>
    <t>Margaretta Local SD</t>
  </si>
  <si>
    <t>Perkins Local SD</t>
  </si>
  <si>
    <t>Sandusky City SD</t>
  </si>
  <si>
    <t>Vermilion Local SD</t>
  </si>
  <si>
    <t>Amanda-Clearcreek Local SD</t>
  </si>
  <si>
    <t>Berne Union Local SD</t>
  </si>
  <si>
    <t>Bloom-Carroll Local SD</t>
  </si>
  <si>
    <t>Fairfield Union Local SD</t>
  </si>
  <si>
    <t>Lancaster City SD</t>
  </si>
  <si>
    <t>Pickerington Local SD</t>
  </si>
  <si>
    <t>Miami Trace Local SD</t>
  </si>
  <si>
    <t>Washington Court House City SD</t>
  </si>
  <si>
    <t>Bexley City SD</t>
  </si>
  <si>
    <t>Canal Winchester Local SD</t>
  </si>
  <si>
    <t>Columbus City SD</t>
  </si>
  <si>
    <t>Dublin City SD</t>
  </si>
  <si>
    <t>Gahanna-Jefferson City SD</t>
  </si>
  <si>
    <t>Grandview Heights City SD</t>
  </si>
  <si>
    <t>Groveport Madison Local SD</t>
  </si>
  <si>
    <t>Hamilton Local Local SD</t>
  </si>
  <si>
    <t>Hilliard City SD</t>
  </si>
  <si>
    <t>Plain Local SD</t>
  </si>
  <si>
    <t>Reynoldsburg City SD</t>
  </si>
  <si>
    <t>South-Western City SD</t>
  </si>
  <si>
    <t>Upper Arlington City SD</t>
  </si>
  <si>
    <t>Westerville City SD</t>
  </si>
  <si>
    <t>Whitehall City SD</t>
  </si>
  <si>
    <t>Worthington City SD</t>
  </si>
  <si>
    <t>Pettisville School Local SD</t>
  </si>
  <si>
    <t>Pike-Delta-York Local SD</t>
  </si>
  <si>
    <t>Swanton Local SD</t>
  </si>
  <si>
    <t>Wauseon Ex Vill SD</t>
  </si>
  <si>
    <t>Gallia County Local SD</t>
  </si>
  <si>
    <t>Gallipolis City SD</t>
  </si>
  <si>
    <t>Berkshire Local SD</t>
  </si>
  <si>
    <t>Cardinal Local SD</t>
  </si>
  <si>
    <t>Kenston Local SD</t>
  </si>
  <si>
    <t>Ledgemont Local SD</t>
  </si>
  <si>
    <t>Newbury Local SD</t>
  </si>
  <si>
    <t>West Geauga Local SD</t>
  </si>
  <si>
    <t>Beavercreek City SD</t>
  </si>
  <si>
    <t>Greeneview Local SD</t>
  </si>
  <si>
    <t>Yellow Springs Ex Vill SD</t>
  </si>
  <si>
    <t>Cambridge City SD</t>
  </si>
  <si>
    <t>East Guernsey Local SD</t>
  </si>
  <si>
    <t>Rolling Hills Local SD</t>
  </si>
  <si>
    <t>Finneytown Local SD</t>
  </si>
  <si>
    <t>Forest Hills Local SD</t>
  </si>
  <si>
    <t>Indian Hill Ex Vill SD</t>
  </si>
  <si>
    <t>Loveland City SD</t>
  </si>
  <si>
    <t>Madeira City SD</t>
  </si>
  <si>
    <t>Mariemont City SD</t>
  </si>
  <si>
    <t>North College Hill City SD</t>
  </si>
  <si>
    <t>Northwest Local SD</t>
  </si>
  <si>
    <t>Oak Hills Local SD</t>
  </si>
  <si>
    <t>Princeton City SD</t>
  </si>
  <si>
    <t>Reading Community City SD</t>
  </si>
  <si>
    <t>Southwest Local SD</t>
  </si>
  <si>
    <t>Sycamore Community City SD</t>
  </si>
  <si>
    <t>Winton Woods City SD</t>
  </si>
  <si>
    <t>Wyoming City SD</t>
  </si>
  <si>
    <t>Arcadia Local SD</t>
  </si>
  <si>
    <t>Arlington Local SD</t>
  </si>
  <si>
    <t>Findlay City SD</t>
  </si>
  <si>
    <t>Liberty-Benton Local SD</t>
  </si>
  <si>
    <t>Van Buren Local SD</t>
  </si>
  <si>
    <t>Hardin</t>
  </si>
  <si>
    <t>Hardin Northern Local SD</t>
  </si>
  <si>
    <t>Kenton City SD</t>
  </si>
  <si>
    <t>Ridgemont Local SD</t>
  </si>
  <si>
    <t>Conotton Valley Union Local SD</t>
  </si>
  <si>
    <t>Harrison</t>
  </si>
  <si>
    <t>Harrison Hills City SD</t>
  </si>
  <si>
    <t>Holgate Local SD</t>
  </si>
  <si>
    <t>Liberty Center Local SD</t>
  </si>
  <si>
    <t>Napoleon Area City SD</t>
  </si>
  <si>
    <t>Patrick Henry Local SD</t>
  </si>
  <si>
    <t>Bright Local SD</t>
  </si>
  <si>
    <t>Highland</t>
  </si>
  <si>
    <t>Fairfield Local SD</t>
  </si>
  <si>
    <t>Greenfield Ex Vill SD</t>
  </si>
  <si>
    <t>Hillsboro City SD</t>
  </si>
  <si>
    <t>Lynchburg-Clay Local SD</t>
  </si>
  <si>
    <t>Logan-Hocking Local SD</t>
  </si>
  <si>
    <t>East Holmes Local SD</t>
  </si>
  <si>
    <t>West Holmes Local SD</t>
  </si>
  <si>
    <t>Bellevue City SD</t>
  </si>
  <si>
    <t>Monroeville Local SD</t>
  </si>
  <si>
    <t>New London Local SD</t>
  </si>
  <si>
    <t>Norwalk City SD</t>
  </si>
  <si>
    <t>Western Reserve Local SD</t>
  </si>
  <si>
    <t>Willard City SD</t>
  </si>
  <si>
    <t>Wellston City SD</t>
  </si>
  <si>
    <t>Edison Local SD</t>
  </si>
  <si>
    <t>Indian Creek Local SD</t>
  </si>
  <si>
    <t>Steubenville City SD</t>
  </si>
  <si>
    <t>Toronto City SD</t>
  </si>
  <si>
    <t>Centerburg Local SD</t>
  </si>
  <si>
    <t>Mount Vernon City SD</t>
  </si>
  <si>
    <t>Mentor Ex Vill SD</t>
  </si>
  <si>
    <t>Painesville City Local SD</t>
  </si>
  <si>
    <t>Willoughby-Eastlake City SD</t>
  </si>
  <si>
    <t>Chesapeake Union Ex Vill SD</t>
  </si>
  <si>
    <t>Lawrence</t>
  </si>
  <si>
    <t>Dawson-Bryant Local SD</t>
  </si>
  <si>
    <t>Fairland Local SD</t>
  </si>
  <si>
    <t>Ironton City SD</t>
  </si>
  <si>
    <t>Rock Hill Local SD</t>
  </si>
  <si>
    <t>South Point Local SD</t>
  </si>
  <si>
    <t>Symmes Valley Local SD</t>
  </si>
  <si>
    <t>Heath City SD</t>
  </si>
  <si>
    <t>Johnstown-Monroe Local SD</t>
  </si>
  <si>
    <t>Licking Heights Local SD</t>
  </si>
  <si>
    <t>Licking Valley Local SD</t>
  </si>
  <si>
    <t>Newark City SD</t>
  </si>
  <si>
    <t>North Fork Local SD</t>
  </si>
  <si>
    <t>Northridge Local SD</t>
  </si>
  <si>
    <t>Southwest Licking Local SD</t>
  </si>
  <si>
    <t>Riverside Local SD</t>
  </si>
  <si>
    <t>Avon Lake City SD</t>
  </si>
  <si>
    <t>Avon Local SD</t>
  </si>
  <si>
    <t>Clearview Local SD</t>
  </si>
  <si>
    <t>Columbia Local SD</t>
  </si>
  <si>
    <t>Elyria City SD</t>
  </si>
  <si>
    <t>Firelands Local SD</t>
  </si>
  <si>
    <t>Keystone Local SD</t>
  </si>
  <si>
    <t>Lorain City SD</t>
  </si>
  <si>
    <t>Midview Local SD</t>
  </si>
  <si>
    <t>North Ridgeville City SD</t>
  </si>
  <si>
    <t>Oberlin City SD</t>
  </si>
  <si>
    <t>Sheffield-Sheffield Lake City</t>
  </si>
  <si>
    <t>Wellington Ex Vill SD</t>
  </si>
  <si>
    <t>Anthony Wayne Local SD</t>
  </si>
  <si>
    <t>Maumee City SD</t>
  </si>
  <si>
    <t>Oregon City SD</t>
  </si>
  <si>
    <t>Ottawa Hills Local SD</t>
  </si>
  <si>
    <t>Springfield Local SD</t>
  </si>
  <si>
    <t>Sylvania City SD</t>
  </si>
  <si>
    <t>Toledo City SD</t>
  </si>
  <si>
    <t>Washington Local SD</t>
  </si>
  <si>
    <t>Jefferson Local SD</t>
  </si>
  <si>
    <t>Madison</t>
  </si>
  <si>
    <t>Jonathan Alder Local SD</t>
  </si>
  <si>
    <t>London City SD</t>
  </si>
  <si>
    <t>Austintown Local SD</t>
  </si>
  <si>
    <t>Boardman Local SD</t>
  </si>
  <si>
    <t>Campbell City SD</t>
  </si>
  <si>
    <t>Canfield Local SD</t>
  </si>
  <si>
    <t>Jackson-Milton Local SD</t>
  </si>
  <si>
    <t>Lowellville Local SD</t>
  </si>
  <si>
    <t>Poland Local SD</t>
  </si>
  <si>
    <t>Sebring Local SD</t>
  </si>
  <si>
    <t>South Range Local SD</t>
  </si>
  <si>
    <t>Struthers City SD</t>
  </si>
  <si>
    <t>West Branch Local SD</t>
  </si>
  <si>
    <t>Youngstown City SD</t>
  </si>
  <si>
    <t>Elgin Local SD</t>
  </si>
  <si>
    <t>Marion City SD</t>
  </si>
  <si>
    <t>Pleasant Local SD</t>
  </si>
  <si>
    <t>Ridgedale Local SD</t>
  </si>
  <si>
    <t>River Valley Local SD</t>
  </si>
  <si>
    <t>Black River Local SD</t>
  </si>
  <si>
    <t>Brunswick City SD</t>
  </si>
  <si>
    <t>Cloverleaf Local SD</t>
  </si>
  <si>
    <t>Highland Local SD</t>
  </si>
  <si>
    <t>Medina City SD</t>
  </si>
  <si>
    <t>Wadsworth City SD</t>
  </si>
  <si>
    <t>Meigs</t>
  </si>
  <si>
    <t>Meigs Local SD</t>
  </si>
  <si>
    <t>Mercer</t>
  </si>
  <si>
    <t>Bethel Local SD</t>
  </si>
  <si>
    <t>Miami East Local SD</t>
  </si>
  <si>
    <t>Milton-Union Ex Vill SD</t>
  </si>
  <si>
    <t>Piqua City SD</t>
  </si>
  <si>
    <t>Tipp City Ex Vill SD</t>
  </si>
  <si>
    <t>Troy City SD</t>
  </si>
  <si>
    <t>Switzerland Of Ohio Local SD</t>
  </si>
  <si>
    <t>Brookville Local SD</t>
  </si>
  <si>
    <t>Centerville City SD</t>
  </si>
  <si>
    <t>Dayton City SD</t>
  </si>
  <si>
    <t>Huber Heights City SD</t>
  </si>
  <si>
    <t>Jefferson Township Local SD</t>
  </si>
  <si>
    <t>Kettering City SD</t>
  </si>
  <si>
    <t>Mad River Local SD</t>
  </si>
  <si>
    <t>Miamisburg City SD</t>
  </si>
  <si>
    <t>New Lebanon Local SD</t>
  </si>
  <si>
    <t>Northmont City SD</t>
  </si>
  <si>
    <t>Oakwood City SD</t>
  </si>
  <si>
    <t>Trotwood-Madison City SD</t>
  </si>
  <si>
    <t>Valley View Local SD</t>
  </si>
  <si>
    <t>Vandalia-Butler City SD</t>
  </si>
  <si>
    <t>Morgan Local SD</t>
  </si>
  <si>
    <t>Morgan</t>
  </si>
  <si>
    <t>Northmor Local SD</t>
  </si>
  <si>
    <t>East Muskingum Local SD</t>
  </si>
  <si>
    <t>Franklin Local SD</t>
  </si>
  <si>
    <t>Maysville Local SD</t>
  </si>
  <si>
    <t>Tri-Valley Local SD</t>
  </si>
  <si>
    <t>West Muskingum Local SD</t>
  </si>
  <si>
    <t>Zanesville City SD</t>
  </si>
  <si>
    <t>Caldwell Ex Vill SD</t>
  </si>
  <si>
    <t>Noble Local SD</t>
  </si>
  <si>
    <t>Benton Carroll Salem Local SD</t>
  </si>
  <si>
    <t>Danbury Local SD</t>
  </si>
  <si>
    <t>Genoa Area Local SD</t>
  </si>
  <si>
    <t>Port Clinton City SD</t>
  </si>
  <si>
    <t>Paulding</t>
  </si>
  <si>
    <t>Perry</t>
  </si>
  <si>
    <t>Circleville City SD</t>
  </si>
  <si>
    <t>Logan Elm Local SD</t>
  </si>
  <si>
    <t>Teays Valley Local SD</t>
  </si>
  <si>
    <t>Westfall Local SD</t>
  </si>
  <si>
    <t>Scioto Valley Local SD</t>
  </si>
  <si>
    <t>Waverly City SD</t>
  </si>
  <si>
    <t>Western Local SD</t>
  </si>
  <si>
    <t>Aurora City SD</t>
  </si>
  <si>
    <t>Crestwood Local SD</t>
  </si>
  <si>
    <t>James A Garfield Local SD</t>
  </si>
  <si>
    <t>Kent City SD</t>
  </si>
  <si>
    <t>Rootstown Local SD</t>
  </si>
  <si>
    <t>Southeast Local SD</t>
  </si>
  <si>
    <t>Streetsboro City SD</t>
  </si>
  <si>
    <t>Waterloo Local SD</t>
  </si>
  <si>
    <t>Windham Ex Vill SD</t>
  </si>
  <si>
    <t>Tri-County North Local SD</t>
  </si>
  <si>
    <t>Putnam</t>
  </si>
  <si>
    <t>Clear Fork Valley Local SD</t>
  </si>
  <si>
    <t>Lucas Local Local SD</t>
  </si>
  <si>
    <t>Mansfield City SD</t>
  </si>
  <si>
    <t>Ontario Local SD</t>
  </si>
  <si>
    <t>Plymouth-Shiloh Local SD</t>
  </si>
  <si>
    <t>Shelby City SD</t>
  </si>
  <si>
    <t>Adena Local SD</t>
  </si>
  <si>
    <t>Chillicothe City SD</t>
  </si>
  <si>
    <t>Huntington Local SD</t>
  </si>
  <si>
    <t>Paint Valley Local SD</t>
  </si>
  <si>
    <t>Union-Scioto Local SD</t>
  </si>
  <si>
    <t>Zane Trace Local SD</t>
  </si>
  <si>
    <t>Clyde-Green Springs Ex Vill SD</t>
  </si>
  <si>
    <t>Fremont City SD</t>
  </si>
  <si>
    <t>Gibsonburg Ex Vill SD</t>
  </si>
  <si>
    <t>Woodmore Local SD</t>
  </si>
  <si>
    <t>Bloom-Vernon Local SD</t>
  </si>
  <si>
    <t>Clay Local SD</t>
  </si>
  <si>
    <t>Green Local SD</t>
  </si>
  <si>
    <t>Minford Local SD</t>
  </si>
  <si>
    <t>New Boston Local SD</t>
  </si>
  <si>
    <t>Portsmouth City SD</t>
  </si>
  <si>
    <t>Washington-Nile Local SD</t>
  </si>
  <si>
    <t>Wheelersburg Local SD</t>
  </si>
  <si>
    <t>Seneca East Local SD</t>
  </si>
  <si>
    <t>Tiffin City SD</t>
  </si>
  <si>
    <t>Fort Loramie Local SD</t>
  </si>
  <si>
    <t>Russia Local SD</t>
  </si>
  <si>
    <t>Sidney City SD</t>
  </si>
  <si>
    <t>Alliance City SD</t>
  </si>
  <si>
    <t>Canton City SD</t>
  </si>
  <si>
    <t>Canton Local SD</t>
  </si>
  <si>
    <t>Fairless Local SD</t>
  </si>
  <si>
    <t>Jackson Local SD</t>
  </si>
  <si>
    <t>Lake Local SD</t>
  </si>
  <si>
    <t>Louisville City SD</t>
  </si>
  <si>
    <t>Marlington Local SD</t>
  </si>
  <si>
    <t>Massillon City SD</t>
  </si>
  <si>
    <t>Minerva Local SD</t>
  </si>
  <si>
    <t>North Canton City SD</t>
  </si>
  <si>
    <t>Osnaburg Local SD</t>
  </si>
  <si>
    <t>Sandy Valley Local SD</t>
  </si>
  <si>
    <t>Tuslaw Local SD</t>
  </si>
  <si>
    <t>Akron City SD</t>
  </si>
  <si>
    <t>Barberton City SD</t>
  </si>
  <si>
    <t>Copley-Fairlawn City SD</t>
  </si>
  <si>
    <t>Cuyahoga Falls City SD</t>
  </si>
  <si>
    <t>Hudson City SD</t>
  </si>
  <si>
    <t>Mogadore Local SD</t>
  </si>
  <si>
    <t>Nordonia Hills City SD</t>
  </si>
  <si>
    <t>Norton City SD</t>
  </si>
  <si>
    <t>Revere Local SD</t>
  </si>
  <si>
    <t>Stow-Munroe Falls City SD</t>
  </si>
  <si>
    <t>Tallmadge City SD</t>
  </si>
  <si>
    <t>Twinsburg City SD</t>
  </si>
  <si>
    <t>Woodridge Local SD</t>
  </si>
  <si>
    <t>Bloomfield-Mespo Local SD</t>
  </si>
  <si>
    <t>Bristol Local SD</t>
  </si>
  <si>
    <t>Brookfield Local SD</t>
  </si>
  <si>
    <t>Champion Local SD</t>
  </si>
  <si>
    <t>Girard City SD</t>
  </si>
  <si>
    <t>Howland Local SD</t>
  </si>
  <si>
    <t>Hubbard Ex Vill SD</t>
  </si>
  <si>
    <t>Joseph Badger Local SD</t>
  </si>
  <si>
    <t>LaBrae Local SD</t>
  </si>
  <si>
    <t>Lakeview Local SD</t>
  </si>
  <si>
    <t>Liberty Local SD</t>
  </si>
  <si>
    <t>Lordstown Local SD</t>
  </si>
  <si>
    <t>Maplewood Local SD</t>
  </si>
  <si>
    <t>Mathews Local SD</t>
  </si>
  <si>
    <t>Mcdonald Local SD</t>
  </si>
  <si>
    <t>Newton Falls Ex Vill SD</t>
  </si>
  <si>
    <t>Southington Local SD</t>
  </si>
  <si>
    <t>Warren City SD</t>
  </si>
  <si>
    <t>Weathersfield Local SD</t>
  </si>
  <si>
    <t>Claymont City SD</t>
  </si>
  <si>
    <t>Dover City SD</t>
  </si>
  <si>
    <t>Garaway Local SD</t>
  </si>
  <si>
    <t>Indian Valley Local SD</t>
  </si>
  <si>
    <t>New Philadelphia City SD</t>
  </si>
  <si>
    <t>Newcomerstown Ex Vill SD</t>
  </si>
  <si>
    <t>Tuscarawas Valley Local SD</t>
  </si>
  <si>
    <t>Fairbanks Local SD</t>
  </si>
  <si>
    <t>Marysville Ex Vill SD</t>
  </si>
  <si>
    <t>North Union Local SD</t>
  </si>
  <si>
    <t>Lincolnview Local SD</t>
  </si>
  <si>
    <t>Van Wert City SD</t>
  </si>
  <si>
    <t>Vinton County Local SD</t>
  </si>
  <si>
    <t>Carlisle Local SD</t>
  </si>
  <si>
    <t>Franklin City SD</t>
  </si>
  <si>
    <t>Kings Local SD</t>
  </si>
  <si>
    <t>Little Miami Local SD</t>
  </si>
  <si>
    <t>Mason City SD</t>
  </si>
  <si>
    <t>Belpre City SD</t>
  </si>
  <si>
    <t>Frontier Local SD</t>
  </si>
  <si>
    <t>Warren Local SD</t>
  </si>
  <si>
    <t>Wolf Creek Local SD</t>
  </si>
  <si>
    <t>Chippewa Local SD</t>
  </si>
  <si>
    <t>Orrville City SD</t>
  </si>
  <si>
    <t>Rittman Ex Vill SD</t>
  </si>
  <si>
    <t>Williams</t>
  </si>
  <si>
    <t>Edon-Northwest Local SD</t>
  </si>
  <si>
    <t>Stryker Local SD</t>
  </si>
  <si>
    <t>Bowling Green City SD</t>
  </si>
  <si>
    <t>Eastwood Local SD</t>
  </si>
  <si>
    <t>North Baltimore Local SD</t>
  </si>
  <si>
    <t>Northwood Local SD</t>
  </si>
  <si>
    <t>Otsego Local SD</t>
  </si>
  <si>
    <t>Perrysburg Ex Vill SD</t>
  </si>
  <si>
    <t>Rossford Ex Vill SD</t>
  </si>
  <si>
    <t>Wyandot</t>
  </si>
  <si>
    <t>Business</t>
  </si>
  <si>
    <t>Central</t>
  </si>
  <si>
    <t>capital</t>
  </si>
  <si>
    <t>outlay and</t>
  </si>
  <si>
    <t>debt</t>
  </si>
  <si>
    <t>principal</t>
  </si>
  <si>
    <t>Amounts</t>
  </si>
  <si>
    <t>Due within</t>
  </si>
  <si>
    <t>Due in More</t>
  </si>
  <si>
    <t>Than One Year/Tie</t>
  </si>
  <si>
    <t xml:space="preserve">to Statement of </t>
  </si>
  <si>
    <t>This Column</t>
  </si>
  <si>
    <t>Should not</t>
  </si>
  <si>
    <t>exist</t>
  </si>
  <si>
    <t xml:space="preserve">Income </t>
  </si>
  <si>
    <t>Income</t>
  </si>
  <si>
    <t>(including</t>
  </si>
  <si>
    <t>special items)</t>
  </si>
  <si>
    <t>Ashtabula Area City SD</t>
  </si>
  <si>
    <t>Extraordinary/</t>
  </si>
  <si>
    <t>Miscellaneous</t>
  </si>
  <si>
    <t>.</t>
  </si>
  <si>
    <t>in reserve for</t>
  </si>
  <si>
    <t>Inventory</t>
  </si>
  <si>
    <t>(Increase)/Decrease</t>
  </si>
  <si>
    <t>in Reserve for</t>
  </si>
  <si>
    <t>Pass-through</t>
  </si>
  <si>
    <t xml:space="preserve">Refund of </t>
  </si>
  <si>
    <t>Prior Year's</t>
  </si>
  <si>
    <t>Refund of</t>
  </si>
  <si>
    <t>Receipts</t>
  </si>
  <si>
    <t>Amherst Ex Vill SD</t>
  </si>
  <si>
    <t>Retirement (2)</t>
  </si>
  <si>
    <t xml:space="preserve">Adena Local SD </t>
  </si>
  <si>
    <t xml:space="preserve">(1) Income taxes may be included in Property and Other Local taxes in some cases. </t>
  </si>
  <si>
    <t>Regular (1)</t>
  </si>
  <si>
    <t>Increase or</t>
  </si>
  <si>
    <t>(Decrease)</t>
  </si>
  <si>
    <t>Special Items</t>
  </si>
  <si>
    <t xml:space="preserve">Designated </t>
  </si>
  <si>
    <t xml:space="preserve">Extraordinary/ </t>
  </si>
  <si>
    <t>Pupils (2)</t>
  </si>
  <si>
    <t>(1) In some instances, Regular Instruction total may include all Instruction types.</t>
  </si>
  <si>
    <t>(2) In some instances, Pupils total may include all Support Services types.</t>
  </si>
  <si>
    <t>Pupils(2)</t>
  </si>
  <si>
    <t>Retirement (3)</t>
  </si>
  <si>
    <t>Sheffield-Sheffield Lake City SD</t>
  </si>
  <si>
    <t>In / (Out)</t>
  </si>
  <si>
    <t>Designated</t>
  </si>
  <si>
    <t xml:space="preserve">Extraordinary </t>
  </si>
  <si>
    <t>Item</t>
  </si>
  <si>
    <t>Extraordinary</t>
  </si>
  <si>
    <t>Earnings on</t>
  </si>
  <si>
    <t xml:space="preserve">Orrville City SD  </t>
  </si>
  <si>
    <t xml:space="preserve">Northwest Local SD    </t>
  </si>
  <si>
    <t>(Continued)</t>
  </si>
  <si>
    <t>Governmental Fund Expenditures - Modified Accrual Basis of Accounting</t>
  </si>
  <si>
    <t>Revenues,</t>
  </si>
  <si>
    <t>Undesignated</t>
  </si>
  <si>
    <t>Unreserved,</t>
  </si>
  <si>
    <t>Debt</t>
  </si>
  <si>
    <t>Sources, and</t>
  </si>
  <si>
    <t>Issued (2)</t>
  </si>
  <si>
    <t>(2) Includes Inception of Capital Leases</t>
  </si>
  <si>
    <t xml:space="preserve">Darke </t>
  </si>
  <si>
    <t>Barnesville Ex Vill SD</t>
  </si>
  <si>
    <t>Coventry Local SD</t>
  </si>
  <si>
    <t>Crooksville Ex Vill SD</t>
  </si>
  <si>
    <t>Manchester Local SD</t>
  </si>
  <si>
    <t>Niles City SD</t>
  </si>
  <si>
    <t>Niles City Sd</t>
  </si>
  <si>
    <t>Salem City SD</t>
  </si>
  <si>
    <t>New Albany-Plain SD</t>
  </si>
  <si>
    <t>New Albany-Plan SD</t>
  </si>
  <si>
    <t>New Albany-Plain Local SD</t>
  </si>
  <si>
    <t xml:space="preserve"> Taxes (1)</t>
  </si>
  <si>
    <t>Dalton Local SD</t>
  </si>
  <si>
    <t>Columbus Grove Local SD (CASH)</t>
  </si>
  <si>
    <t>Lebanon City SD (CASH)</t>
  </si>
  <si>
    <t>Marietta City SD (CASH)</t>
  </si>
  <si>
    <t>Millcreek-West Unity Local SD (CASH)</t>
  </si>
  <si>
    <t>Old Fort Local SD (CASH)</t>
  </si>
  <si>
    <t>Franklin Monroe Local SD (CASH)</t>
  </si>
  <si>
    <t>Fort Frye Local SD (CASH)</t>
  </si>
  <si>
    <t>Alexander Local SD (CASH)</t>
  </si>
  <si>
    <t>Carey Ex Vill SD (CASH)</t>
  </si>
  <si>
    <t>Celina City SD (CASH)</t>
  </si>
  <si>
    <t>Evergreen Local SD (CASH)</t>
  </si>
  <si>
    <t>Fairlawn Local SD (CASH)</t>
  </si>
  <si>
    <t>Mohawk Local SD (CASH)</t>
  </si>
  <si>
    <t>Wickliffe City SD (CASH)</t>
  </si>
  <si>
    <t>Wooster City SD</t>
  </si>
  <si>
    <t>Wayne Trace Local Local SD (CASH)</t>
  </si>
  <si>
    <t>(1) In some instances, Regular Instruction may include all Instruction types.</t>
  </si>
  <si>
    <t>(2) In some instances, Pupils may include all Support Services types.</t>
  </si>
  <si>
    <t>Transfers and</t>
  </si>
  <si>
    <t>Other Financing</t>
  </si>
  <si>
    <t>Fairborn City SD</t>
  </si>
  <si>
    <t>Green</t>
  </si>
  <si>
    <t>Fairborn Local SD</t>
  </si>
  <si>
    <t>`</t>
  </si>
  <si>
    <t>James A. Garfield Local SD</t>
  </si>
  <si>
    <t>Lucas Local SD</t>
  </si>
  <si>
    <t>Mount Gilead Ex Vill SD</t>
  </si>
  <si>
    <t>St. Clairsville-Richland City SD</t>
  </si>
  <si>
    <t>St. Bernard-Elmwood Place City SD</t>
  </si>
  <si>
    <t>Switzerland of Ohio Local SD</t>
  </si>
  <si>
    <t>Springfield City SD</t>
  </si>
  <si>
    <t>Lakewood Local SD</t>
  </si>
  <si>
    <t>Lakewood Local  SD</t>
  </si>
  <si>
    <t>Norwood City SD</t>
  </si>
  <si>
    <t>Ravenna City SD</t>
  </si>
  <si>
    <t>Ripley-Union-Lewis-Huntington LSD</t>
  </si>
  <si>
    <t>South Central Local SD</t>
  </si>
  <si>
    <t>Liberty Union-Thurston LSD</t>
  </si>
  <si>
    <t>St. Clairsville-Richland CSD</t>
  </si>
  <si>
    <t>St. Bernard-Elmwood Place CSD</t>
  </si>
  <si>
    <t>St Clairsville-Richland CSD</t>
  </si>
  <si>
    <t>Brecksville-Broadview Heights CSD</t>
  </si>
  <si>
    <t xml:space="preserve">Bay Village City SD </t>
  </si>
  <si>
    <t>OCBOA</t>
  </si>
  <si>
    <t>Buckeye Online School for Success</t>
  </si>
  <si>
    <t xml:space="preserve">Southwest Licking Local SD </t>
  </si>
  <si>
    <t xml:space="preserve">Big Walnut Local SD </t>
  </si>
  <si>
    <t xml:space="preserve">Buckeye Valley Local SD </t>
  </si>
  <si>
    <t xml:space="preserve">Keystone Local SD </t>
  </si>
  <si>
    <t>McDonald Local SD</t>
  </si>
  <si>
    <t xml:space="preserve">Berkshire Local SD </t>
  </si>
  <si>
    <t>Mississinawa Valley Local SD  (CASH)</t>
  </si>
  <si>
    <t>McComb Local SD (Cash)</t>
  </si>
  <si>
    <t xml:space="preserve">Gahanna-Jefferson City SD </t>
  </si>
  <si>
    <t xml:space="preserve">Gallia County Local SD </t>
  </si>
  <si>
    <t>Geneva Area City SD</t>
  </si>
  <si>
    <t xml:space="preserve">Fremont City SD </t>
  </si>
  <si>
    <t xml:space="preserve">Southern Local SD </t>
  </si>
  <si>
    <t>Waynesfield-Goshen Local SD  (CASH)</t>
  </si>
  <si>
    <t xml:space="preserve">Amherst Ex Vill SD </t>
  </si>
  <si>
    <t>Bluffton Ex Vill SD (OCBOA)</t>
  </si>
  <si>
    <t xml:space="preserve">Campbell City SD </t>
  </si>
  <si>
    <t xml:space="preserve">Cardinal Local SD </t>
  </si>
  <si>
    <t xml:space="preserve">Centerburg Local SD </t>
  </si>
  <si>
    <t xml:space="preserve">Centerville City SD </t>
  </si>
  <si>
    <t>Cleveland Heights-University Heights City SD</t>
  </si>
  <si>
    <t>Clermont Northeastern Local SD</t>
  </si>
  <si>
    <t>Coldwater Exempted Village SD (CASH)</t>
  </si>
  <si>
    <t>Covington Ex Village SD</t>
  </si>
  <si>
    <t>Crestline Ex Village SD</t>
  </si>
  <si>
    <t>Crestview Local SD (CASH)</t>
  </si>
  <si>
    <t xml:space="preserve">Cuyahoga Falls City SD </t>
  </si>
  <si>
    <t>Danville Local SD (CASH)</t>
  </si>
  <si>
    <t>Deer Park City SD</t>
  </si>
  <si>
    <t>Defiance City SD (CASH)</t>
  </si>
  <si>
    <t>Delaware City School District</t>
  </si>
  <si>
    <t>East Knox Local SD (CASH)</t>
  </si>
  <si>
    <t>Eastern Local SD (CASH)</t>
  </si>
  <si>
    <t>Edgerton Local SD (CASH)</t>
  </si>
  <si>
    <t xml:space="preserve">Edgewood City SD </t>
  </si>
  <si>
    <t>Elida Local SD (CASH)</t>
  </si>
  <si>
    <t>Fayette Local SD</t>
  </si>
  <si>
    <t>Federal Hocking LSD</t>
  </si>
  <si>
    <t>Fort Recovery LSD (CASH)</t>
  </si>
  <si>
    <t>Fredericktown Local SD (CASH)</t>
  </si>
  <si>
    <t>Georgetown Exempted Village SD (CASH)</t>
  </si>
  <si>
    <t>Granville Exempted Village SD</t>
  </si>
  <si>
    <t>Hicksville Ex Vill SD  (CASH)</t>
  </si>
  <si>
    <t>Hicksville Ex Vill SD (CASH)</t>
  </si>
  <si>
    <t>Jackson Center Local SD (CASH)</t>
  </si>
  <si>
    <t>Jennings Local School District (CASH)</t>
  </si>
  <si>
    <t xml:space="preserve">Ashtabula Area City SD </t>
  </si>
  <si>
    <t>Arcanum Butler Local SD (CASH)</t>
  </si>
  <si>
    <t>Bath Local SD (CASH)</t>
  </si>
  <si>
    <t>Bettsville Local SD (CASH)</t>
  </si>
  <si>
    <t xml:space="preserve">Bridgeport Ex Vill SD </t>
  </si>
  <si>
    <t xml:space="preserve">Brookfield Local SD </t>
  </si>
  <si>
    <t xml:space="preserve">Brookville Local SD </t>
  </si>
  <si>
    <t>Bryan City SD (CASH)</t>
  </si>
  <si>
    <t xml:space="preserve">Buckeye Local SD </t>
  </si>
  <si>
    <t>Continental Local SD (CASH) Two year Audit</t>
  </si>
  <si>
    <t>Bradford Ex Vill SD (CASH) Two year audit</t>
  </si>
  <si>
    <t xml:space="preserve">Chippewa Local SD </t>
  </si>
  <si>
    <t>Fairport Harbor Ex Vill SD - Two Year Audit</t>
  </si>
  <si>
    <t>Eaton Community SD</t>
  </si>
  <si>
    <t xml:space="preserve">Elgin Local SD </t>
  </si>
  <si>
    <t xml:space="preserve">Garfield Heights City SD </t>
  </si>
  <si>
    <t>Jackson City SD (CASH)</t>
  </si>
  <si>
    <t xml:space="preserve">Jackson City SD (CASH) </t>
  </si>
  <si>
    <t xml:space="preserve">Jefferson Area Local SD </t>
  </si>
  <si>
    <t xml:space="preserve">Jefferson Township Local SD </t>
  </si>
  <si>
    <t xml:space="preserve">Lakota Local SD </t>
  </si>
  <si>
    <t>Leipsic Local SD (CASH)</t>
  </si>
  <si>
    <t xml:space="preserve">Liberty Local SD </t>
  </si>
  <si>
    <t>Lima City School District (CASH)</t>
  </si>
  <si>
    <t>Loudonville-Perrysville Exempted Village SD</t>
  </si>
  <si>
    <t xml:space="preserve">Lowellville Local SD </t>
  </si>
  <si>
    <t>Madison Local SD (CASH)</t>
  </si>
  <si>
    <t>Madison Local SD (CASH)  (Report provided does not have this statement.  Copy is same as AOS website.)</t>
  </si>
  <si>
    <t>Marion Local SD (CASH)</t>
  </si>
  <si>
    <t>Miller City-New Cleveland Local (Two year Audit)</t>
  </si>
  <si>
    <t>Painesville Township Local Local - now RIVERSIDE LOCAL SCHOOL DISTRICT since 2007</t>
  </si>
  <si>
    <t>Pandora-Gilboa Local SD (CASH)  (Two year Audit)</t>
  </si>
  <si>
    <t>Parkway Local SD (CASH) (Two year Audit)</t>
  </si>
  <si>
    <t>Paulding Ex Vill SD (CASH)</t>
  </si>
  <si>
    <t>Perry Local SD (CASH)</t>
  </si>
  <si>
    <t>Plain Local SD - Name change</t>
  </si>
  <si>
    <t>Preble Shawnee Local SD (CASH)</t>
  </si>
  <si>
    <t>Tri-Village Local SD (CASH)</t>
  </si>
  <si>
    <t>Ansonia Local SD (CASH)</t>
  </si>
  <si>
    <t>Elmwood Local SD (CASH)</t>
  </si>
  <si>
    <t>Kirtland Local SD (CASH)</t>
  </si>
  <si>
    <t xml:space="preserve">Kirtland Local SD (CASH) </t>
  </si>
  <si>
    <t xml:space="preserve">Madison Plains Local SD </t>
  </si>
  <si>
    <t>Twin Valley Community Local SD (CASH)</t>
  </si>
  <si>
    <t>Upper Sandusky Ex Vill SD (CASH)</t>
  </si>
  <si>
    <t>Upper Scioto Valley Local SD (CASH)</t>
  </si>
  <si>
    <t>Valley Local SD (CASH)</t>
  </si>
  <si>
    <t>Gorham Fayette Local SD - name changed to Fayette Local.  See below</t>
  </si>
  <si>
    <t>Vanlue Local SD (CASH)</t>
  </si>
  <si>
    <t>Versailles Exempted Village SD (CASH)</t>
  </si>
  <si>
    <t>Shawnee Local SD (CASH)</t>
  </si>
  <si>
    <t>Southern Local SD (CASH)</t>
  </si>
  <si>
    <t>Springboro Community City SD (CASH)</t>
  </si>
  <si>
    <t>Spencerville Local SD (CASH)</t>
  </si>
  <si>
    <t>St Henry Consolidated Local SD (CASH)</t>
  </si>
  <si>
    <t>St Marys City SD (CASH)</t>
  </si>
  <si>
    <t>Strasburg-Franklin Local SD (CASH)</t>
  </si>
  <si>
    <t>New Knoxville Local SD (CASH)</t>
  </si>
  <si>
    <t>West Carrollton City SD</t>
  </si>
  <si>
    <t>Wayne Local SD (CASH)</t>
  </si>
  <si>
    <t>Northeastern Local SD (CASH)</t>
  </si>
  <si>
    <t xml:space="preserve">North College Hill City SD </t>
  </si>
  <si>
    <t>Ottoville Local SD (CASH)</t>
  </si>
  <si>
    <t>Ottawa-Glandorf Local SD (CASH)</t>
  </si>
  <si>
    <t>North Central Local SD (CASH)</t>
  </si>
  <si>
    <t>North Bass Local SD (CASH)</t>
  </si>
  <si>
    <t>New Riegel Local SD (CASH)</t>
  </si>
  <si>
    <t>New Lexington City SD (CASH)</t>
  </si>
  <si>
    <t xml:space="preserve">Cuyahoga Heights Local SD  </t>
  </si>
  <si>
    <t xml:space="preserve">Field Local SD  </t>
  </si>
  <si>
    <t xml:space="preserve">Mad River Local SD </t>
  </si>
  <si>
    <t xml:space="preserve">Mayfield City SD  </t>
  </si>
  <si>
    <t xml:space="preserve">Mt. Healthy City SD </t>
  </si>
  <si>
    <t xml:space="preserve">Ridgemont Local SD </t>
  </si>
  <si>
    <t xml:space="preserve">Rocky River City SD </t>
  </si>
  <si>
    <t xml:space="preserve">Ross Local SD </t>
  </si>
  <si>
    <t xml:space="preserve">Shaker Heights City SD </t>
  </si>
  <si>
    <t xml:space="preserve">Springfield Local SD </t>
  </si>
  <si>
    <t xml:space="preserve">Talawanda City SD </t>
  </si>
  <si>
    <t xml:space="preserve">Three Rivers Local SD  </t>
  </si>
  <si>
    <t xml:space="preserve">Toronto City SD </t>
  </si>
  <si>
    <t xml:space="preserve">Crestwood Local SD </t>
  </si>
  <si>
    <t xml:space="preserve">Cuyahoga Heights Local SD </t>
  </si>
  <si>
    <t xml:space="preserve">Field Local SD </t>
  </si>
  <si>
    <t xml:space="preserve">Kings Local SD  </t>
  </si>
  <si>
    <t xml:space="preserve">Maple Heights City SD </t>
  </si>
  <si>
    <t xml:space="preserve">Mayfield City SD </t>
  </si>
  <si>
    <t xml:space="preserve">Poland Local SD </t>
  </si>
  <si>
    <t xml:space="preserve">Three Rivers Local SD </t>
  </si>
  <si>
    <t xml:space="preserve">Toronto City SD  </t>
  </si>
  <si>
    <t>In some instances, numbers were rounded on the financial statements.</t>
  </si>
  <si>
    <t>Mt. Healthy City SD</t>
  </si>
  <si>
    <t xml:space="preserve">Mad River Local SD  </t>
  </si>
  <si>
    <t xml:space="preserve"> In some instances, numbers were rounded on the financial statements.</t>
  </si>
  <si>
    <t>(3) In some instances, Principal Retirement may include Debt Service Interest.</t>
  </si>
  <si>
    <t>(2) Debt Issued includes Inception of Capital Leases</t>
  </si>
  <si>
    <t>As of June 30, 2010</t>
  </si>
  <si>
    <t>For the Fiscal Year Ended June 30, 2010</t>
  </si>
  <si>
    <t>Adams County/Ohio Valley SD</t>
  </si>
  <si>
    <t>Anna Local SD (CASH)</t>
  </si>
  <si>
    <t>Archbold Area Local SD</t>
  </si>
  <si>
    <t>Botkins Local SD (CASH) two year audit</t>
  </si>
  <si>
    <t>Cardington Lincoln Local SD</t>
  </si>
  <si>
    <t>Cedar Cliff Local SD (two year but not cash)</t>
  </si>
  <si>
    <t>Central Local SD (CASH)</t>
  </si>
  <si>
    <t>Chardon Local SD (CASH)</t>
  </si>
  <si>
    <t>Cincinnati City SD</t>
  </si>
  <si>
    <t>College Corner Local SD (CASH) Two year Audit</t>
  </si>
  <si>
    <t>Cory Rawson Local SD</t>
  </si>
  <si>
    <t>Union Local SD (CASH)</t>
  </si>
  <si>
    <t>Riverdale Local SD (CASH)</t>
  </si>
  <si>
    <t>Triway Local SD (CASH)</t>
  </si>
  <si>
    <t>Green Local SD (CASH)</t>
  </si>
  <si>
    <t>Hamilton Local SD</t>
  </si>
  <si>
    <t>Hardin Houston Local SD (CASH)</t>
  </si>
  <si>
    <t>Indian Lake Local SD (CASH)</t>
  </si>
  <si>
    <t>Jennings Local SD (CASH)</t>
  </si>
  <si>
    <t>Lake Local SD (CASH)</t>
  </si>
  <si>
    <t xml:space="preserve">Lebanon City SD (CASH) </t>
  </si>
  <si>
    <t>Leetonia Exempted Vill SD (CASH)</t>
  </si>
  <si>
    <t>Lexington Local SD (CASH)</t>
  </si>
  <si>
    <t>Lockland Local SD (CASH)</t>
  </si>
  <si>
    <t xml:space="preserve">Lockland Local SD (CASH) </t>
  </si>
  <si>
    <t>National Trail LSD (CASH)</t>
  </si>
  <si>
    <t>Newton Local SD (CASH)</t>
  </si>
  <si>
    <t>Northwestern Local SD (CASH)</t>
  </si>
  <si>
    <t>Oak Hill Union Local SD (CASH)</t>
  </si>
  <si>
    <t>Montpelier Ex Vill SD (CASH)</t>
  </si>
  <si>
    <t>Fostoria City SD (CASH)</t>
  </si>
  <si>
    <t>Bellbrook-Sugarcreek Local SD</t>
  </si>
  <si>
    <t>Toledo School for the Arts-Community School</t>
  </si>
  <si>
    <t>Within 1 Yr</t>
  </si>
  <si>
    <t>Liabilities continued</t>
  </si>
  <si>
    <t>Support Services continued</t>
  </si>
  <si>
    <t>Governmental Activities</t>
  </si>
  <si>
    <t xml:space="preserve">General Revenues - </t>
  </si>
  <si>
    <t>General Revenues -</t>
  </si>
  <si>
    <t>Governmental Activities continued</t>
  </si>
  <si>
    <t>Fund Balances</t>
  </si>
  <si>
    <t>Total Long-Term</t>
  </si>
</sst>
</file>

<file path=xl/styles.xml><?xml version="1.0" encoding="utf-8"?>
<styleSheet xmlns="http://schemas.openxmlformats.org/spreadsheetml/2006/main">
  <numFmts count="5">
    <numFmt numFmtId="5" formatCode="&quot;$&quot;#,##0_);\(&quot;$&quot;#,##0\)"/>
    <numFmt numFmtId="164" formatCode="&quot;$&quot;#,##0"/>
    <numFmt numFmtId="165" formatCode="0_);\(0\)"/>
    <numFmt numFmtId="166" formatCode="#,##0.0000_);\(#,##0.0000\)"/>
    <numFmt numFmtId="167" formatCode="#,##0;[Red]#,##0"/>
  </numFmts>
  <fonts count="18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b/>
      <sz val="9"/>
      <color indexed="9"/>
      <name val="Times New Roman"/>
      <family val="1"/>
    </font>
    <font>
      <i/>
      <sz val="9"/>
      <name val="Times New Roman"/>
      <family val="1"/>
    </font>
    <font>
      <sz val="9"/>
      <color indexed="10"/>
      <name val="Times New Roman"/>
      <family val="1"/>
    </font>
    <font>
      <sz val="9"/>
      <name val="MS Outlook"/>
      <charset val="2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10"/>
      <name val="Arial"/>
      <family val="2"/>
    </font>
    <font>
      <sz val="7"/>
      <name val="Times New Roman"/>
      <family val="1"/>
    </font>
    <font>
      <sz val="7.5"/>
      <name val="Times New Roman"/>
      <family val="1"/>
    </font>
    <font>
      <sz val="8.5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11">
    <xf numFmtId="0" fontId="0" fillId="0" borderId="0">
      <alignment vertical="top"/>
    </xf>
    <xf numFmtId="4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0" fontId="11" fillId="0" borderId="0" applyFont="0" applyFill="0" applyBorder="0" applyAlignment="0" applyProtection="0"/>
    <xf numFmtId="0" fontId="11" fillId="0" borderId="1" applyNumberFormat="0" applyFont="0" applyBorder="0" applyAlignment="0" applyProtection="0"/>
  </cellStyleXfs>
  <cellXfs count="110">
    <xf numFmtId="0" fontId="0" fillId="0" borderId="0" xfId="0" applyAlignment="1"/>
    <xf numFmtId="37" fontId="6" fillId="0" borderId="0" xfId="0" applyNumberFormat="1" applyFont="1" applyFill="1" applyAlignment="1"/>
    <xf numFmtId="37" fontId="5" fillId="0" borderId="0" xfId="0" applyNumberFormat="1" applyFont="1" applyFill="1" applyAlignment="1"/>
    <xf numFmtId="165" fontId="6" fillId="0" borderId="0" xfId="0" applyNumberFormat="1" applyFont="1" applyFill="1" applyAlignment="1"/>
    <xf numFmtId="0" fontId="0" fillId="0" borderId="0" xfId="0" applyFill="1" applyAlignment="1"/>
    <xf numFmtId="0" fontId="5" fillId="0" borderId="0" xfId="0" applyFont="1" applyFill="1" applyAlignment="1"/>
    <xf numFmtId="37" fontId="7" fillId="0" borderId="0" xfId="0" applyNumberFormat="1" applyFont="1" applyFill="1" applyAlignment="1"/>
    <xf numFmtId="37" fontId="13" fillId="0" borderId="0" xfId="0" applyNumberFormat="1" applyFont="1" applyFill="1" applyAlignment="1"/>
    <xf numFmtId="37" fontId="6" fillId="0" borderId="0" xfId="0" applyNumberFormat="1" applyFont="1" applyFill="1" applyBorder="1" applyAlignment="1"/>
    <xf numFmtId="37" fontId="6" fillId="0" borderId="0" xfId="0" applyNumberFormat="1" applyFont="1" applyFill="1" applyBorder="1" applyAlignment="1">
      <alignment horizontal="centerContinuous"/>
    </xf>
    <xf numFmtId="37" fontId="6" fillId="0" borderId="0" xfId="0" applyNumberFormat="1" applyFont="1" applyFill="1" applyAlignment="1">
      <alignment horizontal="centerContinuous"/>
    </xf>
    <xf numFmtId="165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>
      <alignment vertical="top"/>
    </xf>
    <xf numFmtId="165" fontId="6" fillId="0" borderId="0" xfId="0" applyNumberFormat="1" applyFont="1" applyFill="1">
      <alignment vertical="top"/>
    </xf>
    <xf numFmtId="5" fontId="6" fillId="0" borderId="0" xfId="0" applyNumberFormat="1" applyFont="1" applyFill="1">
      <alignment vertical="top"/>
    </xf>
    <xf numFmtId="5" fontId="6" fillId="0" borderId="0" xfId="0" applyNumberFormat="1" applyFont="1" applyFill="1" applyBorder="1" applyAlignment="1"/>
    <xf numFmtId="5" fontId="6" fillId="0" borderId="0" xfId="0" applyNumberFormat="1" applyFont="1" applyFill="1" applyAlignment="1"/>
    <xf numFmtId="0" fontId="6" fillId="0" borderId="0" xfId="0" applyFont="1" applyFill="1">
      <alignment vertical="top"/>
    </xf>
    <xf numFmtId="0" fontId="6" fillId="0" borderId="0" xfId="0" applyFont="1" applyFill="1" applyAlignment="1"/>
    <xf numFmtId="37" fontId="9" fillId="0" borderId="0" xfId="0" applyNumberFormat="1" applyFont="1" applyFill="1" applyAlignment="1"/>
    <xf numFmtId="37" fontId="6" fillId="0" borderId="0" xfId="0" applyNumberFormat="1" applyFont="1" applyFill="1" applyAlignment="1">
      <alignment horizontal="right"/>
    </xf>
    <xf numFmtId="165" fontId="5" fillId="0" borderId="0" xfId="0" applyNumberFormat="1" applyFont="1" applyFill="1" applyAlignment="1"/>
    <xf numFmtId="37" fontId="6" fillId="0" borderId="2" xfId="0" applyNumberFormat="1" applyFont="1" applyFill="1" applyBorder="1" applyAlignment="1">
      <alignment horizontal="centerContinuous"/>
    </xf>
    <xf numFmtId="37" fontId="15" fillId="0" borderId="0" xfId="0" applyNumberFormat="1" applyFont="1" applyFill="1" applyAlignment="1"/>
    <xf numFmtId="0" fontId="6" fillId="0" borderId="0" xfId="0" applyFont="1" applyFill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3" fontId="6" fillId="0" borderId="2" xfId="0" applyNumberFormat="1" applyFont="1" applyFill="1" applyBorder="1" applyAlignment="1">
      <alignment horizontal="center"/>
    </xf>
    <xf numFmtId="5" fontId="0" fillId="0" borderId="0" xfId="0" applyNumberFormat="1" applyFill="1" applyAlignment="1"/>
    <xf numFmtId="37" fontId="0" fillId="0" borderId="0" xfId="0" applyNumberFormat="1" applyFill="1" applyAlignment="1"/>
    <xf numFmtId="3" fontId="6" fillId="0" borderId="0" xfId="0" applyNumberFormat="1" applyFont="1" applyFill="1" applyBorder="1" applyAlignment="1"/>
    <xf numFmtId="37" fontId="11" fillId="0" borderId="0" xfId="0" applyNumberFormat="1" applyFont="1" applyFill="1" applyAlignment="1"/>
    <xf numFmtId="3" fontId="6" fillId="0" borderId="0" xfId="0" applyNumberFormat="1" applyFont="1" applyFill="1" applyAlignment="1"/>
    <xf numFmtId="5" fontId="11" fillId="0" borderId="0" xfId="0" applyNumberFormat="1" applyFont="1" applyFill="1" applyAlignment="1"/>
    <xf numFmtId="37" fontId="5" fillId="0" borderId="0" xfId="0" applyNumberFormat="1" applyFont="1" applyFill="1" applyBorder="1" applyAlignment="1"/>
    <xf numFmtId="165" fontId="5" fillId="0" borderId="0" xfId="0" applyNumberFormat="1" applyFont="1" applyFill="1" applyBorder="1" applyAlignment="1"/>
    <xf numFmtId="37" fontId="5" fillId="0" borderId="0" xfId="0" applyNumberFormat="1" applyFont="1" applyFill="1" applyBorder="1" applyAlignment="1">
      <alignment horizontal="centerContinuous"/>
    </xf>
    <xf numFmtId="37" fontId="5" fillId="0" borderId="0" xfId="0" applyNumberFormat="1" applyFont="1" applyFill="1" applyBorder="1" applyAlignment="1">
      <alignment horizontal="right"/>
    </xf>
    <xf numFmtId="37" fontId="5" fillId="0" borderId="0" xfId="0" applyNumberFormat="1" applyFont="1" applyFill="1" applyAlignment="1">
      <alignment horizontal="right"/>
    </xf>
    <xf numFmtId="39" fontId="5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/>
    </xf>
    <xf numFmtId="39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 vertical="justify"/>
    </xf>
    <xf numFmtId="37" fontId="6" fillId="0" borderId="0" xfId="2" applyNumberFormat="1" applyFont="1" applyFill="1" applyBorder="1" applyAlignment="1">
      <alignment horizontal="right" vertical="justify"/>
    </xf>
    <xf numFmtId="37" fontId="6" fillId="0" borderId="0" xfId="0" applyNumberFormat="1" applyFont="1" applyFill="1" applyAlignment="1">
      <alignment horizontal="right" vertical="justify"/>
    </xf>
    <xf numFmtId="5" fontId="6" fillId="0" borderId="0" xfId="0" applyNumberFormat="1" applyFont="1" applyFill="1" applyBorder="1" applyAlignment="1">
      <alignment horizontal="right" vertical="justify"/>
    </xf>
    <xf numFmtId="5" fontId="6" fillId="0" borderId="0" xfId="0" applyNumberFormat="1" applyFont="1" applyFill="1" applyAlignment="1">
      <alignment horizontal="right" vertical="justify"/>
    </xf>
    <xf numFmtId="5" fontId="6" fillId="0" borderId="0" xfId="0" applyNumberFormat="1" applyFont="1" applyFill="1" applyAlignment="1">
      <alignment horizontal="right" vertical="justify" wrapText="1"/>
    </xf>
    <xf numFmtId="37" fontId="6" fillId="0" borderId="0" xfId="0" applyNumberFormat="1" applyFont="1" applyFill="1" applyAlignment="1">
      <alignment horizontal="right" vertical="justify" wrapText="1"/>
    </xf>
    <xf numFmtId="37" fontId="6" fillId="0" borderId="0" xfId="0" applyNumberFormat="1" applyFont="1" applyFill="1" applyAlignment="1">
      <alignment horizontal="left" vertical="justify"/>
    </xf>
    <xf numFmtId="165" fontId="6" fillId="0" borderId="0" xfId="0" applyNumberFormat="1" applyFont="1" applyFill="1" applyAlignment="1">
      <alignment horizontal="right"/>
    </xf>
    <xf numFmtId="164" fontId="6" fillId="0" borderId="0" xfId="0" applyNumberFormat="1" applyFont="1" applyFill="1">
      <alignment vertical="top"/>
    </xf>
    <xf numFmtId="164" fontId="6" fillId="0" borderId="0" xfId="0" applyNumberFormat="1" applyFont="1" applyFill="1" applyAlignment="1">
      <alignment horizontal="right" vertical="justify"/>
    </xf>
    <xf numFmtId="164" fontId="6" fillId="0" borderId="0" xfId="0" applyNumberFormat="1" applyFont="1" applyFill="1" applyAlignment="1"/>
    <xf numFmtId="37" fontId="5" fillId="0" borderId="0" xfId="0" applyNumberFormat="1" applyFont="1" applyFill="1" applyBorder="1" applyAlignment="1">
      <alignment horizontal="left"/>
    </xf>
    <xf numFmtId="37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left"/>
    </xf>
    <xf numFmtId="37" fontId="6" fillId="0" borderId="0" xfId="2" applyNumberFormat="1" applyFont="1" applyFill="1" applyBorder="1" applyAlignment="1">
      <alignment horizontal="right"/>
    </xf>
    <xf numFmtId="5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>
      <alignment vertical="top"/>
    </xf>
    <xf numFmtId="37" fontId="6" fillId="0" borderId="0" xfId="0" applyNumberFormat="1" applyFont="1" applyFill="1" applyBorder="1">
      <alignment vertical="top"/>
    </xf>
    <xf numFmtId="165" fontId="6" fillId="0" borderId="0" xfId="0" applyNumberFormat="1" applyFont="1" applyFill="1" applyBorder="1">
      <alignment vertical="top"/>
    </xf>
    <xf numFmtId="165" fontId="5" fillId="0" borderId="0" xfId="0" applyNumberFormat="1" applyFont="1" applyFill="1" applyBorder="1" applyAlignment="1">
      <alignment horizontal="left"/>
    </xf>
    <xf numFmtId="39" fontId="6" fillId="0" borderId="0" xfId="0" applyNumberFormat="1" applyFont="1" applyFill="1" applyBorder="1" applyAlignment="1">
      <alignment horizontal="centerContinuous"/>
    </xf>
    <xf numFmtId="166" fontId="6" fillId="0" borderId="0" xfId="0" applyNumberFormat="1" applyFont="1" applyFill="1" applyBorder="1" applyAlignment="1"/>
    <xf numFmtId="165" fontId="6" fillId="0" borderId="0" xfId="0" applyNumberFormat="1" applyFont="1" applyFill="1" applyBorder="1" applyAlignment="1"/>
    <xf numFmtId="37" fontId="6" fillId="0" borderId="3" xfId="0" applyNumberFormat="1" applyFont="1" applyFill="1" applyBorder="1" applyAlignment="1">
      <alignment horizontal="center"/>
    </xf>
    <xf numFmtId="37" fontId="6" fillId="0" borderId="0" xfId="2" applyNumberFormat="1" applyFont="1" applyFill="1" applyBorder="1"/>
    <xf numFmtId="5" fontId="6" fillId="0" borderId="0" xfId="0" applyNumberFormat="1" applyFont="1" applyFill="1" applyAlignment="1">
      <alignment horizontal="right" vertical="top"/>
    </xf>
    <xf numFmtId="5" fontId="6" fillId="0" borderId="0" xfId="0" applyNumberFormat="1" applyFont="1" applyFill="1" applyAlignment="1">
      <alignment horizontal="left" vertical="top"/>
    </xf>
    <xf numFmtId="165" fontId="6" fillId="0" borderId="0" xfId="0" applyNumberFormat="1" applyFont="1" applyFill="1" applyAlignment="1">
      <alignment horizontal="right" vertical="top"/>
    </xf>
    <xf numFmtId="5" fontId="6" fillId="0" borderId="0" xfId="0" applyNumberFormat="1" applyFont="1" applyFill="1" applyAlignment="1">
      <alignment horizontal="right"/>
    </xf>
    <xf numFmtId="0" fontId="5" fillId="0" borderId="0" xfId="0" applyFont="1" applyFill="1">
      <alignment vertical="top"/>
    </xf>
    <xf numFmtId="37" fontId="5" fillId="0" borderId="0" xfId="0" applyNumberFormat="1" applyFont="1" applyFill="1" applyAlignment="1">
      <alignment horizontal="center"/>
    </xf>
    <xf numFmtId="37" fontId="12" fillId="0" borderId="0" xfId="0" applyNumberFormat="1" applyFont="1" applyFill="1" applyAlignment="1"/>
    <xf numFmtId="165" fontId="13" fillId="0" borderId="0" xfId="0" applyNumberFormat="1" applyFont="1" applyFill="1" applyAlignment="1"/>
    <xf numFmtId="37" fontId="16" fillId="0" borderId="0" xfId="0" applyNumberFormat="1" applyFont="1" applyFill="1" applyAlignment="1"/>
    <xf numFmtId="0" fontId="12" fillId="0" borderId="0" xfId="0" applyFont="1" applyFill="1" applyAlignment="1"/>
    <xf numFmtId="165" fontId="12" fillId="0" borderId="0" xfId="0" applyNumberFormat="1" applyFont="1" applyFill="1" applyAlignment="1"/>
    <xf numFmtId="37" fontId="13" fillId="0" borderId="2" xfId="0" applyNumberFormat="1" applyFont="1" applyFill="1" applyBorder="1" applyAlignment="1">
      <alignment horizontal="centerContinuous"/>
    </xf>
    <xf numFmtId="37" fontId="13" fillId="0" borderId="0" xfId="0" applyNumberFormat="1" applyFont="1" applyFill="1" applyBorder="1" applyAlignment="1">
      <alignment horizontal="centerContinuous"/>
    </xf>
    <xf numFmtId="37" fontId="13" fillId="0" borderId="0" xfId="0" applyNumberFormat="1" applyFont="1" applyFill="1" applyAlignment="1">
      <alignment horizontal="center"/>
    </xf>
    <xf numFmtId="0" fontId="13" fillId="0" borderId="0" xfId="0" applyFont="1" applyFill="1" applyAlignment="1"/>
    <xf numFmtId="0" fontId="16" fillId="0" borderId="0" xfId="0" applyFont="1" applyFill="1" applyAlignment="1"/>
    <xf numFmtId="0" fontId="13" fillId="0" borderId="0" xfId="0" applyFont="1" applyFill="1" applyAlignment="1">
      <alignment horizontal="center"/>
    </xf>
    <xf numFmtId="37" fontId="17" fillId="0" borderId="0" xfId="0" applyNumberFormat="1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/>
    <xf numFmtId="0" fontId="6" fillId="0" borderId="0" xfId="0" applyFont="1" applyFill="1" applyBorder="1" applyAlignment="1"/>
    <xf numFmtId="5" fontId="6" fillId="0" borderId="0" xfId="2" applyNumberFormat="1" applyFont="1" applyFill="1" applyBorder="1" applyAlignment="1">
      <alignment horizontal="right"/>
    </xf>
    <xf numFmtId="0" fontId="10" fillId="0" borderId="0" xfId="0" applyFont="1" applyFill="1" applyAlignment="1"/>
    <xf numFmtId="37" fontId="8" fillId="0" borderId="0" xfId="0" applyNumberFormat="1" applyFont="1" applyFill="1" applyAlignment="1"/>
    <xf numFmtId="37" fontId="14" fillId="0" borderId="0" xfId="8" applyNumberFormat="1" applyFont="1" applyFill="1" applyAlignment="1" applyProtection="1"/>
    <xf numFmtId="10" fontId="6" fillId="0" borderId="0" xfId="9" applyFont="1" applyFill="1" applyBorder="1" applyAlignment="1">
      <alignment horizontal="center"/>
    </xf>
    <xf numFmtId="165" fontId="6" fillId="0" borderId="0" xfId="1" applyNumberFormat="1" applyFont="1" applyFill="1" applyAlignment="1">
      <alignment vertical="top"/>
    </xf>
    <xf numFmtId="37" fontId="6" fillId="0" borderId="0" xfId="2" applyNumberFormat="1" applyFont="1" applyFill="1" applyAlignment="1">
      <alignment horizontal="right"/>
    </xf>
    <xf numFmtId="1" fontId="6" fillId="0" borderId="0" xfId="0" applyNumberFormat="1" applyFont="1" applyFill="1">
      <alignment vertical="top"/>
    </xf>
    <xf numFmtId="167" fontId="6" fillId="0" borderId="0" xfId="0" applyNumberFormat="1" applyFont="1" applyFill="1">
      <alignment vertical="top"/>
    </xf>
    <xf numFmtId="167" fontId="6" fillId="0" borderId="0" xfId="0" applyNumberFormat="1" applyFont="1" applyFill="1" applyAlignment="1"/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center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left"/>
    </xf>
    <xf numFmtId="37" fontId="6" fillId="0" borderId="0" xfId="0" applyNumberFormat="1" applyFont="1" applyFill="1" applyAlignment="1">
      <alignment horizontal="left"/>
    </xf>
  </cellXfs>
  <cellStyles count="11">
    <cellStyle name="Comma" xfId="1" builtinId="3"/>
    <cellStyle name="Comma0" xfId="2"/>
    <cellStyle name="Currency0" xfId="3"/>
    <cellStyle name="Date" xfId="4"/>
    <cellStyle name="Fixed" xfId="5"/>
    <cellStyle name="Heading 1" xfId="6" builtinId="16" customBuiltin="1"/>
    <cellStyle name="Heading 2" xfId="7" builtinId="17" customBuiltin="1"/>
    <cellStyle name="Hyperlink" xfId="8" builtinId="8"/>
    <cellStyle name="Normal" xfId="0" builtinId="0"/>
    <cellStyle name="Percent" xfId="9" builtinId="5"/>
    <cellStyle name="Total" xfId="10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9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635"/>
  <sheetViews>
    <sheetView tabSelected="1" zoomScaleNormal="100" zoomScaleSheetLayoutView="10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A7" sqref="A7"/>
    </sheetView>
  </sheetViews>
  <sheetFormatPr defaultColWidth="9.140625" defaultRowHeight="12"/>
  <cols>
    <col min="1" max="1" width="32" style="1" customWidth="1"/>
    <col min="2" max="2" width="1.7109375" style="1" customWidth="1"/>
    <col min="3" max="3" width="11.7109375" style="1" customWidth="1"/>
    <col min="4" max="4" width="1.7109375" style="1" hidden="1" customWidth="1"/>
    <col min="5" max="5" width="1.140625" style="3" hidden="1" customWidth="1"/>
    <col min="6" max="6" width="3.140625" style="1" customWidth="1"/>
    <col min="7" max="7" width="14.42578125" style="1" customWidth="1"/>
    <col min="8" max="8" width="1.7109375" style="1" customWidth="1"/>
    <col min="9" max="9" width="13.7109375" style="1" customWidth="1"/>
    <col min="10" max="10" width="1.7109375" style="1" customWidth="1"/>
    <col min="11" max="11" width="13.5703125" style="1" customWidth="1"/>
    <col min="12" max="12" width="3" style="1" customWidth="1"/>
    <col min="13" max="13" width="13.5703125" style="1" customWidth="1"/>
    <col min="14" max="14" width="1.7109375" style="1" customWidth="1"/>
    <col min="15" max="15" width="12.140625" style="1" customWidth="1"/>
    <col min="16" max="16" width="1.7109375" style="1" customWidth="1"/>
    <col min="17" max="17" width="13.7109375" style="1" customWidth="1"/>
    <col min="18" max="18" width="1.7109375" style="1" customWidth="1"/>
    <col min="19" max="19" width="11.42578125" style="1" bestFit="1" customWidth="1"/>
    <col min="20" max="20" width="3.140625" style="1" customWidth="1"/>
    <col min="21" max="21" width="11.140625" style="1" bestFit="1" customWidth="1"/>
    <col min="22" max="22" width="1.7109375" style="1" customWidth="1"/>
    <col min="23" max="23" width="10.140625" style="1" bestFit="1" customWidth="1"/>
    <col min="24" max="24" width="1.7109375" style="1" customWidth="1"/>
    <col min="25" max="25" width="10.140625" style="1" bestFit="1" customWidth="1"/>
    <col min="26" max="26" width="1.7109375" style="1" customWidth="1"/>
    <col min="27" max="27" width="10.140625" style="1" bestFit="1" customWidth="1"/>
    <col min="28" max="28" width="1.7109375" style="1" customWidth="1"/>
    <col min="29" max="29" width="11.7109375" style="1" customWidth="1"/>
    <col min="30" max="30" width="1.7109375" style="1" customWidth="1"/>
    <col min="31" max="31" width="11.7109375" style="3" customWidth="1"/>
    <col min="32" max="32" width="1.7109375" style="1" customWidth="1"/>
    <col min="33" max="33" width="9.85546875" style="1" bestFit="1" customWidth="1"/>
    <col min="34" max="34" width="9.140625" style="1"/>
    <col min="35" max="35" width="9.28515625" style="1" bestFit="1" customWidth="1"/>
    <col min="36" max="16384" width="9.140625" style="1"/>
  </cols>
  <sheetData>
    <row r="1" spans="1:31">
      <c r="A1" s="104" t="s">
        <v>127</v>
      </c>
      <c r="B1" s="104"/>
      <c r="C1" s="104"/>
      <c r="D1" s="104"/>
      <c r="E1" s="104"/>
      <c r="F1" s="104"/>
      <c r="G1" s="104"/>
      <c r="H1" s="104"/>
      <c r="I1" s="104"/>
    </row>
    <row r="2" spans="1:31">
      <c r="A2" s="2" t="s">
        <v>918</v>
      </c>
    </row>
    <row r="3" spans="1:31" ht="12.75">
      <c r="A3" s="2"/>
      <c r="I3" s="4"/>
    </row>
    <row r="4" spans="1:31" ht="12.75">
      <c r="A4" s="5" t="s">
        <v>171</v>
      </c>
      <c r="I4" s="4"/>
    </row>
    <row r="5" spans="1:31">
      <c r="A5" s="6"/>
    </row>
    <row r="6" spans="1:31" s="2" customFormat="1">
      <c r="A6" s="77" t="s">
        <v>912</v>
      </c>
      <c r="B6" s="1"/>
      <c r="C6" s="1"/>
      <c r="D6" s="1"/>
      <c r="E6" s="1"/>
      <c r="F6" s="1"/>
      <c r="G6" s="1"/>
      <c r="H6" s="1"/>
      <c r="I6" s="1"/>
      <c r="J6" s="1"/>
      <c r="K6" s="1"/>
      <c r="L6" s="100"/>
      <c r="M6" s="100"/>
      <c r="N6" s="100"/>
      <c r="O6" s="100"/>
      <c r="P6" s="100"/>
      <c r="Q6" s="100"/>
      <c r="R6" s="100"/>
      <c r="S6" s="100"/>
      <c r="AE6" s="21"/>
    </row>
    <row r="7" spans="1:31">
      <c r="G7" s="105" t="s">
        <v>87</v>
      </c>
      <c r="H7" s="105"/>
      <c r="I7" s="105"/>
      <c r="J7" s="8"/>
      <c r="K7" s="9"/>
      <c r="M7" s="101" t="s">
        <v>93</v>
      </c>
      <c r="N7" s="8"/>
      <c r="O7" s="105" t="s">
        <v>954</v>
      </c>
      <c r="P7" s="105"/>
      <c r="Q7" s="105"/>
      <c r="R7" s="9"/>
      <c r="S7" s="9"/>
      <c r="U7" s="105" t="s">
        <v>102</v>
      </c>
      <c r="V7" s="105"/>
      <c r="W7" s="105"/>
      <c r="X7" s="105"/>
      <c r="Y7" s="105"/>
      <c r="Z7" s="9"/>
      <c r="AA7" s="9"/>
      <c r="AC7" s="1" t="s">
        <v>135</v>
      </c>
      <c r="AE7" s="3" t="s">
        <v>135</v>
      </c>
    </row>
    <row r="8" spans="1:31">
      <c r="F8" s="102"/>
      <c r="G8" s="103" t="s">
        <v>101</v>
      </c>
      <c r="H8" s="103"/>
      <c r="I8" s="103" t="s">
        <v>73</v>
      </c>
      <c r="J8" s="103"/>
      <c r="K8" s="102" t="s">
        <v>3</v>
      </c>
      <c r="M8" s="103" t="s">
        <v>101</v>
      </c>
      <c r="N8" s="103"/>
      <c r="O8" s="10" t="s">
        <v>133</v>
      </c>
      <c r="P8" s="10"/>
      <c r="Q8" s="10"/>
      <c r="R8" s="102"/>
      <c r="S8" s="102" t="s">
        <v>3</v>
      </c>
      <c r="U8" s="102" t="s">
        <v>103</v>
      </c>
      <c r="V8" s="102"/>
      <c r="W8" s="102"/>
      <c r="X8" s="102"/>
      <c r="Y8" s="102"/>
      <c r="Z8" s="102"/>
      <c r="AA8" s="102" t="s">
        <v>3</v>
      </c>
      <c r="AC8" s="1" t="s">
        <v>136</v>
      </c>
      <c r="AE8" s="3" t="s">
        <v>136</v>
      </c>
    </row>
    <row r="9" spans="1:31">
      <c r="A9" s="101" t="s">
        <v>202</v>
      </c>
      <c r="B9" s="103"/>
      <c r="C9" s="101" t="s">
        <v>4</v>
      </c>
      <c r="D9" s="103"/>
      <c r="E9" s="11" t="s">
        <v>201</v>
      </c>
      <c r="F9" s="102"/>
      <c r="G9" s="101" t="s">
        <v>87</v>
      </c>
      <c r="H9" s="102"/>
      <c r="I9" s="101" t="s">
        <v>87</v>
      </c>
      <c r="J9" s="102"/>
      <c r="K9" s="101" t="s">
        <v>87</v>
      </c>
      <c r="L9" s="8"/>
      <c r="M9" s="101" t="s">
        <v>93</v>
      </c>
      <c r="N9" s="102"/>
      <c r="O9" s="101" t="s">
        <v>953</v>
      </c>
      <c r="P9" s="102"/>
      <c r="Q9" s="101" t="s">
        <v>134</v>
      </c>
      <c r="R9" s="102"/>
      <c r="S9" s="101" t="s">
        <v>93</v>
      </c>
      <c r="T9" s="8"/>
      <c r="U9" s="101" t="s">
        <v>123</v>
      </c>
      <c r="V9" s="102"/>
      <c r="W9" s="101" t="s">
        <v>104</v>
      </c>
      <c r="X9" s="102"/>
      <c r="Y9" s="101" t="s">
        <v>105</v>
      </c>
      <c r="Z9" s="102"/>
      <c r="AA9" s="101" t="s">
        <v>102</v>
      </c>
      <c r="AC9" s="1" t="s">
        <v>137</v>
      </c>
      <c r="AE9" s="3" t="s">
        <v>137</v>
      </c>
    </row>
    <row r="10" spans="1:31">
      <c r="A10" s="12"/>
      <c r="B10" s="12"/>
      <c r="C10" s="12"/>
      <c r="D10" s="12"/>
      <c r="E10" s="13"/>
      <c r="F10" s="102"/>
      <c r="G10" s="102"/>
      <c r="H10" s="102"/>
      <c r="I10" s="102"/>
      <c r="J10" s="102"/>
      <c r="K10" s="102"/>
      <c r="M10" s="102"/>
      <c r="N10" s="102"/>
      <c r="O10" s="102"/>
      <c r="P10" s="102"/>
      <c r="Q10" s="102"/>
      <c r="R10" s="102"/>
      <c r="S10" s="102"/>
      <c r="U10" s="102"/>
      <c r="V10" s="102"/>
      <c r="W10" s="102"/>
      <c r="X10" s="102"/>
      <c r="Y10" s="102"/>
      <c r="Z10" s="102"/>
      <c r="AA10" s="102"/>
    </row>
    <row r="11" spans="1:31" s="16" customFormat="1">
      <c r="A11" s="14" t="s">
        <v>920</v>
      </c>
      <c r="B11" s="14"/>
      <c r="C11" s="14" t="s">
        <v>203</v>
      </c>
      <c r="D11" s="14"/>
      <c r="E11" s="13">
        <v>61903</v>
      </c>
      <c r="F11" s="15"/>
      <c r="G11" s="16">
        <f>+K11-I11</f>
        <v>30730246</v>
      </c>
      <c r="I11" s="16">
        <v>98865032</v>
      </c>
      <c r="K11" s="16">
        <v>129595278</v>
      </c>
      <c r="M11" s="16">
        <f>+S11-O11-Q11</f>
        <v>16743335</v>
      </c>
      <c r="O11" s="16">
        <v>1702933</v>
      </c>
      <c r="Q11" s="16">
        <f>36506185-1702933</f>
        <v>34803252</v>
      </c>
      <c r="S11" s="16">
        <v>53249520</v>
      </c>
      <c r="U11" s="16">
        <v>64851933</v>
      </c>
      <c r="W11" s="16">
        <f>AA11-Y11-U11</f>
        <v>12218682</v>
      </c>
      <c r="Y11" s="16">
        <v>-724857</v>
      </c>
      <c r="AA11" s="16">
        <v>76345758</v>
      </c>
      <c r="AC11" s="1">
        <f t="shared" ref="AC11:AC44" si="0">+K11-S11-AA11</f>
        <v>0</v>
      </c>
      <c r="AE11" s="3">
        <f>+G11+I11+-M11-O11-U11-W11-Y11-Q11</f>
        <v>0</v>
      </c>
    </row>
    <row r="12" spans="1:31">
      <c r="A12" s="12" t="s">
        <v>687</v>
      </c>
      <c r="B12" s="12"/>
      <c r="C12" s="12" t="s">
        <v>58</v>
      </c>
      <c r="D12" s="12"/>
      <c r="E12" s="13">
        <v>49494</v>
      </c>
      <c r="G12" s="1">
        <f t="shared" ref="G12:G78" si="1">+K12-I12</f>
        <v>8275238</v>
      </c>
      <c r="I12" s="1">
        <v>19386337</v>
      </c>
      <c r="K12" s="1">
        <v>27661575</v>
      </c>
      <c r="M12" s="1">
        <f t="shared" ref="M12:M78" si="2">+S12-O12-Q12</f>
        <v>5312363</v>
      </c>
      <c r="O12" s="1">
        <v>173766</v>
      </c>
      <c r="Q12" s="1">
        <f>255073-173766</f>
        <v>81307</v>
      </c>
      <c r="S12" s="1">
        <v>5567436</v>
      </c>
      <c r="U12" s="1">
        <v>17462738</v>
      </c>
      <c r="W12" s="1">
        <f t="shared" ref="W12:W78" si="3">AA12-Y12-U12</f>
        <v>1889228</v>
      </c>
      <c r="Y12" s="1">
        <v>2742173</v>
      </c>
      <c r="AA12" s="1">
        <v>22094139</v>
      </c>
      <c r="AC12" s="1">
        <f t="shared" si="0"/>
        <v>0</v>
      </c>
      <c r="AE12" s="3">
        <f>+G12+I12+-M12-O12-U12-W12-Y12-Q12</f>
        <v>0</v>
      </c>
    </row>
    <row r="13" spans="1:31">
      <c r="A13" s="12" t="s">
        <v>586</v>
      </c>
      <c r="B13" s="12"/>
      <c r="C13" s="12" t="s">
        <v>63</v>
      </c>
      <c r="D13" s="12"/>
      <c r="E13" s="13">
        <v>43489</v>
      </c>
      <c r="G13" s="1">
        <f t="shared" si="1"/>
        <v>388400000</v>
      </c>
      <c r="I13" s="1">
        <v>200100000</v>
      </c>
      <c r="K13" s="1">
        <v>588500000</v>
      </c>
      <c r="M13" s="1">
        <f t="shared" si="2"/>
        <v>231148836</v>
      </c>
      <c r="O13" s="1">
        <v>1682139</v>
      </c>
      <c r="Q13" s="1">
        <f>25651164-1682139</f>
        <v>23969025</v>
      </c>
      <c r="S13" s="1">
        <v>256800000</v>
      </c>
      <c r="U13" s="1">
        <v>200100000</v>
      </c>
      <c r="W13" s="1">
        <f t="shared" si="3"/>
        <v>98300000</v>
      </c>
      <c r="Y13" s="1">
        <v>33300000</v>
      </c>
      <c r="AA13" s="1">
        <v>331700000</v>
      </c>
      <c r="AC13" s="1">
        <f t="shared" si="0"/>
        <v>0</v>
      </c>
      <c r="AE13" s="3">
        <f t="shared" ref="AE13:AE79" si="4">+G13+I13+-M13-O13-U13-W13-Y13-Q13</f>
        <v>0</v>
      </c>
    </row>
    <row r="14" spans="1:31" hidden="1">
      <c r="A14" s="12" t="s">
        <v>738</v>
      </c>
      <c r="B14" s="12"/>
      <c r="C14" s="12" t="s">
        <v>13</v>
      </c>
      <c r="D14" s="12"/>
      <c r="E14" s="13">
        <v>45906</v>
      </c>
      <c r="F14" s="8"/>
      <c r="G14" s="1">
        <f t="shared" si="1"/>
        <v>0</v>
      </c>
      <c r="M14" s="1">
        <f t="shared" si="2"/>
        <v>0</v>
      </c>
      <c r="W14" s="1">
        <f t="shared" si="3"/>
        <v>0</v>
      </c>
      <c r="AC14" s="1">
        <f t="shared" si="0"/>
        <v>0</v>
      </c>
      <c r="AE14" s="3">
        <f t="shared" si="4"/>
        <v>0</v>
      </c>
    </row>
    <row r="15" spans="1:31">
      <c r="A15" s="12" t="s">
        <v>572</v>
      </c>
      <c r="B15" s="12"/>
      <c r="C15" s="12" t="s">
        <v>62</v>
      </c>
      <c r="D15" s="12"/>
      <c r="E15" s="13">
        <v>43497</v>
      </c>
      <c r="G15" s="1">
        <f t="shared" si="1"/>
        <v>19870465</v>
      </c>
      <c r="I15" s="1">
        <v>47041549</v>
      </c>
      <c r="K15" s="1">
        <v>66912014</v>
      </c>
      <c r="M15" s="1">
        <f t="shared" si="2"/>
        <v>12168241</v>
      </c>
      <c r="O15" s="1">
        <v>566780</v>
      </c>
      <c r="Q15" s="1">
        <f>12314263-566780</f>
        <v>11747483</v>
      </c>
      <c r="S15" s="1">
        <v>24482504</v>
      </c>
      <c r="U15" s="1">
        <v>39303020</v>
      </c>
      <c r="W15" s="1">
        <f t="shared" si="3"/>
        <v>4312382</v>
      </c>
      <c r="Y15" s="1">
        <v>-1185892</v>
      </c>
      <c r="AA15" s="1">
        <v>42429510</v>
      </c>
      <c r="AC15" s="1">
        <f t="shared" si="0"/>
        <v>0</v>
      </c>
      <c r="AE15" s="3">
        <f t="shared" si="4"/>
        <v>0</v>
      </c>
    </row>
    <row r="16" spans="1:31">
      <c r="A16" s="12" t="s">
        <v>321</v>
      </c>
      <c r="B16" s="12"/>
      <c r="C16" s="12" t="s">
        <v>25</v>
      </c>
      <c r="D16" s="12"/>
      <c r="E16" s="13">
        <v>46847</v>
      </c>
      <c r="G16" s="1">
        <f t="shared" si="1"/>
        <v>7630667</v>
      </c>
      <c r="I16" s="1">
        <v>30058572</v>
      </c>
      <c r="K16" s="1">
        <v>37689239</v>
      </c>
      <c r="M16" s="1">
        <f t="shared" si="2"/>
        <v>4735752</v>
      </c>
      <c r="O16" s="1">
        <v>299030</v>
      </c>
      <c r="Q16" s="1">
        <f>4072207-299030</f>
        <v>3773177</v>
      </c>
      <c r="S16" s="1">
        <v>8807959</v>
      </c>
      <c r="U16" s="1">
        <v>26859976</v>
      </c>
      <c r="W16" s="1">
        <f t="shared" si="3"/>
        <v>1273541</v>
      </c>
      <c r="Y16" s="1">
        <v>747763</v>
      </c>
      <c r="AA16" s="1">
        <v>28881280</v>
      </c>
      <c r="AC16" s="1">
        <f t="shared" si="0"/>
        <v>0</v>
      </c>
      <c r="AE16" s="3">
        <f t="shared" si="4"/>
        <v>0</v>
      </c>
    </row>
    <row r="17" spans="1:31">
      <c r="A17" s="12" t="s">
        <v>790</v>
      </c>
      <c r="B17" s="12"/>
      <c r="C17" s="12" t="s">
        <v>44</v>
      </c>
      <c r="D17" s="12"/>
      <c r="E17" s="13">
        <v>45195</v>
      </c>
      <c r="F17" s="102"/>
      <c r="G17" s="1">
        <f>+K17-I17</f>
        <v>26933055</v>
      </c>
      <c r="I17" s="1">
        <v>27314513</v>
      </c>
      <c r="K17" s="1">
        <v>54247568</v>
      </c>
      <c r="M17" s="1">
        <f>+S17-O17-Q17</f>
        <v>21139599</v>
      </c>
      <c r="O17" s="1">
        <v>1481481</v>
      </c>
      <c r="Q17" s="1">
        <f>24093640-1481481</f>
        <v>22612159</v>
      </c>
      <c r="S17" s="1">
        <v>45233239</v>
      </c>
      <c r="U17" s="1">
        <v>7580675</v>
      </c>
      <c r="W17" s="1">
        <f>AA17-Y17-U17</f>
        <v>2476281</v>
      </c>
      <c r="Y17" s="1">
        <v>-1042627</v>
      </c>
      <c r="AA17" s="1">
        <v>9014329</v>
      </c>
      <c r="AC17" s="1">
        <f t="shared" si="0"/>
        <v>0</v>
      </c>
      <c r="AE17" s="3">
        <f t="shared" si="4"/>
        <v>0</v>
      </c>
    </row>
    <row r="18" spans="1:31" hidden="1">
      <c r="A18" s="12" t="s">
        <v>921</v>
      </c>
      <c r="B18" s="12"/>
      <c r="C18" s="12" t="s">
        <v>61</v>
      </c>
      <c r="D18" s="12"/>
      <c r="E18" s="13">
        <v>49759</v>
      </c>
      <c r="G18" s="1">
        <f t="shared" si="1"/>
        <v>0</v>
      </c>
      <c r="M18" s="1">
        <f t="shared" si="2"/>
        <v>0</v>
      </c>
      <c r="W18" s="1">
        <f t="shared" si="3"/>
        <v>0</v>
      </c>
      <c r="AC18" s="1">
        <f t="shared" si="0"/>
        <v>0</v>
      </c>
      <c r="AE18" s="3">
        <f t="shared" si="4"/>
        <v>0</v>
      </c>
    </row>
    <row r="19" spans="1:31" hidden="1">
      <c r="A19" s="12" t="s">
        <v>860</v>
      </c>
      <c r="B19" s="12"/>
      <c r="C19" s="12" t="s">
        <v>718</v>
      </c>
      <c r="D19" s="12"/>
      <c r="E19" s="13"/>
      <c r="G19" s="1">
        <f t="shared" si="1"/>
        <v>0</v>
      </c>
      <c r="W19" s="1">
        <f t="shared" si="3"/>
        <v>0</v>
      </c>
      <c r="AC19" s="1">
        <f t="shared" si="0"/>
        <v>0</v>
      </c>
      <c r="AE19" s="3">
        <f t="shared" si="4"/>
        <v>0</v>
      </c>
    </row>
    <row r="20" spans="1:31">
      <c r="A20" s="12" t="s">
        <v>449</v>
      </c>
      <c r="B20" s="12"/>
      <c r="C20" s="12" t="s">
        <v>117</v>
      </c>
      <c r="D20" s="12"/>
      <c r="E20" s="13">
        <v>48207</v>
      </c>
      <c r="G20" s="1">
        <f t="shared" si="1"/>
        <v>35683057</v>
      </c>
      <c r="I20" s="1">
        <v>24350491</v>
      </c>
      <c r="K20" s="1">
        <v>60033548</v>
      </c>
      <c r="M20" s="1">
        <f t="shared" si="2"/>
        <v>27520116</v>
      </c>
      <c r="O20" s="1">
        <v>2144986</v>
      </c>
      <c r="Q20" s="1">
        <f>26067662-2144986</f>
        <v>23922676</v>
      </c>
      <c r="S20" s="1">
        <v>53587778</v>
      </c>
      <c r="U20" s="1">
        <v>3152849</v>
      </c>
      <c r="W20" s="1">
        <f t="shared" si="3"/>
        <v>4094660</v>
      </c>
      <c r="Y20" s="1">
        <v>-801739</v>
      </c>
      <c r="AA20" s="1">
        <v>6445770</v>
      </c>
      <c r="AC20" s="1">
        <f t="shared" si="0"/>
        <v>0</v>
      </c>
      <c r="AE20" s="3">
        <f t="shared" si="4"/>
        <v>0</v>
      </c>
    </row>
    <row r="21" spans="1:31">
      <c r="A21" s="12" t="s">
        <v>378</v>
      </c>
      <c r="B21" s="12"/>
      <c r="C21" s="12" t="s">
        <v>33</v>
      </c>
      <c r="D21" s="12"/>
      <c r="E21" s="13">
        <v>47415</v>
      </c>
      <c r="G21" s="1">
        <f t="shared" si="1"/>
        <v>5764052</v>
      </c>
      <c r="I21" s="1">
        <v>1738310</v>
      </c>
      <c r="K21" s="1">
        <v>7502362</v>
      </c>
      <c r="M21" s="1">
        <f t="shared" si="2"/>
        <v>2597819</v>
      </c>
      <c r="O21" s="1">
        <v>12491</v>
      </c>
      <c r="Q21" s="1">
        <f>410539-12491</f>
        <v>398048</v>
      </c>
      <c r="S21" s="1">
        <v>3008358</v>
      </c>
      <c r="U21" s="1">
        <v>1738310</v>
      </c>
      <c r="W21" s="1">
        <f t="shared" si="3"/>
        <v>495193</v>
      </c>
      <c r="Y21" s="1">
        <v>2260501</v>
      </c>
      <c r="AA21" s="1">
        <v>4494004</v>
      </c>
      <c r="AC21" s="1">
        <f t="shared" si="0"/>
        <v>0</v>
      </c>
      <c r="AE21" s="3">
        <f t="shared" si="4"/>
        <v>0</v>
      </c>
    </row>
    <row r="22" spans="1:31" hidden="1">
      <c r="A22" s="12" t="s">
        <v>823</v>
      </c>
      <c r="B22" s="12"/>
      <c r="C22" s="12" t="s">
        <v>21</v>
      </c>
      <c r="D22" s="12"/>
      <c r="E22" s="13">
        <v>46631</v>
      </c>
      <c r="G22" s="1">
        <f t="shared" si="1"/>
        <v>0</v>
      </c>
      <c r="M22" s="1">
        <f t="shared" si="2"/>
        <v>0</v>
      </c>
      <c r="W22" s="1">
        <f t="shared" si="3"/>
        <v>0</v>
      </c>
      <c r="AC22" s="1">
        <f t="shared" si="0"/>
        <v>0</v>
      </c>
      <c r="AE22" s="3">
        <f t="shared" si="4"/>
        <v>0</v>
      </c>
    </row>
    <row r="23" spans="1:31">
      <c r="A23" s="12" t="s">
        <v>922</v>
      </c>
      <c r="B23" s="12"/>
      <c r="C23" s="12" t="s">
        <v>28</v>
      </c>
      <c r="D23" s="12"/>
      <c r="E23" s="13">
        <v>47043</v>
      </c>
      <c r="G23" s="1">
        <f t="shared" si="1"/>
        <v>16355318</v>
      </c>
      <c r="I23" s="1">
        <v>17027411</v>
      </c>
      <c r="K23" s="1">
        <v>33382729</v>
      </c>
      <c r="M23" s="1">
        <f t="shared" si="2"/>
        <v>7161331</v>
      </c>
      <c r="O23" s="1">
        <v>1270811</v>
      </c>
      <c r="Q23" s="1">
        <f>12234694-1270811</f>
        <v>10963883</v>
      </c>
      <c r="S23" s="1">
        <v>19396025</v>
      </c>
      <c r="U23" s="1">
        <v>7359459</v>
      </c>
      <c r="W23" s="1">
        <f t="shared" si="3"/>
        <v>4128723</v>
      </c>
      <c r="Y23" s="1">
        <v>2498522</v>
      </c>
      <c r="AA23" s="1">
        <v>13986704</v>
      </c>
      <c r="AC23" s="1">
        <f t="shared" si="0"/>
        <v>0</v>
      </c>
      <c r="AE23" s="3">
        <f t="shared" si="4"/>
        <v>0</v>
      </c>
    </row>
    <row r="24" spans="1:31">
      <c r="A24" s="12" t="s">
        <v>379</v>
      </c>
      <c r="B24" s="12"/>
      <c r="C24" s="12" t="s">
        <v>33</v>
      </c>
      <c r="D24" s="12"/>
      <c r="E24" s="13">
        <v>47423</v>
      </c>
      <c r="G24" s="1">
        <f t="shared" si="1"/>
        <v>4776474</v>
      </c>
      <c r="I24" s="1">
        <v>4879827</v>
      </c>
      <c r="K24" s="1">
        <v>9656301</v>
      </c>
      <c r="M24" s="1">
        <f t="shared" si="2"/>
        <v>1957810</v>
      </c>
      <c r="O24" s="1">
        <v>130704</v>
      </c>
      <c r="Q24" s="1">
        <f>1563491-130704</f>
        <v>1432787</v>
      </c>
      <c r="S24" s="1">
        <v>3521301</v>
      </c>
      <c r="U24" s="1">
        <v>3884827</v>
      </c>
      <c r="W24" s="1">
        <f t="shared" si="3"/>
        <v>611906</v>
      </c>
      <c r="Y24" s="1">
        <v>1638267</v>
      </c>
      <c r="AA24" s="1">
        <v>6135000</v>
      </c>
      <c r="AC24" s="1">
        <f t="shared" si="0"/>
        <v>0</v>
      </c>
      <c r="AE24" s="3">
        <f t="shared" si="4"/>
        <v>0</v>
      </c>
    </row>
    <row r="25" spans="1:31" ht="11.25" customHeight="1">
      <c r="A25" s="12" t="s">
        <v>206</v>
      </c>
      <c r="B25" s="12"/>
      <c r="C25" s="12" t="s">
        <v>11</v>
      </c>
      <c r="D25" s="12"/>
      <c r="E25" s="13">
        <v>43505</v>
      </c>
      <c r="F25" s="8"/>
      <c r="G25" s="1">
        <f t="shared" si="1"/>
        <v>26429184</v>
      </c>
      <c r="I25" s="1">
        <v>11573940</v>
      </c>
      <c r="K25" s="1">
        <v>38003124</v>
      </c>
      <c r="M25" s="1">
        <f t="shared" si="2"/>
        <v>15976038</v>
      </c>
      <c r="O25" s="1">
        <v>484543</v>
      </c>
      <c r="Q25" s="1">
        <f>6194397-484543</f>
        <v>5709854</v>
      </c>
      <c r="S25" s="1">
        <v>22170435</v>
      </c>
      <c r="U25" s="1">
        <v>7871971</v>
      </c>
      <c r="W25" s="1">
        <f t="shared" si="3"/>
        <v>434446</v>
      </c>
      <c r="Y25" s="1">
        <v>7526272</v>
      </c>
      <c r="AA25" s="1">
        <v>15832689</v>
      </c>
      <c r="AC25" s="1">
        <f t="shared" si="0"/>
        <v>0</v>
      </c>
      <c r="AE25" s="3">
        <f t="shared" si="4"/>
        <v>0</v>
      </c>
    </row>
    <row r="26" spans="1:31">
      <c r="A26" s="12" t="s">
        <v>822</v>
      </c>
      <c r="B26" s="12"/>
      <c r="C26" s="12" t="s">
        <v>12</v>
      </c>
      <c r="D26" s="12"/>
      <c r="E26" s="13">
        <v>43513</v>
      </c>
      <c r="F26" s="8"/>
      <c r="G26" s="1">
        <f t="shared" si="1"/>
        <v>40685831</v>
      </c>
      <c r="I26" s="1">
        <v>80034574</v>
      </c>
      <c r="K26" s="1">
        <v>120720405</v>
      </c>
      <c r="M26" s="1">
        <f t="shared" si="2"/>
        <v>14203049</v>
      </c>
      <c r="O26" s="1">
        <v>2394859</v>
      </c>
      <c r="Q26" s="1">
        <f>40907579-2394859</f>
        <v>38512720</v>
      </c>
      <c r="S26" s="1">
        <v>55110628</v>
      </c>
      <c r="U26" s="1">
        <v>42474441</v>
      </c>
      <c r="W26" s="1">
        <f t="shared" si="3"/>
        <v>19885054</v>
      </c>
      <c r="Y26" s="1">
        <v>3250282</v>
      </c>
      <c r="AA26" s="1">
        <v>65609777</v>
      </c>
      <c r="AC26" s="1">
        <f t="shared" si="0"/>
        <v>0</v>
      </c>
      <c r="AE26" s="3">
        <f t="shared" si="4"/>
        <v>0</v>
      </c>
    </row>
    <row r="27" spans="1:31">
      <c r="A27" s="12" t="s">
        <v>214</v>
      </c>
      <c r="B27" s="12"/>
      <c r="C27" s="12" t="s">
        <v>13</v>
      </c>
      <c r="D27" s="12"/>
      <c r="E27" s="13">
        <v>43521</v>
      </c>
      <c r="F27" s="8"/>
      <c r="G27" s="1">
        <f t="shared" si="1"/>
        <v>37014612</v>
      </c>
      <c r="I27" s="1">
        <v>20158211</v>
      </c>
      <c r="K27" s="1">
        <v>57172823</v>
      </c>
      <c r="M27" s="1">
        <f t="shared" si="2"/>
        <v>18608190</v>
      </c>
      <c r="O27" s="1">
        <v>964635</v>
      </c>
      <c r="Q27" s="1">
        <f>14923725-964635</f>
        <v>13959090</v>
      </c>
      <c r="S27" s="1">
        <v>33531915</v>
      </c>
      <c r="U27" s="1">
        <v>7315598</v>
      </c>
      <c r="W27" s="1">
        <f t="shared" si="3"/>
        <v>7002331</v>
      </c>
      <c r="Y27" s="1">
        <v>9322979</v>
      </c>
      <c r="AA27" s="1">
        <v>23640908</v>
      </c>
      <c r="AC27" s="1">
        <f t="shared" si="0"/>
        <v>0</v>
      </c>
      <c r="AE27" s="3">
        <f t="shared" si="4"/>
        <v>0</v>
      </c>
    </row>
    <row r="28" spans="1:31">
      <c r="A28" s="12" t="s">
        <v>532</v>
      </c>
      <c r="B28" s="12"/>
      <c r="C28" s="12" t="s">
        <v>56</v>
      </c>
      <c r="D28" s="12"/>
      <c r="E28" s="13">
        <v>49171</v>
      </c>
      <c r="G28" s="1">
        <f t="shared" si="1"/>
        <v>37614749</v>
      </c>
      <c r="I28" s="1">
        <v>33264051</v>
      </c>
      <c r="K28" s="1">
        <v>70878800</v>
      </c>
      <c r="M28" s="1">
        <f t="shared" si="2"/>
        <v>28770018</v>
      </c>
      <c r="O28" s="1">
        <v>1912843</v>
      </c>
      <c r="Q28" s="1">
        <f>36913519-1912843</f>
        <v>35000676</v>
      </c>
      <c r="S28" s="1">
        <v>65683537</v>
      </c>
      <c r="U28" s="1">
        <v>463646</v>
      </c>
      <c r="W28" s="1">
        <f t="shared" si="3"/>
        <v>2660307</v>
      </c>
      <c r="Y28" s="1">
        <v>2071310</v>
      </c>
      <c r="AA28" s="1">
        <v>5195263</v>
      </c>
      <c r="AC28" s="1">
        <f t="shared" si="0"/>
        <v>0</v>
      </c>
      <c r="AE28" s="3">
        <f t="shared" si="4"/>
        <v>0</v>
      </c>
    </row>
    <row r="29" spans="1:31">
      <c r="A29" s="12" t="s">
        <v>461</v>
      </c>
      <c r="B29" s="12"/>
      <c r="C29" s="12" t="s">
        <v>45</v>
      </c>
      <c r="D29" s="12"/>
      <c r="E29" s="13">
        <v>48298</v>
      </c>
      <c r="G29" s="1">
        <f t="shared" si="1"/>
        <v>28941823</v>
      </c>
      <c r="I29" s="1">
        <v>34654123</v>
      </c>
      <c r="K29" s="1">
        <v>63595946</v>
      </c>
      <c r="M29" s="1">
        <f t="shared" si="2"/>
        <v>23614245</v>
      </c>
      <c r="O29" s="1">
        <f>1076585+1250</f>
        <v>1077835</v>
      </c>
      <c r="Q29" s="1">
        <f>27424346+1250-1076585-1250</f>
        <v>26347761</v>
      </c>
      <c r="S29" s="1">
        <v>51039841</v>
      </c>
      <c r="U29" s="1">
        <v>10964640</v>
      </c>
      <c r="W29" s="1">
        <f t="shared" si="3"/>
        <v>2710737</v>
      </c>
      <c r="Y29" s="1">
        <v>-1119272</v>
      </c>
      <c r="AA29" s="1">
        <v>12556105</v>
      </c>
      <c r="AC29" s="1">
        <f t="shared" si="0"/>
        <v>0</v>
      </c>
      <c r="AE29" s="3">
        <f t="shared" si="4"/>
        <v>0</v>
      </c>
    </row>
    <row r="30" spans="1:31">
      <c r="A30" s="12" t="s">
        <v>436</v>
      </c>
      <c r="B30" s="12"/>
      <c r="C30" s="12" t="s">
        <v>44</v>
      </c>
      <c r="D30" s="12"/>
      <c r="E30" s="13">
        <v>48124</v>
      </c>
      <c r="G30" s="1">
        <f t="shared" si="1"/>
        <v>74567472</v>
      </c>
      <c r="I30" s="1">
        <v>48465400</v>
      </c>
      <c r="K30" s="1">
        <v>123032872</v>
      </c>
      <c r="M30" s="1">
        <f t="shared" si="2"/>
        <v>39418270</v>
      </c>
      <c r="O30" s="1">
        <v>17027940</v>
      </c>
      <c r="Q30" s="1">
        <f>58924375-17027940</f>
        <v>41896435</v>
      </c>
      <c r="S30" s="1">
        <v>98342645</v>
      </c>
      <c r="U30" s="1">
        <v>9946281</v>
      </c>
      <c r="W30" s="1">
        <f t="shared" si="3"/>
        <v>16700773</v>
      </c>
      <c r="Y30" s="1">
        <v>-1956827</v>
      </c>
      <c r="AA30" s="1">
        <v>24690227</v>
      </c>
      <c r="AC30" s="1">
        <f t="shared" si="0"/>
        <v>0</v>
      </c>
      <c r="AE30" s="3">
        <f t="shared" si="4"/>
        <v>0</v>
      </c>
    </row>
    <row r="31" spans="1:31">
      <c r="A31" s="12" t="s">
        <v>437</v>
      </c>
      <c r="B31" s="12"/>
      <c r="C31" s="12" t="s">
        <v>44</v>
      </c>
      <c r="D31" s="12"/>
      <c r="E31" s="13">
        <v>48116</v>
      </c>
      <c r="G31" s="1">
        <f t="shared" si="1"/>
        <v>37664171</v>
      </c>
      <c r="I31" s="1">
        <v>54892649</v>
      </c>
      <c r="K31" s="1">
        <v>92556820</v>
      </c>
      <c r="M31" s="1">
        <f t="shared" si="2"/>
        <v>33244103</v>
      </c>
      <c r="O31" s="1">
        <v>3152597</v>
      </c>
      <c r="Q31" s="1">
        <f>40395267-3152597</f>
        <v>37242670</v>
      </c>
      <c r="S31" s="1">
        <v>73639370</v>
      </c>
      <c r="U31" s="1">
        <v>16366503</v>
      </c>
      <c r="W31" s="1">
        <f t="shared" si="3"/>
        <v>4637550</v>
      </c>
      <c r="Y31" s="1">
        <v>-2086603</v>
      </c>
      <c r="AA31" s="1">
        <v>18917450</v>
      </c>
      <c r="AC31" s="1">
        <f t="shared" si="0"/>
        <v>0</v>
      </c>
      <c r="AE31" s="3">
        <f t="shared" si="4"/>
        <v>0</v>
      </c>
    </row>
    <row r="32" spans="1:31">
      <c r="A32" s="12" t="s">
        <v>310</v>
      </c>
      <c r="B32" s="12"/>
      <c r="C32" s="12" t="s">
        <v>22</v>
      </c>
      <c r="D32" s="12"/>
      <c r="E32" s="13">
        <v>46706</v>
      </c>
      <c r="G32" s="1">
        <f t="shared" si="1"/>
        <v>6533052</v>
      </c>
      <c r="I32" s="1">
        <v>2522606</v>
      </c>
      <c r="K32" s="1">
        <v>9055658</v>
      </c>
      <c r="M32" s="1">
        <f t="shared" si="2"/>
        <v>3044783</v>
      </c>
      <c r="O32" s="1">
        <v>156381</v>
      </c>
      <c r="Q32" s="1">
        <f>767436-156381</f>
        <v>611055</v>
      </c>
      <c r="S32" s="1">
        <v>3812219</v>
      </c>
      <c r="U32" s="1">
        <v>2437651</v>
      </c>
      <c r="W32" s="1">
        <f t="shared" si="3"/>
        <v>496272</v>
      </c>
      <c r="Y32" s="1">
        <v>2309516</v>
      </c>
      <c r="AA32" s="1">
        <v>5243439</v>
      </c>
      <c r="AC32" s="1">
        <f t="shared" si="0"/>
        <v>0</v>
      </c>
      <c r="AE32" s="3">
        <f t="shared" si="4"/>
        <v>0</v>
      </c>
    </row>
    <row r="33" spans="1:31">
      <c r="A33" s="12" t="s">
        <v>587</v>
      </c>
      <c r="B33" s="12"/>
      <c r="C33" s="12" t="s">
        <v>63</v>
      </c>
      <c r="D33" s="12"/>
      <c r="E33" s="13">
        <v>43539</v>
      </c>
      <c r="G33" s="1">
        <f t="shared" si="1"/>
        <v>91734860</v>
      </c>
      <c r="I33" s="1">
        <v>70101875</v>
      </c>
      <c r="K33" s="1">
        <v>161836735</v>
      </c>
      <c r="M33" s="1">
        <f t="shared" si="2"/>
        <v>20488645</v>
      </c>
      <c r="O33" s="1">
        <v>2454620</v>
      </c>
      <c r="Q33" s="1">
        <f>58055400-2454620</f>
        <v>55600780</v>
      </c>
      <c r="S33" s="1">
        <v>78544045</v>
      </c>
      <c r="U33" s="1">
        <v>42681505</v>
      </c>
      <c r="W33" s="1">
        <f t="shared" si="3"/>
        <v>36716636</v>
      </c>
      <c r="Y33" s="1">
        <v>3894549</v>
      </c>
      <c r="AA33" s="1">
        <v>83292690</v>
      </c>
      <c r="AC33" s="1">
        <f t="shared" si="0"/>
        <v>0</v>
      </c>
      <c r="AE33" s="3">
        <f t="shared" si="4"/>
        <v>0</v>
      </c>
    </row>
    <row r="34" spans="1:31">
      <c r="A34" s="12" t="s">
        <v>719</v>
      </c>
      <c r="B34" s="12"/>
      <c r="C34" s="12" t="s">
        <v>15</v>
      </c>
      <c r="D34" s="12"/>
      <c r="E34" s="13"/>
      <c r="G34" s="1">
        <f t="shared" si="1"/>
        <v>6094047</v>
      </c>
      <c r="I34" s="1">
        <v>16707307</v>
      </c>
      <c r="K34" s="1">
        <v>22801354</v>
      </c>
      <c r="M34" s="1">
        <f t="shared" si="2"/>
        <v>3120311</v>
      </c>
      <c r="O34" s="1">
        <v>274138</v>
      </c>
      <c r="Q34" s="1">
        <f>4043959-274138</f>
        <v>3769821</v>
      </c>
      <c r="S34" s="1">
        <v>7164270</v>
      </c>
      <c r="U34" s="1">
        <v>13499092</v>
      </c>
      <c r="W34" s="1">
        <f t="shared" si="3"/>
        <v>892256</v>
      </c>
      <c r="Y34" s="1">
        <v>1245736</v>
      </c>
      <c r="AA34" s="1">
        <v>15637084</v>
      </c>
      <c r="AC34" s="1">
        <f t="shared" si="0"/>
        <v>0</v>
      </c>
      <c r="AE34" s="3">
        <f t="shared" si="4"/>
        <v>0</v>
      </c>
    </row>
    <row r="35" spans="1:31">
      <c r="A35" s="12" t="s">
        <v>251</v>
      </c>
      <c r="B35" s="12"/>
      <c r="C35" s="12" t="s">
        <v>115</v>
      </c>
      <c r="D35" s="12"/>
      <c r="E35" s="13">
        <v>46300</v>
      </c>
      <c r="F35" s="8"/>
      <c r="G35" s="1">
        <f t="shared" si="1"/>
        <v>11838351</v>
      </c>
      <c r="I35" s="1">
        <v>8669521</v>
      </c>
      <c r="K35" s="1">
        <v>20507872</v>
      </c>
      <c r="M35" s="1">
        <f t="shared" si="2"/>
        <v>7769349</v>
      </c>
      <c r="O35" s="1">
        <f>574654+726</f>
        <v>575380</v>
      </c>
      <c r="Q35" s="1">
        <f>7370704+7757-54654-726</f>
        <v>7323081</v>
      </c>
      <c r="S35" s="1">
        <v>15667810</v>
      </c>
      <c r="U35" s="1">
        <v>2700138</v>
      </c>
      <c r="W35" s="1">
        <f t="shared" si="3"/>
        <v>1793941</v>
      </c>
      <c r="Y35" s="1">
        <v>345983</v>
      </c>
      <c r="AA35" s="1">
        <v>4840062</v>
      </c>
      <c r="AC35" s="1">
        <f t="shared" si="0"/>
        <v>0</v>
      </c>
      <c r="AE35" s="3">
        <f t="shared" si="4"/>
        <v>0</v>
      </c>
    </row>
    <row r="36" spans="1:31" ht="12" hidden="1" customHeight="1">
      <c r="A36" s="12" t="s">
        <v>824</v>
      </c>
      <c r="B36" s="12"/>
      <c r="C36" s="12" t="s">
        <v>10</v>
      </c>
      <c r="D36" s="12"/>
      <c r="E36" s="13">
        <v>45765</v>
      </c>
      <c r="F36" s="8"/>
      <c r="G36" s="1">
        <f t="shared" si="1"/>
        <v>0</v>
      </c>
      <c r="M36" s="1">
        <f t="shared" si="2"/>
        <v>0</v>
      </c>
      <c r="W36" s="1">
        <f t="shared" si="3"/>
        <v>0</v>
      </c>
      <c r="AC36" s="1">
        <f t="shared" si="0"/>
        <v>0</v>
      </c>
      <c r="AE36" s="3">
        <f t="shared" si="4"/>
        <v>0</v>
      </c>
    </row>
    <row r="37" spans="1:31">
      <c r="A37" s="12" t="s">
        <v>773</v>
      </c>
      <c r="B37" s="12"/>
      <c r="C37" s="12" t="s">
        <v>20</v>
      </c>
      <c r="D37" s="12"/>
      <c r="E37" s="13">
        <v>43547</v>
      </c>
      <c r="G37" s="1">
        <f t="shared" si="1"/>
        <v>31645090</v>
      </c>
      <c r="I37" s="1">
        <v>28441038</v>
      </c>
      <c r="K37" s="1">
        <v>60086128</v>
      </c>
      <c r="M37" s="1">
        <f t="shared" si="2"/>
        <v>22202532</v>
      </c>
      <c r="O37" s="1">
        <v>1055286</v>
      </c>
      <c r="Q37" s="1">
        <f>20443922-1055286</f>
        <v>19388636</v>
      </c>
      <c r="S37" s="1">
        <v>42646454</v>
      </c>
      <c r="U37" s="1">
        <v>11609213</v>
      </c>
      <c r="W37" s="1">
        <f t="shared" si="3"/>
        <v>4253655</v>
      </c>
      <c r="Y37" s="1">
        <v>1576806</v>
      </c>
      <c r="AA37" s="1">
        <v>17439674</v>
      </c>
      <c r="AC37" s="1">
        <f t="shared" si="0"/>
        <v>0</v>
      </c>
      <c r="AE37" s="3">
        <f t="shared" si="4"/>
        <v>0</v>
      </c>
    </row>
    <row r="38" spans="1:31">
      <c r="A38" s="12" t="s">
        <v>281</v>
      </c>
      <c r="B38" s="12"/>
      <c r="C38" s="12" t="s">
        <v>20</v>
      </c>
      <c r="D38" s="12"/>
      <c r="E38" s="13">
        <v>43554</v>
      </c>
      <c r="G38" s="1">
        <f t="shared" si="1"/>
        <v>55313858</v>
      </c>
      <c r="I38" s="1">
        <v>28530714</v>
      </c>
      <c r="K38" s="1">
        <v>83844572</v>
      </c>
      <c r="M38" s="1">
        <f t="shared" si="2"/>
        <v>27503946</v>
      </c>
      <c r="O38" s="1">
        <v>2173652</v>
      </c>
      <c r="Q38" s="1">
        <f>21164477-2173652</f>
        <v>18990825</v>
      </c>
      <c r="S38" s="1">
        <v>48668423</v>
      </c>
      <c r="U38" s="1">
        <v>10092016</v>
      </c>
      <c r="W38" s="1">
        <f t="shared" si="3"/>
        <v>8383796</v>
      </c>
      <c r="Y38" s="1">
        <v>16700337</v>
      </c>
      <c r="AA38" s="1">
        <v>35176149</v>
      </c>
      <c r="AC38" s="1">
        <f t="shared" si="0"/>
        <v>0</v>
      </c>
      <c r="AE38" s="3">
        <f t="shared" si="4"/>
        <v>0</v>
      </c>
    </row>
    <row r="39" spans="1:31">
      <c r="A39" s="12" t="s">
        <v>263</v>
      </c>
      <c r="B39" s="12"/>
      <c r="C39" s="12" t="s">
        <v>114</v>
      </c>
      <c r="D39" s="12"/>
      <c r="E39" s="13">
        <v>46425</v>
      </c>
      <c r="G39" s="1">
        <f t="shared" si="1"/>
        <v>6778548</v>
      </c>
      <c r="I39" s="1">
        <v>4299932</v>
      </c>
      <c r="K39" s="1">
        <v>11078480</v>
      </c>
      <c r="M39" s="1">
        <f t="shared" si="2"/>
        <v>7174105</v>
      </c>
      <c r="O39" s="1">
        <v>77792</v>
      </c>
      <c r="Q39" s="1">
        <f>2308859-77792</f>
        <v>2231067</v>
      </c>
      <c r="S39" s="1">
        <v>9482964</v>
      </c>
      <c r="U39" s="1">
        <v>3486030</v>
      </c>
      <c r="W39" s="1">
        <f>AA39-Y39-U39</f>
        <v>177764</v>
      </c>
      <c r="Y39" s="1">
        <v>-2068278</v>
      </c>
      <c r="AA39" s="1">
        <v>1595516</v>
      </c>
      <c r="AC39" s="1">
        <f t="shared" si="0"/>
        <v>0</v>
      </c>
      <c r="AE39" s="3">
        <f>+G39+I39+-M39-O39-U39-W39-Y39-Q39</f>
        <v>0</v>
      </c>
    </row>
    <row r="40" spans="1:31">
      <c r="A40" s="12" t="s">
        <v>357</v>
      </c>
      <c r="B40" s="12"/>
      <c r="C40" s="12" t="s">
        <v>116</v>
      </c>
      <c r="D40" s="12"/>
      <c r="E40" s="13">
        <v>47241</v>
      </c>
      <c r="G40" s="1">
        <f t="shared" si="1"/>
        <v>172241276</v>
      </c>
      <c r="I40" s="1">
        <v>36369432</v>
      </c>
      <c r="K40" s="1">
        <v>208610708</v>
      </c>
      <c r="M40" s="1">
        <f t="shared" si="2"/>
        <v>59798982</v>
      </c>
      <c r="O40" s="1">
        <v>4110337</v>
      </c>
      <c r="Q40" s="1">
        <f>117005178-4110337</f>
        <v>112894841</v>
      </c>
      <c r="S40" s="1">
        <v>176804160</v>
      </c>
      <c r="U40" s="1">
        <v>-2862909</v>
      </c>
      <c r="W40" s="1">
        <f t="shared" si="3"/>
        <v>9198962</v>
      </c>
      <c r="Y40" s="1">
        <v>25470495</v>
      </c>
      <c r="AA40" s="1">
        <v>31806548</v>
      </c>
      <c r="AC40" s="1">
        <f t="shared" si="0"/>
        <v>0</v>
      </c>
      <c r="AE40" s="3">
        <f t="shared" si="4"/>
        <v>0</v>
      </c>
    </row>
    <row r="41" spans="1:31">
      <c r="A41" s="12" t="s">
        <v>282</v>
      </c>
      <c r="B41" s="12"/>
      <c r="C41" s="12" t="s">
        <v>20</v>
      </c>
      <c r="D41" s="12"/>
      <c r="E41" s="13">
        <v>43562</v>
      </c>
      <c r="G41" s="1">
        <f t="shared" si="1"/>
        <v>52670784</v>
      </c>
      <c r="I41" s="1">
        <v>19824063</v>
      </c>
      <c r="K41" s="1">
        <v>72494847</v>
      </c>
      <c r="M41" s="1">
        <f t="shared" si="2"/>
        <v>29788809</v>
      </c>
      <c r="O41" s="1">
        <v>2540097</v>
      </c>
      <c r="Q41" s="1">
        <f>9797895-2540097</f>
        <v>7257798</v>
      </c>
      <c r="S41" s="1">
        <v>39586704</v>
      </c>
      <c r="U41" s="1">
        <v>18505233</v>
      </c>
      <c r="W41" s="1">
        <f t="shared" si="3"/>
        <v>-593656</v>
      </c>
      <c r="Y41" s="1">
        <v>14996566</v>
      </c>
      <c r="AA41" s="1">
        <v>32908143</v>
      </c>
      <c r="AC41" s="1">
        <f t="shared" si="0"/>
        <v>0</v>
      </c>
      <c r="AE41" s="3">
        <f t="shared" si="4"/>
        <v>0</v>
      </c>
    </row>
    <row r="42" spans="1:31">
      <c r="A42" s="12" t="s">
        <v>219</v>
      </c>
      <c r="B42" s="12"/>
      <c r="C42" s="12" t="s">
        <v>15</v>
      </c>
      <c r="D42" s="12"/>
      <c r="E42" s="13">
        <v>43570</v>
      </c>
      <c r="F42" s="8"/>
      <c r="G42" s="1">
        <f t="shared" si="1"/>
        <v>6526148</v>
      </c>
      <c r="I42" s="1">
        <v>21013428</v>
      </c>
      <c r="K42" s="1">
        <v>27539576</v>
      </c>
      <c r="M42" s="1">
        <f t="shared" si="2"/>
        <v>8055782</v>
      </c>
      <c r="O42" s="1">
        <v>600918</v>
      </c>
      <c r="Q42" s="1">
        <f>4821196-60918</f>
        <v>4760278</v>
      </c>
      <c r="S42" s="1">
        <v>13416978</v>
      </c>
      <c r="U42" s="1">
        <v>18069632</v>
      </c>
      <c r="W42" s="1">
        <f t="shared" si="3"/>
        <v>2481294</v>
      </c>
      <c r="Y42" s="1">
        <v>-6428328</v>
      </c>
      <c r="AA42" s="1">
        <v>14122598</v>
      </c>
      <c r="AC42" s="1">
        <f t="shared" si="0"/>
        <v>0</v>
      </c>
      <c r="AE42" s="3">
        <f t="shared" si="4"/>
        <v>0</v>
      </c>
    </row>
    <row r="43" spans="1:31">
      <c r="A43" s="17" t="s">
        <v>951</v>
      </c>
      <c r="B43" s="17"/>
      <c r="C43" s="17" t="s">
        <v>116</v>
      </c>
      <c r="D43" s="17"/>
      <c r="E43" s="13">
        <v>47274</v>
      </c>
      <c r="G43" s="1">
        <f t="shared" si="1"/>
        <v>20440023</v>
      </c>
      <c r="I43" s="1">
        <f>3432055+51257796</f>
        <v>54689851</v>
      </c>
      <c r="K43" s="1">
        <v>75129874</v>
      </c>
      <c r="M43" s="1">
        <f t="shared" si="2"/>
        <v>19488613</v>
      </c>
      <c r="O43" s="1">
        <v>1725863</v>
      </c>
      <c r="Q43" s="1">
        <v>47469476</v>
      </c>
      <c r="S43" s="1">
        <v>68683952</v>
      </c>
      <c r="U43" s="1">
        <v>7508394</v>
      </c>
      <c r="W43" s="1">
        <f t="shared" si="3"/>
        <v>652912</v>
      </c>
      <c r="Y43" s="1">
        <v>-1715384</v>
      </c>
      <c r="AA43" s="1">
        <v>6445922</v>
      </c>
      <c r="AC43" s="1">
        <f t="shared" si="0"/>
        <v>0</v>
      </c>
      <c r="AE43" s="3">
        <f t="shared" si="4"/>
        <v>0</v>
      </c>
    </row>
    <row r="44" spans="1:31">
      <c r="A44" s="12" t="s">
        <v>403</v>
      </c>
      <c r="B44" s="12"/>
      <c r="C44" s="12" t="s">
        <v>37</v>
      </c>
      <c r="D44" s="12"/>
      <c r="E44" s="13">
        <v>43596</v>
      </c>
      <c r="G44" s="1">
        <f t="shared" si="1"/>
        <v>54108894</v>
      </c>
      <c r="I44" s="1">
        <v>6871682</v>
      </c>
      <c r="K44" s="1">
        <v>60980576</v>
      </c>
      <c r="M44" s="1">
        <f t="shared" si="2"/>
        <v>9060307</v>
      </c>
      <c r="O44" s="1">
        <v>766861</v>
      </c>
      <c r="Q44" s="1">
        <f>26641534-766861</f>
        <v>25874673</v>
      </c>
      <c r="S44" s="1">
        <v>35701841</v>
      </c>
      <c r="U44" s="1">
        <v>6466780</v>
      </c>
      <c r="W44" s="1">
        <f t="shared" si="3"/>
        <v>17131391</v>
      </c>
      <c r="Y44" s="1">
        <v>1680564</v>
      </c>
      <c r="AA44" s="1">
        <v>25278735</v>
      </c>
      <c r="AC44" s="1">
        <f t="shared" si="0"/>
        <v>0</v>
      </c>
      <c r="AE44" s="3">
        <f t="shared" si="4"/>
        <v>0</v>
      </c>
    </row>
    <row r="45" spans="1:31">
      <c r="A45" s="12" t="s">
        <v>636</v>
      </c>
      <c r="B45" s="12"/>
      <c r="C45" s="12" t="s">
        <v>70</v>
      </c>
      <c r="D45" s="12"/>
      <c r="E45" s="13">
        <v>43604</v>
      </c>
      <c r="G45" s="1">
        <f t="shared" si="1"/>
        <v>5979518</v>
      </c>
      <c r="I45" s="1">
        <v>5831050</v>
      </c>
      <c r="K45" s="1">
        <v>11810568</v>
      </c>
      <c r="M45" s="1">
        <f t="shared" si="2"/>
        <v>5071390</v>
      </c>
      <c r="O45" s="1">
        <v>34020</v>
      </c>
      <c r="Q45" s="1">
        <f>551690+8605-34020</f>
        <v>526275</v>
      </c>
      <c r="S45" s="1">
        <v>5631685</v>
      </c>
      <c r="U45" s="1">
        <v>5797437</v>
      </c>
      <c r="W45" s="1">
        <f t="shared" si="3"/>
        <v>347000</v>
      </c>
      <c r="Y45" s="1">
        <v>34446</v>
      </c>
      <c r="AA45" s="1">
        <v>6178883</v>
      </c>
      <c r="AC45" s="1">
        <f t="shared" ref="AC45:AC76" si="5">+K45-S45-AA45</f>
        <v>0</v>
      </c>
      <c r="AE45" s="3">
        <f t="shared" si="4"/>
        <v>0</v>
      </c>
    </row>
    <row r="46" spans="1:31">
      <c r="A46" s="12" t="s">
        <v>519</v>
      </c>
      <c r="B46" s="12"/>
      <c r="C46" s="12" t="s">
        <v>53</v>
      </c>
      <c r="D46" s="12"/>
      <c r="E46" s="13">
        <v>48926</v>
      </c>
      <c r="G46" s="1">
        <f t="shared" si="1"/>
        <v>16560483</v>
      </c>
      <c r="I46" s="1">
        <v>11107220</v>
      </c>
      <c r="K46" s="1">
        <v>27667703</v>
      </c>
      <c r="M46" s="1">
        <f t="shared" si="2"/>
        <v>10458931</v>
      </c>
      <c r="O46" s="1">
        <v>174307</v>
      </c>
      <c r="Q46" s="1">
        <f>1642250-174307</f>
        <v>1467943</v>
      </c>
      <c r="S46" s="1">
        <v>12101181</v>
      </c>
      <c r="U46" s="1">
        <v>11107220</v>
      </c>
      <c r="W46" s="1">
        <f t="shared" si="3"/>
        <v>3449107</v>
      </c>
      <c r="Y46" s="1">
        <v>1010195</v>
      </c>
      <c r="AA46" s="1">
        <v>15566522</v>
      </c>
      <c r="AC46" s="1">
        <f t="shared" si="5"/>
        <v>0</v>
      </c>
      <c r="AE46" s="3">
        <f t="shared" si="4"/>
        <v>0</v>
      </c>
    </row>
    <row r="47" spans="1:31">
      <c r="A47" s="12" t="s">
        <v>283</v>
      </c>
      <c r="B47" s="12"/>
      <c r="C47" s="12" t="s">
        <v>20</v>
      </c>
      <c r="D47" s="12"/>
      <c r="E47" s="13">
        <v>43612</v>
      </c>
      <c r="G47" s="1">
        <f t="shared" si="1"/>
        <v>115500000</v>
      </c>
      <c r="I47" s="1">
        <v>33000000</v>
      </c>
      <c r="K47" s="1">
        <v>148500000</v>
      </c>
      <c r="M47" s="1">
        <f t="shared" si="2"/>
        <v>60023487</v>
      </c>
      <c r="O47" s="1">
        <v>1962913</v>
      </c>
      <c r="Q47" s="1">
        <f>42576513-1962913</f>
        <v>40613600</v>
      </c>
      <c r="S47" s="1">
        <v>102600000</v>
      </c>
      <c r="U47" s="1">
        <v>17600000</v>
      </c>
      <c r="W47" s="1">
        <f t="shared" si="3"/>
        <v>5100000</v>
      </c>
      <c r="Y47" s="1">
        <v>23200000</v>
      </c>
      <c r="AA47" s="1">
        <v>45900000</v>
      </c>
      <c r="AC47" s="1">
        <f t="shared" si="5"/>
        <v>0</v>
      </c>
      <c r="AE47" s="3">
        <f t="shared" si="4"/>
        <v>0</v>
      </c>
    </row>
    <row r="48" spans="1:31">
      <c r="A48" s="12" t="s">
        <v>781</v>
      </c>
      <c r="B48" s="12"/>
      <c r="C48" s="12" t="s">
        <v>30</v>
      </c>
      <c r="D48" s="12"/>
      <c r="E48" s="13">
        <v>47167</v>
      </c>
      <c r="G48" s="1">
        <f t="shared" si="1"/>
        <v>8191636</v>
      </c>
      <c r="I48" s="1">
        <v>3518243</v>
      </c>
      <c r="K48" s="1">
        <v>11709879</v>
      </c>
      <c r="M48" s="1">
        <f t="shared" si="2"/>
        <v>4986917</v>
      </c>
      <c r="O48" s="1">
        <v>182726</v>
      </c>
      <c r="Q48" s="1">
        <v>874939</v>
      </c>
      <c r="S48" s="1">
        <v>6044582</v>
      </c>
      <c r="U48" s="1">
        <v>3518243</v>
      </c>
      <c r="W48" s="1">
        <f t="shared" si="3"/>
        <v>334576</v>
      </c>
      <c r="Y48" s="1">
        <v>1812478</v>
      </c>
      <c r="AA48" s="1">
        <v>5665297</v>
      </c>
      <c r="AC48" s="1">
        <f t="shared" si="5"/>
        <v>0</v>
      </c>
      <c r="AE48" s="3">
        <f t="shared" si="4"/>
        <v>0</v>
      </c>
    </row>
    <row r="49" spans="1:31">
      <c r="A49" s="12" t="s">
        <v>314</v>
      </c>
      <c r="B49" s="12"/>
      <c r="C49" s="12" t="s">
        <v>24</v>
      </c>
      <c r="D49" s="12"/>
      <c r="E49" s="13">
        <v>46789</v>
      </c>
      <c r="G49" s="1">
        <f t="shared" si="1"/>
        <v>14684123</v>
      </c>
      <c r="I49" s="1">
        <v>3850526</v>
      </c>
      <c r="K49" s="1">
        <v>18534649</v>
      </c>
      <c r="M49" s="1">
        <f t="shared" si="2"/>
        <v>8754999</v>
      </c>
      <c r="O49" s="1">
        <v>54796</v>
      </c>
      <c r="Q49" s="1">
        <f>768446-54796</f>
        <v>713650</v>
      </c>
      <c r="S49" s="1">
        <v>9523445</v>
      </c>
      <c r="U49" s="1">
        <v>3850526</v>
      </c>
      <c r="W49" s="1">
        <f t="shared" si="3"/>
        <v>1856189</v>
      </c>
      <c r="Y49" s="1">
        <v>3304489</v>
      </c>
      <c r="AA49" s="1">
        <v>9011204</v>
      </c>
      <c r="AC49" s="1">
        <f t="shared" si="5"/>
        <v>0</v>
      </c>
      <c r="AE49" s="3">
        <f t="shared" si="4"/>
        <v>0</v>
      </c>
    </row>
    <row r="50" spans="1:31">
      <c r="A50" s="12" t="s">
        <v>322</v>
      </c>
      <c r="B50" s="12"/>
      <c r="C50" s="12" t="s">
        <v>25</v>
      </c>
      <c r="D50" s="12"/>
      <c r="E50" s="13">
        <v>46854</v>
      </c>
      <c r="G50" s="1">
        <f t="shared" si="1"/>
        <v>7226761</v>
      </c>
      <c r="I50" s="1">
        <v>7915105</v>
      </c>
      <c r="K50" s="1">
        <v>15141866</v>
      </c>
      <c r="M50" s="1">
        <f t="shared" si="2"/>
        <v>3799688</v>
      </c>
      <c r="O50" s="1">
        <v>554025</v>
      </c>
      <c r="Q50" s="1">
        <f>3198612-554025</f>
        <v>2644587</v>
      </c>
      <c r="S50" s="1">
        <v>6998300</v>
      </c>
      <c r="U50" s="1">
        <v>5162693</v>
      </c>
      <c r="W50" s="1">
        <f t="shared" si="3"/>
        <v>971284</v>
      </c>
      <c r="Y50" s="1">
        <v>2009589</v>
      </c>
      <c r="AA50" s="1">
        <v>8143566</v>
      </c>
      <c r="AC50" s="1">
        <f t="shared" si="5"/>
        <v>0</v>
      </c>
      <c r="AE50" s="3">
        <f t="shared" si="4"/>
        <v>0</v>
      </c>
    </row>
    <row r="51" spans="1:31">
      <c r="A51" s="12" t="s">
        <v>487</v>
      </c>
      <c r="B51" s="12"/>
      <c r="C51" s="12" t="s">
        <v>48</v>
      </c>
      <c r="D51" s="12"/>
      <c r="E51" s="13">
        <v>48611</v>
      </c>
      <c r="G51" s="1">
        <f t="shared" si="1"/>
        <v>5199592</v>
      </c>
      <c r="I51" s="1">
        <v>4591229</v>
      </c>
      <c r="K51" s="1">
        <v>9790821</v>
      </c>
      <c r="M51" s="1">
        <f t="shared" si="2"/>
        <v>4033996</v>
      </c>
      <c r="O51" s="1">
        <v>80000</v>
      </c>
      <c r="Q51" s="1">
        <f>1363464-80000</f>
        <v>1283464</v>
      </c>
      <c r="S51" s="1">
        <v>5397460</v>
      </c>
      <c r="U51" s="1">
        <v>3602229</v>
      </c>
      <c r="W51" s="1">
        <f t="shared" si="3"/>
        <v>382217</v>
      </c>
      <c r="Y51" s="1">
        <v>408915</v>
      </c>
      <c r="AA51" s="1">
        <v>4393361</v>
      </c>
      <c r="AC51" s="1">
        <f t="shared" si="5"/>
        <v>0</v>
      </c>
      <c r="AE51" s="3">
        <f t="shared" si="4"/>
        <v>0</v>
      </c>
    </row>
    <row r="52" spans="1:31">
      <c r="A52" s="12" t="s">
        <v>252</v>
      </c>
      <c r="B52" s="12"/>
      <c r="C52" s="12" t="s">
        <v>115</v>
      </c>
      <c r="D52" s="12"/>
      <c r="E52" s="13">
        <v>46318</v>
      </c>
      <c r="F52" s="8"/>
      <c r="G52" s="1">
        <f t="shared" si="1"/>
        <v>8026418</v>
      </c>
      <c r="I52" s="1">
        <v>26993630</v>
      </c>
      <c r="K52" s="1">
        <v>35020048</v>
      </c>
      <c r="M52" s="1">
        <f t="shared" si="2"/>
        <v>4861589</v>
      </c>
      <c r="O52" s="1">
        <v>411157</v>
      </c>
      <c r="Q52" s="1">
        <f>7972752-411157</f>
        <v>7561595</v>
      </c>
      <c r="S52" s="1">
        <v>12834341</v>
      </c>
      <c r="U52" s="1">
        <v>19624517</v>
      </c>
      <c r="W52" s="1">
        <f t="shared" si="3"/>
        <v>2306834</v>
      </c>
      <c r="Y52" s="1">
        <v>254356</v>
      </c>
      <c r="AA52" s="1">
        <v>22185707</v>
      </c>
      <c r="AC52" s="1">
        <f t="shared" si="5"/>
        <v>0</v>
      </c>
      <c r="AE52" s="3">
        <f t="shared" si="4"/>
        <v>0</v>
      </c>
    </row>
    <row r="53" spans="1:31" ht="12.75" hidden="1" customHeight="1">
      <c r="A53" s="12" t="s">
        <v>825</v>
      </c>
      <c r="B53" s="12"/>
      <c r="C53" s="12" t="s">
        <v>60</v>
      </c>
      <c r="D53" s="12"/>
      <c r="E53" s="13">
        <v>49692</v>
      </c>
      <c r="G53" s="1">
        <f t="shared" si="1"/>
        <v>0</v>
      </c>
      <c r="M53" s="1">
        <f t="shared" si="2"/>
        <v>0</v>
      </c>
      <c r="W53" s="1">
        <f t="shared" si="3"/>
        <v>0</v>
      </c>
      <c r="AC53" s="1">
        <f t="shared" si="5"/>
        <v>0</v>
      </c>
      <c r="AE53" s="3">
        <f t="shared" si="4"/>
        <v>0</v>
      </c>
    </row>
    <row r="54" spans="1:31">
      <c r="A54" s="12" t="s">
        <v>329</v>
      </c>
      <c r="B54" s="12"/>
      <c r="C54" s="12" t="s">
        <v>27</v>
      </c>
      <c r="D54" s="12"/>
      <c r="E54" s="13">
        <v>43620</v>
      </c>
      <c r="G54" s="1">
        <f t="shared" si="1"/>
        <v>41843792</v>
      </c>
      <c r="I54" s="1">
        <v>36599530</v>
      </c>
      <c r="K54" s="1">
        <v>78443322</v>
      </c>
      <c r="M54" s="1">
        <f t="shared" si="2"/>
        <v>16519882</v>
      </c>
      <c r="O54" s="1">
        <v>2175000</v>
      </c>
      <c r="Q54" s="1">
        <f>29034863-2175000</f>
        <v>26859863</v>
      </c>
      <c r="S54" s="1">
        <v>45554745</v>
      </c>
      <c r="U54" s="1">
        <v>10817515</v>
      </c>
      <c r="W54" s="1">
        <f t="shared" si="3"/>
        <v>3014756</v>
      </c>
      <c r="Y54" s="1">
        <v>19056306</v>
      </c>
      <c r="AA54" s="1">
        <v>32888577</v>
      </c>
      <c r="AC54" s="1">
        <f t="shared" si="5"/>
        <v>0</v>
      </c>
      <c r="AE54" s="3">
        <f t="shared" si="4"/>
        <v>0</v>
      </c>
    </row>
    <row r="55" spans="1:31" ht="12.75" customHeight="1">
      <c r="A55" s="12" t="s">
        <v>777</v>
      </c>
      <c r="B55" s="12"/>
      <c r="C55" s="12" t="s">
        <v>23</v>
      </c>
      <c r="D55" s="12"/>
      <c r="E55" s="13">
        <v>46748</v>
      </c>
      <c r="G55" s="1">
        <f t="shared" si="1"/>
        <v>40129764</v>
      </c>
      <c r="I55" s="1">
        <v>36275006</v>
      </c>
      <c r="K55" s="1">
        <v>76404770</v>
      </c>
      <c r="M55" s="1">
        <f t="shared" si="2"/>
        <v>18852408</v>
      </c>
      <c r="O55" s="1">
        <v>1499178</v>
      </c>
      <c r="Q55" s="1">
        <f>48704474-1499178</f>
        <v>47205296</v>
      </c>
      <c r="S55" s="1">
        <v>67556882</v>
      </c>
      <c r="U55" s="1">
        <v>9138600</v>
      </c>
      <c r="W55" s="1">
        <f t="shared" si="3"/>
        <v>2564286</v>
      </c>
      <c r="Y55" s="1">
        <v>-2854998</v>
      </c>
      <c r="AA55" s="1">
        <v>8847888</v>
      </c>
      <c r="AC55" s="1">
        <f t="shared" si="5"/>
        <v>0</v>
      </c>
      <c r="AE55" s="3">
        <f>+G55+I55+-M55-O55-U55-W55-Y55-Q55</f>
        <v>0</v>
      </c>
    </row>
    <row r="56" spans="1:31">
      <c r="A56" s="12" t="s">
        <v>478</v>
      </c>
      <c r="B56" s="12"/>
      <c r="C56" s="12" t="s">
        <v>47</v>
      </c>
      <c r="D56" s="12"/>
      <c r="E56" s="13">
        <v>48462</v>
      </c>
      <c r="G56" s="1">
        <f t="shared" si="1"/>
        <v>6210696</v>
      </c>
      <c r="I56" s="1">
        <v>10648782</v>
      </c>
      <c r="K56" s="1">
        <v>16859478</v>
      </c>
      <c r="M56" s="1">
        <f t="shared" si="2"/>
        <v>6013464</v>
      </c>
      <c r="O56" s="1">
        <v>417576</v>
      </c>
      <c r="Q56" s="1">
        <f>4190774-417576</f>
        <v>3773198</v>
      </c>
      <c r="S56" s="1">
        <v>10204238</v>
      </c>
      <c r="U56" s="1">
        <v>7401636</v>
      </c>
      <c r="W56" s="1">
        <f t="shared" si="3"/>
        <v>1270819</v>
      </c>
      <c r="Y56" s="1">
        <v>-2017215</v>
      </c>
      <c r="AA56" s="1">
        <v>6655240</v>
      </c>
      <c r="AC56" s="1">
        <f t="shared" si="5"/>
        <v>0</v>
      </c>
      <c r="AE56" s="3">
        <f t="shared" si="4"/>
        <v>0</v>
      </c>
    </row>
    <row r="57" spans="1:31">
      <c r="A57" s="12" t="s">
        <v>259</v>
      </c>
      <c r="B57" s="12"/>
      <c r="C57" s="12" t="s">
        <v>18</v>
      </c>
      <c r="D57" s="12"/>
      <c r="E57" s="13">
        <v>46383</v>
      </c>
      <c r="F57" s="8"/>
      <c r="G57" s="1">
        <f t="shared" si="1"/>
        <v>7186738</v>
      </c>
      <c r="I57" s="1">
        <v>22180206</v>
      </c>
      <c r="K57" s="1">
        <v>29366944</v>
      </c>
      <c r="M57" s="1">
        <f t="shared" si="2"/>
        <v>4895712</v>
      </c>
      <c r="O57" s="1">
        <v>271132</v>
      </c>
      <c r="Q57" s="1">
        <f>3537092-271132</f>
        <v>3265960</v>
      </c>
      <c r="S57" s="1">
        <v>8432804</v>
      </c>
      <c r="U57" s="1">
        <v>19114397</v>
      </c>
      <c r="W57" s="1">
        <f t="shared" si="3"/>
        <v>1694756</v>
      </c>
      <c r="Y57" s="1">
        <v>124987</v>
      </c>
      <c r="AA57" s="1">
        <v>20934140</v>
      </c>
      <c r="AC57" s="1">
        <f t="shared" si="5"/>
        <v>0</v>
      </c>
      <c r="AE57" s="3">
        <f t="shared" si="4"/>
        <v>0</v>
      </c>
    </row>
    <row r="58" spans="1:31">
      <c r="A58" s="12" t="s">
        <v>323</v>
      </c>
      <c r="B58" s="12"/>
      <c r="C58" s="12" t="s">
        <v>25</v>
      </c>
      <c r="D58" s="12"/>
      <c r="E58" s="13">
        <v>46862</v>
      </c>
      <c r="G58" s="1">
        <f t="shared" si="1"/>
        <v>38953570</v>
      </c>
      <c r="I58" s="1">
        <v>4248719</v>
      </c>
      <c r="K58" s="1">
        <v>43202289</v>
      </c>
      <c r="M58" s="1">
        <f t="shared" si="2"/>
        <v>8836834</v>
      </c>
      <c r="O58" s="1">
        <v>1083989</v>
      </c>
      <c r="Q58" s="1">
        <f>27427417-1083989</f>
        <v>26343428</v>
      </c>
      <c r="S58" s="1">
        <v>36264251</v>
      </c>
      <c r="U58" s="1">
        <v>3878762</v>
      </c>
      <c r="W58" s="1">
        <f t="shared" si="3"/>
        <v>1021356</v>
      </c>
      <c r="Y58" s="1">
        <v>2037920</v>
      </c>
      <c r="AA58" s="1">
        <v>6938038</v>
      </c>
      <c r="AC58" s="1">
        <f t="shared" si="5"/>
        <v>0</v>
      </c>
      <c r="AE58" s="3">
        <f t="shared" si="4"/>
        <v>0</v>
      </c>
    </row>
    <row r="59" spans="1:31" ht="12.75" customHeight="1">
      <c r="A59" s="12" t="s">
        <v>599</v>
      </c>
      <c r="B59" s="12"/>
      <c r="C59" s="12" t="s">
        <v>64</v>
      </c>
      <c r="D59" s="12"/>
      <c r="E59" s="13">
        <v>50096</v>
      </c>
      <c r="G59" s="1">
        <f t="shared" si="1"/>
        <v>2799770</v>
      </c>
      <c r="I59" s="1">
        <v>899879</v>
      </c>
      <c r="K59" s="1">
        <v>3699649</v>
      </c>
      <c r="M59" s="1">
        <f t="shared" si="2"/>
        <v>1627273</v>
      </c>
      <c r="O59" s="1">
        <v>89427</v>
      </c>
      <c r="Q59" s="1">
        <f>554413</f>
        <v>554413</v>
      </c>
      <c r="S59" s="1">
        <v>2271113</v>
      </c>
      <c r="U59" s="1">
        <v>583092</v>
      </c>
      <c r="W59" s="1">
        <f t="shared" si="3"/>
        <v>511282</v>
      </c>
      <c r="Y59" s="1">
        <v>334162</v>
      </c>
      <c r="AA59" s="1">
        <v>1428536</v>
      </c>
      <c r="AC59" s="1">
        <f t="shared" si="5"/>
        <v>0</v>
      </c>
      <c r="AE59" s="3">
        <f t="shared" si="4"/>
        <v>0</v>
      </c>
    </row>
    <row r="60" spans="1:31">
      <c r="A60" s="12" t="s">
        <v>559</v>
      </c>
      <c r="B60" s="12"/>
      <c r="C60" s="12" t="s">
        <v>59</v>
      </c>
      <c r="D60" s="12"/>
      <c r="E60" s="13">
        <v>49593</v>
      </c>
      <c r="F60" s="19"/>
      <c r="G60" s="1">
        <f>+K60-I60</f>
        <v>3462573</v>
      </c>
      <c r="I60" s="1">
        <v>16972972</v>
      </c>
      <c r="K60" s="1">
        <v>20435545</v>
      </c>
      <c r="M60" s="1">
        <f>+S60-O60-Q60</f>
        <v>2155282</v>
      </c>
      <c r="O60" s="1">
        <v>96451</v>
      </c>
      <c r="Q60" s="1">
        <f>1063017-96451</f>
        <v>966566</v>
      </c>
      <c r="S60" s="1">
        <v>3218299</v>
      </c>
      <c r="U60" s="1">
        <v>16422972</v>
      </c>
      <c r="W60" s="1">
        <f>AA60-Y60-U60</f>
        <v>873127</v>
      </c>
      <c r="Y60" s="1">
        <v>-78853</v>
      </c>
      <c r="AA60" s="1">
        <v>17217246</v>
      </c>
      <c r="AC60" s="1">
        <f t="shared" si="5"/>
        <v>0</v>
      </c>
      <c r="AE60" s="3">
        <f>+G60+I60+-M60-O60-U60-W60-Y60-Q60</f>
        <v>0</v>
      </c>
    </row>
    <row r="61" spans="1:31" hidden="1">
      <c r="A61" s="12" t="s">
        <v>791</v>
      </c>
      <c r="B61" s="12"/>
      <c r="C61" s="12" t="s">
        <v>10</v>
      </c>
      <c r="D61" s="12"/>
      <c r="E61" s="13">
        <v>49593</v>
      </c>
      <c r="F61" s="19"/>
      <c r="G61" s="1">
        <f t="shared" si="1"/>
        <v>0</v>
      </c>
      <c r="M61" s="1">
        <f t="shared" si="2"/>
        <v>0</v>
      </c>
      <c r="W61" s="1">
        <f t="shared" si="3"/>
        <v>0</v>
      </c>
      <c r="AC61" s="1">
        <f t="shared" si="5"/>
        <v>0</v>
      </c>
      <c r="AE61" s="3">
        <f t="shared" si="4"/>
        <v>0</v>
      </c>
    </row>
    <row r="62" spans="1:31">
      <c r="A62" s="12" t="s">
        <v>462</v>
      </c>
      <c r="B62" s="12"/>
      <c r="C62" s="12" t="s">
        <v>45</v>
      </c>
      <c r="D62" s="12"/>
      <c r="E62" s="13">
        <v>48306</v>
      </c>
      <c r="G62" s="1">
        <f t="shared" si="1"/>
        <v>45416002</v>
      </c>
      <c r="I62" s="1">
        <v>24813861</v>
      </c>
      <c r="K62" s="1">
        <v>70229863</v>
      </c>
      <c r="M62" s="1">
        <f t="shared" si="2"/>
        <v>32419951</v>
      </c>
      <c r="O62" s="1">
        <v>1182470</v>
      </c>
      <c r="Q62" s="1">
        <f>13525926-1182470</f>
        <v>12343456</v>
      </c>
      <c r="S62" s="1">
        <v>45945877</v>
      </c>
      <c r="U62" s="1">
        <v>14577216</v>
      </c>
      <c r="W62" s="1">
        <f t="shared" si="3"/>
        <v>2085817</v>
      </c>
      <c r="Y62" s="1">
        <v>7620953</v>
      </c>
      <c r="AA62" s="1">
        <v>24283986</v>
      </c>
      <c r="AC62" s="1">
        <f t="shared" si="5"/>
        <v>0</v>
      </c>
      <c r="AE62" s="3">
        <f t="shared" si="4"/>
        <v>0</v>
      </c>
    </row>
    <row r="63" spans="1:31" hidden="1">
      <c r="A63" s="12" t="s">
        <v>923</v>
      </c>
      <c r="B63" s="12"/>
      <c r="C63" s="12" t="s">
        <v>61</v>
      </c>
      <c r="D63" s="12"/>
      <c r="E63" s="13">
        <v>49767</v>
      </c>
      <c r="G63" s="1">
        <f t="shared" si="1"/>
        <v>0</v>
      </c>
      <c r="M63" s="1">
        <f t="shared" si="2"/>
        <v>0</v>
      </c>
      <c r="W63" s="1">
        <f t="shared" si="3"/>
        <v>0</v>
      </c>
      <c r="AC63" s="1">
        <f t="shared" si="5"/>
        <v>0</v>
      </c>
      <c r="AE63" s="3">
        <f t="shared" si="4"/>
        <v>0</v>
      </c>
    </row>
    <row r="64" spans="1:31">
      <c r="A64" s="17" t="s">
        <v>646</v>
      </c>
      <c r="B64" s="12"/>
      <c r="C64" s="12" t="s">
        <v>72</v>
      </c>
      <c r="D64" s="12"/>
      <c r="E64" s="13">
        <v>43638</v>
      </c>
      <c r="G64" s="1">
        <f t="shared" si="1"/>
        <v>33667087</v>
      </c>
      <c r="I64" s="1">
        <f>33651010+59723</f>
        <v>33710733</v>
      </c>
      <c r="K64" s="1">
        <f>67031406+346414</f>
        <v>67377820</v>
      </c>
      <c r="M64" s="1">
        <f t="shared" si="2"/>
        <v>18474027</v>
      </c>
      <c r="O64" s="1">
        <v>1292592</v>
      </c>
      <c r="Q64" s="1">
        <f>31105483-1292592</f>
        <v>29812891</v>
      </c>
      <c r="S64" s="1">
        <f>49407783+171727</f>
        <v>49579510</v>
      </c>
      <c r="U64" s="1">
        <f>5857244+59723</f>
        <v>5916967</v>
      </c>
      <c r="W64" s="1">
        <f t="shared" si="3"/>
        <v>5521819</v>
      </c>
      <c r="Y64" s="1">
        <f>6244560+114964</f>
        <v>6359524</v>
      </c>
      <c r="AA64" s="1">
        <f>17623623+174687</f>
        <v>17798310</v>
      </c>
      <c r="AC64" s="1">
        <f t="shared" si="5"/>
        <v>0</v>
      </c>
      <c r="AE64" s="3">
        <f t="shared" si="4"/>
        <v>0</v>
      </c>
    </row>
    <row r="65" spans="1:31" hidden="1">
      <c r="A65" s="12" t="s">
        <v>832</v>
      </c>
      <c r="B65" s="12"/>
      <c r="C65" s="12" t="s">
        <v>48</v>
      </c>
      <c r="D65" s="12"/>
      <c r="E65" s="13">
        <v>43646</v>
      </c>
      <c r="G65" s="1">
        <f>+K65-I65</f>
        <v>0</v>
      </c>
      <c r="M65" s="1">
        <f>+S65-O65-Q65</f>
        <v>0</v>
      </c>
      <c r="W65" s="1">
        <f>AA65-Y65-U65</f>
        <v>0</v>
      </c>
      <c r="AC65" s="1">
        <f t="shared" si="5"/>
        <v>0</v>
      </c>
      <c r="AE65" s="3">
        <f>+G65+I65+-M65-O65-U65-W65-Y65-Q65</f>
        <v>0</v>
      </c>
    </row>
    <row r="66" spans="1:31">
      <c r="A66" s="12" t="s">
        <v>772</v>
      </c>
      <c r="B66" s="12"/>
      <c r="C66" s="12" t="s">
        <v>20</v>
      </c>
      <c r="D66" s="12"/>
      <c r="E66" s="13">
        <v>43646</v>
      </c>
      <c r="G66" s="1">
        <f t="shared" si="1"/>
        <v>57104753</v>
      </c>
      <c r="I66" s="1">
        <v>36785671</v>
      </c>
      <c r="K66" s="1">
        <v>93890424</v>
      </c>
      <c r="M66" s="1">
        <f t="shared" si="2"/>
        <v>39706938</v>
      </c>
      <c r="O66" s="1">
        <v>1969117</v>
      </c>
      <c r="Q66" s="1">
        <f>28380071-1969117</f>
        <v>26410954</v>
      </c>
      <c r="S66" s="1">
        <v>68087009</v>
      </c>
      <c r="U66" s="1">
        <v>11709554</v>
      </c>
      <c r="W66" s="1">
        <f t="shared" si="3"/>
        <v>7104228</v>
      </c>
      <c r="Y66" s="1">
        <v>6989633</v>
      </c>
      <c r="AA66" s="1">
        <v>25803415</v>
      </c>
      <c r="AC66" s="1">
        <f t="shared" si="5"/>
        <v>0</v>
      </c>
      <c r="AE66" s="3">
        <f t="shared" si="4"/>
        <v>0</v>
      </c>
    </row>
    <row r="67" spans="1:31">
      <c r="A67" s="17" t="s">
        <v>220</v>
      </c>
      <c r="B67" s="17"/>
      <c r="C67" s="17" t="s">
        <v>15</v>
      </c>
      <c r="D67" s="17"/>
      <c r="E67" s="13">
        <v>45237</v>
      </c>
      <c r="G67" s="1">
        <f t="shared" si="1"/>
        <v>4720231</v>
      </c>
      <c r="I67" s="1">
        <v>19021760</v>
      </c>
      <c r="K67" s="1">
        <v>23741991</v>
      </c>
      <c r="M67" s="1">
        <f t="shared" si="2"/>
        <v>3004743</v>
      </c>
      <c r="O67" s="1">
        <v>314434</v>
      </c>
      <c r="Q67" s="1">
        <f>5001760-314434</f>
        <v>4687326</v>
      </c>
      <c r="S67" s="1">
        <v>8006503</v>
      </c>
      <c r="U67" s="1">
        <v>14413775</v>
      </c>
      <c r="W67" s="1">
        <f t="shared" si="3"/>
        <v>1382580</v>
      </c>
      <c r="Y67" s="1">
        <v>-60867</v>
      </c>
      <c r="AA67" s="1">
        <v>15735488</v>
      </c>
      <c r="AC67" s="1">
        <f t="shared" si="5"/>
        <v>0</v>
      </c>
      <c r="AE67" s="3">
        <f t="shared" si="4"/>
        <v>0</v>
      </c>
    </row>
    <row r="68" spans="1:31">
      <c r="A68" s="12" t="s">
        <v>394</v>
      </c>
      <c r="B68" s="12"/>
      <c r="C68" s="12" t="s">
        <v>395</v>
      </c>
      <c r="D68" s="12"/>
      <c r="E68" s="13">
        <v>47613</v>
      </c>
      <c r="G68" s="1">
        <f t="shared" si="1"/>
        <v>4751923</v>
      </c>
      <c r="I68" s="1">
        <v>14281358</v>
      </c>
      <c r="K68" s="1">
        <v>19033281</v>
      </c>
      <c r="M68" s="1">
        <f t="shared" si="2"/>
        <v>2535912</v>
      </c>
      <c r="O68" s="1">
        <v>108635</v>
      </c>
      <c r="Q68" s="1">
        <f>745497-108635</f>
        <v>636862</v>
      </c>
      <c r="S68" s="1">
        <v>3281409</v>
      </c>
      <c r="U68" s="1">
        <v>13751358</v>
      </c>
      <c r="W68" s="1">
        <f t="shared" si="3"/>
        <v>1120557</v>
      </c>
      <c r="Y68" s="1">
        <v>879957</v>
      </c>
      <c r="AA68" s="1">
        <v>15751872</v>
      </c>
      <c r="AC68" s="1">
        <f t="shared" si="5"/>
        <v>0</v>
      </c>
      <c r="AE68" s="3">
        <f t="shared" si="4"/>
        <v>0</v>
      </c>
    </row>
    <row r="69" spans="1:31">
      <c r="A69" s="12" t="s">
        <v>600</v>
      </c>
      <c r="B69" s="12"/>
      <c r="C69" s="12" t="s">
        <v>64</v>
      </c>
      <c r="D69" s="12"/>
      <c r="E69" s="13">
        <v>50112</v>
      </c>
      <c r="G69" s="1">
        <f t="shared" si="1"/>
        <v>5830588</v>
      </c>
      <c r="I69" s="1">
        <v>9318730</v>
      </c>
      <c r="K69" s="1">
        <v>15149318</v>
      </c>
      <c r="M69" s="1">
        <f t="shared" si="2"/>
        <v>3202232</v>
      </c>
      <c r="O69" s="1">
        <v>284119</v>
      </c>
      <c r="Q69" s="1">
        <f>2196944-284119</f>
        <v>1912825</v>
      </c>
      <c r="S69" s="1">
        <v>5399176</v>
      </c>
      <c r="U69" s="1">
        <v>7788730</v>
      </c>
      <c r="W69" s="1">
        <f t="shared" si="3"/>
        <v>990787</v>
      </c>
      <c r="Y69" s="1">
        <v>970625</v>
      </c>
      <c r="AA69" s="1">
        <v>9750142</v>
      </c>
      <c r="AC69" s="1">
        <f t="shared" si="5"/>
        <v>0</v>
      </c>
      <c r="AE69" s="3">
        <f t="shared" si="4"/>
        <v>0</v>
      </c>
    </row>
    <row r="70" spans="1:31">
      <c r="A70" s="12" t="s">
        <v>827</v>
      </c>
      <c r="B70" s="12"/>
      <c r="C70" s="12" t="s">
        <v>64</v>
      </c>
      <c r="D70" s="12"/>
      <c r="E70" s="13">
        <v>50120</v>
      </c>
      <c r="G70" s="1">
        <f t="shared" si="1"/>
        <v>28527397</v>
      </c>
      <c r="I70" s="1">
        <v>15895292</v>
      </c>
      <c r="K70" s="1">
        <v>44422689</v>
      </c>
      <c r="M70" s="1">
        <f t="shared" si="2"/>
        <v>6794165</v>
      </c>
      <c r="O70" s="1">
        <v>474698</v>
      </c>
      <c r="Q70" s="1">
        <f>15785139-474698</f>
        <v>15310441</v>
      </c>
      <c r="S70" s="1">
        <v>22579304</v>
      </c>
      <c r="U70" s="1">
        <v>14825049</v>
      </c>
      <c r="W70" s="1">
        <f t="shared" si="3"/>
        <v>8321524</v>
      </c>
      <c r="Y70" s="1">
        <v>-1303188</v>
      </c>
      <c r="AA70" s="1">
        <v>21843385</v>
      </c>
      <c r="AC70" s="1">
        <f t="shared" si="5"/>
        <v>0</v>
      </c>
      <c r="AE70" s="3">
        <f t="shared" si="4"/>
        <v>0</v>
      </c>
    </row>
    <row r="71" spans="1:31">
      <c r="A71" s="12" t="s">
        <v>284</v>
      </c>
      <c r="B71" s="12"/>
      <c r="C71" s="12" t="s">
        <v>20</v>
      </c>
      <c r="D71" s="12"/>
      <c r="E71" s="13">
        <v>43653</v>
      </c>
      <c r="G71" s="1">
        <f t="shared" si="1"/>
        <v>16034538</v>
      </c>
      <c r="I71" s="1">
        <v>3470952</v>
      </c>
      <c r="K71" s="1">
        <v>19505490</v>
      </c>
      <c r="M71" s="1">
        <f t="shared" si="2"/>
        <v>9931417</v>
      </c>
      <c r="O71" s="1">
        <v>162713</v>
      </c>
      <c r="Q71" s="1">
        <f>1155955-162713</f>
        <v>993242</v>
      </c>
      <c r="S71" s="1">
        <v>11087372</v>
      </c>
      <c r="U71" s="1">
        <v>3470952</v>
      </c>
      <c r="W71" s="1">
        <f t="shared" si="3"/>
        <v>342483</v>
      </c>
      <c r="Y71" s="1">
        <v>4604683</v>
      </c>
      <c r="AA71" s="1">
        <v>8418118</v>
      </c>
      <c r="AC71" s="1">
        <f t="shared" si="5"/>
        <v>0</v>
      </c>
      <c r="AE71" s="3">
        <f t="shared" si="4"/>
        <v>0</v>
      </c>
    </row>
    <row r="72" spans="1:31">
      <c r="A72" s="12" t="s">
        <v>494</v>
      </c>
      <c r="B72" s="12"/>
      <c r="C72" s="12" t="s">
        <v>50</v>
      </c>
      <c r="D72" s="12"/>
      <c r="E72" s="13">
        <v>48678</v>
      </c>
      <c r="G72" s="1">
        <f t="shared" si="1"/>
        <v>29528389</v>
      </c>
      <c r="I72" s="1">
        <v>26199609</v>
      </c>
      <c r="K72" s="1">
        <v>55727998</v>
      </c>
      <c r="M72" s="1">
        <f t="shared" si="2"/>
        <v>7650248</v>
      </c>
      <c r="O72" s="1">
        <v>704954</v>
      </c>
      <c r="Q72" s="1">
        <f>22371596-704954</f>
        <v>21666642</v>
      </c>
      <c r="S72" s="1">
        <v>30021844</v>
      </c>
      <c r="U72" s="1">
        <v>5168552</v>
      </c>
      <c r="W72" s="1">
        <f t="shared" si="3"/>
        <v>18533592</v>
      </c>
      <c r="Y72" s="1">
        <v>2004010</v>
      </c>
      <c r="AA72" s="1">
        <v>25706154</v>
      </c>
      <c r="AC72" s="1">
        <f t="shared" si="5"/>
        <v>0</v>
      </c>
      <c r="AE72" s="3">
        <f t="shared" si="4"/>
        <v>0</v>
      </c>
    </row>
    <row r="73" spans="1:31">
      <c r="A73" s="17" t="s">
        <v>237</v>
      </c>
      <c r="B73" s="17"/>
      <c r="C73" s="17" t="s">
        <v>16</v>
      </c>
      <c r="D73" s="17"/>
      <c r="E73" s="13">
        <v>46177</v>
      </c>
      <c r="G73" s="1">
        <f t="shared" si="1"/>
        <v>7433931</v>
      </c>
      <c r="I73" s="1">
        <v>986531</v>
      </c>
      <c r="K73" s="1">
        <v>8420462</v>
      </c>
      <c r="M73" s="1">
        <f t="shared" si="2"/>
        <v>3511052</v>
      </c>
      <c r="O73" s="1">
        <v>69736</v>
      </c>
      <c r="Q73" s="1">
        <f>430896-69736</f>
        <v>361160</v>
      </c>
      <c r="S73" s="1">
        <v>3941948</v>
      </c>
      <c r="U73" s="1">
        <v>931243</v>
      </c>
      <c r="W73" s="1">
        <f t="shared" si="3"/>
        <v>822075</v>
      </c>
      <c r="Y73" s="1">
        <v>2725196</v>
      </c>
      <c r="AA73" s="1">
        <v>4478514</v>
      </c>
      <c r="AC73" s="1">
        <f t="shared" si="5"/>
        <v>0</v>
      </c>
      <c r="AE73" s="3">
        <f t="shared" si="4"/>
        <v>0</v>
      </c>
    </row>
    <row r="74" spans="1:31">
      <c r="A74" s="12" t="s">
        <v>479</v>
      </c>
      <c r="B74" s="12"/>
      <c r="C74" s="12" t="s">
        <v>47</v>
      </c>
      <c r="D74" s="12"/>
      <c r="E74" s="13">
        <v>43661</v>
      </c>
      <c r="G74" s="1">
        <f t="shared" si="1"/>
        <v>58754976</v>
      </c>
      <c r="I74" s="1">
        <v>18798008</v>
      </c>
      <c r="K74" s="1">
        <v>77552984</v>
      </c>
      <c r="M74" s="1">
        <f t="shared" si="2"/>
        <v>41230732</v>
      </c>
      <c r="O74" s="1">
        <v>1554643</v>
      </c>
      <c r="Q74" s="1">
        <f>22706826-1554643</f>
        <v>21152183</v>
      </c>
      <c r="S74" s="1">
        <v>63937558</v>
      </c>
      <c r="U74" s="1">
        <v>3308914</v>
      </c>
      <c r="W74" s="1">
        <f t="shared" si="3"/>
        <v>6568928</v>
      </c>
      <c r="Y74" s="1">
        <v>3737584</v>
      </c>
      <c r="AA74" s="1">
        <v>13615426</v>
      </c>
      <c r="AC74" s="1">
        <f t="shared" si="5"/>
        <v>0</v>
      </c>
      <c r="AE74" s="3">
        <f t="shared" si="4"/>
        <v>0</v>
      </c>
    </row>
    <row r="75" spans="1:31" hidden="1">
      <c r="A75" s="12" t="s">
        <v>829</v>
      </c>
      <c r="B75" s="12"/>
      <c r="C75" s="12" t="s">
        <v>643</v>
      </c>
      <c r="D75" s="12"/>
      <c r="E75" s="13">
        <v>43679</v>
      </c>
      <c r="G75" s="1">
        <f t="shared" si="1"/>
        <v>0</v>
      </c>
      <c r="M75" s="1">
        <f t="shared" si="2"/>
        <v>0</v>
      </c>
      <c r="W75" s="1">
        <f t="shared" si="3"/>
        <v>0</v>
      </c>
      <c r="AB75" s="16"/>
      <c r="AC75" s="1">
        <f t="shared" si="5"/>
        <v>0</v>
      </c>
      <c r="AE75" s="3">
        <f t="shared" si="4"/>
        <v>0</v>
      </c>
    </row>
    <row r="76" spans="1:31">
      <c r="A76" s="12" t="s">
        <v>275</v>
      </c>
      <c r="B76" s="12"/>
      <c r="C76" s="12" t="s">
        <v>113</v>
      </c>
      <c r="D76" s="12"/>
      <c r="E76" s="13">
        <v>46508</v>
      </c>
      <c r="G76" s="1">
        <f t="shared" si="1"/>
        <v>8886578</v>
      </c>
      <c r="I76" s="1">
        <v>23554518</v>
      </c>
      <c r="K76" s="1">
        <v>32441096</v>
      </c>
      <c r="M76" s="1">
        <f t="shared" si="2"/>
        <v>2996839</v>
      </c>
      <c r="O76" s="1">
        <v>353103</v>
      </c>
      <c r="Q76" s="1">
        <f>9272789-353103</f>
        <v>8919686</v>
      </c>
      <c r="S76" s="1">
        <v>12269628</v>
      </c>
      <c r="U76" s="1">
        <v>16014479</v>
      </c>
      <c r="W76" s="1">
        <f t="shared" si="3"/>
        <v>2370032</v>
      </c>
      <c r="Y76" s="1">
        <v>1786957</v>
      </c>
      <c r="AA76" s="1">
        <v>20171468</v>
      </c>
      <c r="AC76" s="1">
        <f t="shared" si="5"/>
        <v>0</v>
      </c>
      <c r="AE76" s="3">
        <f t="shared" si="4"/>
        <v>0</v>
      </c>
    </row>
    <row r="77" spans="1:31">
      <c r="A77" s="12" t="s">
        <v>209</v>
      </c>
      <c r="B77" s="12"/>
      <c r="C77" s="12" t="s">
        <v>12</v>
      </c>
      <c r="D77" s="12"/>
      <c r="E77" s="13">
        <v>45856</v>
      </c>
      <c r="F77" s="8"/>
      <c r="G77" s="1">
        <f t="shared" si="1"/>
        <v>13268643</v>
      </c>
      <c r="I77" s="1">
        <v>2529710</v>
      </c>
      <c r="K77" s="1">
        <v>15798353</v>
      </c>
      <c r="M77" s="1">
        <f t="shared" si="2"/>
        <v>6413683</v>
      </c>
      <c r="O77" s="1">
        <v>189773</v>
      </c>
      <c r="Q77" s="1">
        <f>1413554-189773</f>
        <v>1223781</v>
      </c>
      <c r="S77" s="1">
        <v>7827237</v>
      </c>
      <c r="U77" s="1">
        <v>2233479</v>
      </c>
      <c r="W77" s="1">
        <f t="shared" si="3"/>
        <v>1109888</v>
      </c>
      <c r="Y77" s="1">
        <v>4627749</v>
      </c>
      <c r="AA77" s="1">
        <v>7971116</v>
      </c>
      <c r="AC77" s="1">
        <f t="shared" ref="AC77:AC82" si="6">+K77-S77-AA77</f>
        <v>0</v>
      </c>
      <c r="AE77" s="3">
        <f t="shared" si="4"/>
        <v>0</v>
      </c>
    </row>
    <row r="78" spans="1:31">
      <c r="A78" s="12" t="s">
        <v>209</v>
      </c>
      <c r="B78" s="12"/>
      <c r="C78" s="12" t="s">
        <v>39</v>
      </c>
      <c r="D78" s="12"/>
      <c r="E78" s="13"/>
      <c r="F78" s="8"/>
      <c r="G78" s="1">
        <f t="shared" si="1"/>
        <v>9567860</v>
      </c>
      <c r="I78" s="1">
        <v>10050734</v>
      </c>
      <c r="K78" s="1">
        <v>19618594</v>
      </c>
      <c r="M78" s="1">
        <f t="shared" si="2"/>
        <v>8593225</v>
      </c>
      <c r="O78" s="1">
        <v>966968</v>
      </c>
      <c r="Q78" s="1">
        <f>2941553-966968</f>
        <v>1974585</v>
      </c>
      <c r="S78" s="1">
        <v>11534778</v>
      </c>
      <c r="U78" s="1">
        <v>8465757</v>
      </c>
      <c r="W78" s="1">
        <f t="shared" si="3"/>
        <v>1500863</v>
      </c>
      <c r="Y78" s="1">
        <v>-1882804</v>
      </c>
      <c r="AA78" s="20">
        <v>8083816</v>
      </c>
      <c r="AC78" s="1">
        <f t="shared" si="6"/>
        <v>0</v>
      </c>
      <c r="AE78" s="3">
        <f t="shared" si="4"/>
        <v>0</v>
      </c>
    </row>
    <row r="79" spans="1:31">
      <c r="A79" s="12" t="s">
        <v>830</v>
      </c>
      <c r="B79" s="12"/>
      <c r="C79" s="12" t="s">
        <v>47</v>
      </c>
      <c r="D79" s="12"/>
      <c r="E79" s="13">
        <v>47787</v>
      </c>
      <c r="G79" s="1">
        <f>+K79-I79</f>
        <v>17267237</v>
      </c>
      <c r="I79" s="1">
        <v>28395237</v>
      </c>
      <c r="K79" s="1">
        <v>45662474</v>
      </c>
      <c r="M79" s="1">
        <f>+S79-O79-Q79</f>
        <v>11999562</v>
      </c>
      <c r="O79" s="1">
        <v>1234830</v>
      </c>
      <c r="Q79" s="1">
        <f>22762019-1234830</f>
        <v>21527189</v>
      </c>
      <c r="S79" s="1">
        <v>34761581</v>
      </c>
      <c r="U79" s="1">
        <v>7559670</v>
      </c>
      <c r="W79" s="1">
        <f>AA79-Y79-U79</f>
        <v>2857585</v>
      </c>
      <c r="Y79" s="1">
        <v>483638</v>
      </c>
      <c r="AA79" s="1">
        <v>10900893</v>
      </c>
      <c r="AC79" s="1">
        <f t="shared" si="6"/>
        <v>0</v>
      </c>
      <c r="AE79" s="3">
        <f t="shared" si="4"/>
        <v>0</v>
      </c>
    </row>
    <row r="80" spans="1:31">
      <c r="A80" s="1" t="s">
        <v>775</v>
      </c>
      <c r="C80" s="1" t="s">
        <v>114</v>
      </c>
      <c r="D80" s="12"/>
      <c r="E80" s="13">
        <v>48470</v>
      </c>
      <c r="G80" s="1">
        <f>+K80-I80</f>
        <v>1039502</v>
      </c>
      <c r="I80" s="1">
        <v>3809342</v>
      </c>
      <c r="K80" s="1">
        <v>4848844</v>
      </c>
      <c r="M80" s="1">
        <f>+S80-O80-Q80</f>
        <v>347827</v>
      </c>
      <c r="O80" s="1">
        <v>109013</v>
      </c>
      <c r="Q80" s="1">
        <f>1033054-109013</f>
        <v>924041</v>
      </c>
      <c r="S80" s="1">
        <v>1380881</v>
      </c>
      <c r="U80" s="1">
        <v>2776288</v>
      </c>
      <c r="W80" s="1">
        <f>AA80-Y80-U80</f>
        <v>409215</v>
      </c>
      <c r="Y80" s="1">
        <v>282460</v>
      </c>
      <c r="AA80" s="1">
        <v>3467963</v>
      </c>
      <c r="AC80" s="1">
        <f t="shared" si="6"/>
        <v>0</v>
      </c>
      <c r="AE80" s="3">
        <f>+G80+I80+-M80-O80-U80-W80-Y80-Q80</f>
        <v>0</v>
      </c>
    </row>
    <row r="81" spans="1:31">
      <c r="A81" s="12" t="s">
        <v>778</v>
      </c>
      <c r="B81" s="12"/>
      <c r="C81" s="12" t="s">
        <v>23</v>
      </c>
      <c r="D81" s="12"/>
      <c r="E81" s="13">
        <v>46755</v>
      </c>
      <c r="G81" s="1">
        <f>+K81-I81</f>
        <v>33763425</v>
      </c>
      <c r="I81" s="1">
        <v>19277252</v>
      </c>
      <c r="K81" s="1">
        <v>53040677</v>
      </c>
      <c r="M81" s="1">
        <f>+S81-O81-Q81</f>
        <v>13370879</v>
      </c>
      <c r="O81" s="1">
        <v>1255333</v>
      </c>
      <c r="Q81" s="1">
        <f>25710495-1255333</f>
        <v>24455162</v>
      </c>
      <c r="S81" s="1">
        <v>39081374</v>
      </c>
      <c r="U81" s="1">
        <v>9478437</v>
      </c>
      <c r="W81" s="1">
        <f>AA81-Y81-U81</f>
        <v>2260634</v>
      </c>
      <c r="Y81" s="1">
        <v>2220232</v>
      </c>
      <c r="AA81" s="1">
        <v>13959303</v>
      </c>
      <c r="AC81" s="1">
        <f t="shared" si="6"/>
        <v>0</v>
      </c>
      <c r="AE81" s="3">
        <f>+G81+I81+-M81-O81-U81-W81-Y81-Q81</f>
        <v>0</v>
      </c>
    </row>
    <row r="82" spans="1:31">
      <c r="A82" s="12" t="s">
        <v>276</v>
      </c>
      <c r="B82" s="12"/>
      <c r="C82" s="12" t="s">
        <v>113</v>
      </c>
      <c r="D82" s="12"/>
      <c r="E82" s="13">
        <v>43687</v>
      </c>
      <c r="F82" s="19"/>
      <c r="G82" s="1">
        <f>+K82-I82</f>
        <v>17112708</v>
      </c>
      <c r="I82" s="1">
        <v>37196068</v>
      </c>
      <c r="K82" s="1">
        <v>54308776</v>
      </c>
      <c r="M82" s="1">
        <f>+S82-O82-Q82</f>
        <v>5922611</v>
      </c>
      <c r="O82" s="1">
        <v>367780</v>
      </c>
      <c r="Q82" s="1">
        <f>14394946-367780</f>
        <v>14027166</v>
      </c>
      <c r="S82" s="1">
        <v>20317557</v>
      </c>
      <c r="U82" s="1">
        <v>24859369</v>
      </c>
      <c r="W82" s="1">
        <f>AA82-Y82-U82</f>
        <v>3828389</v>
      </c>
      <c r="Y82" s="1">
        <v>5303461</v>
      </c>
      <c r="AA82" s="1">
        <v>33991219</v>
      </c>
      <c r="AC82" s="1">
        <f t="shared" si="6"/>
        <v>0</v>
      </c>
      <c r="AE82" s="3">
        <f>+G82+I82+-M82-O82-U82-W82-Y82-Q82</f>
        <v>0</v>
      </c>
    </row>
    <row r="83" spans="1:31">
      <c r="A83" s="12" t="s">
        <v>517</v>
      </c>
      <c r="B83" s="12"/>
      <c r="C83" s="12" t="s">
        <v>52</v>
      </c>
      <c r="D83" s="12"/>
      <c r="E83" s="13">
        <v>45252</v>
      </c>
      <c r="G83" s="1">
        <f t="shared" ref="G83:G144" si="7">+K83-I83</f>
        <v>7022280</v>
      </c>
      <c r="I83" s="1">
        <v>4714210</v>
      </c>
      <c r="K83" s="1">
        <v>11736490</v>
      </c>
      <c r="M83" s="1">
        <f t="shared" ref="M83:M149" si="8">+S83-O83-Q83</f>
        <v>3735611</v>
      </c>
      <c r="O83" s="1">
        <v>32183</v>
      </c>
      <c r="Q83" s="1">
        <f>367861-32183</f>
        <v>335678</v>
      </c>
      <c r="S83" s="1">
        <v>4103472</v>
      </c>
      <c r="U83" s="1">
        <v>4714210</v>
      </c>
      <c r="W83" s="1">
        <f t="shared" ref="W83:W148" si="9">AA83-Y83-U83</f>
        <v>528035</v>
      </c>
      <c r="Y83" s="1">
        <v>2390773</v>
      </c>
      <c r="AA83" s="1">
        <v>7633018</v>
      </c>
      <c r="AC83" s="1">
        <f t="shared" ref="AC83:AC152" si="10">+K83-S83-AA83</f>
        <v>0</v>
      </c>
      <c r="AE83" s="3">
        <f t="shared" ref="AE83:AE150" si="11">+G83+I83+-M83-O83-U83-W83-Y83-Q83</f>
        <v>0</v>
      </c>
    </row>
    <row r="84" spans="1:31">
      <c r="A84" s="12" t="s">
        <v>360</v>
      </c>
      <c r="B84" s="12"/>
      <c r="C84" s="12" t="s">
        <v>31</v>
      </c>
      <c r="D84" s="12"/>
      <c r="E84" s="13">
        <v>43695</v>
      </c>
      <c r="G84" s="1">
        <f t="shared" si="7"/>
        <v>13784604</v>
      </c>
      <c r="I84" s="1">
        <v>40944588</v>
      </c>
      <c r="K84" s="1">
        <v>54729192</v>
      </c>
      <c r="M84" s="1">
        <f t="shared" si="8"/>
        <v>7589637</v>
      </c>
      <c r="O84" s="1">
        <v>527283</v>
      </c>
      <c r="Q84" s="1">
        <f>7327544-527283</f>
        <v>6800261</v>
      </c>
      <c r="S84" s="1">
        <v>14917181</v>
      </c>
      <c r="U84" s="1">
        <v>35295196</v>
      </c>
      <c r="W84" s="1">
        <f t="shared" si="9"/>
        <v>4092711</v>
      </c>
      <c r="Y84" s="1">
        <v>424104</v>
      </c>
      <c r="AA84" s="1">
        <v>39812011</v>
      </c>
      <c r="AC84" s="1">
        <f t="shared" si="10"/>
        <v>0</v>
      </c>
      <c r="AE84" s="3">
        <f t="shared" si="11"/>
        <v>0</v>
      </c>
    </row>
    <row r="85" spans="1:31">
      <c r="A85" s="12" t="s">
        <v>792</v>
      </c>
      <c r="B85" s="12"/>
      <c r="C85" s="12" t="s">
        <v>45</v>
      </c>
      <c r="D85" s="12"/>
      <c r="E85" s="13">
        <v>43703</v>
      </c>
      <c r="G85" s="1">
        <f t="shared" si="7"/>
        <v>5778430</v>
      </c>
      <c r="I85" s="1">
        <v>34610530</v>
      </c>
      <c r="K85" s="1">
        <v>40388960</v>
      </c>
      <c r="M85" s="1">
        <f t="shared" si="8"/>
        <v>4428514</v>
      </c>
      <c r="O85" s="1">
        <v>355381</v>
      </c>
      <c r="Q85" s="1">
        <f>5060902-355381</f>
        <v>4705521</v>
      </c>
      <c r="S85" s="1">
        <v>9489416</v>
      </c>
      <c r="U85" s="1">
        <v>30518528</v>
      </c>
      <c r="W85" s="1">
        <f t="shared" si="9"/>
        <v>1088896</v>
      </c>
      <c r="Y85" s="1">
        <v>-707880</v>
      </c>
      <c r="AA85" s="1">
        <v>30899544</v>
      </c>
      <c r="AC85" s="1">
        <f t="shared" si="10"/>
        <v>0</v>
      </c>
      <c r="AE85" s="3">
        <f t="shared" si="11"/>
        <v>0</v>
      </c>
    </row>
    <row r="86" spans="1:31">
      <c r="A86" s="12" t="s">
        <v>330</v>
      </c>
      <c r="B86" s="12"/>
      <c r="C86" s="12" t="s">
        <v>27</v>
      </c>
      <c r="D86" s="12"/>
      <c r="E86" s="13">
        <v>46946</v>
      </c>
      <c r="G86" s="1">
        <f t="shared" si="7"/>
        <v>33229973</v>
      </c>
      <c r="I86" s="1">
        <v>71335491</v>
      </c>
      <c r="K86" s="1">
        <v>104565464</v>
      </c>
      <c r="M86" s="1">
        <f t="shared" si="8"/>
        <v>22166412</v>
      </c>
      <c r="O86" s="1">
        <v>4165446</v>
      </c>
      <c r="Q86" s="1">
        <f>65552791-4165446</f>
        <v>61387345</v>
      </c>
      <c r="S86" s="1">
        <v>87719203</v>
      </c>
      <c r="U86" s="1">
        <v>5753388</v>
      </c>
      <c r="W86" s="1">
        <f t="shared" si="9"/>
        <v>4434011</v>
      </c>
      <c r="Y86" s="1">
        <v>6658862</v>
      </c>
      <c r="AA86" s="1">
        <v>16846261</v>
      </c>
      <c r="AC86" s="1">
        <f t="shared" si="10"/>
        <v>0</v>
      </c>
      <c r="AE86" s="3">
        <f t="shared" si="11"/>
        <v>0</v>
      </c>
    </row>
    <row r="87" spans="1:31">
      <c r="A87" s="12"/>
      <c r="B87" s="12"/>
      <c r="C87" s="12"/>
      <c r="D87" s="12"/>
      <c r="E87" s="13"/>
    </row>
    <row r="88" spans="1:31">
      <c r="A88" s="12"/>
      <c r="B88" s="12"/>
      <c r="C88" s="12"/>
      <c r="D88" s="12"/>
      <c r="E88" s="13"/>
      <c r="AA88" s="20" t="s">
        <v>709</v>
      </c>
    </row>
    <row r="89" spans="1:31">
      <c r="A89" s="12"/>
      <c r="B89" s="12"/>
      <c r="C89" s="12"/>
      <c r="D89" s="12"/>
      <c r="E89" s="13"/>
    </row>
    <row r="90" spans="1:31">
      <c r="A90" s="12" t="s">
        <v>464</v>
      </c>
      <c r="B90" s="12"/>
      <c r="C90" s="12" t="s">
        <v>45</v>
      </c>
      <c r="D90" s="12"/>
      <c r="E90" s="13">
        <v>48314</v>
      </c>
      <c r="G90" s="16">
        <f t="shared" si="7"/>
        <v>27998580</v>
      </c>
      <c r="H90" s="16"/>
      <c r="I90" s="16">
        <v>15109995</v>
      </c>
      <c r="J90" s="16"/>
      <c r="K90" s="16">
        <v>43108575</v>
      </c>
      <c r="L90" s="16"/>
      <c r="M90" s="16">
        <f t="shared" si="8"/>
        <v>18656459</v>
      </c>
      <c r="N90" s="16"/>
      <c r="O90" s="16">
        <v>282090</v>
      </c>
      <c r="P90" s="16"/>
      <c r="Q90" s="16">
        <f>6996577-282090</f>
        <v>6714487</v>
      </c>
      <c r="R90" s="16"/>
      <c r="S90" s="16">
        <v>25653036</v>
      </c>
      <c r="T90" s="16"/>
      <c r="U90" s="16">
        <v>11143664</v>
      </c>
      <c r="V90" s="16"/>
      <c r="W90" s="16">
        <f t="shared" si="9"/>
        <v>3729358</v>
      </c>
      <c r="X90" s="16"/>
      <c r="Y90" s="16">
        <v>2582517</v>
      </c>
      <c r="Z90" s="16"/>
      <c r="AA90" s="16">
        <v>17455539</v>
      </c>
      <c r="AC90" s="1">
        <f t="shared" si="10"/>
        <v>0</v>
      </c>
      <c r="AE90" s="3">
        <f t="shared" si="11"/>
        <v>0</v>
      </c>
    </row>
    <row r="91" spans="1:31">
      <c r="A91" s="12" t="s">
        <v>574</v>
      </c>
      <c r="B91" s="12"/>
      <c r="C91" s="12" t="s">
        <v>62</v>
      </c>
      <c r="D91" s="12"/>
      <c r="E91" s="13">
        <v>43711</v>
      </c>
      <c r="G91" s="1">
        <f>+K91-I91</f>
        <v>10425218</v>
      </c>
      <c r="I91" s="1">
        <v>5112104</v>
      </c>
      <c r="K91" s="1">
        <v>15537322</v>
      </c>
      <c r="M91" s="1">
        <f>+S91-O91-Q91</f>
        <v>12289309</v>
      </c>
      <c r="O91" s="1">
        <v>704114</v>
      </c>
      <c r="Q91" s="1">
        <f>3889305-704114</f>
        <v>3185191</v>
      </c>
      <c r="S91" s="1">
        <v>16178614</v>
      </c>
      <c r="U91" s="1">
        <v>4701115</v>
      </c>
      <c r="W91" s="1">
        <f>AA91-Y91-U91</f>
        <v>534574</v>
      </c>
      <c r="Y91" s="1">
        <v>-5876981</v>
      </c>
      <c r="AA91" s="1">
        <v>-641292</v>
      </c>
      <c r="AC91" s="1">
        <f>+K91-S91-AA91</f>
        <v>0</v>
      </c>
      <c r="AE91" s="3">
        <f>+G91+I91+-M91-O91-U91-W91-Y91-Q91</f>
        <v>0</v>
      </c>
    </row>
    <row r="92" spans="1:31">
      <c r="A92" s="12" t="s">
        <v>573</v>
      </c>
      <c r="B92" s="12"/>
      <c r="C92" s="12" t="s">
        <v>62</v>
      </c>
      <c r="D92" s="12"/>
      <c r="E92" s="13">
        <v>49833</v>
      </c>
      <c r="G92" s="1">
        <f>+K92-I92</f>
        <v>80762000</v>
      </c>
      <c r="I92" s="1">
        <v>185069000</v>
      </c>
      <c r="K92" s="1">
        <v>265831000</v>
      </c>
      <c r="M92" s="1">
        <f>+S92-O92-Q92</f>
        <v>41595000</v>
      </c>
      <c r="O92" s="1">
        <v>3221000</v>
      </c>
      <c r="Q92" s="1">
        <f>58329000-3221000</f>
        <v>55108000</v>
      </c>
      <c r="S92" s="1">
        <v>99924000</v>
      </c>
      <c r="U92" s="1">
        <v>141057000</v>
      </c>
      <c r="W92" s="1">
        <f>AA92-Y92-U92</f>
        <v>28953000</v>
      </c>
      <c r="Y92" s="1">
        <v>-4103000</v>
      </c>
      <c r="AA92" s="1">
        <v>165907000</v>
      </c>
      <c r="AC92" s="1">
        <f>+K92-S92-AA92</f>
        <v>0</v>
      </c>
      <c r="AE92" s="3">
        <f>+G92+I92+-M92-O92-U92-W92-Y92-Q92</f>
        <v>0</v>
      </c>
    </row>
    <row r="93" spans="1:31">
      <c r="A93" s="12" t="s">
        <v>793</v>
      </c>
      <c r="B93" s="12"/>
      <c r="C93" s="12" t="s">
        <v>30</v>
      </c>
      <c r="D93" s="12"/>
      <c r="E93" s="13">
        <v>47175</v>
      </c>
      <c r="G93" s="1">
        <f t="shared" si="7"/>
        <v>11249749</v>
      </c>
      <c r="I93" s="1">
        <v>10956308</v>
      </c>
      <c r="K93" s="1">
        <v>22206057</v>
      </c>
      <c r="M93" s="1">
        <f t="shared" si="8"/>
        <v>8487608</v>
      </c>
      <c r="O93" s="1">
        <v>1074790</v>
      </c>
      <c r="Q93" s="1">
        <f>12185778-1074790</f>
        <v>11110988</v>
      </c>
      <c r="S93" s="1">
        <v>20673386</v>
      </c>
      <c r="U93" s="1">
        <v>2557403</v>
      </c>
      <c r="W93" s="1">
        <f t="shared" si="9"/>
        <v>2853165</v>
      </c>
      <c r="Y93" s="1">
        <v>-3877897</v>
      </c>
      <c r="AA93" s="1">
        <v>1532671</v>
      </c>
      <c r="AC93" s="1">
        <f t="shared" si="10"/>
        <v>0</v>
      </c>
      <c r="AE93" s="3">
        <f t="shared" si="11"/>
        <v>0</v>
      </c>
    </row>
    <row r="94" spans="1:31">
      <c r="A94" s="12" t="s">
        <v>924</v>
      </c>
      <c r="B94" s="12"/>
      <c r="C94" s="12" t="s">
        <v>78</v>
      </c>
      <c r="D94" s="12"/>
      <c r="E94" s="13">
        <v>48793</v>
      </c>
      <c r="G94" s="1">
        <f t="shared" si="7"/>
        <v>6285036</v>
      </c>
      <c r="I94" s="1">
        <v>26696408</v>
      </c>
      <c r="K94" s="1">
        <v>32981444</v>
      </c>
      <c r="M94" s="1">
        <f t="shared" si="8"/>
        <v>3698135</v>
      </c>
      <c r="O94" s="1">
        <v>424459</v>
      </c>
      <c r="Q94" s="1">
        <f>5493108-424459</f>
        <v>5068649</v>
      </c>
      <c r="S94" s="1">
        <v>9191243</v>
      </c>
      <c r="U94" s="1">
        <v>22276414</v>
      </c>
      <c r="W94" s="1">
        <f t="shared" si="9"/>
        <v>2174827</v>
      </c>
      <c r="Y94" s="1">
        <v>-661040</v>
      </c>
      <c r="AA94" s="1">
        <v>23790201</v>
      </c>
      <c r="AC94" s="1">
        <f t="shared" si="10"/>
        <v>0</v>
      </c>
      <c r="AE94" s="3">
        <f t="shared" si="11"/>
        <v>0</v>
      </c>
    </row>
    <row r="95" spans="1:31" hidden="1">
      <c r="A95" s="12" t="s">
        <v>739</v>
      </c>
      <c r="B95" s="12"/>
      <c r="C95" s="12" t="s">
        <v>653</v>
      </c>
      <c r="D95" s="12"/>
      <c r="E95" s="13">
        <v>45260</v>
      </c>
      <c r="G95" s="1">
        <f t="shared" si="7"/>
        <v>0</v>
      </c>
      <c r="M95" s="1">
        <f t="shared" si="8"/>
        <v>0</v>
      </c>
      <c r="W95" s="1">
        <f t="shared" si="9"/>
        <v>0</v>
      </c>
      <c r="AC95" s="1">
        <f t="shared" si="10"/>
        <v>0</v>
      </c>
      <c r="AE95" s="3">
        <f t="shared" si="11"/>
        <v>0</v>
      </c>
    </row>
    <row r="96" spans="1:31">
      <c r="A96" s="12" t="s">
        <v>631</v>
      </c>
      <c r="B96" s="12"/>
      <c r="C96" s="12" t="s">
        <v>69</v>
      </c>
      <c r="D96" s="12"/>
      <c r="E96" s="13">
        <v>50419</v>
      </c>
      <c r="G96" s="1">
        <f t="shared" si="7"/>
        <v>7282685</v>
      </c>
      <c r="I96" s="1">
        <v>2514117</v>
      </c>
      <c r="K96" s="1">
        <v>9796802</v>
      </c>
      <c r="M96" s="1">
        <f t="shared" si="8"/>
        <v>6262304</v>
      </c>
      <c r="O96" s="1">
        <v>148236</v>
      </c>
      <c r="Q96" s="1">
        <f>1168244-148236</f>
        <v>1020008</v>
      </c>
      <c r="S96" s="1">
        <v>7430548</v>
      </c>
      <c r="U96" s="1">
        <v>2243519</v>
      </c>
      <c r="W96" s="1">
        <f t="shared" si="9"/>
        <v>247125</v>
      </c>
      <c r="Y96" s="1">
        <v>-124390</v>
      </c>
      <c r="AA96" s="1">
        <v>2366254</v>
      </c>
      <c r="AC96" s="1">
        <f t="shared" si="10"/>
        <v>0</v>
      </c>
      <c r="AE96" s="3">
        <f t="shared" si="11"/>
        <v>0</v>
      </c>
    </row>
    <row r="97" spans="1:31">
      <c r="A97" s="12" t="s">
        <v>238</v>
      </c>
      <c r="B97" s="12"/>
      <c r="C97" s="12" t="s">
        <v>16</v>
      </c>
      <c r="D97" s="12"/>
      <c r="E97" s="13">
        <v>45278</v>
      </c>
      <c r="F97" s="8"/>
      <c r="G97" s="1">
        <f t="shared" si="7"/>
        <v>13632323</v>
      </c>
      <c r="I97" s="1">
        <v>5936017</v>
      </c>
      <c r="K97" s="1">
        <v>19568340</v>
      </c>
      <c r="M97" s="1">
        <f t="shared" si="8"/>
        <v>7977193</v>
      </c>
      <c r="O97" s="1">
        <v>157057</v>
      </c>
      <c r="Q97" s="1">
        <f>1425522-157057</f>
        <v>1268465</v>
      </c>
      <c r="S97" s="1">
        <v>9402715</v>
      </c>
      <c r="U97" s="1">
        <v>5919447</v>
      </c>
      <c r="W97" s="1">
        <f t="shared" si="9"/>
        <v>11678</v>
      </c>
      <c r="Y97" s="1">
        <v>4234500</v>
      </c>
      <c r="AA97" s="1">
        <v>10165625</v>
      </c>
      <c r="AC97" s="1">
        <f t="shared" si="10"/>
        <v>0</v>
      </c>
      <c r="AE97" s="3">
        <f t="shared" si="11"/>
        <v>0</v>
      </c>
    </row>
    <row r="98" spans="1:31" hidden="1">
      <c r="A98" s="12" t="s">
        <v>925</v>
      </c>
      <c r="B98" s="12"/>
      <c r="C98" s="12" t="s">
        <v>116</v>
      </c>
      <c r="D98" s="12"/>
      <c r="E98" s="13">
        <v>47258</v>
      </c>
      <c r="G98" s="1">
        <f t="shared" si="7"/>
        <v>0</v>
      </c>
      <c r="M98" s="1">
        <f t="shared" si="8"/>
        <v>0</v>
      </c>
      <c r="W98" s="1">
        <f t="shared" si="9"/>
        <v>0</v>
      </c>
      <c r="AC98" s="1">
        <f>+K98-S98-AA98</f>
        <v>0</v>
      </c>
      <c r="AE98" s="3">
        <f t="shared" si="11"/>
        <v>0</v>
      </c>
    </row>
    <row r="99" spans="1:31" hidden="1">
      <c r="A99" s="12" t="s">
        <v>740</v>
      </c>
      <c r="B99" s="12"/>
      <c r="C99" s="12" t="s">
        <v>486</v>
      </c>
      <c r="D99" s="12"/>
      <c r="E99" s="13">
        <v>43729</v>
      </c>
      <c r="G99" s="1">
        <f t="shared" si="7"/>
        <v>0</v>
      </c>
      <c r="M99" s="1">
        <f t="shared" si="8"/>
        <v>0</v>
      </c>
      <c r="W99" s="1">
        <f t="shared" si="9"/>
        <v>0</v>
      </c>
      <c r="AC99" s="1">
        <f t="shared" si="10"/>
        <v>0</v>
      </c>
      <c r="AE99" s="3">
        <f t="shared" si="11"/>
        <v>0</v>
      </c>
    </row>
    <row r="100" spans="1:31">
      <c r="A100" s="12" t="s">
        <v>794</v>
      </c>
      <c r="B100" s="12"/>
      <c r="C100" s="12" t="s">
        <v>40</v>
      </c>
      <c r="D100" s="12"/>
      <c r="E100" s="13">
        <v>47829</v>
      </c>
      <c r="G100" s="1">
        <f t="shared" si="7"/>
        <v>8577865</v>
      </c>
      <c r="I100" s="1">
        <v>19779760</v>
      </c>
      <c r="K100" s="1">
        <v>28357625</v>
      </c>
      <c r="M100" s="1">
        <f t="shared" si="8"/>
        <v>2833879</v>
      </c>
      <c r="O100" s="1">
        <v>321680</v>
      </c>
      <c r="Q100" s="1">
        <f>5783822-321680</f>
        <v>5462142</v>
      </c>
      <c r="S100" s="1">
        <v>8617701</v>
      </c>
      <c r="U100" s="1">
        <v>14937765</v>
      </c>
      <c r="W100" s="1">
        <f t="shared" si="9"/>
        <v>1888484</v>
      </c>
      <c r="Y100" s="1">
        <v>2913675</v>
      </c>
      <c r="AA100" s="1">
        <v>19739924</v>
      </c>
      <c r="AC100" s="1">
        <f t="shared" si="10"/>
        <v>0</v>
      </c>
      <c r="AE100" s="3">
        <f t="shared" si="11"/>
        <v>0</v>
      </c>
    </row>
    <row r="101" spans="1:31" s="16" customFormat="1">
      <c r="A101" s="14" t="s">
        <v>795</v>
      </c>
      <c r="B101" s="14"/>
      <c r="C101" s="14" t="s">
        <v>50</v>
      </c>
      <c r="D101" s="14"/>
      <c r="E101" s="13">
        <v>43737</v>
      </c>
      <c r="G101" s="1">
        <f t="shared" si="7"/>
        <v>98922630</v>
      </c>
      <c r="H101" s="1"/>
      <c r="I101" s="1">
        <v>83195424</v>
      </c>
      <c r="J101" s="1"/>
      <c r="K101" s="1">
        <v>182118054</v>
      </c>
      <c r="L101" s="1"/>
      <c r="M101" s="1">
        <f t="shared" si="8"/>
        <v>66266546</v>
      </c>
      <c r="N101" s="1"/>
      <c r="O101" s="1">
        <v>4226508</v>
      </c>
      <c r="P101" s="1"/>
      <c r="Q101" s="1">
        <f>70114750-4226508</f>
        <v>65888242</v>
      </c>
      <c r="R101" s="1"/>
      <c r="S101" s="1">
        <v>136381296</v>
      </c>
      <c r="T101" s="1"/>
      <c r="U101" s="1">
        <v>19832451</v>
      </c>
      <c r="V101" s="1"/>
      <c r="W101" s="1">
        <f t="shared" si="9"/>
        <v>18084408</v>
      </c>
      <c r="X101" s="1"/>
      <c r="Y101" s="1">
        <v>7819899</v>
      </c>
      <c r="Z101" s="1"/>
      <c r="AA101" s="1">
        <v>45736758</v>
      </c>
      <c r="AC101" s="1">
        <f t="shared" si="10"/>
        <v>0</v>
      </c>
      <c r="AE101" s="3">
        <f t="shared" si="11"/>
        <v>0</v>
      </c>
    </row>
    <row r="102" spans="1:31" hidden="1">
      <c r="A102" s="12" t="s">
        <v>926</v>
      </c>
      <c r="B102" s="12"/>
      <c r="C102" s="12" t="s">
        <v>22</v>
      </c>
      <c r="D102" s="12"/>
      <c r="E102" s="13">
        <v>46714</v>
      </c>
      <c r="G102" s="1">
        <f t="shared" si="7"/>
        <v>0</v>
      </c>
      <c r="M102" s="1">
        <f t="shared" si="8"/>
        <v>0</v>
      </c>
      <c r="W102" s="1">
        <f t="shared" si="9"/>
        <v>0</v>
      </c>
      <c r="AC102" s="1">
        <f t="shared" si="10"/>
        <v>0</v>
      </c>
      <c r="AE102" s="3">
        <f t="shared" si="11"/>
        <v>0</v>
      </c>
    </row>
    <row r="103" spans="1:31">
      <c r="A103" s="12" t="s">
        <v>285</v>
      </c>
      <c r="B103" s="12"/>
      <c r="C103" s="12" t="s">
        <v>20</v>
      </c>
      <c r="D103" s="12"/>
      <c r="E103" s="13">
        <v>45286</v>
      </c>
      <c r="G103" s="1">
        <f t="shared" si="7"/>
        <v>30924953</v>
      </c>
      <c r="I103" s="1">
        <v>29459219</v>
      </c>
      <c r="K103" s="1">
        <v>60384172</v>
      </c>
      <c r="M103" s="1">
        <f t="shared" si="8"/>
        <v>20561501</v>
      </c>
      <c r="O103" s="1">
        <v>1801609</v>
      </c>
      <c r="Q103" s="1">
        <f>28227362+29367-1801609</f>
        <v>26455120</v>
      </c>
      <c r="S103" s="1">
        <v>48818230</v>
      </c>
      <c r="U103" s="1">
        <v>4490753</v>
      </c>
      <c r="W103" s="1">
        <f t="shared" si="9"/>
        <v>3260324</v>
      </c>
      <c r="Y103" s="1">
        <v>3814865</v>
      </c>
      <c r="AA103" s="1">
        <v>11565942</v>
      </c>
      <c r="AC103" s="1">
        <f t="shared" si="10"/>
        <v>0</v>
      </c>
      <c r="AE103" s="3">
        <f t="shared" si="11"/>
        <v>0</v>
      </c>
    </row>
    <row r="104" spans="1:31">
      <c r="A104" s="12" t="s">
        <v>602</v>
      </c>
      <c r="B104" s="12"/>
      <c r="C104" s="12" t="s">
        <v>64</v>
      </c>
      <c r="D104" s="12"/>
      <c r="E104" s="13">
        <v>50138</v>
      </c>
      <c r="G104" s="1">
        <f t="shared" si="7"/>
        <v>7188232</v>
      </c>
      <c r="I104" s="1">
        <v>2182058</v>
      </c>
      <c r="K104" s="1">
        <v>9370290</v>
      </c>
      <c r="M104" s="1">
        <f t="shared" si="8"/>
        <v>6579397</v>
      </c>
      <c r="O104" s="1">
        <v>335299</v>
      </c>
      <c r="Q104" s="1">
        <f>2465794-335299</f>
        <v>2130495</v>
      </c>
      <c r="S104" s="1">
        <v>9045191</v>
      </c>
      <c r="U104" s="1">
        <v>1089349</v>
      </c>
      <c r="W104" s="1">
        <f t="shared" si="9"/>
        <v>227801</v>
      </c>
      <c r="Y104" s="1">
        <v>-992051</v>
      </c>
      <c r="AA104" s="1">
        <v>325099</v>
      </c>
      <c r="AC104" s="1">
        <f t="shared" si="10"/>
        <v>0</v>
      </c>
      <c r="AE104" s="3">
        <f t="shared" si="11"/>
        <v>0</v>
      </c>
    </row>
    <row r="105" spans="1:31" hidden="1">
      <c r="A105" s="12" t="s">
        <v>927</v>
      </c>
      <c r="B105" s="12"/>
      <c r="C105" s="12" t="s">
        <v>30</v>
      </c>
      <c r="D105" s="12"/>
      <c r="E105" s="13">
        <v>47183</v>
      </c>
      <c r="G105" s="1">
        <f t="shared" si="7"/>
        <v>0</v>
      </c>
      <c r="M105" s="1">
        <f t="shared" si="8"/>
        <v>0</v>
      </c>
      <c r="W105" s="1">
        <f t="shared" si="9"/>
        <v>0</v>
      </c>
      <c r="AC105" s="1">
        <f t="shared" si="10"/>
        <v>0</v>
      </c>
      <c r="AE105" s="3">
        <f t="shared" si="11"/>
        <v>0</v>
      </c>
    </row>
    <row r="106" spans="1:31">
      <c r="A106" s="12" t="s">
        <v>419</v>
      </c>
      <c r="B106" s="12"/>
      <c r="C106" s="12" t="s">
        <v>420</v>
      </c>
      <c r="D106" s="12"/>
      <c r="E106" s="13">
        <v>45294</v>
      </c>
      <c r="F106" s="16"/>
      <c r="G106" s="1">
        <f t="shared" si="7"/>
        <v>6756438</v>
      </c>
      <c r="I106" s="1">
        <v>19975535</v>
      </c>
      <c r="K106" s="1">
        <v>26731973</v>
      </c>
      <c r="M106" s="1">
        <f t="shared" si="8"/>
        <v>3692337</v>
      </c>
      <c r="O106" s="1">
        <v>178839</v>
      </c>
      <c r="Q106" s="1">
        <f>2386267-178839</f>
        <v>2207428</v>
      </c>
      <c r="S106" s="1">
        <v>6078604</v>
      </c>
      <c r="U106" s="1">
        <v>18332286</v>
      </c>
      <c r="W106" s="1">
        <f t="shared" si="9"/>
        <v>3228577</v>
      </c>
      <c r="Y106" s="1">
        <v>-907494</v>
      </c>
      <c r="AA106" s="1">
        <v>20653369</v>
      </c>
      <c r="AC106" s="1">
        <f t="shared" si="10"/>
        <v>0</v>
      </c>
      <c r="AE106" s="3">
        <f t="shared" si="11"/>
        <v>0</v>
      </c>
    </row>
    <row r="107" spans="1:31">
      <c r="A107" s="12" t="s">
        <v>550</v>
      </c>
      <c r="B107" s="12"/>
      <c r="C107" s="12" t="s">
        <v>58</v>
      </c>
      <c r="D107" s="12"/>
      <c r="E107" s="13">
        <v>43745</v>
      </c>
      <c r="G107" s="1">
        <f t="shared" si="7"/>
        <v>21644694</v>
      </c>
      <c r="I107" s="1">
        <v>37254488</v>
      </c>
      <c r="K107" s="1">
        <v>58899182</v>
      </c>
      <c r="M107" s="1">
        <f t="shared" si="8"/>
        <v>13583607</v>
      </c>
      <c r="O107" s="1">
        <v>1352979</v>
      </c>
      <c r="Q107" s="1">
        <f>36610587-1352979</f>
        <v>35257608</v>
      </c>
      <c r="S107" s="1">
        <v>50194194</v>
      </c>
      <c r="U107" s="1">
        <v>4033907</v>
      </c>
      <c r="W107" s="1">
        <f t="shared" si="9"/>
        <v>3568260</v>
      </c>
      <c r="Y107" s="1">
        <v>1102821</v>
      </c>
      <c r="AA107" s="1">
        <v>8704988</v>
      </c>
      <c r="AC107" s="1">
        <f t="shared" si="10"/>
        <v>0</v>
      </c>
      <c r="AE107" s="3">
        <f t="shared" si="11"/>
        <v>0</v>
      </c>
    </row>
    <row r="108" spans="1:31">
      <c r="A108" s="12" t="s">
        <v>640</v>
      </c>
      <c r="B108" s="12"/>
      <c r="C108" s="12" t="s">
        <v>71</v>
      </c>
      <c r="D108" s="12"/>
      <c r="E108" s="13">
        <v>50534</v>
      </c>
      <c r="G108" s="1">
        <f t="shared" si="7"/>
        <v>11788409</v>
      </c>
      <c r="I108" s="1">
        <v>2979005</v>
      </c>
      <c r="K108" s="1">
        <v>14767414</v>
      </c>
      <c r="M108" s="1">
        <f t="shared" si="8"/>
        <v>4799423</v>
      </c>
      <c r="O108" s="1">
        <v>109894</v>
      </c>
      <c r="Q108" s="1">
        <f>599003-109894</f>
        <v>489109</v>
      </c>
      <c r="S108" s="1">
        <v>5398426</v>
      </c>
      <c r="U108" s="1">
        <v>2979005</v>
      </c>
      <c r="W108" s="1">
        <f t="shared" si="9"/>
        <v>920160</v>
      </c>
      <c r="Y108" s="1">
        <v>5469823</v>
      </c>
      <c r="AA108" s="1">
        <v>9368988</v>
      </c>
      <c r="AC108" s="1">
        <f t="shared" si="10"/>
        <v>0</v>
      </c>
      <c r="AE108" s="3">
        <f t="shared" si="11"/>
        <v>0</v>
      </c>
    </row>
    <row r="109" spans="1:31">
      <c r="A109" s="12" t="s">
        <v>928</v>
      </c>
      <c r="B109" s="12"/>
      <c r="C109" s="12" t="s">
        <v>32</v>
      </c>
      <c r="D109" s="12"/>
      <c r="E109" s="13">
        <v>43752</v>
      </c>
      <c r="G109" s="1">
        <f t="shared" si="7"/>
        <v>853645517</v>
      </c>
      <c r="I109" s="1">
        <v>788425058</v>
      </c>
      <c r="K109" s="1">
        <v>1642070575</v>
      </c>
      <c r="M109" s="1">
        <f t="shared" si="8"/>
        <v>289627234</v>
      </c>
      <c r="O109" s="1">
        <v>33533610</v>
      </c>
      <c r="Q109" s="1">
        <f>818308406-33533610</f>
        <v>784774796</v>
      </c>
      <c r="S109" s="1">
        <v>1107935640</v>
      </c>
      <c r="U109" s="1">
        <v>353689363</v>
      </c>
      <c r="W109" s="1">
        <f t="shared" si="9"/>
        <v>32392909</v>
      </c>
      <c r="Y109" s="1">
        <v>148052663</v>
      </c>
      <c r="AA109" s="1">
        <v>534134935</v>
      </c>
      <c r="AC109" s="1">
        <f t="shared" si="10"/>
        <v>0</v>
      </c>
      <c r="AE109" s="3">
        <f t="shared" si="11"/>
        <v>0</v>
      </c>
    </row>
    <row r="110" spans="1:31">
      <c r="A110" s="12" t="s">
        <v>525</v>
      </c>
      <c r="B110" s="12"/>
      <c r="C110" s="12" t="s">
        <v>54</v>
      </c>
      <c r="D110" s="12"/>
      <c r="E110" s="13">
        <v>43760</v>
      </c>
      <c r="G110" s="1">
        <f t="shared" si="7"/>
        <v>24757806</v>
      </c>
      <c r="I110" s="1">
        <v>5910063</v>
      </c>
      <c r="K110" s="1">
        <v>30667869</v>
      </c>
      <c r="M110" s="1">
        <f t="shared" si="8"/>
        <v>10243191</v>
      </c>
      <c r="O110" s="1">
        <v>480729</v>
      </c>
      <c r="Q110" s="1">
        <f>2332661-480729</f>
        <v>1851932</v>
      </c>
      <c r="S110" s="1">
        <v>12575852</v>
      </c>
      <c r="U110" s="1">
        <v>5425258</v>
      </c>
      <c r="W110" s="1">
        <f t="shared" si="9"/>
        <v>1165606</v>
      </c>
      <c r="Y110" s="1">
        <v>11501153</v>
      </c>
      <c r="AA110" s="1">
        <v>18092017</v>
      </c>
      <c r="AC110" s="1">
        <f t="shared" si="10"/>
        <v>0</v>
      </c>
      <c r="AE110" s="3">
        <f t="shared" si="11"/>
        <v>0</v>
      </c>
    </row>
    <row r="111" spans="1:31">
      <c r="A111" s="12" t="s">
        <v>245</v>
      </c>
      <c r="B111" s="12"/>
      <c r="C111" s="12" t="s">
        <v>17</v>
      </c>
      <c r="D111" s="12"/>
      <c r="E111" s="13">
        <v>46284</v>
      </c>
      <c r="F111" s="8"/>
      <c r="G111" s="1">
        <f t="shared" si="7"/>
        <v>14948511</v>
      </c>
      <c r="I111" s="1">
        <v>13466160</v>
      </c>
      <c r="K111" s="1">
        <v>28414671</v>
      </c>
      <c r="M111" s="1">
        <f t="shared" si="8"/>
        <v>10164253</v>
      </c>
      <c r="O111" s="1">
        <v>159150</v>
      </c>
      <c r="Q111" s="1">
        <f>1464170-159150</f>
        <v>1305020</v>
      </c>
      <c r="S111" s="1">
        <v>11628423</v>
      </c>
      <c r="U111" s="1">
        <v>13416903</v>
      </c>
      <c r="W111" s="1">
        <f t="shared" si="9"/>
        <v>804548</v>
      </c>
      <c r="Y111" s="1">
        <v>2564797</v>
      </c>
      <c r="AA111" s="1">
        <v>16786248</v>
      </c>
      <c r="AC111" s="1">
        <f t="shared" si="10"/>
        <v>0</v>
      </c>
      <c r="AE111" s="3">
        <f t="shared" si="11"/>
        <v>0</v>
      </c>
    </row>
    <row r="112" spans="1:31">
      <c r="A112" s="12" t="s">
        <v>560</v>
      </c>
      <c r="B112" s="12"/>
      <c r="C112" s="12" t="s">
        <v>59</v>
      </c>
      <c r="D112" s="12"/>
      <c r="E112" s="13">
        <v>49601</v>
      </c>
      <c r="G112" s="1">
        <f t="shared" si="7"/>
        <v>24857027</v>
      </c>
      <c r="I112" s="1">
        <v>4227434</v>
      </c>
      <c r="K112" s="1">
        <v>29084461</v>
      </c>
      <c r="M112" s="1">
        <f t="shared" si="8"/>
        <v>2681433</v>
      </c>
      <c r="O112" s="1">
        <v>134284</v>
      </c>
      <c r="Q112" s="1">
        <f>6008972-134284</f>
        <v>5874688</v>
      </c>
      <c r="S112" s="1">
        <v>8690405</v>
      </c>
      <c r="U112" s="1">
        <v>4153434</v>
      </c>
      <c r="W112" s="1">
        <f t="shared" si="9"/>
        <v>16672355</v>
      </c>
      <c r="Y112" s="1">
        <v>-431733</v>
      </c>
      <c r="AA112" s="1">
        <v>20394056</v>
      </c>
      <c r="AC112" s="1">
        <f t="shared" si="10"/>
        <v>0</v>
      </c>
      <c r="AE112" s="3">
        <f t="shared" si="11"/>
        <v>0</v>
      </c>
    </row>
    <row r="113" spans="1:31">
      <c r="A113" s="12" t="s">
        <v>618</v>
      </c>
      <c r="B113" s="12"/>
      <c r="C113" s="12" t="s">
        <v>65</v>
      </c>
      <c r="D113" s="12"/>
      <c r="E113" s="13">
        <v>43778</v>
      </c>
      <c r="G113" s="1">
        <f t="shared" si="7"/>
        <v>8898633</v>
      </c>
      <c r="I113" s="1">
        <v>21558575</v>
      </c>
      <c r="K113" s="1">
        <v>30457208</v>
      </c>
      <c r="M113" s="1">
        <f t="shared" si="8"/>
        <v>5831295</v>
      </c>
      <c r="O113" s="1">
        <v>467798</v>
      </c>
      <c r="Q113" s="1">
        <f>4546426-467798</f>
        <v>4078628</v>
      </c>
      <c r="S113" s="1">
        <v>10377721</v>
      </c>
      <c r="U113" s="1">
        <v>18229659</v>
      </c>
      <c r="W113" s="1">
        <f t="shared" si="9"/>
        <v>1254935</v>
      </c>
      <c r="Y113" s="1">
        <v>594893</v>
      </c>
      <c r="AA113" s="1">
        <v>20079487</v>
      </c>
      <c r="AC113" s="1">
        <f t="shared" si="10"/>
        <v>0</v>
      </c>
      <c r="AE113" s="3">
        <f t="shared" si="11"/>
        <v>0</v>
      </c>
    </row>
    <row r="114" spans="1:31">
      <c r="A114" s="12" t="s">
        <v>543</v>
      </c>
      <c r="B114" s="12"/>
      <c r="C114" s="12" t="s">
        <v>112</v>
      </c>
      <c r="D114" s="12"/>
      <c r="E114" s="13">
        <v>49411</v>
      </c>
      <c r="G114" s="1">
        <f t="shared" si="7"/>
        <v>13491382</v>
      </c>
      <c r="I114" s="1">
        <v>9152965</v>
      </c>
      <c r="K114" s="1">
        <v>22644347</v>
      </c>
      <c r="M114" s="1">
        <f t="shared" si="8"/>
        <v>5535312</v>
      </c>
      <c r="O114" s="1">
        <v>451907</v>
      </c>
      <c r="Q114" s="1">
        <f>7460199-451907</f>
        <v>7008292</v>
      </c>
      <c r="S114" s="1">
        <v>12995511</v>
      </c>
      <c r="U114" s="1">
        <v>3019455</v>
      </c>
      <c r="W114" s="1">
        <f t="shared" si="9"/>
        <v>931959</v>
      </c>
      <c r="Y114" s="1">
        <v>5697422</v>
      </c>
      <c r="AA114" s="1">
        <v>9648836</v>
      </c>
      <c r="AC114" s="1">
        <f t="shared" si="10"/>
        <v>0</v>
      </c>
      <c r="AE114" s="3">
        <f t="shared" si="11"/>
        <v>0</v>
      </c>
    </row>
    <row r="115" spans="1:31">
      <c r="A115" s="12" t="s">
        <v>438</v>
      </c>
      <c r="B115" s="12"/>
      <c r="C115" s="12" t="s">
        <v>44</v>
      </c>
      <c r="D115" s="12"/>
      <c r="E115" s="13">
        <v>48132</v>
      </c>
      <c r="G115" s="1">
        <f t="shared" si="7"/>
        <v>6421056</v>
      </c>
      <c r="I115" s="1">
        <v>18966589</v>
      </c>
      <c r="K115" s="1">
        <v>25387645</v>
      </c>
      <c r="M115" s="1">
        <f t="shared" si="8"/>
        <v>5279793</v>
      </c>
      <c r="O115" s="1">
        <v>410241</v>
      </c>
      <c r="Q115" s="1">
        <f>6068890-410241</f>
        <v>5658649</v>
      </c>
      <c r="S115" s="1">
        <v>11348683</v>
      </c>
      <c r="U115" s="1">
        <v>14171020</v>
      </c>
      <c r="W115" s="1">
        <f t="shared" si="9"/>
        <v>1018533</v>
      </c>
      <c r="Y115" s="1">
        <v>-1150591</v>
      </c>
      <c r="AA115" s="1">
        <v>14038962</v>
      </c>
      <c r="AC115" s="1">
        <f t="shared" si="10"/>
        <v>0</v>
      </c>
      <c r="AE115" s="3">
        <f t="shared" si="11"/>
        <v>0</v>
      </c>
    </row>
    <row r="116" spans="1:31">
      <c r="A116" s="12" t="s">
        <v>797</v>
      </c>
      <c r="B116" s="12"/>
      <c r="C116" s="12" t="s">
        <v>115</v>
      </c>
      <c r="D116" s="12"/>
      <c r="E116" s="13"/>
      <c r="G116" s="1">
        <f t="shared" si="7"/>
        <v>11026249</v>
      </c>
      <c r="I116" s="1">
        <v>5112921</v>
      </c>
      <c r="K116" s="1">
        <v>16139170</v>
      </c>
      <c r="M116" s="1">
        <f t="shared" si="8"/>
        <v>7150681</v>
      </c>
      <c r="O116" s="1">
        <v>726853</v>
      </c>
      <c r="Q116" s="1">
        <f>2289332-726853</f>
        <v>1562479</v>
      </c>
      <c r="S116" s="1">
        <v>9440013</v>
      </c>
      <c r="U116" s="1">
        <v>3917921</v>
      </c>
      <c r="W116" s="1">
        <f t="shared" si="9"/>
        <v>1378568</v>
      </c>
      <c r="Y116" s="1">
        <v>1402668</v>
      </c>
      <c r="AA116" s="1">
        <v>6699157</v>
      </c>
      <c r="AC116" s="1">
        <f t="shared" si="10"/>
        <v>0</v>
      </c>
      <c r="AE116" s="3">
        <f t="shared" si="11"/>
        <v>0</v>
      </c>
    </row>
    <row r="117" spans="1:31">
      <c r="A117" s="12" t="s">
        <v>796</v>
      </c>
      <c r="B117" s="12"/>
      <c r="C117" s="12" t="s">
        <v>20</v>
      </c>
      <c r="D117" s="12"/>
      <c r="E117" s="13">
        <v>43794</v>
      </c>
      <c r="G117" s="1">
        <f t="shared" si="7"/>
        <v>129710558</v>
      </c>
      <c r="I117" s="1">
        <f>42861750+770730</f>
        <v>43632480</v>
      </c>
      <c r="K117" s="1">
        <f>177137281-3794243</f>
        <v>173343038</v>
      </c>
      <c r="M117" s="1">
        <f t="shared" si="8"/>
        <v>53654159</v>
      </c>
      <c r="O117" s="1">
        <f>2117935+48957</f>
        <v>2166892</v>
      </c>
      <c r="Q117" s="1">
        <f>24161750+315218-2117935-49857</f>
        <v>22309176</v>
      </c>
      <c r="S117" s="1">
        <f>77474340+655887</f>
        <v>78130227</v>
      </c>
      <c r="U117" s="1">
        <f>32798348+770730</f>
        <v>33569078</v>
      </c>
      <c r="W117" s="1">
        <f t="shared" si="9"/>
        <v>8340149</v>
      </c>
      <c r="Y117" s="1">
        <f>58524444-5220860</f>
        <v>53303584</v>
      </c>
      <c r="AA117" s="1">
        <f>99662941-4450130</f>
        <v>95212811</v>
      </c>
      <c r="AC117" s="1">
        <f t="shared" si="10"/>
        <v>0</v>
      </c>
      <c r="AE117" s="3">
        <f t="shared" si="11"/>
        <v>0</v>
      </c>
    </row>
    <row r="118" spans="1:31">
      <c r="A118" s="12" t="s">
        <v>286</v>
      </c>
      <c r="B118" s="12"/>
      <c r="C118" s="12" t="s">
        <v>20</v>
      </c>
      <c r="D118" s="12"/>
      <c r="E118" s="13">
        <v>43786</v>
      </c>
      <c r="G118" s="1">
        <f t="shared" si="7"/>
        <v>675400000</v>
      </c>
      <c r="I118" s="1">
        <v>680000000</v>
      </c>
      <c r="K118" s="1">
        <v>1355400000</v>
      </c>
      <c r="M118" s="1">
        <f t="shared" si="8"/>
        <v>248081083</v>
      </c>
      <c r="O118" s="1">
        <v>19334663</v>
      </c>
      <c r="Q118" s="1">
        <f>239118917-19334663</f>
        <v>219784254</v>
      </c>
      <c r="S118" s="1">
        <v>487200000</v>
      </c>
      <c r="U118" s="1">
        <v>500600000</v>
      </c>
      <c r="W118" s="1">
        <f t="shared" si="9"/>
        <v>352300000</v>
      </c>
      <c r="Y118" s="1">
        <v>15300000</v>
      </c>
      <c r="AA118" s="1">
        <v>868200000</v>
      </c>
      <c r="AC118" s="1">
        <f t="shared" si="10"/>
        <v>0</v>
      </c>
      <c r="AE118" s="3">
        <f t="shared" si="11"/>
        <v>0</v>
      </c>
    </row>
    <row r="119" spans="1:31">
      <c r="A119" s="17" t="s">
        <v>260</v>
      </c>
      <c r="B119" s="17"/>
      <c r="C119" s="17" t="s">
        <v>18</v>
      </c>
      <c r="D119" s="17"/>
      <c r="E119" s="13">
        <v>46391</v>
      </c>
      <c r="G119" s="1">
        <f t="shared" si="7"/>
        <v>12341804</v>
      </c>
      <c r="I119" s="1">
        <v>46189918</v>
      </c>
      <c r="K119" s="1">
        <v>58531722</v>
      </c>
      <c r="M119" s="1">
        <f t="shared" si="8"/>
        <v>6783378</v>
      </c>
      <c r="O119" s="1">
        <v>667014</v>
      </c>
      <c r="Q119" s="1">
        <f>9477784-667014</f>
        <v>8810770</v>
      </c>
      <c r="S119" s="1">
        <v>16261162</v>
      </c>
      <c r="U119" s="1">
        <v>37635017</v>
      </c>
      <c r="W119" s="1">
        <f t="shared" si="9"/>
        <v>2940647</v>
      </c>
      <c r="Y119" s="1">
        <v>1694896</v>
      </c>
      <c r="AA119" s="1">
        <v>42270560</v>
      </c>
      <c r="AC119" s="1">
        <f t="shared" si="10"/>
        <v>0</v>
      </c>
      <c r="AE119" s="3">
        <f t="shared" si="11"/>
        <v>0</v>
      </c>
    </row>
    <row r="120" spans="1:31">
      <c r="A120" s="12" t="s">
        <v>480</v>
      </c>
      <c r="B120" s="12"/>
      <c r="C120" s="12" t="s">
        <v>47</v>
      </c>
      <c r="D120" s="12"/>
      <c r="E120" s="13">
        <v>48488</v>
      </c>
      <c r="G120" s="1">
        <f t="shared" si="7"/>
        <v>41114868</v>
      </c>
      <c r="I120" s="1">
        <v>14914917</v>
      </c>
      <c r="K120" s="1">
        <v>56029785</v>
      </c>
      <c r="M120" s="1">
        <f t="shared" si="8"/>
        <v>16031475</v>
      </c>
      <c r="O120" s="1">
        <v>333298</v>
      </c>
      <c r="Q120" s="1">
        <f>27615256-333298</f>
        <v>27281958</v>
      </c>
      <c r="S120" s="1">
        <v>43646731</v>
      </c>
      <c r="U120" s="1">
        <v>11757418</v>
      </c>
      <c r="W120" s="1">
        <f t="shared" si="9"/>
        <v>25185439</v>
      </c>
      <c r="Y120" s="1">
        <v>-24559803</v>
      </c>
      <c r="AA120" s="1">
        <v>12383054</v>
      </c>
      <c r="AC120" s="1">
        <f t="shared" si="10"/>
        <v>0</v>
      </c>
      <c r="AE120" s="3">
        <f t="shared" si="11"/>
        <v>0</v>
      </c>
    </row>
    <row r="121" spans="1:31">
      <c r="A121" s="12" t="s">
        <v>555</v>
      </c>
      <c r="B121" s="12"/>
      <c r="C121" s="12" t="s">
        <v>79</v>
      </c>
      <c r="D121" s="12"/>
      <c r="E121" s="13">
        <v>45302</v>
      </c>
      <c r="G121" s="1">
        <f t="shared" si="7"/>
        <v>34573553</v>
      </c>
      <c r="I121" s="1">
        <v>51741756</v>
      </c>
      <c r="K121" s="1">
        <v>86315309</v>
      </c>
      <c r="M121" s="1">
        <f t="shared" si="8"/>
        <v>12590896</v>
      </c>
      <c r="O121" s="1">
        <v>1185964</v>
      </c>
      <c r="Q121" s="1">
        <f>29530629-1185964</f>
        <v>28344665</v>
      </c>
      <c r="S121" s="1">
        <v>42121525</v>
      </c>
      <c r="U121" s="1">
        <v>40170366</v>
      </c>
      <c r="W121" s="1">
        <f t="shared" si="9"/>
        <v>3375430</v>
      </c>
      <c r="Y121" s="1">
        <v>647988</v>
      </c>
      <c r="AA121" s="1">
        <v>44193784</v>
      </c>
      <c r="AC121" s="1">
        <f t="shared" si="10"/>
        <v>0</v>
      </c>
      <c r="AE121" s="3">
        <f t="shared" si="11"/>
        <v>0</v>
      </c>
    </row>
    <row r="122" spans="1:31" hidden="1">
      <c r="A122" s="12" t="s">
        <v>798</v>
      </c>
      <c r="B122" s="12"/>
      <c r="C122" s="12" t="s">
        <v>486</v>
      </c>
      <c r="D122" s="12"/>
      <c r="E122" s="13"/>
      <c r="G122" s="1">
        <f t="shared" si="7"/>
        <v>0</v>
      </c>
      <c r="M122" s="1">
        <f t="shared" si="8"/>
        <v>0</v>
      </c>
      <c r="W122" s="1">
        <f t="shared" si="9"/>
        <v>0</v>
      </c>
      <c r="AC122" s="1">
        <f t="shared" si="10"/>
        <v>0</v>
      </c>
      <c r="AE122" s="3">
        <f t="shared" si="11"/>
        <v>0</v>
      </c>
    </row>
    <row r="123" spans="1:31" hidden="1">
      <c r="A123" s="12" t="s">
        <v>929</v>
      </c>
      <c r="B123" s="12"/>
      <c r="C123" s="12" t="s">
        <v>57</v>
      </c>
      <c r="D123" s="12"/>
      <c r="E123" s="13">
        <v>64964</v>
      </c>
      <c r="G123" s="1">
        <f t="shared" si="7"/>
        <v>0</v>
      </c>
      <c r="M123" s="1">
        <f t="shared" si="8"/>
        <v>0</v>
      </c>
      <c r="W123" s="1">
        <f t="shared" si="9"/>
        <v>0</v>
      </c>
      <c r="AC123" s="1">
        <f t="shared" si="10"/>
        <v>0</v>
      </c>
      <c r="AE123" s="3">
        <f t="shared" si="11"/>
        <v>0</v>
      </c>
    </row>
    <row r="124" spans="1:31">
      <c r="A124" s="12" t="s">
        <v>277</v>
      </c>
      <c r="B124" s="12"/>
      <c r="C124" s="12" t="s">
        <v>113</v>
      </c>
      <c r="D124" s="12"/>
      <c r="E124" s="13">
        <v>46516</v>
      </c>
      <c r="G124" s="1">
        <f t="shared" si="7"/>
        <v>6201991</v>
      </c>
      <c r="I124" s="1">
        <v>16181946</v>
      </c>
      <c r="K124" s="1">
        <v>22383937</v>
      </c>
      <c r="M124" s="1">
        <f t="shared" si="8"/>
        <v>3186638</v>
      </c>
      <c r="O124" s="1">
        <v>456434</v>
      </c>
      <c r="Q124" s="1">
        <f>14169626-456434</f>
        <v>13713192</v>
      </c>
      <c r="S124" s="1">
        <v>17356264</v>
      </c>
      <c r="U124" s="1">
        <v>3040135</v>
      </c>
      <c r="W124" s="1">
        <f t="shared" si="9"/>
        <v>1537997</v>
      </c>
      <c r="Y124" s="1">
        <v>449541</v>
      </c>
      <c r="AA124" s="1">
        <v>5027673</v>
      </c>
      <c r="AC124" s="1">
        <f t="shared" si="10"/>
        <v>0</v>
      </c>
      <c r="AE124" s="3">
        <f t="shared" si="11"/>
        <v>0</v>
      </c>
    </row>
    <row r="125" spans="1:31">
      <c r="A125" s="12" t="s">
        <v>439</v>
      </c>
      <c r="B125" s="12"/>
      <c r="C125" s="12" t="s">
        <v>44</v>
      </c>
      <c r="D125" s="12"/>
      <c r="E125" s="13">
        <v>48140</v>
      </c>
      <c r="G125" s="1">
        <f t="shared" si="7"/>
        <v>7996208</v>
      </c>
      <c r="I125" s="1">
        <v>2437921</v>
      </c>
      <c r="K125" s="1">
        <v>10434129</v>
      </c>
      <c r="M125" s="1">
        <f t="shared" si="8"/>
        <v>6984340</v>
      </c>
      <c r="O125" s="1">
        <v>137525</v>
      </c>
      <c r="Q125" s="1">
        <f>937684-137525</f>
        <v>800159</v>
      </c>
      <c r="S125" s="1">
        <v>7922024</v>
      </c>
      <c r="U125" s="1">
        <v>2389623</v>
      </c>
      <c r="W125" s="1">
        <f t="shared" si="9"/>
        <v>187783</v>
      </c>
      <c r="Y125" s="1">
        <v>-65301</v>
      </c>
      <c r="AA125" s="1">
        <v>2512105</v>
      </c>
      <c r="AC125" s="1">
        <f t="shared" si="10"/>
        <v>0</v>
      </c>
      <c r="AE125" s="3">
        <f t="shared" si="11"/>
        <v>0</v>
      </c>
    </row>
    <row r="126" spans="1:31">
      <c r="A126" s="12" t="s">
        <v>264</v>
      </c>
      <c r="B126" s="12"/>
      <c r="C126" s="12" t="s">
        <v>114</v>
      </c>
      <c r="D126" s="12"/>
      <c r="E126" s="13">
        <v>45328</v>
      </c>
      <c r="G126" s="1">
        <f t="shared" si="7"/>
        <v>9156473</v>
      </c>
      <c r="I126" s="1">
        <v>7792221</v>
      </c>
      <c r="K126" s="1">
        <v>16948694</v>
      </c>
      <c r="M126" s="1">
        <f t="shared" si="8"/>
        <v>5869817</v>
      </c>
      <c r="O126" s="1">
        <v>743329</v>
      </c>
      <c r="Q126" s="1">
        <f>9025639-743329</f>
        <v>8282310</v>
      </c>
      <c r="S126" s="1">
        <v>14895456</v>
      </c>
      <c r="U126" s="1">
        <v>913028</v>
      </c>
      <c r="W126" s="1">
        <f t="shared" si="9"/>
        <v>639932</v>
      </c>
      <c r="Y126" s="1">
        <v>500278</v>
      </c>
      <c r="AA126" s="1">
        <v>2053238</v>
      </c>
      <c r="AC126" s="1">
        <f t="shared" si="10"/>
        <v>0</v>
      </c>
      <c r="AE126" s="3">
        <f t="shared" si="11"/>
        <v>0</v>
      </c>
    </row>
    <row r="127" spans="1:31">
      <c r="A127" s="12" t="s">
        <v>331</v>
      </c>
      <c r="B127" s="12"/>
      <c r="C127" s="12" t="s">
        <v>27</v>
      </c>
      <c r="D127" s="12"/>
      <c r="E127" s="13">
        <v>43802</v>
      </c>
      <c r="G127" s="1">
        <f t="shared" si="7"/>
        <v>1008690107</v>
      </c>
      <c r="I127" s="1">
        <v>560753995</v>
      </c>
      <c r="K127" s="1">
        <v>1569444102</v>
      </c>
      <c r="M127" s="1">
        <f t="shared" si="8"/>
        <v>414615849</v>
      </c>
      <c r="O127" s="1">
        <v>27265559</v>
      </c>
      <c r="Q127" s="1">
        <f>593986881-27265559</f>
        <v>566721322</v>
      </c>
      <c r="S127" s="1">
        <v>1008602730</v>
      </c>
      <c r="U127" s="1">
        <v>188708432</v>
      </c>
      <c r="W127" s="1">
        <f t="shared" si="9"/>
        <v>196308551</v>
      </c>
      <c r="Y127" s="1">
        <v>175824389</v>
      </c>
      <c r="AA127" s="1">
        <v>560841372</v>
      </c>
      <c r="AC127" s="1">
        <f t="shared" si="10"/>
        <v>0</v>
      </c>
      <c r="AE127" s="3">
        <f t="shared" si="11"/>
        <v>0</v>
      </c>
    </row>
    <row r="128" spans="1:31" hidden="1">
      <c r="A128" s="12" t="s">
        <v>731</v>
      </c>
      <c r="B128" s="12"/>
      <c r="C128" s="12" t="s">
        <v>542</v>
      </c>
      <c r="D128" s="12"/>
      <c r="E128" s="13">
        <v>49312</v>
      </c>
      <c r="G128" s="1">
        <f t="shared" si="7"/>
        <v>0</v>
      </c>
      <c r="M128" s="1">
        <f t="shared" si="8"/>
        <v>0</v>
      </c>
      <c r="W128" s="1">
        <f t="shared" si="9"/>
        <v>0</v>
      </c>
      <c r="AC128" s="1">
        <f>+K128-S128-AA128</f>
        <v>0</v>
      </c>
      <c r="AE128" s="3">
        <f t="shared" si="11"/>
        <v>0</v>
      </c>
    </row>
    <row r="129" spans="1:31">
      <c r="A129" s="17" t="s">
        <v>210</v>
      </c>
      <c r="B129" s="17"/>
      <c r="C129" s="17" t="s">
        <v>12</v>
      </c>
      <c r="D129" s="17"/>
      <c r="E129" s="13">
        <v>43810</v>
      </c>
      <c r="G129" s="1">
        <f t="shared" si="7"/>
        <v>13023427</v>
      </c>
      <c r="I129" s="1">
        <v>38500302</v>
      </c>
      <c r="K129" s="1">
        <v>51523729</v>
      </c>
      <c r="M129" s="1">
        <f t="shared" si="8"/>
        <v>4587455</v>
      </c>
      <c r="O129" s="1">
        <v>305940</v>
      </c>
      <c r="Q129" s="1">
        <f>5847208-305940</f>
        <v>5541268</v>
      </c>
      <c r="S129" s="1">
        <v>10434663</v>
      </c>
      <c r="U129" s="1">
        <v>33780038</v>
      </c>
      <c r="W129" s="1">
        <f t="shared" si="9"/>
        <v>5103808</v>
      </c>
      <c r="Y129" s="1">
        <v>2205220</v>
      </c>
      <c r="AA129" s="1">
        <v>41089066</v>
      </c>
      <c r="AC129" s="1">
        <f>+K129-S129-AA129</f>
        <v>0</v>
      </c>
      <c r="AE129" s="3">
        <f t="shared" si="11"/>
        <v>0</v>
      </c>
    </row>
    <row r="130" spans="1:31">
      <c r="A130" s="12" t="s">
        <v>387</v>
      </c>
      <c r="B130" s="12"/>
      <c r="C130" s="12" t="s">
        <v>388</v>
      </c>
      <c r="D130" s="12"/>
      <c r="E130" s="13">
        <v>47548</v>
      </c>
      <c r="G130" s="1">
        <f t="shared" si="7"/>
        <v>3254942</v>
      </c>
      <c r="I130" s="1">
        <v>488034</v>
      </c>
      <c r="K130" s="1">
        <v>3742976</v>
      </c>
      <c r="M130" s="1">
        <f t="shared" si="8"/>
        <v>2555362</v>
      </c>
      <c r="O130" s="1">
        <v>28035</v>
      </c>
      <c r="Q130" s="1">
        <f>264774-28035</f>
        <v>236739</v>
      </c>
      <c r="S130" s="1">
        <v>2820136</v>
      </c>
      <c r="U130" s="1">
        <v>471997</v>
      </c>
      <c r="W130" s="1">
        <f t="shared" si="9"/>
        <v>257477</v>
      </c>
      <c r="Y130" s="1">
        <v>193366</v>
      </c>
      <c r="AA130" s="1">
        <v>922840</v>
      </c>
      <c r="AC130" s="1">
        <f t="shared" si="10"/>
        <v>0</v>
      </c>
      <c r="AE130" s="3">
        <f t="shared" si="11"/>
        <v>0</v>
      </c>
    </row>
    <row r="131" spans="1:31" hidden="1">
      <c r="A131" s="12" t="s">
        <v>831</v>
      </c>
      <c r="B131" s="12"/>
      <c r="C131" s="12" t="s">
        <v>542</v>
      </c>
      <c r="D131" s="12"/>
      <c r="E131" s="13">
        <v>49320</v>
      </c>
      <c r="G131" s="1">
        <f t="shared" si="7"/>
        <v>0</v>
      </c>
      <c r="M131" s="1">
        <f t="shared" si="8"/>
        <v>0</v>
      </c>
      <c r="W131" s="1">
        <f t="shared" si="9"/>
        <v>0</v>
      </c>
      <c r="AC131" s="1">
        <f>+K131-S131-AA131</f>
        <v>0</v>
      </c>
      <c r="AE131" s="3">
        <f t="shared" si="11"/>
        <v>0</v>
      </c>
    </row>
    <row r="132" spans="1:31">
      <c r="A132" s="12" t="s">
        <v>588</v>
      </c>
      <c r="B132" s="12"/>
      <c r="C132" s="12" t="s">
        <v>63</v>
      </c>
      <c r="D132" s="12"/>
      <c r="E132" s="13">
        <v>49981</v>
      </c>
      <c r="G132" s="1">
        <f t="shared" si="7"/>
        <v>35817042</v>
      </c>
      <c r="I132" s="1">
        <v>19677152</v>
      </c>
      <c r="K132" s="1">
        <v>55494194</v>
      </c>
      <c r="M132" s="1">
        <f t="shared" si="8"/>
        <v>24401923</v>
      </c>
      <c r="O132" s="1">
        <v>1743647</v>
      </c>
      <c r="Q132" s="1">
        <f>7600001-1743647</f>
        <v>5856354</v>
      </c>
      <c r="S132" s="1">
        <v>32001924</v>
      </c>
      <c r="U132" s="1">
        <v>13882942</v>
      </c>
      <c r="W132" s="1">
        <f t="shared" si="9"/>
        <v>2266879</v>
      </c>
      <c r="Y132" s="1">
        <v>7342449</v>
      </c>
      <c r="AA132" s="1">
        <v>23492270</v>
      </c>
      <c r="AC132" s="1">
        <f t="shared" si="10"/>
        <v>0</v>
      </c>
      <c r="AE132" s="3">
        <f t="shared" si="11"/>
        <v>0</v>
      </c>
    </row>
    <row r="133" spans="1:31">
      <c r="A133" s="12" t="s">
        <v>930</v>
      </c>
      <c r="B133" s="12"/>
      <c r="C133" s="12" t="s">
        <v>33</v>
      </c>
      <c r="D133" s="12"/>
      <c r="E133" s="13">
        <v>47431</v>
      </c>
      <c r="G133" s="1">
        <f t="shared" si="7"/>
        <v>16088272</v>
      </c>
      <c r="I133" s="1">
        <v>2544812</v>
      </c>
      <c r="K133" s="1">
        <v>18633084</v>
      </c>
      <c r="M133" s="1">
        <f t="shared" si="8"/>
        <v>2753316</v>
      </c>
      <c r="O133" s="1">
        <v>119162</v>
      </c>
      <c r="Q133" s="1">
        <f>6969451-19162</f>
        <v>6950289</v>
      </c>
      <c r="S133" s="1">
        <v>9822767</v>
      </c>
      <c r="U133" s="1">
        <v>2671809</v>
      </c>
      <c r="W133" s="1">
        <f t="shared" si="9"/>
        <v>6864755</v>
      </c>
      <c r="Y133" s="1">
        <v>-726247</v>
      </c>
      <c r="AA133" s="1">
        <v>8810317</v>
      </c>
      <c r="AC133" s="1">
        <f>+K133-S133-AA133</f>
        <v>0</v>
      </c>
      <c r="AE133" s="3">
        <f t="shared" si="11"/>
        <v>0</v>
      </c>
    </row>
    <row r="134" spans="1:31">
      <c r="A134" s="12" t="s">
        <v>272</v>
      </c>
      <c r="B134" s="12"/>
      <c r="C134" s="12" t="s">
        <v>19</v>
      </c>
      <c r="D134" s="12"/>
      <c r="E134" s="13">
        <v>43828</v>
      </c>
      <c r="G134" s="1">
        <f t="shared" si="7"/>
        <v>11418729</v>
      </c>
      <c r="I134" s="1">
        <v>4373415</v>
      </c>
      <c r="K134" s="1">
        <v>15792144</v>
      </c>
      <c r="M134" s="1">
        <f t="shared" si="8"/>
        <v>6832437</v>
      </c>
      <c r="O134" s="1">
        <v>93782</v>
      </c>
      <c r="Q134" s="1">
        <f>1785159-93782</f>
        <v>1691377</v>
      </c>
      <c r="S134" s="1">
        <v>8617596</v>
      </c>
      <c r="U134" s="1">
        <v>4201584</v>
      </c>
      <c r="W134" s="1">
        <f t="shared" si="9"/>
        <v>1092720</v>
      </c>
      <c r="Y134" s="1">
        <v>1880244</v>
      </c>
      <c r="AA134" s="1">
        <v>7174548</v>
      </c>
      <c r="AC134" s="1">
        <f t="shared" si="10"/>
        <v>0</v>
      </c>
      <c r="AE134" s="3">
        <f t="shared" si="11"/>
        <v>0</v>
      </c>
    </row>
    <row r="135" spans="1:31">
      <c r="A135" s="12" t="s">
        <v>720</v>
      </c>
      <c r="B135" s="12"/>
      <c r="C135" s="12" t="s">
        <v>63</v>
      </c>
      <c r="D135" s="12"/>
      <c r="E135" s="13"/>
      <c r="G135" s="1">
        <f t="shared" si="7"/>
        <v>11600878</v>
      </c>
      <c r="I135" s="1">
        <v>4256318</v>
      </c>
      <c r="K135" s="1">
        <v>15857196</v>
      </c>
      <c r="M135" s="1">
        <f t="shared" si="8"/>
        <v>13949225</v>
      </c>
      <c r="O135" s="1">
        <v>747487</v>
      </c>
      <c r="Q135" s="1">
        <f>5542232-747487</f>
        <v>4794745</v>
      </c>
      <c r="S135" s="1">
        <v>19491457</v>
      </c>
      <c r="U135" s="1">
        <v>1661316</v>
      </c>
      <c r="W135" s="1">
        <f t="shared" si="9"/>
        <v>1132715</v>
      </c>
      <c r="Y135" s="1">
        <v>-6428292</v>
      </c>
      <c r="AA135" s="1">
        <v>-3634261</v>
      </c>
      <c r="AC135" s="1">
        <f>+K135-S135-AA135</f>
        <v>0</v>
      </c>
      <c r="AE135" s="3">
        <f t="shared" si="11"/>
        <v>0</v>
      </c>
    </row>
    <row r="136" spans="1:31">
      <c r="A136" s="12" t="s">
        <v>799</v>
      </c>
      <c r="B136" s="12"/>
      <c r="C136" s="12" t="s">
        <v>48</v>
      </c>
      <c r="D136" s="12"/>
      <c r="E136" s="13">
        <v>45336</v>
      </c>
      <c r="G136" s="1">
        <f t="shared" si="7"/>
        <v>1579330</v>
      </c>
      <c r="I136" s="1">
        <v>4139934</v>
      </c>
      <c r="K136" s="1">
        <v>5719264</v>
      </c>
      <c r="M136" s="1">
        <f t="shared" si="8"/>
        <v>2369777</v>
      </c>
      <c r="O136" s="1">
        <v>121358</v>
      </c>
      <c r="Q136" s="1">
        <f>757091-121358</f>
        <v>635733</v>
      </c>
      <c r="S136" s="1">
        <v>3126868</v>
      </c>
      <c r="U136" s="1">
        <v>1471778</v>
      </c>
      <c r="W136" s="1">
        <f t="shared" si="9"/>
        <v>230920</v>
      </c>
      <c r="Y136" s="1">
        <v>889698</v>
      </c>
      <c r="AA136" s="1">
        <v>2592396</v>
      </c>
      <c r="AC136" s="1">
        <f t="shared" si="10"/>
        <v>0</v>
      </c>
      <c r="AE136" s="3">
        <f t="shared" si="11"/>
        <v>0</v>
      </c>
    </row>
    <row r="137" spans="1:31">
      <c r="A137" s="12" t="s">
        <v>800</v>
      </c>
      <c r="B137" s="12"/>
      <c r="C137" s="12" t="s">
        <v>113</v>
      </c>
      <c r="D137" s="12"/>
      <c r="E137" s="13">
        <v>45344</v>
      </c>
      <c r="G137" s="1">
        <f t="shared" si="7"/>
        <v>34409835</v>
      </c>
      <c r="I137" s="1">
        <v>2854834</v>
      </c>
      <c r="K137" s="1">
        <v>37264669</v>
      </c>
      <c r="M137" s="1">
        <f t="shared" si="8"/>
        <v>2977159</v>
      </c>
      <c r="O137" s="1">
        <v>157172</v>
      </c>
      <c r="Q137" s="1">
        <f>14959053-157172</f>
        <v>14801881</v>
      </c>
      <c r="S137" s="1">
        <v>17936212</v>
      </c>
      <c r="U137" s="1">
        <v>2737971</v>
      </c>
      <c r="W137" s="1">
        <f t="shared" si="9"/>
        <v>14497777</v>
      </c>
      <c r="Y137" s="1">
        <v>2092709</v>
      </c>
      <c r="AA137" s="1">
        <v>19328457</v>
      </c>
      <c r="AC137" s="1">
        <f t="shared" si="10"/>
        <v>0</v>
      </c>
      <c r="AE137" s="3">
        <f t="shared" si="11"/>
        <v>0</v>
      </c>
    </row>
    <row r="138" spans="1:31">
      <c r="A138" s="12" t="s">
        <v>265</v>
      </c>
      <c r="B138" s="12"/>
      <c r="C138" s="12" t="s">
        <v>114</v>
      </c>
      <c r="D138" s="12"/>
      <c r="E138" s="13">
        <v>46433</v>
      </c>
      <c r="G138" s="1">
        <f t="shared" si="7"/>
        <v>5144027</v>
      </c>
      <c r="I138" s="1">
        <v>12315981</v>
      </c>
      <c r="K138" s="1">
        <v>17460008</v>
      </c>
      <c r="M138" s="1">
        <f t="shared" si="8"/>
        <v>3845687</v>
      </c>
      <c r="O138" s="1">
        <v>374644</v>
      </c>
      <c r="Q138" s="1">
        <f>1930111-374644</f>
        <v>1555467</v>
      </c>
      <c r="S138" s="1">
        <v>5775798</v>
      </c>
      <c r="U138" s="1">
        <v>11002984</v>
      </c>
      <c r="W138" s="1">
        <f t="shared" si="9"/>
        <v>534109</v>
      </c>
      <c r="Y138" s="1">
        <v>147117</v>
      </c>
      <c r="AA138" s="1">
        <v>11684210</v>
      </c>
      <c r="AC138" s="1">
        <f t="shared" si="10"/>
        <v>0</v>
      </c>
      <c r="AE138" s="3">
        <f t="shared" si="11"/>
        <v>0</v>
      </c>
    </row>
    <row r="139" spans="1:31">
      <c r="A139" s="12" t="s">
        <v>265</v>
      </c>
      <c r="B139" s="12"/>
      <c r="C139" s="12" t="s">
        <v>112</v>
      </c>
      <c r="D139" s="12"/>
      <c r="E139" s="13">
        <v>49429</v>
      </c>
      <c r="G139" s="1">
        <f t="shared" si="7"/>
        <v>10547002</v>
      </c>
      <c r="I139" s="1">
        <v>23920450</v>
      </c>
      <c r="K139" s="1">
        <v>34467452</v>
      </c>
      <c r="M139" s="1">
        <f t="shared" si="8"/>
        <v>3393122</v>
      </c>
      <c r="O139" s="1">
        <v>396403</v>
      </c>
      <c r="Q139" s="1">
        <f>4207897-396403</f>
        <v>3811494</v>
      </c>
      <c r="S139" s="1">
        <v>7601019</v>
      </c>
      <c r="U139" s="1">
        <v>20550832</v>
      </c>
      <c r="W139" s="1">
        <f t="shared" si="9"/>
        <v>1522838</v>
      </c>
      <c r="Y139" s="1">
        <v>4792763</v>
      </c>
      <c r="AA139" s="1">
        <v>26866433</v>
      </c>
      <c r="AC139" s="1">
        <f t="shared" si="10"/>
        <v>0</v>
      </c>
      <c r="AE139" s="3">
        <f t="shared" si="11"/>
        <v>0</v>
      </c>
    </row>
    <row r="140" spans="1:31" hidden="1">
      <c r="A140" s="12" t="s">
        <v>801</v>
      </c>
      <c r="B140" s="12"/>
      <c r="C140" s="12" t="s">
        <v>67</v>
      </c>
      <c r="D140" s="12"/>
      <c r="E140" s="13"/>
      <c r="G140" s="1">
        <f t="shared" si="7"/>
        <v>0</v>
      </c>
      <c r="W140" s="1">
        <f t="shared" si="9"/>
        <v>0</v>
      </c>
      <c r="AC140" s="1">
        <f t="shared" si="10"/>
        <v>0</v>
      </c>
      <c r="AE140" s="3">
        <f t="shared" si="11"/>
        <v>0</v>
      </c>
    </row>
    <row r="141" spans="1:31">
      <c r="A141" s="12" t="s">
        <v>903</v>
      </c>
      <c r="B141" s="12"/>
      <c r="C141" s="12" t="s">
        <v>56</v>
      </c>
      <c r="D141" s="12"/>
      <c r="E141" s="13">
        <v>49189</v>
      </c>
      <c r="G141" s="1">
        <f t="shared" si="7"/>
        <v>16719899</v>
      </c>
      <c r="I141" s="1">
        <v>23379139</v>
      </c>
      <c r="K141" s="1">
        <v>40099038</v>
      </c>
      <c r="M141" s="1">
        <f t="shared" si="8"/>
        <v>8471053</v>
      </c>
      <c r="O141" s="1">
        <v>671787</v>
      </c>
      <c r="Q141" s="1">
        <f>8522371-671787</f>
        <v>7850584</v>
      </c>
      <c r="S141" s="1">
        <v>16993424</v>
      </c>
      <c r="U141" s="1">
        <v>17091033</v>
      </c>
      <c r="W141" s="1">
        <f t="shared" si="9"/>
        <v>4941057</v>
      </c>
      <c r="Y141" s="1">
        <v>1073524</v>
      </c>
      <c r="AA141" s="1">
        <v>23105614</v>
      </c>
      <c r="AC141" s="1">
        <f t="shared" si="10"/>
        <v>0</v>
      </c>
      <c r="AE141" s="3">
        <f t="shared" si="11"/>
        <v>0</v>
      </c>
    </row>
    <row r="142" spans="1:31">
      <c r="A142" s="12" t="s">
        <v>721</v>
      </c>
      <c r="B142" s="12"/>
      <c r="C142" s="12" t="s">
        <v>524</v>
      </c>
      <c r="D142" s="12"/>
      <c r="E142" s="13"/>
      <c r="G142" s="1">
        <f t="shared" si="7"/>
        <v>4050337</v>
      </c>
      <c r="I142" s="1">
        <v>10197192</v>
      </c>
      <c r="K142" s="1">
        <v>14247529</v>
      </c>
      <c r="M142" s="1">
        <f t="shared" si="8"/>
        <v>3164321</v>
      </c>
      <c r="O142" s="1">
        <v>237558</v>
      </c>
      <c r="Q142" s="1">
        <f>1540249-237588</f>
        <v>1302661</v>
      </c>
      <c r="S142" s="1">
        <v>4704540</v>
      </c>
      <c r="U142" s="1">
        <v>9111192</v>
      </c>
      <c r="W142" s="1">
        <f t="shared" si="9"/>
        <v>699317</v>
      </c>
      <c r="Y142" s="1">
        <v>-267520</v>
      </c>
      <c r="AA142" s="1">
        <v>9542989</v>
      </c>
      <c r="AC142" s="1">
        <f>+K142-S142-AA142</f>
        <v>0</v>
      </c>
      <c r="AE142" s="3">
        <f t="shared" si="11"/>
        <v>0</v>
      </c>
    </row>
    <row r="143" spans="1:31">
      <c r="A143" s="12" t="s">
        <v>802</v>
      </c>
      <c r="B143" s="12"/>
      <c r="C143" s="12" t="s">
        <v>63</v>
      </c>
      <c r="D143" s="12"/>
      <c r="E143" s="13">
        <v>43836</v>
      </c>
      <c r="G143" s="1">
        <f t="shared" si="7"/>
        <v>34987369</v>
      </c>
      <c r="I143" s="1">
        <v>9669885</v>
      </c>
      <c r="K143" s="1">
        <v>44657254</v>
      </c>
      <c r="M143" s="1">
        <f t="shared" si="8"/>
        <v>28272534</v>
      </c>
      <c r="O143" s="1">
        <v>873003</v>
      </c>
      <c r="Q143" s="1">
        <f>7132753-873003</f>
        <v>6259750</v>
      </c>
      <c r="S143" s="1">
        <v>35405287</v>
      </c>
      <c r="U143" s="1">
        <v>4853182</v>
      </c>
      <c r="W143" s="1">
        <f t="shared" si="9"/>
        <v>1420690</v>
      </c>
      <c r="Y143" s="1">
        <v>2978095</v>
      </c>
      <c r="AA143" s="1">
        <v>9251967</v>
      </c>
      <c r="AC143" s="1">
        <f t="shared" si="10"/>
        <v>0</v>
      </c>
      <c r="AE143" s="3">
        <f t="shared" si="11"/>
        <v>0</v>
      </c>
    </row>
    <row r="144" spans="1:31">
      <c r="A144" s="12" t="s">
        <v>904</v>
      </c>
      <c r="B144" s="12"/>
      <c r="C144" s="12" t="s">
        <v>20</v>
      </c>
      <c r="D144" s="12"/>
      <c r="E144" s="13">
        <v>46557</v>
      </c>
      <c r="G144" s="1">
        <f t="shared" si="7"/>
        <v>14593005</v>
      </c>
      <c r="I144" s="1">
        <v>6666992</v>
      </c>
      <c r="K144" s="1">
        <v>21259997</v>
      </c>
      <c r="M144" s="1">
        <f t="shared" si="8"/>
        <v>8980288</v>
      </c>
      <c r="O144" s="1">
        <v>644189</v>
      </c>
      <c r="Q144" s="1">
        <f>4129571-644189</f>
        <v>3485382</v>
      </c>
      <c r="S144" s="1">
        <v>13109859</v>
      </c>
      <c r="U144" s="1">
        <v>3919363</v>
      </c>
      <c r="W144" s="1">
        <f t="shared" si="9"/>
        <v>1232523</v>
      </c>
      <c r="Y144" s="1">
        <v>2998252</v>
      </c>
      <c r="AA144" s="1">
        <v>8150138</v>
      </c>
      <c r="AC144" s="1">
        <f t="shared" si="10"/>
        <v>0</v>
      </c>
      <c r="AE144" s="3">
        <f t="shared" si="11"/>
        <v>0</v>
      </c>
    </row>
    <row r="145" spans="1:31">
      <c r="A145" s="12" t="s">
        <v>730</v>
      </c>
      <c r="B145" s="12"/>
      <c r="C145" s="12" t="s">
        <v>71</v>
      </c>
      <c r="D145" s="12"/>
      <c r="E145" s="13">
        <v>48934</v>
      </c>
      <c r="G145" s="1">
        <f t="shared" ref="G145:G152" si="12">+K145-I145</f>
        <v>4465184</v>
      </c>
      <c r="I145" s="1">
        <v>2426882</v>
      </c>
      <c r="K145" s="1">
        <v>6892066</v>
      </c>
      <c r="M145" s="1">
        <f t="shared" si="8"/>
        <v>3915044</v>
      </c>
      <c r="O145" s="1">
        <v>189747</v>
      </c>
      <c r="Q145" s="1">
        <v>660623</v>
      </c>
      <c r="S145" s="1">
        <v>4765414</v>
      </c>
      <c r="U145" s="1">
        <v>2386319</v>
      </c>
      <c r="W145" s="1">
        <f t="shared" si="9"/>
        <v>380905</v>
      </c>
      <c r="Y145" s="1">
        <v>-640572</v>
      </c>
      <c r="AA145" s="1">
        <v>2126652</v>
      </c>
      <c r="AC145" s="1">
        <f>+K145-S145-AA145</f>
        <v>0</v>
      </c>
      <c r="AE145" s="3">
        <f>+G145+I145+-M145-O145-U145-W145-Y145-Q145</f>
        <v>0</v>
      </c>
    </row>
    <row r="146" spans="1:31">
      <c r="A146" s="12" t="s">
        <v>520</v>
      </c>
      <c r="B146" s="12"/>
      <c r="C146" s="12" t="s">
        <v>53</v>
      </c>
      <c r="D146" s="12"/>
      <c r="E146" s="13">
        <v>48934</v>
      </c>
      <c r="G146" s="1">
        <f t="shared" si="12"/>
        <v>12944301</v>
      </c>
      <c r="I146" s="1">
        <f>1477744+5742622</f>
        <v>7220366</v>
      </c>
      <c r="K146" s="1">
        <v>20164667</v>
      </c>
      <c r="M146" s="1">
        <f t="shared" si="8"/>
        <v>7182117</v>
      </c>
      <c r="O146" s="1">
        <v>143335</v>
      </c>
      <c r="Q146" s="1">
        <v>2354005</v>
      </c>
      <c r="S146" s="1">
        <v>9679457</v>
      </c>
      <c r="U146" s="1">
        <v>6581199</v>
      </c>
      <c r="W146" s="1">
        <f t="shared" si="9"/>
        <v>230906</v>
      </c>
      <c r="Y146" s="1">
        <v>3673105</v>
      </c>
      <c r="AA146" s="1">
        <v>10485210</v>
      </c>
      <c r="AC146" s="1">
        <f>+K146-S146-AA146</f>
        <v>0</v>
      </c>
      <c r="AE146" s="3">
        <f t="shared" si="11"/>
        <v>0</v>
      </c>
    </row>
    <row r="147" spans="1:31" hidden="1">
      <c r="A147" s="12" t="s">
        <v>803</v>
      </c>
      <c r="B147" s="12"/>
      <c r="C147" s="12" t="s">
        <v>40</v>
      </c>
      <c r="D147" s="12"/>
      <c r="E147" s="13">
        <v>47837</v>
      </c>
      <c r="G147" s="1">
        <f t="shared" si="12"/>
        <v>0</v>
      </c>
      <c r="M147" s="1">
        <f t="shared" si="8"/>
        <v>0</v>
      </c>
      <c r="W147" s="1">
        <f t="shared" si="9"/>
        <v>0</v>
      </c>
      <c r="AC147" s="1">
        <f t="shared" si="10"/>
        <v>0</v>
      </c>
      <c r="AE147" s="3">
        <f t="shared" si="11"/>
        <v>0</v>
      </c>
    </row>
    <row r="148" spans="1:31">
      <c r="A148" s="12" t="s">
        <v>421</v>
      </c>
      <c r="B148" s="12"/>
      <c r="C148" s="12" t="s">
        <v>420</v>
      </c>
      <c r="D148" s="12"/>
      <c r="E148" s="13">
        <v>47928</v>
      </c>
      <c r="F148" s="16"/>
      <c r="G148" s="1">
        <f t="shared" si="12"/>
        <v>7670836</v>
      </c>
      <c r="I148" s="1">
        <f>710791+29758686</f>
        <v>30469477</v>
      </c>
      <c r="K148" s="1">
        <v>38140313</v>
      </c>
      <c r="M148" s="1">
        <f t="shared" si="8"/>
        <v>2418148</v>
      </c>
      <c r="O148" s="1">
        <v>187409</v>
      </c>
      <c r="Q148" s="1">
        <v>1448189</v>
      </c>
      <c r="S148" s="1">
        <v>4053746</v>
      </c>
      <c r="U148" s="1">
        <v>29227648</v>
      </c>
      <c r="W148" s="1">
        <f t="shared" si="9"/>
        <v>1202738</v>
      </c>
      <c r="Y148" s="1">
        <v>3656181</v>
      </c>
      <c r="AA148" s="1">
        <v>34086567</v>
      </c>
      <c r="AB148" s="16"/>
      <c r="AC148" s="1">
        <f t="shared" si="10"/>
        <v>0</v>
      </c>
      <c r="AE148" s="3">
        <f t="shared" si="11"/>
        <v>0</v>
      </c>
    </row>
    <row r="149" spans="1:31">
      <c r="A149" s="12" t="s">
        <v>496</v>
      </c>
      <c r="B149" s="12"/>
      <c r="C149" s="12" t="s">
        <v>50</v>
      </c>
      <c r="D149" s="12"/>
      <c r="E149" s="13">
        <v>43844</v>
      </c>
      <c r="G149" s="1">
        <f t="shared" si="12"/>
        <v>312620052</v>
      </c>
      <c r="I149" s="1">
        <f>149876811+274436795</f>
        <v>424313606</v>
      </c>
      <c r="K149" s="1">
        <v>736933658</v>
      </c>
      <c r="M149" s="1">
        <f t="shared" si="8"/>
        <v>77545041</v>
      </c>
      <c r="O149" s="1">
        <v>9606895</v>
      </c>
      <c r="Q149" s="1">
        <v>270163282</v>
      </c>
      <c r="S149" s="1">
        <v>357315218</v>
      </c>
      <c r="U149" s="1">
        <v>274083127</v>
      </c>
      <c r="W149" s="1">
        <f>AA149-Y149-U149</f>
        <v>80286392</v>
      </c>
      <c r="Y149" s="1">
        <v>25248921</v>
      </c>
      <c r="AA149" s="1">
        <v>379618440</v>
      </c>
      <c r="AC149" s="1">
        <f t="shared" si="10"/>
        <v>0</v>
      </c>
      <c r="AE149" s="3">
        <f t="shared" si="11"/>
        <v>0</v>
      </c>
    </row>
    <row r="150" spans="1:31" ht="12.75" customHeight="1">
      <c r="A150" s="12" t="s">
        <v>804</v>
      </c>
      <c r="B150" s="12"/>
      <c r="C150" s="12" t="s">
        <v>32</v>
      </c>
      <c r="D150" s="12"/>
      <c r="E150" s="13">
        <v>43851</v>
      </c>
      <c r="G150" s="1">
        <f t="shared" si="12"/>
        <v>15722010</v>
      </c>
      <c r="I150" s="1">
        <f>330425+3084364</f>
        <v>3414789</v>
      </c>
      <c r="K150" s="1">
        <v>19136799</v>
      </c>
      <c r="M150" s="1">
        <f>+S150-O150-Q150</f>
        <v>7176123</v>
      </c>
      <c r="O150" s="1">
        <v>279544</v>
      </c>
      <c r="Q150" s="1">
        <v>1179741</v>
      </c>
      <c r="S150" s="1">
        <v>8635408</v>
      </c>
      <c r="U150" s="1">
        <v>2874254</v>
      </c>
      <c r="W150" s="1">
        <f>AA150-Y150-U150</f>
        <v>1190266</v>
      </c>
      <c r="Y150" s="1">
        <v>6436871</v>
      </c>
      <c r="AA150" s="1">
        <v>10501391</v>
      </c>
      <c r="AC150" s="1">
        <f t="shared" si="10"/>
        <v>0</v>
      </c>
      <c r="AE150" s="3">
        <f t="shared" si="11"/>
        <v>0</v>
      </c>
    </row>
    <row r="151" spans="1:31" hidden="1">
      <c r="A151" s="12" t="s">
        <v>805</v>
      </c>
      <c r="B151" s="12"/>
      <c r="C151" s="12" t="s">
        <v>22</v>
      </c>
      <c r="D151" s="12"/>
      <c r="E151" s="13">
        <v>43869</v>
      </c>
      <c r="G151" s="1">
        <f t="shared" si="12"/>
        <v>0</v>
      </c>
      <c r="M151" s="1">
        <f>+S151-O151-Q151</f>
        <v>0</v>
      </c>
      <c r="W151" s="1">
        <f>AA151-Y151-U151</f>
        <v>0</v>
      </c>
      <c r="AC151" s="1">
        <f t="shared" si="10"/>
        <v>0</v>
      </c>
      <c r="AE151" s="3">
        <f t="shared" ref="AE151:AE223" si="13">+G151+I151+-M151-O151-U151-W151-Y151-Q151</f>
        <v>0</v>
      </c>
    </row>
    <row r="152" spans="1:31">
      <c r="A152" s="12" t="s">
        <v>806</v>
      </c>
      <c r="B152" s="12"/>
      <c r="C152" s="12" t="s">
        <v>23</v>
      </c>
      <c r="D152" s="12"/>
      <c r="E152" s="13"/>
      <c r="G152" s="1">
        <f t="shared" si="12"/>
        <v>42455426</v>
      </c>
      <c r="I152" s="1">
        <f>2782266+34718856</f>
        <v>37501122</v>
      </c>
      <c r="K152" s="1">
        <v>79956548</v>
      </c>
      <c r="M152" s="1">
        <f>+S152-O152-Q152</f>
        <v>31267460</v>
      </c>
      <c r="O152" s="1">
        <v>2589953</v>
      </c>
      <c r="Q152" s="1">
        <v>32421957</v>
      </c>
      <c r="S152" s="1">
        <v>66279370</v>
      </c>
      <c r="U152" s="1">
        <v>7106503</v>
      </c>
      <c r="W152" s="1">
        <f>AA152-Y152-U152</f>
        <v>3389257</v>
      </c>
      <c r="Y152" s="1">
        <v>3181418</v>
      </c>
      <c r="AA152" s="1">
        <v>13677178</v>
      </c>
      <c r="AC152" s="1">
        <f t="shared" si="10"/>
        <v>0</v>
      </c>
      <c r="AE152" s="3">
        <f t="shared" si="13"/>
        <v>0</v>
      </c>
    </row>
    <row r="153" spans="1:31">
      <c r="A153" s="12" t="s">
        <v>204</v>
      </c>
      <c r="B153" s="12"/>
      <c r="C153" s="12" t="s">
        <v>10</v>
      </c>
      <c r="D153" s="12"/>
      <c r="E153" s="12">
        <v>43885</v>
      </c>
      <c r="F153" s="8"/>
      <c r="G153" s="1">
        <f t="shared" ref="G153:G219" si="14">+K153-I153</f>
        <v>5488463</v>
      </c>
      <c r="I153" s="1">
        <v>4226371</v>
      </c>
      <c r="K153" s="1">
        <v>9714834</v>
      </c>
      <c r="M153" s="1">
        <f t="shared" ref="M153:M226" si="15">+S153-O153-Q153</f>
        <v>4705636</v>
      </c>
      <c r="O153" s="1">
        <v>35139</v>
      </c>
      <c r="Q153" s="1">
        <f>549724-35139</f>
        <v>514585</v>
      </c>
      <c r="S153" s="1">
        <v>5255360</v>
      </c>
      <c r="U153" s="1">
        <v>4226371</v>
      </c>
      <c r="W153" s="1">
        <f t="shared" ref="W153:W226" si="16">AA153-Y153-U153</f>
        <v>1039292</v>
      </c>
      <c r="Y153" s="1">
        <v>-806189</v>
      </c>
      <c r="AA153" s="1">
        <v>4459474</v>
      </c>
      <c r="AC153" s="1">
        <f t="shared" ref="AC153:AC225" si="17">+K153-S153-AA153</f>
        <v>0</v>
      </c>
      <c r="AE153" s="3">
        <f t="shared" si="13"/>
        <v>0</v>
      </c>
    </row>
    <row r="154" spans="1:31">
      <c r="A154" s="12" t="s">
        <v>619</v>
      </c>
      <c r="B154" s="12"/>
      <c r="C154" s="12" t="s">
        <v>65</v>
      </c>
      <c r="D154" s="12"/>
      <c r="E154" s="13">
        <v>43893</v>
      </c>
      <c r="G154" s="1">
        <f t="shared" si="14"/>
        <v>21536619</v>
      </c>
      <c r="I154" s="1">
        <v>9073650</v>
      </c>
      <c r="K154" s="1">
        <v>30610269</v>
      </c>
      <c r="M154" s="1">
        <f t="shared" si="15"/>
        <v>13853355</v>
      </c>
      <c r="O154" s="1">
        <v>700741</v>
      </c>
      <c r="Q154" s="1">
        <f>5998427-700741</f>
        <v>5297686</v>
      </c>
      <c r="S154" s="1">
        <v>19851782</v>
      </c>
      <c r="U154" s="1">
        <v>5249958</v>
      </c>
      <c r="W154" s="1">
        <f t="shared" si="16"/>
        <v>1149404</v>
      </c>
      <c r="Y154" s="1">
        <v>4359125</v>
      </c>
      <c r="AA154" s="1">
        <v>10758487</v>
      </c>
      <c r="AC154" s="1">
        <f t="shared" si="17"/>
        <v>0</v>
      </c>
      <c r="AE154" s="3">
        <f t="shared" si="13"/>
        <v>0</v>
      </c>
    </row>
    <row r="155" spans="1:31">
      <c r="A155" s="12" t="s">
        <v>332</v>
      </c>
      <c r="B155" s="12"/>
      <c r="C155" s="12" t="s">
        <v>27</v>
      </c>
      <c r="D155" s="12"/>
      <c r="E155" s="13">
        <v>47027</v>
      </c>
      <c r="G155" s="1">
        <f t="shared" si="14"/>
        <v>306752000</v>
      </c>
      <c r="I155" s="1">
        <v>178793000</v>
      </c>
      <c r="K155" s="1">
        <v>485545000</v>
      </c>
      <c r="M155" s="1">
        <f t="shared" si="15"/>
        <v>197725424</v>
      </c>
      <c r="O155" s="1">
        <v>35360248</v>
      </c>
      <c r="Q155" s="1">
        <f>225770576-35360248</f>
        <v>190410328</v>
      </c>
      <c r="S155" s="1">
        <v>423496000</v>
      </c>
      <c r="U155" s="1">
        <v>976000</v>
      </c>
      <c r="W155" s="1">
        <f t="shared" si="16"/>
        <v>20576000</v>
      </c>
      <c r="Y155" s="1">
        <v>40497000</v>
      </c>
      <c r="AA155" s="1">
        <v>62049000</v>
      </c>
      <c r="AC155" s="1">
        <f t="shared" si="17"/>
        <v>0</v>
      </c>
      <c r="AE155" s="3">
        <f t="shared" si="13"/>
        <v>0</v>
      </c>
    </row>
    <row r="156" spans="1:31">
      <c r="A156" s="12" t="s">
        <v>288</v>
      </c>
      <c r="B156" s="12"/>
      <c r="C156" s="12" t="s">
        <v>20</v>
      </c>
      <c r="D156" s="12"/>
      <c r="E156" s="13">
        <v>43901</v>
      </c>
      <c r="G156" s="1">
        <f t="shared" si="14"/>
        <v>61849809</v>
      </c>
      <c r="I156" s="1">
        <f>17103659+1793983</f>
        <v>18897642</v>
      </c>
      <c r="K156" s="1">
        <v>80747451</v>
      </c>
      <c r="M156" s="1">
        <f t="shared" si="15"/>
        <v>10763755</v>
      </c>
      <c r="O156" s="1">
        <v>1804498</v>
      </c>
      <c r="Q156" s="1">
        <v>10367568</v>
      </c>
      <c r="S156" s="1">
        <v>22935821</v>
      </c>
      <c r="U156" s="1">
        <v>12887017</v>
      </c>
      <c r="W156" s="1">
        <f t="shared" si="16"/>
        <v>6160246</v>
      </c>
      <c r="Y156" s="1">
        <v>38764367</v>
      </c>
      <c r="AA156" s="1">
        <v>57811630</v>
      </c>
      <c r="AC156" s="1">
        <f t="shared" si="17"/>
        <v>0</v>
      </c>
      <c r="AE156" s="3">
        <f t="shared" si="13"/>
        <v>0</v>
      </c>
    </row>
    <row r="157" spans="1:31">
      <c r="A157" s="12" t="s">
        <v>261</v>
      </c>
      <c r="B157" s="12"/>
      <c r="C157" s="12" t="s">
        <v>18</v>
      </c>
      <c r="D157" s="12"/>
      <c r="E157" s="13">
        <v>46409</v>
      </c>
      <c r="F157" s="8"/>
      <c r="G157" s="1">
        <f t="shared" si="14"/>
        <v>7601350</v>
      </c>
      <c r="I157" s="1">
        <f>426976+15445966</f>
        <v>15872942</v>
      </c>
      <c r="K157" s="1">
        <v>23474292</v>
      </c>
      <c r="M157" s="1">
        <f t="shared" si="15"/>
        <v>4816846</v>
      </c>
      <c r="O157" s="1">
        <v>360861</v>
      </c>
      <c r="Q157" s="1">
        <v>2436752</v>
      </c>
      <c r="S157" s="1">
        <v>7614459</v>
      </c>
      <c r="U157" s="1">
        <v>13866686</v>
      </c>
      <c r="W157" s="1">
        <f t="shared" si="16"/>
        <v>2010406</v>
      </c>
      <c r="Y157" s="1">
        <v>-17259</v>
      </c>
      <c r="AA157" s="1">
        <v>15859833</v>
      </c>
      <c r="AC157" s="1">
        <f t="shared" si="17"/>
        <v>0</v>
      </c>
      <c r="AE157" s="3">
        <f t="shared" si="13"/>
        <v>0</v>
      </c>
    </row>
    <row r="158" spans="1:31">
      <c r="A158" s="12" t="s">
        <v>361</v>
      </c>
      <c r="B158" s="12"/>
      <c r="C158" s="12" t="s">
        <v>31</v>
      </c>
      <c r="D158" s="12"/>
      <c r="E158" s="13">
        <v>69682</v>
      </c>
      <c r="G158" s="1">
        <f t="shared" si="14"/>
        <v>10311855</v>
      </c>
      <c r="I158" s="1">
        <f>209303+22113166</f>
        <v>22322469</v>
      </c>
      <c r="K158" s="1">
        <v>32634324</v>
      </c>
      <c r="M158" s="1">
        <f t="shared" si="15"/>
        <v>3893770</v>
      </c>
      <c r="O158" s="1">
        <v>274341</v>
      </c>
      <c r="Q158" s="1">
        <v>4092562</v>
      </c>
      <c r="S158" s="1">
        <v>8260673</v>
      </c>
      <c r="U158" s="1">
        <v>18713735</v>
      </c>
      <c r="W158" s="1">
        <f t="shared" si="16"/>
        <v>3443530</v>
      </c>
      <c r="Y158" s="1">
        <v>2216386</v>
      </c>
      <c r="AA158" s="1">
        <v>24373651</v>
      </c>
      <c r="AC158" s="1">
        <f t="shared" si="17"/>
        <v>0</v>
      </c>
      <c r="AE158" s="3">
        <f t="shared" si="13"/>
        <v>0</v>
      </c>
    </row>
    <row r="159" spans="1:31">
      <c r="A159" s="12" t="s">
        <v>401</v>
      </c>
      <c r="B159" s="12"/>
      <c r="C159" s="12" t="s">
        <v>36</v>
      </c>
      <c r="D159" s="12"/>
      <c r="E159" s="13">
        <v>47688</v>
      </c>
      <c r="G159" s="1">
        <f t="shared" si="14"/>
        <v>16631196</v>
      </c>
      <c r="I159" s="1">
        <f>1067816+10152659</f>
        <v>11220475</v>
      </c>
      <c r="K159" s="1">
        <v>27851671</v>
      </c>
      <c r="M159" s="1">
        <f t="shared" si="15"/>
        <v>10669940</v>
      </c>
      <c r="O159" s="1">
        <v>267148</v>
      </c>
      <c r="Q159" s="1">
        <v>3065437</v>
      </c>
      <c r="S159" s="1">
        <v>14002525</v>
      </c>
      <c r="U159" s="1">
        <v>9260475</v>
      </c>
      <c r="W159" s="1">
        <f t="shared" si="16"/>
        <v>1664878</v>
      </c>
      <c r="Y159" s="1">
        <v>2923793</v>
      </c>
      <c r="AA159" s="1">
        <v>13849146</v>
      </c>
      <c r="AC159" s="1">
        <f t="shared" si="17"/>
        <v>0</v>
      </c>
      <c r="AE159" s="3">
        <f t="shared" si="13"/>
        <v>0</v>
      </c>
    </row>
    <row r="160" spans="1:31" hidden="1">
      <c r="A160" s="12" t="s">
        <v>807</v>
      </c>
      <c r="B160" s="12"/>
      <c r="C160" s="12" t="s">
        <v>40</v>
      </c>
      <c r="D160" s="12"/>
      <c r="E160" s="13"/>
      <c r="G160" s="1">
        <f t="shared" si="14"/>
        <v>0</v>
      </c>
      <c r="M160" s="1">
        <f t="shared" si="15"/>
        <v>0</v>
      </c>
      <c r="W160" s="1">
        <f t="shared" si="16"/>
        <v>0</v>
      </c>
      <c r="AC160" s="1">
        <f t="shared" si="17"/>
        <v>0</v>
      </c>
      <c r="AE160" s="3">
        <f t="shared" si="13"/>
        <v>0</v>
      </c>
    </row>
    <row r="161" spans="1:31">
      <c r="A161" s="12" t="s">
        <v>266</v>
      </c>
      <c r="B161" s="12"/>
      <c r="C161" s="12" t="s">
        <v>114</v>
      </c>
      <c r="D161" s="12"/>
      <c r="E161" s="13">
        <v>43919</v>
      </c>
      <c r="G161" s="1">
        <f t="shared" si="14"/>
        <v>22300752</v>
      </c>
      <c r="I161" s="1">
        <f>21939040+11947240</f>
        <v>33886280</v>
      </c>
      <c r="K161" s="1">
        <v>56187032</v>
      </c>
      <c r="M161" s="1">
        <f t="shared" si="15"/>
        <v>6964180</v>
      </c>
      <c r="O161" s="1">
        <v>526053</v>
      </c>
      <c r="Q161" s="1">
        <v>9580781</v>
      </c>
      <c r="S161" s="1">
        <v>17071014</v>
      </c>
      <c r="U161" s="1">
        <v>8471279</v>
      </c>
      <c r="W161" s="1">
        <f t="shared" si="16"/>
        <v>16901739</v>
      </c>
      <c r="Y161" s="1">
        <v>13743000</v>
      </c>
      <c r="AA161" s="1">
        <v>39116018</v>
      </c>
      <c r="AC161" s="1">
        <f t="shared" si="17"/>
        <v>0</v>
      </c>
      <c r="AE161" s="3">
        <f t="shared" si="13"/>
        <v>0</v>
      </c>
    </row>
    <row r="162" spans="1:31">
      <c r="A162" s="12" t="s">
        <v>511</v>
      </c>
      <c r="B162" s="12"/>
      <c r="C162" s="12" t="s">
        <v>51</v>
      </c>
      <c r="D162" s="12"/>
      <c r="E162" s="13">
        <v>48835</v>
      </c>
      <c r="G162" s="1">
        <f t="shared" si="14"/>
        <v>15299499</v>
      </c>
      <c r="I162" s="1">
        <f>165309+27503812</f>
        <v>27669121</v>
      </c>
      <c r="K162" s="1">
        <v>42968620</v>
      </c>
      <c r="M162" s="1">
        <f t="shared" si="15"/>
        <v>8232517</v>
      </c>
      <c r="O162" s="1">
        <v>500560</v>
      </c>
      <c r="Q162" s="1">
        <v>7272575</v>
      </c>
      <c r="S162" s="1">
        <v>16005652</v>
      </c>
      <c r="U162" s="1">
        <v>21815137</v>
      </c>
      <c r="W162" s="1">
        <f t="shared" si="16"/>
        <v>2594450</v>
      </c>
      <c r="Y162" s="1">
        <v>2553381</v>
      </c>
      <c r="AA162" s="1">
        <v>26962968</v>
      </c>
      <c r="AC162" s="1">
        <f>+K162-S162-AA162</f>
        <v>0</v>
      </c>
      <c r="AE162" s="3">
        <f>+G162+I162+-M162-O162-U162-W162-Y162-Q162</f>
        <v>0</v>
      </c>
    </row>
    <row r="163" spans="1:31">
      <c r="A163" s="12" t="s">
        <v>267</v>
      </c>
      <c r="B163" s="12"/>
      <c r="C163" s="12" t="s">
        <v>114</v>
      </c>
      <c r="D163" s="12"/>
      <c r="E163" s="13">
        <v>43927</v>
      </c>
      <c r="G163" s="1">
        <f t="shared" si="14"/>
        <v>5210265</v>
      </c>
      <c r="I163" s="1">
        <f>475815+23701760</f>
        <v>24177575</v>
      </c>
      <c r="K163" s="1">
        <v>29387840</v>
      </c>
      <c r="M163" s="1">
        <f t="shared" si="15"/>
        <v>4379276</v>
      </c>
      <c r="O163" s="1">
        <v>448988</v>
      </c>
      <c r="Q163" s="1">
        <v>2345073</v>
      </c>
      <c r="S163" s="1">
        <v>7173337</v>
      </c>
      <c r="U163" s="1">
        <v>21957308</v>
      </c>
      <c r="W163" s="1">
        <f t="shared" si="16"/>
        <v>1214500</v>
      </c>
      <c r="Y163" s="1">
        <v>-957305</v>
      </c>
      <c r="AA163" s="1">
        <v>22214503</v>
      </c>
      <c r="AC163" s="1">
        <f t="shared" si="17"/>
        <v>0</v>
      </c>
      <c r="AE163" s="3">
        <f t="shared" si="13"/>
        <v>0</v>
      </c>
    </row>
    <row r="164" spans="1:31">
      <c r="A164" s="17" t="s">
        <v>223</v>
      </c>
      <c r="B164" s="17"/>
      <c r="C164" s="17" t="s">
        <v>77</v>
      </c>
      <c r="D164" s="17"/>
      <c r="E164" s="13">
        <v>46037</v>
      </c>
      <c r="G164" s="1">
        <f t="shared" si="14"/>
        <v>19341657</v>
      </c>
      <c r="I164" s="1">
        <f>1674511+37335716</f>
        <v>39010227</v>
      </c>
      <c r="K164" s="1">
        <v>58351884</v>
      </c>
      <c r="M164" s="1">
        <f t="shared" si="15"/>
        <v>4830784</v>
      </c>
      <c r="O164" s="1">
        <v>467126</v>
      </c>
      <c r="Q164" s="1">
        <v>9129585</v>
      </c>
      <c r="S164" s="1">
        <v>14427495</v>
      </c>
      <c r="U164" s="1">
        <v>30365227</v>
      </c>
      <c r="W164" s="1">
        <f t="shared" si="16"/>
        <v>14093116</v>
      </c>
      <c r="Y164" s="1">
        <v>-533954</v>
      </c>
      <c r="AA164" s="1">
        <v>43924389</v>
      </c>
      <c r="AC164" s="1">
        <f t="shared" si="17"/>
        <v>0</v>
      </c>
      <c r="AE164" s="3">
        <f t="shared" si="13"/>
        <v>0</v>
      </c>
    </row>
    <row r="165" spans="1:31">
      <c r="A165" s="17" t="s">
        <v>223</v>
      </c>
      <c r="B165" s="17"/>
      <c r="C165" s="17" t="s">
        <v>484</v>
      </c>
      <c r="D165" s="17"/>
      <c r="E165" s="13">
        <v>48512</v>
      </c>
      <c r="G165" s="1">
        <f t="shared" si="14"/>
        <v>3781488</v>
      </c>
      <c r="I165" s="1">
        <f>23487+8079077</f>
        <v>8102564</v>
      </c>
      <c r="K165" s="1">
        <v>11884052</v>
      </c>
      <c r="M165" s="1">
        <f t="shared" si="15"/>
        <v>2243674</v>
      </c>
      <c r="O165" s="1">
        <v>113343</v>
      </c>
      <c r="Q165" s="1">
        <v>1071623</v>
      </c>
      <c r="S165" s="1">
        <v>3428640</v>
      </c>
      <c r="U165" s="1">
        <v>7166417</v>
      </c>
      <c r="W165" s="1">
        <f t="shared" si="16"/>
        <v>828061</v>
      </c>
      <c r="Y165" s="1">
        <v>460934</v>
      </c>
      <c r="AA165" s="1">
        <v>8455412</v>
      </c>
      <c r="AC165" s="1">
        <f t="shared" si="17"/>
        <v>0</v>
      </c>
      <c r="AE165" s="3">
        <f t="shared" si="13"/>
        <v>0</v>
      </c>
    </row>
    <row r="166" spans="1:31" hidden="1">
      <c r="A166" s="12" t="s">
        <v>808</v>
      </c>
      <c r="B166" s="12"/>
      <c r="C166" s="12" t="s">
        <v>55</v>
      </c>
      <c r="D166" s="12"/>
      <c r="E166" s="13">
        <v>49122</v>
      </c>
      <c r="G166" s="1">
        <f t="shared" si="14"/>
        <v>0</v>
      </c>
      <c r="M166" s="1">
        <f t="shared" si="15"/>
        <v>0</v>
      </c>
      <c r="W166" s="1">
        <f t="shared" si="16"/>
        <v>0</v>
      </c>
      <c r="AC166" s="1">
        <f t="shared" si="17"/>
        <v>0</v>
      </c>
      <c r="AE166" s="3">
        <f t="shared" si="13"/>
        <v>0</v>
      </c>
    </row>
    <row r="167" spans="1:31">
      <c r="A167" s="17" t="s">
        <v>647</v>
      </c>
      <c r="B167" s="17"/>
      <c r="C167" s="17" t="s">
        <v>72</v>
      </c>
      <c r="D167" s="17"/>
      <c r="E167" s="13">
        <v>50674</v>
      </c>
      <c r="G167" s="1">
        <f t="shared" si="14"/>
        <v>14708170</v>
      </c>
      <c r="I167" s="1">
        <f>430047+4475548</f>
        <v>4905595</v>
      </c>
      <c r="K167" s="1">
        <v>19613765</v>
      </c>
      <c r="M167" s="1">
        <f t="shared" si="15"/>
        <v>7338927</v>
      </c>
      <c r="O167" s="1">
        <v>501150</v>
      </c>
      <c r="Q167" s="1">
        <v>4381420</v>
      </c>
      <c r="S167" s="1">
        <v>12221497</v>
      </c>
      <c r="U167" s="1">
        <v>1264226</v>
      </c>
      <c r="W167" s="1">
        <f t="shared" si="16"/>
        <v>1404565</v>
      </c>
      <c r="Y167" s="1">
        <v>4723477</v>
      </c>
      <c r="AA167" s="1">
        <v>7392268</v>
      </c>
      <c r="AC167" s="1">
        <f t="shared" si="17"/>
        <v>0</v>
      </c>
      <c r="AE167" s="3">
        <f t="shared" si="13"/>
        <v>0</v>
      </c>
    </row>
    <row r="168" spans="1:31">
      <c r="A168" s="17" t="s">
        <v>835</v>
      </c>
      <c r="B168" s="17"/>
      <c r="C168" s="17" t="s">
        <v>57</v>
      </c>
      <c r="D168" s="17"/>
      <c r="E168" s="13">
        <v>43935</v>
      </c>
      <c r="G168" s="1">
        <f t="shared" si="14"/>
        <v>24253623</v>
      </c>
      <c r="I168" s="1">
        <f>606919+30457966</f>
        <v>31064885</v>
      </c>
      <c r="K168" s="1">
        <v>55318508</v>
      </c>
      <c r="M168" s="1">
        <f t="shared" si="15"/>
        <v>9416096</v>
      </c>
      <c r="O168" s="1">
        <v>803419</v>
      </c>
      <c r="Q168" s="1">
        <v>29121239</v>
      </c>
      <c r="S168" s="1">
        <v>39340754</v>
      </c>
      <c r="U168" s="1">
        <v>4352241</v>
      </c>
      <c r="W168" s="1">
        <f t="shared" si="16"/>
        <v>3018024</v>
      </c>
      <c r="Y168" s="1">
        <v>8607489</v>
      </c>
      <c r="AA168" s="1">
        <v>15977754</v>
      </c>
      <c r="AC168" s="1">
        <f t="shared" si="17"/>
        <v>0</v>
      </c>
      <c r="AE168" s="3">
        <f t="shared" si="13"/>
        <v>0</v>
      </c>
    </row>
    <row r="169" spans="1:31" hidden="1">
      <c r="A169" s="17" t="s">
        <v>809</v>
      </c>
      <c r="B169" s="17"/>
      <c r="C169" s="17" t="s">
        <v>643</v>
      </c>
      <c r="D169" s="17"/>
      <c r="E169" s="13">
        <v>50617</v>
      </c>
      <c r="G169" s="1">
        <f t="shared" si="14"/>
        <v>0</v>
      </c>
      <c r="M169" s="1">
        <f t="shared" si="15"/>
        <v>0</v>
      </c>
      <c r="W169" s="1">
        <f t="shared" si="16"/>
        <v>0</v>
      </c>
      <c r="AC169" s="1">
        <f t="shared" si="17"/>
        <v>0</v>
      </c>
      <c r="AE169" s="3">
        <f t="shared" si="13"/>
        <v>0</v>
      </c>
    </row>
    <row r="170" spans="1:31">
      <c r="A170" s="17" t="s">
        <v>810</v>
      </c>
      <c r="B170" s="17"/>
      <c r="C170" s="17" t="s">
        <v>227</v>
      </c>
      <c r="D170" s="17"/>
      <c r="E170" s="13">
        <v>46094</v>
      </c>
      <c r="G170" s="1">
        <f t="shared" si="14"/>
        <v>63912793</v>
      </c>
      <c r="I170" s="1">
        <f>6054103+23292229</f>
        <v>29346332</v>
      </c>
      <c r="K170" s="1">
        <v>93259125</v>
      </c>
      <c r="M170" s="1">
        <f t="shared" si="15"/>
        <v>19625293</v>
      </c>
      <c r="O170" s="1">
        <v>1842283</v>
      </c>
      <c r="Q170" s="1">
        <v>43169435</v>
      </c>
      <c r="S170" s="1">
        <v>64637011</v>
      </c>
      <c r="U170" s="1">
        <v>12397282</v>
      </c>
      <c r="W170" s="1">
        <f t="shared" si="16"/>
        <v>21737483</v>
      </c>
      <c r="Y170" s="1">
        <v>-5512651</v>
      </c>
      <c r="AA170" s="1">
        <v>28622114</v>
      </c>
      <c r="AC170" s="1">
        <f t="shared" si="17"/>
        <v>0</v>
      </c>
      <c r="AE170" s="3">
        <f t="shared" si="13"/>
        <v>0</v>
      </c>
    </row>
    <row r="171" spans="1:31">
      <c r="A171" s="17"/>
      <c r="B171" s="17"/>
      <c r="C171" s="17"/>
      <c r="D171" s="17"/>
      <c r="E171" s="13"/>
    </row>
    <row r="172" spans="1:31">
      <c r="A172" s="17"/>
      <c r="B172" s="17"/>
      <c r="C172" s="17"/>
      <c r="D172" s="17"/>
      <c r="E172" s="13"/>
      <c r="AA172" s="20" t="s">
        <v>709</v>
      </c>
    </row>
    <row r="173" spans="1:31">
      <c r="A173" s="17"/>
      <c r="B173" s="17"/>
      <c r="C173" s="17"/>
      <c r="D173" s="17"/>
      <c r="E173" s="13"/>
    </row>
    <row r="174" spans="1:31">
      <c r="A174" s="17" t="s">
        <v>410</v>
      </c>
      <c r="B174" s="17"/>
      <c r="C174" s="17" t="s">
        <v>39</v>
      </c>
      <c r="D174" s="17"/>
      <c r="E174" s="13">
        <v>47795</v>
      </c>
      <c r="G174" s="16">
        <f t="shared" si="14"/>
        <v>10689285</v>
      </c>
      <c r="H174" s="16"/>
      <c r="I174" s="16">
        <f>121734+4317400</f>
        <v>4439134</v>
      </c>
      <c r="J174" s="16"/>
      <c r="K174" s="16">
        <v>15128419</v>
      </c>
      <c r="L174" s="16"/>
      <c r="M174" s="16">
        <f t="shared" si="15"/>
        <v>9391231</v>
      </c>
      <c r="N174" s="16"/>
      <c r="O174" s="16">
        <v>501196</v>
      </c>
      <c r="P174" s="16"/>
      <c r="Q174" s="16">
        <v>1441370</v>
      </c>
      <c r="R174" s="16"/>
      <c r="S174" s="16">
        <v>11333797</v>
      </c>
      <c r="T174" s="16"/>
      <c r="U174" s="16">
        <v>3931802</v>
      </c>
      <c r="V174" s="16"/>
      <c r="W174" s="16">
        <f t="shared" si="16"/>
        <v>186836</v>
      </c>
      <c r="X174" s="16"/>
      <c r="Y174" s="16">
        <v>-324016</v>
      </c>
      <c r="Z174" s="16"/>
      <c r="AA174" s="16">
        <v>3794622</v>
      </c>
      <c r="AC174" s="1">
        <f t="shared" si="17"/>
        <v>0</v>
      </c>
      <c r="AE174" s="3">
        <f t="shared" si="13"/>
        <v>0</v>
      </c>
    </row>
    <row r="175" spans="1:31">
      <c r="A175" s="17" t="s">
        <v>644</v>
      </c>
      <c r="B175" s="17"/>
      <c r="C175" s="17" t="s">
        <v>643</v>
      </c>
      <c r="D175" s="17"/>
      <c r="E175" s="13">
        <v>50625</v>
      </c>
      <c r="G175" s="1">
        <f t="shared" si="14"/>
        <v>5894328</v>
      </c>
      <c r="I175" s="1">
        <f>270236+16929827</f>
        <v>17200063</v>
      </c>
      <c r="K175" s="1">
        <v>23094391</v>
      </c>
      <c r="M175" s="1">
        <f t="shared" si="15"/>
        <v>2655375</v>
      </c>
      <c r="O175" s="1">
        <v>270430</v>
      </c>
      <c r="Q175" s="1">
        <v>3294504</v>
      </c>
      <c r="S175" s="1">
        <v>6220309</v>
      </c>
      <c r="U175" s="1">
        <v>14145885</v>
      </c>
      <c r="W175" s="1">
        <f t="shared" si="16"/>
        <v>1240832</v>
      </c>
      <c r="Y175" s="1">
        <v>1487365</v>
      </c>
      <c r="AA175" s="1">
        <v>16874082</v>
      </c>
      <c r="AC175" s="1">
        <f t="shared" si="17"/>
        <v>0</v>
      </c>
      <c r="AE175" s="3">
        <f t="shared" si="13"/>
        <v>0</v>
      </c>
    </row>
    <row r="176" spans="1:31">
      <c r="A176" s="17" t="s">
        <v>836</v>
      </c>
      <c r="B176" s="17"/>
      <c r="C176" s="17" t="s">
        <v>46</v>
      </c>
      <c r="D176" s="17"/>
      <c r="E176" s="13">
        <v>48413</v>
      </c>
      <c r="F176" s="8"/>
      <c r="G176" s="1">
        <f t="shared" ref="G176" si="18">+K176-I176</f>
        <v>43976033</v>
      </c>
      <c r="I176" s="1">
        <f>463066+2216934</f>
        <v>2680000</v>
      </c>
      <c r="K176" s="1">
        <v>46656033</v>
      </c>
      <c r="M176" s="1">
        <f t="shared" ref="M176" si="19">+S176-O176-Q176</f>
        <v>21037519</v>
      </c>
      <c r="O176" s="1">
        <v>31064</v>
      </c>
      <c r="Q176" s="1">
        <v>853884</v>
      </c>
      <c r="S176" s="1">
        <v>21922467</v>
      </c>
      <c r="U176" s="1">
        <v>2672449</v>
      </c>
      <c r="W176" s="1">
        <f t="shared" ref="W176" si="20">AA176-Y176-U176</f>
        <v>21335910</v>
      </c>
      <c r="Y176" s="1">
        <v>725207</v>
      </c>
      <c r="AA176" s="1">
        <v>24733566</v>
      </c>
      <c r="AC176" s="1">
        <f t="shared" ref="AC176" si="21">+K176-S176-AA176</f>
        <v>0</v>
      </c>
      <c r="AE176" s="3">
        <f t="shared" ref="AE176" si="22">+G176+I176+-M176-O176-U176-W176-Y176-Q176</f>
        <v>0</v>
      </c>
    </row>
    <row r="177" spans="1:31" hidden="1">
      <c r="A177" s="12" t="s">
        <v>811</v>
      </c>
      <c r="B177" s="12"/>
      <c r="C177" s="12" t="s">
        <v>10</v>
      </c>
      <c r="D177" s="17"/>
      <c r="E177" s="13"/>
      <c r="G177" s="1">
        <f t="shared" si="14"/>
        <v>0</v>
      </c>
      <c r="M177" s="1">
        <f t="shared" si="15"/>
        <v>0</v>
      </c>
      <c r="W177" s="1">
        <f t="shared" si="16"/>
        <v>0</v>
      </c>
      <c r="AC177" s="1">
        <f t="shared" si="17"/>
        <v>0</v>
      </c>
      <c r="AE177" s="3">
        <f t="shared" si="13"/>
        <v>0</v>
      </c>
    </row>
    <row r="178" spans="1:31" hidden="1">
      <c r="A178" s="17" t="s">
        <v>861</v>
      </c>
      <c r="B178" s="17"/>
      <c r="C178" s="17" t="s">
        <v>72</v>
      </c>
      <c r="D178" s="17"/>
      <c r="E178" s="13"/>
      <c r="F178" s="8"/>
      <c r="G178" s="1">
        <f t="shared" si="14"/>
        <v>0</v>
      </c>
      <c r="M178" s="1">
        <f t="shared" si="15"/>
        <v>0</v>
      </c>
      <c r="W178" s="1">
        <f t="shared" si="16"/>
        <v>0</v>
      </c>
      <c r="AC178" s="1">
        <f t="shared" si="17"/>
        <v>0</v>
      </c>
      <c r="AE178" s="3">
        <f t="shared" si="13"/>
        <v>0</v>
      </c>
    </row>
    <row r="179" spans="1:31">
      <c r="A179" s="17" t="s">
        <v>440</v>
      </c>
      <c r="B179" s="17"/>
      <c r="C179" s="17" t="s">
        <v>44</v>
      </c>
      <c r="D179" s="17"/>
      <c r="E179" s="13">
        <v>43943</v>
      </c>
      <c r="G179" s="1">
        <f t="shared" si="14"/>
        <v>79119236</v>
      </c>
      <c r="I179" s="1">
        <f>50462330+6006933</f>
        <v>56469263</v>
      </c>
      <c r="K179" s="1">
        <v>135588499</v>
      </c>
      <c r="M179" s="1">
        <f t="shared" si="15"/>
        <v>47346964</v>
      </c>
      <c r="O179" s="1">
        <v>2715015</v>
      </c>
      <c r="Q179" s="1">
        <v>54720764</v>
      </c>
      <c r="S179" s="1">
        <v>104782743</v>
      </c>
      <c r="U179" s="1">
        <v>22164989</v>
      </c>
      <c r="W179" s="1">
        <f t="shared" si="16"/>
        <v>14018705</v>
      </c>
      <c r="Y179" s="1">
        <v>-5377938</v>
      </c>
      <c r="AA179" s="1">
        <v>30805756</v>
      </c>
      <c r="AC179" s="1">
        <f t="shared" si="17"/>
        <v>0</v>
      </c>
      <c r="AE179" s="3">
        <f t="shared" si="13"/>
        <v>0</v>
      </c>
    </row>
    <row r="180" spans="1:31">
      <c r="A180" s="17" t="s">
        <v>289</v>
      </c>
      <c r="B180" s="17"/>
      <c r="C180" s="17" t="s">
        <v>20</v>
      </c>
      <c r="D180" s="17"/>
      <c r="E180" s="13">
        <v>43950</v>
      </c>
      <c r="G180" s="1">
        <f t="shared" si="14"/>
        <v>105344904</v>
      </c>
      <c r="I180" s="1">
        <f>3284931+22836041</f>
        <v>26120972</v>
      </c>
      <c r="K180" s="1">
        <v>131465876</v>
      </c>
      <c r="M180" s="1">
        <f t="shared" si="15"/>
        <v>39516033</v>
      </c>
      <c r="O180" s="1">
        <v>6847870</v>
      </c>
      <c r="Q180" s="1">
        <v>50313256</v>
      </c>
      <c r="S180" s="1">
        <v>96677159</v>
      </c>
      <c r="U180" s="1">
        <v>12886219</v>
      </c>
      <c r="W180" s="1">
        <f t="shared" si="16"/>
        <v>5610784</v>
      </c>
      <c r="Y180" s="1">
        <v>16291714</v>
      </c>
      <c r="AA180" s="1">
        <v>34788717</v>
      </c>
      <c r="AC180" s="1">
        <f t="shared" si="17"/>
        <v>0</v>
      </c>
      <c r="AE180" s="3">
        <f t="shared" si="13"/>
        <v>0</v>
      </c>
    </row>
    <row r="181" spans="1:31" hidden="1">
      <c r="A181" s="12" t="s">
        <v>741</v>
      </c>
      <c r="B181" s="17"/>
      <c r="C181" s="17" t="s">
        <v>28</v>
      </c>
      <c r="D181" s="17"/>
      <c r="E181" s="13">
        <v>47050</v>
      </c>
      <c r="G181" s="1">
        <f t="shared" si="14"/>
        <v>0</v>
      </c>
      <c r="M181" s="1">
        <f t="shared" si="15"/>
        <v>0</v>
      </c>
      <c r="W181" s="1">
        <f t="shared" si="16"/>
        <v>0</v>
      </c>
      <c r="AC181" s="1">
        <f>+K181-S181-AA181</f>
        <v>0</v>
      </c>
      <c r="AE181" s="3">
        <f t="shared" si="13"/>
        <v>0</v>
      </c>
    </row>
    <row r="182" spans="1:31">
      <c r="A182" s="17" t="s">
        <v>625</v>
      </c>
      <c r="B182" s="17"/>
      <c r="C182" s="17" t="s">
        <v>66</v>
      </c>
      <c r="D182" s="17"/>
      <c r="E182" s="13">
        <v>50328</v>
      </c>
      <c r="G182" s="1">
        <f t="shared" si="14"/>
        <v>9099063</v>
      </c>
      <c r="I182" s="1">
        <f>312346+16315016</f>
        <v>16627362</v>
      </c>
      <c r="K182" s="1">
        <v>25726425</v>
      </c>
      <c r="M182" s="1">
        <f t="shared" si="15"/>
        <v>5677187</v>
      </c>
      <c r="O182" s="1">
        <v>739860</v>
      </c>
      <c r="Q182" s="1">
        <v>11715072</v>
      </c>
      <c r="S182" s="1">
        <v>18132119</v>
      </c>
      <c r="U182" s="1">
        <v>4734812</v>
      </c>
      <c r="W182" s="1">
        <f t="shared" si="16"/>
        <v>1087261</v>
      </c>
      <c r="Y182" s="1">
        <v>1772233</v>
      </c>
      <c r="AA182" s="1">
        <v>7594306</v>
      </c>
      <c r="AC182" s="1">
        <f t="shared" si="17"/>
        <v>0</v>
      </c>
      <c r="AE182" s="3">
        <f t="shared" si="13"/>
        <v>0</v>
      </c>
    </row>
    <row r="183" spans="1:31" s="16" customFormat="1">
      <c r="A183" s="14" t="s">
        <v>751</v>
      </c>
      <c r="B183" s="14"/>
      <c r="C183" s="14" t="s">
        <v>116</v>
      </c>
      <c r="D183" s="14"/>
      <c r="E183" s="14">
        <v>46102</v>
      </c>
      <c r="G183" s="1">
        <f>+K183-I183</f>
        <v>27412833</v>
      </c>
      <c r="H183" s="1"/>
      <c r="I183" s="1">
        <f>299675+13931726</f>
        <v>14231401</v>
      </c>
      <c r="J183" s="1"/>
      <c r="K183" s="1">
        <v>41644234</v>
      </c>
      <c r="L183" s="1"/>
      <c r="M183" s="1">
        <f>+S183-O183-Q183</f>
        <v>20928936</v>
      </c>
      <c r="N183" s="1"/>
      <c r="O183" s="1">
        <v>1297150</v>
      </c>
      <c r="P183" s="1"/>
      <c r="Q183" s="1">
        <v>19386303</v>
      </c>
      <c r="R183" s="1"/>
      <c r="S183" s="1">
        <v>41612389</v>
      </c>
      <c r="T183" s="1"/>
      <c r="U183" s="1">
        <v>-2942849</v>
      </c>
      <c r="V183" s="1"/>
      <c r="W183" s="1">
        <f>AA183-Y183-U183</f>
        <v>2542151</v>
      </c>
      <c r="X183" s="1"/>
      <c r="Y183" s="1">
        <v>432543</v>
      </c>
      <c r="Z183" s="1"/>
      <c r="AA183" s="1">
        <v>31845</v>
      </c>
      <c r="AC183" s="1">
        <f>+K183-S183-AA183</f>
        <v>0</v>
      </c>
      <c r="AE183" s="3">
        <f>+G183+I183+-M183-O183-U183-W183-Y183-Q183</f>
        <v>0</v>
      </c>
    </row>
    <row r="184" spans="1:31">
      <c r="A184" s="17" t="s">
        <v>228</v>
      </c>
      <c r="B184" s="17"/>
      <c r="C184" s="17" t="s">
        <v>227</v>
      </c>
      <c r="D184" s="17"/>
      <c r="E184" s="13">
        <v>46102</v>
      </c>
      <c r="G184" s="1">
        <f t="shared" si="14"/>
        <v>70250921</v>
      </c>
      <c r="I184" s="1">
        <f>3803351+56226330</f>
        <v>60029681</v>
      </c>
      <c r="K184" s="1">
        <v>130280602</v>
      </c>
      <c r="M184" s="1">
        <f t="shared" si="15"/>
        <v>60320862</v>
      </c>
      <c r="O184" s="1">
        <v>3206455</v>
      </c>
      <c r="Q184" s="1">
        <v>33303815</v>
      </c>
      <c r="S184" s="1">
        <v>96831132</v>
      </c>
      <c r="U184" s="1">
        <v>32058845</v>
      </c>
      <c r="W184" s="1">
        <f t="shared" si="16"/>
        <v>3621384</v>
      </c>
      <c r="Y184" s="1">
        <v>-2230759</v>
      </c>
      <c r="AA184" s="1">
        <v>33449470</v>
      </c>
      <c r="AC184" s="1">
        <f t="shared" si="17"/>
        <v>0</v>
      </c>
      <c r="AE184" s="3">
        <f t="shared" si="13"/>
        <v>0</v>
      </c>
    </row>
    <row r="185" spans="1:31">
      <c r="A185" s="17" t="s">
        <v>396</v>
      </c>
      <c r="B185" s="17"/>
      <c r="C185" s="17" t="s">
        <v>395</v>
      </c>
      <c r="D185" s="17"/>
      <c r="E185" s="13">
        <v>47621</v>
      </c>
      <c r="G185" s="1">
        <f t="shared" si="14"/>
        <v>4705826</v>
      </c>
      <c r="I185" s="1">
        <f>399200+14999942</f>
        <v>15399142</v>
      </c>
      <c r="K185" s="1">
        <v>20104968</v>
      </c>
      <c r="M185" s="1">
        <f t="shared" si="15"/>
        <v>2900083</v>
      </c>
      <c r="O185" s="1">
        <v>162592</v>
      </c>
      <c r="Q185" s="1">
        <v>2251230</v>
      </c>
      <c r="S185" s="1">
        <v>5313905</v>
      </c>
      <c r="U185" s="1">
        <v>13618846</v>
      </c>
      <c r="W185" s="1">
        <f t="shared" si="16"/>
        <v>1004339</v>
      </c>
      <c r="Y185" s="1">
        <v>167878</v>
      </c>
      <c r="AA185" s="1">
        <v>14791063</v>
      </c>
      <c r="AC185" s="1">
        <f t="shared" si="17"/>
        <v>0</v>
      </c>
      <c r="AE185" s="3">
        <f t="shared" si="13"/>
        <v>0</v>
      </c>
    </row>
    <row r="186" spans="1:31">
      <c r="A186" s="17" t="s">
        <v>324</v>
      </c>
      <c r="B186" s="17"/>
      <c r="C186" s="17" t="s">
        <v>25</v>
      </c>
      <c r="D186" s="17"/>
      <c r="E186" s="13">
        <v>46870</v>
      </c>
      <c r="G186" s="1">
        <f t="shared" si="14"/>
        <v>35409915</v>
      </c>
      <c r="I186" s="1">
        <f>52732193+5993718</f>
        <v>58725911</v>
      </c>
      <c r="K186" s="1">
        <v>94135826</v>
      </c>
      <c r="M186" s="1">
        <f t="shared" si="15"/>
        <v>8625424</v>
      </c>
      <c r="O186" s="1">
        <v>631007</v>
      </c>
      <c r="Q186" s="1">
        <v>27845480</v>
      </c>
      <c r="S186" s="1">
        <v>37101911</v>
      </c>
      <c r="U186" s="1">
        <v>31893360</v>
      </c>
      <c r="W186" s="1">
        <f t="shared" si="16"/>
        <v>20158717</v>
      </c>
      <c r="Y186" s="1">
        <v>4981838</v>
      </c>
      <c r="AA186" s="1">
        <v>57033915</v>
      </c>
      <c r="AC186" s="1">
        <f>+K186-S186-AA186</f>
        <v>0</v>
      </c>
      <c r="AE186" s="3">
        <f>+G186+I186+-M186-O186-U186-W186-Y186-Q186</f>
        <v>0</v>
      </c>
    </row>
    <row r="187" spans="1:31">
      <c r="A187" s="17" t="s">
        <v>422</v>
      </c>
      <c r="B187" s="17"/>
      <c r="C187" s="17" t="s">
        <v>420</v>
      </c>
      <c r="D187" s="17"/>
      <c r="E187" s="13">
        <v>47936</v>
      </c>
      <c r="G187" s="1">
        <f t="shared" si="14"/>
        <v>10363201</v>
      </c>
      <c r="I187" s="1">
        <f>198591+30837764</f>
        <v>31036355</v>
      </c>
      <c r="K187" s="1">
        <v>41399556</v>
      </c>
      <c r="M187" s="1">
        <f t="shared" si="15"/>
        <v>4716637</v>
      </c>
      <c r="O187" s="1">
        <v>215706</v>
      </c>
      <c r="Q187" s="1">
        <v>3258124</v>
      </c>
      <c r="S187" s="1">
        <v>8190467</v>
      </c>
      <c r="U187" s="1">
        <v>28416355</v>
      </c>
      <c r="W187" s="1">
        <f t="shared" si="16"/>
        <v>1990969</v>
      </c>
      <c r="Y187" s="1">
        <v>2801765</v>
      </c>
      <c r="AA187" s="1">
        <v>33209089</v>
      </c>
      <c r="AC187" s="1">
        <f>+K187-S187-AA187</f>
        <v>0</v>
      </c>
      <c r="AE187" s="3">
        <f>+G187+I187+-M187-O187-U187-W187-Y187-Q187</f>
        <v>0</v>
      </c>
    </row>
    <row r="188" spans="1:31" hidden="1">
      <c r="A188" s="17" t="s">
        <v>742</v>
      </c>
      <c r="B188" s="17"/>
      <c r="C188" s="17" t="s">
        <v>61</v>
      </c>
      <c r="D188" s="17"/>
      <c r="E188" s="13">
        <v>49775</v>
      </c>
      <c r="G188" s="1">
        <f t="shared" si="14"/>
        <v>0</v>
      </c>
      <c r="M188" s="1">
        <f t="shared" si="15"/>
        <v>0</v>
      </c>
      <c r="W188" s="1">
        <f t="shared" si="16"/>
        <v>0</v>
      </c>
      <c r="AC188" s="1">
        <f>+K188-S188-AA188</f>
        <v>0</v>
      </c>
      <c r="AE188" s="3">
        <f t="shared" si="13"/>
        <v>0</v>
      </c>
    </row>
    <row r="189" spans="1:31">
      <c r="A189" s="17" t="s">
        <v>575</v>
      </c>
      <c r="B189" s="17"/>
      <c r="C189" s="17" t="s">
        <v>62</v>
      </c>
      <c r="D189" s="17"/>
      <c r="E189" s="13">
        <v>49841</v>
      </c>
      <c r="G189" s="1">
        <f t="shared" si="14"/>
        <v>12321715</v>
      </c>
      <c r="I189" s="1">
        <f>172695+28553803</f>
        <v>28726498</v>
      </c>
      <c r="K189" s="1">
        <v>41048213</v>
      </c>
      <c r="M189" s="1">
        <f t="shared" si="15"/>
        <v>8245561</v>
      </c>
      <c r="O189" s="1">
        <v>435222</v>
      </c>
      <c r="Q189" s="1">
        <v>13237898</v>
      </c>
      <c r="S189" s="1">
        <v>21918681</v>
      </c>
      <c r="U189" s="1">
        <v>15692049</v>
      </c>
      <c r="W189" s="1">
        <f t="shared" si="16"/>
        <v>1863137</v>
      </c>
      <c r="Y189" s="1">
        <v>1574346</v>
      </c>
      <c r="AA189" s="1">
        <v>19129532</v>
      </c>
      <c r="AC189" s="1">
        <f>+K189-S189-AA189</f>
        <v>0</v>
      </c>
      <c r="AE189" s="3">
        <f>+G189+I189+-M189-O189-U189-W189-Y189-Q189</f>
        <v>0</v>
      </c>
    </row>
    <row r="190" spans="1:31" hidden="1">
      <c r="A190" s="17" t="s">
        <v>834</v>
      </c>
      <c r="B190" s="17"/>
      <c r="C190" s="17" t="s">
        <v>41</v>
      </c>
      <c r="D190" s="17"/>
      <c r="E190" s="13">
        <v>45369</v>
      </c>
      <c r="F190" s="8"/>
      <c r="G190" s="1">
        <f t="shared" si="14"/>
        <v>0</v>
      </c>
      <c r="M190" s="1">
        <f t="shared" si="15"/>
        <v>0</v>
      </c>
      <c r="W190" s="1">
        <f t="shared" si="16"/>
        <v>0</v>
      </c>
      <c r="AC190" s="1">
        <f t="shared" si="17"/>
        <v>0</v>
      </c>
      <c r="AE190" s="3">
        <f t="shared" si="13"/>
        <v>0</v>
      </c>
    </row>
    <row r="191" spans="1:31">
      <c r="A191" s="17" t="s">
        <v>290</v>
      </c>
      <c r="B191" s="17"/>
      <c r="C191" s="17" t="s">
        <v>20</v>
      </c>
      <c r="D191" s="17"/>
      <c r="E191" s="13">
        <v>43976</v>
      </c>
      <c r="G191" s="1">
        <f t="shared" si="14"/>
        <v>34190712</v>
      </c>
      <c r="I191" s="1">
        <f>430447+34882304</f>
        <v>35312751</v>
      </c>
      <c r="K191" s="1">
        <v>69503463</v>
      </c>
      <c r="M191" s="1">
        <f t="shared" si="15"/>
        <v>17053635</v>
      </c>
      <c r="O191" s="1">
        <v>1561375</v>
      </c>
      <c r="Q191" s="1">
        <v>29612902</v>
      </c>
      <c r="S191" s="1">
        <v>48227912</v>
      </c>
      <c r="U191" s="1">
        <v>6405841</v>
      </c>
      <c r="W191" s="1">
        <f t="shared" si="16"/>
        <v>4385781</v>
      </c>
      <c r="Y191" s="1">
        <v>10483929</v>
      </c>
      <c r="AA191" s="1">
        <v>21275551</v>
      </c>
      <c r="AC191" s="1">
        <f t="shared" si="17"/>
        <v>0</v>
      </c>
      <c r="AE191" s="3">
        <f t="shared" si="13"/>
        <v>0</v>
      </c>
    </row>
    <row r="192" spans="1:31">
      <c r="A192" s="17" t="s">
        <v>812</v>
      </c>
      <c r="B192" s="17"/>
      <c r="C192" s="17" t="s">
        <v>28</v>
      </c>
      <c r="D192" s="17"/>
      <c r="E192" s="13"/>
      <c r="G192" s="1">
        <f t="shared" si="14"/>
        <v>4483840</v>
      </c>
      <c r="I192" s="1">
        <f>697251+16805393</f>
        <v>17502644</v>
      </c>
      <c r="K192" s="1">
        <v>21986484</v>
      </c>
      <c r="M192" s="1">
        <f t="shared" si="15"/>
        <v>1783429</v>
      </c>
      <c r="O192" s="1">
        <v>173101</v>
      </c>
      <c r="Q192" s="1">
        <v>5109582</v>
      </c>
      <c r="S192" s="1">
        <v>7066112</v>
      </c>
      <c r="U192" s="1">
        <v>12537277</v>
      </c>
      <c r="W192" s="1">
        <f t="shared" si="16"/>
        <v>1376434</v>
      </c>
      <c r="Y192" s="1">
        <v>1006661</v>
      </c>
      <c r="AA192" s="1">
        <v>14920372</v>
      </c>
      <c r="AC192" s="1">
        <f t="shared" si="17"/>
        <v>0</v>
      </c>
      <c r="AE192" s="3">
        <f t="shared" si="13"/>
        <v>0</v>
      </c>
    </row>
    <row r="193" spans="1:31">
      <c r="A193" s="17" t="s">
        <v>224</v>
      </c>
      <c r="B193" s="17"/>
      <c r="C193" s="17" t="s">
        <v>77</v>
      </c>
      <c r="D193" s="17"/>
      <c r="E193" s="13">
        <v>46045</v>
      </c>
      <c r="G193" s="1">
        <f t="shared" si="14"/>
        <v>6668117</v>
      </c>
      <c r="I193" s="1">
        <f>131111+27954364</f>
        <v>28085475</v>
      </c>
      <c r="K193" s="1">
        <v>34753592</v>
      </c>
      <c r="M193" s="1">
        <f t="shared" si="15"/>
        <v>2998067</v>
      </c>
      <c r="O193" s="1">
        <v>378650</v>
      </c>
      <c r="Q193" s="1">
        <v>8111389</v>
      </c>
      <c r="S193" s="1">
        <v>11488106</v>
      </c>
      <c r="U193" s="1">
        <v>20158280</v>
      </c>
      <c r="W193" s="1">
        <f t="shared" si="16"/>
        <v>2975494</v>
      </c>
      <c r="Y193" s="1">
        <v>131712</v>
      </c>
      <c r="AA193" s="1">
        <v>23265486</v>
      </c>
      <c r="AC193" s="1">
        <f t="shared" si="17"/>
        <v>0</v>
      </c>
      <c r="AE193" s="3">
        <f t="shared" si="13"/>
        <v>0</v>
      </c>
    </row>
    <row r="194" spans="1:31">
      <c r="A194" s="12" t="s">
        <v>813</v>
      </c>
      <c r="B194" s="12"/>
      <c r="C194" s="12" t="s">
        <v>13</v>
      </c>
      <c r="D194" s="17"/>
      <c r="E194" s="13"/>
      <c r="G194" s="1">
        <f t="shared" si="14"/>
        <v>7059977</v>
      </c>
      <c r="I194" s="1">
        <f>44623+8712161</f>
        <v>8756784</v>
      </c>
      <c r="K194" s="1">
        <v>15816761</v>
      </c>
      <c r="M194" s="1">
        <f t="shared" si="15"/>
        <v>4298943</v>
      </c>
      <c r="O194" s="1">
        <v>275060</v>
      </c>
      <c r="Q194" s="1">
        <v>1136643</v>
      </c>
      <c r="S194" s="1">
        <v>5710646</v>
      </c>
      <c r="U194" s="1">
        <v>8046780</v>
      </c>
      <c r="W194" s="1">
        <f t="shared" si="16"/>
        <v>1111836</v>
      </c>
      <c r="Y194" s="1">
        <v>947499</v>
      </c>
      <c r="AA194" s="1">
        <v>10106115</v>
      </c>
      <c r="AC194" s="1">
        <f t="shared" si="17"/>
        <v>0</v>
      </c>
      <c r="AE194" s="3">
        <f t="shared" si="13"/>
        <v>0</v>
      </c>
    </row>
    <row r="195" spans="1:31">
      <c r="A195" s="17" t="s">
        <v>253</v>
      </c>
      <c r="B195" s="17"/>
      <c r="C195" s="17" t="s">
        <v>115</v>
      </c>
      <c r="D195" s="17"/>
      <c r="E195" s="13">
        <v>46334</v>
      </c>
      <c r="G195" s="1">
        <f t="shared" si="14"/>
        <v>3974080</v>
      </c>
      <c r="I195" s="1">
        <f>65450+18855193</f>
        <v>18920643</v>
      </c>
      <c r="K195" s="1">
        <v>22894723</v>
      </c>
      <c r="M195" s="1">
        <f t="shared" si="15"/>
        <v>2561811</v>
      </c>
      <c r="O195" s="1">
        <v>252381</v>
      </c>
      <c r="Q195" s="1">
        <v>2620051</v>
      </c>
      <c r="S195" s="1">
        <v>5434243</v>
      </c>
      <c r="U195" s="1">
        <v>16599205</v>
      </c>
      <c r="W195" s="1">
        <f t="shared" si="16"/>
        <v>1236376</v>
      </c>
      <c r="Y195" s="1">
        <v>-375101</v>
      </c>
      <c r="AA195" s="1">
        <v>17460480</v>
      </c>
      <c r="AC195" s="1">
        <f t="shared" si="17"/>
        <v>0</v>
      </c>
      <c r="AE195" s="3">
        <f t="shared" si="13"/>
        <v>0</v>
      </c>
    </row>
    <row r="196" spans="1:31">
      <c r="A196" s="17" t="s">
        <v>905</v>
      </c>
      <c r="B196" s="17"/>
      <c r="C196" s="17" t="s">
        <v>56</v>
      </c>
      <c r="D196" s="17"/>
      <c r="E196" s="13">
        <v>49197</v>
      </c>
      <c r="G196" s="1">
        <f t="shared" si="14"/>
        <v>11728811</v>
      </c>
      <c r="I196" s="1">
        <f>597678+28787113</f>
        <v>29384791</v>
      </c>
      <c r="K196" s="1">
        <v>41113602</v>
      </c>
      <c r="M196" s="1">
        <f t="shared" si="15"/>
        <v>10621238</v>
      </c>
      <c r="O196" s="1">
        <v>476781</v>
      </c>
      <c r="Q196" s="1">
        <v>25458618</v>
      </c>
      <c r="S196" s="1">
        <v>36556637</v>
      </c>
      <c r="U196" s="1">
        <v>4558230</v>
      </c>
      <c r="W196" s="1">
        <f t="shared" si="16"/>
        <v>1452810</v>
      </c>
      <c r="Y196" s="1">
        <v>-1454075</v>
      </c>
      <c r="AA196" s="1">
        <v>4556965</v>
      </c>
      <c r="AC196" s="1">
        <f t="shared" si="17"/>
        <v>0</v>
      </c>
      <c r="AE196" s="3">
        <f t="shared" si="13"/>
        <v>0</v>
      </c>
    </row>
    <row r="197" spans="1:31">
      <c r="A197" s="17" t="s">
        <v>380</v>
      </c>
      <c r="B197" s="17"/>
      <c r="C197" s="17" t="s">
        <v>33</v>
      </c>
      <c r="D197" s="17"/>
      <c r="E197" s="13">
        <v>43984</v>
      </c>
      <c r="G197" s="1">
        <f t="shared" si="14"/>
        <v>120510391</v>
      </c>
      <c r="I197" s="1">
        <f>2913984+15224825</f>
        <v>18138809</v>
      </c>
      <c r="K197" s="1">
        <v>138649200</v>
      </c>
      <c r="M197" s="1">
        <f t="shared" si="15"/>
        <v>36467295</v>
      </c>
      <c r="O197" s="1">
        <v>2249035</v>
      </c>
      <c r="Q197" s="1">
        <v>57712509</v>
      </c>
      <c r="S197" s="1">
        <v>96428839</v>
      </c>
      <c r="U197" s="1">
        <v>15084461</v>
      </c>
      <c r="W197" s="1">
        <f t="shared" si="16"/>
        <v>22508530</v>
      </c>
      <c r="Y197" s="1">
        <v>4627370</v>
      </c>
      <c r="AA197" s="1">
        <v>42220361</v>
      </c>
      <c r="AC197" s="1">
        <f t="shared" si="17"/>
        <v>0</v>
      </c>
      <c r="AE197" s="3">
        <f t="shared" si="13"/>
        <v>0</v>
      </c>
    </row>
    <row r="198" spans="1:31">
      <c r="A198" s="17" t="s">
        <v>363</v>
      </c>
      <c r="B198" s="17"/>
      <c r="C198" s="17" t="s">
        <v>32</v>
      </c>
      <c r="D198" s="17"/>
      <c r="E198" s="13">
        <v>47332</v>
      </c>
      <c r="G198" s="1">
        <f t="shared" si="14"/>
        <v>14852503</v>
      </c>
      <c r="I198" s="1">
        <f>1228019+6241433</f>
        <v>7469452</v>
      </c>
      <c r="K198" s="1">
        <v>22321955</v>
      </c>
      <c r="M198" s="1">
        <f t="shared" si="15"/>
        <v>9759488</v>
      </c>
      <c r="O198" s="1">
        <v>484124</v>
      </c>
      <c r="Q198" s="1">
        <v>7769742</v>
      </c>
      <c r="S198" s="1">
        <v>18013354</v>
      </c>
      <c r="U198" s="1">
        <v>601452</v>
      </c>
      <c r="W198" s="1">
        <f t="shared" si="16"/>
        <v>1729244</v>
      </c>
      <c r="Y198" s="1">
        <v>1977905</v>
      </c>
      <c r="AA198" s="1">
        <v>4308601</v>
      </c>
      <c r="AC198" s="1">
        <f t="shared" si="17"/>
        <v>0</v>
      </c>
      <c r="AE198" s="3">
        <f t="shared" si="13"/>
        <v>0</v>
      </c>
    </row>
    <row r="199" spans="1:31">
      <c r="A199" s="17" t="s">
        <v>441</v>
      </c>
      <c r="B199" s="17"/>
      <c r="C199" s="17" t="s">
        <v>44</v>
      </c>
      <c r="D199" s="17"/>
      <c r="E199" s="13">
        <v>48157</v>
      </c>
      <c r="G199" s="1">
        <f t="shared" si="14"/>
        <v>11760947</v>
      </c>
      <c r="I199" s="1">
        <f>864180+2909211</f>
        <v>3773391</v>
      </c>
      <c r="K199" s="1">
        <v>15534338</v>
      </c>
      <c r="M199" s="1">
        <f t="shared" si="15"/>
        <v>8621733</v>
      </c>
      <c r="O199" s="1">
        <v>186669</v>
      </c>
      <c r="Q199" s="1">
        <v>959976</v>
      </c>
      <c r="S199" s="1">
        <v>9768378</v>
      </c>
      <c r="U199" s="1">
        <v>3734641</v>
      </c>
      <c r="W199" s="1">
        <f t="shared" si="16"/>
        <v>1772520</v>
      </c>
      <c r="Y199" s="1">
        <v>258799</v>
      </c>
      <c r="AA199" s="1">
        <v>5765960</v>
      </c>
      <c r="AC199" s="1">
        <f t="shared" si="17"/>
        <v>0</v>
      </c>
      <c r="AE199" s="3">
        <f t="shared" si="13"/>
        <v>0</v>
      </c>
    </row>
    <row r="200" spans="1:31">
      <c r="A200" s="17" t="s">
        <v>364</v>
      </c>
      <c r="B200" s="17"/>
      <c r="C200" s="17" t="s">
        <v>32</v>
      </c>
      <c r="D200" s="17"/>
      <c r="E200" s="13">
        <v>47340</v>
      </c>
      <c r="G200" s="1">
        <f t="shared" si="14"/>
        <v>70157549</v>
      </c>
      <c r="I200" s="1">
        <f>1114077+27299431</f>
        <v>28413508</v>
      </c>
      <c r="K200" s="1">
        <v>98571057</v>
      </c>
      <c r="M200" s="1">
        <f t="shared" si="15"/>
        <v>40018221</v>
      </c>
      <c r="O200" s="1">
        <v>3232053</v>
      </c>
      <c r="Q200" s="1">
        <v>13040752</v>
      </c>
      <c r="S200" s="1">
        <v>56291026</v>
      </c>
      <c r="U200" s="1">
        <v>15533508</v>
      </c>
      <c r="W200" s="1">
        <f t="shared" si="16"/>
        <v>5759504</v>
      </c>
      <c r="Y200" s="1">
        <v>20987019</v>
      </c>
      <c r="AA200" s="1">
        <v>42280031</v>
      </c>
      <c r="AC200" s="1">
        <f t="shared" si="17"/>
        <v>0</v>
      </c>
      <c r="AE200" s="3">
        <f t="shared" si="13"/>
        <v>0</v>
      </c>
    </row>
    <row r="201" spans="1:31" hidden="1">
      <c r="A201" s="17" t="s">
        <v>737</v>
      </c>
      <c r="B201" s="17"/>
      <c r="C201" s="17" t="s">
        <v>70</v>
      </c>
      <c r="D201" s="17"/>
      <c r="E201" s="13">
        <v>50484</v>
      </c>
      <c r="G201" s="1">
        <f t="shared" si="14"/>
        <v>0</v>
      </c>
      <c r="M201" s="1">
        <f t="shared" si="15"/>
        <v>0</v>
      </c>
      <c r="W201" s="1">
        <f t="shared" si="16"/>
        <v>0</v>
      </c>
      <c r="AC201" s="1">
        <f t="shared" si="17"/>
        <v>0</v>
      </c>
      <c r="AE201" s="3">
        <f t="shared" si="13"/>
        <v>0</v>
      </c>
    </row>
    <row r="202" spans="1:31">
      <c r="A202" s="17" t="s">
        <v>569</v>
      </c>
      <c r="B202" s="17"/>
      <c r="C202" s="17" t="s">
        <v>61</v>
      </c>
      <c r="D202" s="17"/>
      <c r="E202" s="13">
        <v>49783</v>
      </c>
      <c r="G202" s="1">
        <f t="shared" si="14"/>
        <v>7601414</v>
      </c>
      <c r="I202" s="1">
        <f>140200+23846711</f>
        <v>23986911</v>
      </c>
      <c r="K202" s="1">
        <v>31588325</v>
      </c>
      <c r="M202" s="1">
        <f t="shared" si="15"/>
        <v>3004519</v>
      </c>
      <c r="O202" s="1">
        <v>449773</v>
      </c>
      <c r="Q202" s="1">
        <v>11324090</v>
      </c>
      <c r="S202" s="1">
        <v>14778382</v>
      </c>
      <c r="U202" s="1">
        <v>13094857</v>
      </c>
      <c r="W202" s="1">
        <f t="shared" si="16"/>
        <v>1548130</v>
      </c>
      <c r="Y202" s="1">
        <v>2166956</v>
      </c>
      <c r="AA202" s="1">
        <v>16809943</v>
      </c>
      <c r="AC202" s="1">
        <f t="shared" si="17"/>
        <v>0</v>
      </c>
      <c r="AE202" s="3">
        <f t="shared" si="13"/>
        <v>0</v>
      </c>
    </row>
    <row r="203" spans="1:31" hidden="1">
      <c r="A203" s="12" t="s">
        <v>814</v>
      </c>
      <c r="B203" s="12"/>
      <c r="C203" s="12" t="s">
        <v>486</v>
      </c>
      <c r="D203" s="17"/>
      <c r="E203" s="13"/>
      <c r="G203" s="1">
        <f t="shared" si="14"/>
        <v>0</v>
      </c>
      <c r="M203" s="1">
        <f t="shared" si="15"/>
        <v>0</v>
      </c>
      <c r="W203" s="1">
        <f t="shared" si="16"/>
        <v>0</v>
      </c>
      <c r="AC203" s="1">
        <f t="shared" si="17"/>
        <v>0</v>
      </c>
      <c r="AE203" s="3">
        <f t="shared" si="13"/>
        <v>0</v>
      </c>
    </row>
    <row r="204" spans="1:31" hidden="1">
      <c r="A204" s="12" t="s">
        <v>950</v>
      </c>
      <c r="B204" s="17"/>
      <c r="C204" s="17" t="s">
        <v>60</v>
      </c>
      <c r="D204" s="17"/>
      <c r="E204" s="13">
        <v>43992</v>
      </c>
      <c r="G204" s="1">
        <f t="shared" si="14"/>
        <v>0</v>
      </c>
      <c r="I204" s="1">
        <v>0</v>
      </c>
      <c r="K204" s="1">
        <v>0</v>
      </c>
      <c r="M204" s="1">
        <f t="shared" si="15"/>
        <v>0</v>
      </c>
      <c r="W204" s="1">
        <f t="shared" si="16"/>
        <v>0</v>
      </c>
      <c r="AC204" s="1">
        <f t="shared" si="17"/>
        <v>0</v>
      </c>
      <c r="AE204" s="3">
        <f t="shared" si="13"/>
        <v>0</v>
      </c>
    </row>
    <row r="205" spans="1:31">
      <c r="A205" s="17" t="s">
        <v>632</v>
      </c>
      <c r="B205" s="17"/>
      <c r="C205" s="17" t="s">
        <v>69</v>
      </c>
      <c r="D205" s="17"/>
      <c r="E205" s="13">
        <v>44008</v>
      </c>
      <c r="G205" s="1">
        <f t="shared" si="14"/>
        <v>22358456</v>
      </c>
      <c r="I205" s="1">
        <f>14449948+409574</f>
        <v>14859522</v>
      </c>
      <c r="K205" s="1">
        <v>37217978</v>
      </c>
      <c r="M205" s="1">
        <f t="shared" si="15"/>
        <v>13443814</v>
      </c>
      <c r="O205" s="1">
        <v>370055</v>
      </c>
      <c r="Q205" s="1">
        <v>4618222</v>
      </c>
      <c r="S205" s="1">
        <v>18432091</v>
      </c>
      <c r="U205" s="1">
        <v>14307731</v>
      </c>
      <c r="W205" s="1">
        <f t="shared" si="16"/>
        <v>2283708</v>
      </c>
      <c r="Y205" s="1">
        <v>2194448</v>
      </c>
      <c r="AA205" s="1">
        <v>18785887</v>
      </c>
      <c r="AC205" s="1">
        <f t="shared" si="17"/>
        <v>0</v>
      </c>
      <c r="AE205" s="3">
        <f t="shared" si="13"/>
        <v>0</v>
      </c>
    </row>
    <row r="206" spans="1:31">
      <c r="A206" s="17" t="s">
        <v>512</v>
      </c>
      <c r="B206" s="17"/>
      <c r="C206" s="17" t="s">
        <v>51</v>
      </c>
      <c r="D206" s="17"/>
      <c r="E206" s="13">
        <v>48843</v>
      </c>
      <c r="G206" s="1">
        <f t="shared" si="14"/>
        <v>16434718</v>
      </c>
      <c r="I206" s="1">
        <f>1417857+37972444</f>
        <v>39390301</v>
      </c>
      <c r="K206" s="1">
        <v>55825019</v>
      </c>
      <c r="M206" s="1">
        <f t="shared" si="15"/>
        <v>7948176</v>
      </c>
      <c r="O206" s="1">
        <v>607094</v>
      </c>
      <c r="Q206" s="1">
        <v>7563155</v>
      </c>
      <c r="S206" s="1">
        <v>16118425</v>
      </c>
      <c r="U206" s="1">
        <v>33364550</v>
      </c>
      <c r="W206" s="1">
        <f t="shared" si="16"/>
        <v>2532416</v>
      </c>
      <c r="Y206" s="1">
        <v>3809628</v>
      </c>
      <c r="AA206" s="1">
        <v>39706594</v>
      </c>
      <c r="AC206" s="1">
        <f t="shared" si="17"/>
        <v>0</v>
      </c>
      <c r="AE206" s="3">
        <f t="shared" si="13"/>
        <v>0</v>
      </c>
    </row>
    <row r="207" spans="1:31" hidden="1">
      <c r="A207" s="17" t="s">
        <v>736</v>
      </c>
      <c r="B207" s="17"/>
      <c r="C207" s="17" t="s">
        <v>21</v>
      </c>
      <c r="D207" s="17"/>
      <c r="E207" s="13">
        <v>46649</v>
      </c>
      <c r="G207" s="1">
        <f t="shared" si="14"/>
        <v>0</v>
      </c>
      <c r="M207" s="1">
        <f t="shared" si="15"/>
        <v>0</v>
      </c>
      <c r="W207" s="1">
        <f t="shared" si="16"/>
        <v>0</v>
      </c>
      <c r="AC207" s="1">
        <f>+K207-S207-AA207</f>
        <v>0</v>
      </c>
      <c r="AE207" s="3">
        <f t="shared" si="13"/>
        <v>0</v>
      </c>
    </row>
    <row r="208" spans="1:31" hidden="1">
      <c r="A208" s="17" t="s">
        <v>815</v>
      </c>
      <c r="B208" s="17"/>
      <c r="C208" s="17" t="s">
        <v>40</v>
      </c>
      <c r="D208" s="17"/>
      <c r="E208" s="13">
        <v>47852</v>
      </c>
      <c r="G208" s="1">
        <f t="shared" si="14"/>
        <v>0</v>
      </c>
      <c r="M208" s="1">
        <f t="shared" si="15"/>
        <v>0</v>
      </c>
      <c r="W208" s="1">
        <f t="shared" si="16"/>
        <v>0</v>
      </c>
      <c r="AC208" s="1">
        <f t="shared" si="17"/>
        <v>0</v>
      </c>
      <c r="AE208" s="3">
        <f t="shared" si="13"/>
        <v>0</v>
      </c>
    </row>
    <row r="209" spans="1:31">
      <c r="A209" s="17" t="s">
        <v>787</v>
      </c>
      <c r="B209" s="17"/>
      <c r="C209" s="17" t="s">
        <v>79</v>
      </c>
      <c r="D209" s="17"/>
      <c r="E209" s="13">
        <v>44016</v>
      </c>
      <c r="G209" s="1">
        <f t="shared" si="14"/>
        <v>48549135</v>
      </c>
      <c r="I209" s="1">
        <f>884020+14346752</f>
        <v>15230772</v>
      </c>
      <c r="K209" s="1">
        <v>63779907</v>
      </c>
      <c r="M209" s="1">
        <f t="shared" si="15"/>
        <v>14481667</v>
      </c>
      <c r="O209" s="1">
        <v>10310755</v>
      </c>
      <c r="Q209" s="1">
        <v>13026681</v>
      </c>
      <c r="S209" s="1">
        <v>37819103</v>
      </c>
      <c r="U209" s="1">
        <v>15110772</v>
      </c>
      <c r="W209" s="1">
        <f t="shared" si="16"/>
        <v>5995281</v>
      </c>
      <c r="Y209" s="1">
        <v>4854751</v>
      </c>
      <c r="AA209" s="1">
        <v>25960804</v>
      </c>
      <c r="AC209" s="1">
        <f t="shared" si="17"/>
        <v>0</v>
      </c>
      <c r="AE209" s="3">
        <f t="shared" si="13"/>
        <v>0</v>
      </c>
    </row>
    <row r="210" spans="1:31">
      <c r="A210" s="17" t="s">
        <v>637</v>
      </c>
      <c r="B210" s="17"/>
      <c r="C210" s="17" t="s">
        <v>70</v>
      </c>
      <c r="D210" s="17"/>
      <c r="E210" s="13">
        <v>50492</v>
      </c>
      <c r="G210" s="1">
        <f t="shared" si="14"/>
        <v>4783776</v>
      </c>
      <c r="I210" s="1">
        <f>169230+19493312</f>
        <v>19662542</v>
      </c>
      <c r="K210" s="1">
        <v>24446318</v>
      </c>
      <c r="M210" s="1">
        <f t="shared" si="15"/>
        <v>2323605</v>
      </c>
      <c r="O210" s="1">
        <v>203637</v>
      </c>
      <c r="Q210" s="1">
        <v>2398783</v>
      </c>
      <c r="S210" s="1">
        <v>4926025</v>
      </c>
      <c r="U210" s="1">
        <v>17871365</v>
      </c>
      <c r="W210" s="1">
        <f t="shared" si="16"/>
        <v>1529213</v>
      </c>
      <c r="Y210" s="1">
        <v>119715</v>
      </c>
      <c r="AA210" s="1">
        <v>19520293</v>
      </c>
      <c r="AC210" s="1">
        <f t="shared" si="17"/>
        <v>0</v>
      </c>
      <c r="AE210" s="3">
        <f t="shared" si="13"/>
        <v>0</v>
      </c>
    </row>
    <row r="211" spans="1:31">
      <c r="A211" s="17" t="s">
        <v>784</v>
      </c>
      <c r="B211" s="17"/>
      <c r="C211" s="17" t="s">
        <v>27</v>
      </c>
      <c r="D211" s="17"/>
      <c r="E211" s="13">
        <v>46961</v>
      </c>
      <c r="G211" s="1">
        <f t="shared" si="14"/>
        <v>116692067</v>
      </c>
      <c r="I211" s="1">
        <f>9518163+25844708</f>
        <v>35362871</v>
      </c>
      <c r="K211" s="1">
        <v>152054938</v>
      </c>
      <c r="M211" s="1">
        <f t="shared" si="15"/>
        <v>71232664</v>
      </c>
      <c r="O211" s="1">
        <v>3627049</v>
      </c>
      <c r="Q211" s="1">
        <f>46332427-3627049</f>
        <v>42705378</v>
      </c>
      <c r="S211" s="1">
        <v>117565091</v>
      </c>
      <c r="U211" s="1">
        <v>11471830</v>
      </c>
      <c r="W211" s="1">
        <f t="shared" si="16"/>
        <v>1390812</v>
      </c>
      <c r="Y211" s="1">
        <v>21627205</v>
      </c>
      <c r="AA211" s="1">
        <v>34489847</v>
      </c>
      <c r="AC211" s="1">
        <f t="shared" si="17"/>
        <v>0</v>
      </c>
      <c r="AE211" s="3">
        <f t="shared" si="13"/>
        <v>0</v>
      </c>
    </row>
    <row r="212" spans="1:31">
      <c r="A212" s="17" t="s">
        <v>278</v>
      </c>
      <c r="B212" s="17"/>
      <c r="C212" s="17" t="s">
        <v>113</v>
      </c>
      <c r="D212" s="17"/>
      <c r="E212" s="13">
        <v>44024</v>
      </c>
      <c r="G212" s="1">
        <f t="shared" si="14"/>
        <v>11794097</v>
      </c>
      <c r="I212" s="1">
        <v>56502815</v>
      </c>
      <c r="K212" s="1">
        <v>68296912</v>
      </c>
      <c r="M212" s="1">
        <f t="shared" si="15"/>
        <v>5627160</v>
      </c>
      <c r="O212" s="1">
        <v>479360</v>
      </c>
      <c r="Q212" s="1">
        <f>19410234-479360</f>
        <v>18930874</v>
      </c>
      <c r="S212" s="1">
        <v>25037394</v>
      </c>
      <c r="U212" s="1">
        <v>39234943</v>
      </c>
      <c r="W212" s="1">
        <f t="shared" si="16"/>
        <v>3407641</v>
      </c>
      <c r="Y212" s="1">
        <v>616934</v>
      </c>
      <c r="AA212" s="1">
        <v>43259518</v>
      </c>
      <c r="AC212" s="1">
        <f t="shared" si="17"/>
        <v>0</v>
      </c>
      <c r="AE212" s="3">
        <f t="shared" si="13"/>
        <v>0</v>
      </c>
    </row>
    <row r="213" spans="1:31">
      <c r="A213" s="17" t="s">
        <v>785</v>
      </c>
      <c r="B213" s="17"/>
      <c r="C213" s="17" t="s">
        <v>29</v>
      </c>
      <c r="D213" s="17"/>
      <c r="E213" s="13">
        <v>65680</v>
      </c>
      <c r="G213" s="1">
        <f t="shared" si="14"/>
        <v>29400528</v>
      </c>
      <c r="I213" s="1">
        <v>54454103</v>
      </c>
      <c r="K213" s="1">
        <v>83854631</v>
      </c>
      <c r="M213" s="1">
        <f t="shared" si="15"/>
        <v>14109552</v>
      </c>
      <c r="O213" s="1">
        <v>695884</v>
      </c>
      <c r="Q213" s="1">
        <f>43708548-695884</f>
        <v>43012664</v>
      </c>
      <c r="S213" s="1">
        <v>57818100</v>
      </c>
      <c r="U213" s="1">
        <v>15785123</v>
      </c>
      <c r="W213" s="1">
        <f t="shared" si="16"/>
        <v>12183526</v>
      </c>
      <c r="Y213" s="1">
        <v>-1932118</v>
      </c>
      <c r="AA213" s="1">
        <v>26036531</v>
      </c>
      <c r="AC213" s="1">
        <f t="shared" si="17"/>
        <v>0</v>
      </c>
      <c r="AE213" s="3">
        <f t="shared" si="13"/>
        <v>0</v>
      </c>
    </row>
    <row r="214" spans="1:31">
      <c r="A214" s="17" t="s">
        <v>350</v>
      </c>
      <c r="B214" s="17"/>
      <c r="C214" s="17" t="s">
        <v>29</v>
      </c>
      <c r="D214" s="17"/>
      <c r="E214" s="13">
        <v>44032</v>
      </c>
      <c r="G214" s="1">
        <f t="shared" si="14"/>
        <v>32630661</v>
      </c>
      <c r="I214" s="1">
        <v>56953645</v>
      </c>
      <c r="K214" s="1">
        <v>89584306</v>
      </c>
      <c r="M214" s="1">
        <f t="shared" si="15"/>
        <v>13366542</v>
      </c>
      <c r="O214" s="1">
        <v>642216</v>
      </c>
      <c r="Q214" s="1">
        <f>24766380-642216</f>
        <v>24124164</v>
      </c>
      <c r="S214" s="1">
        <v>38132922</v>
      </c>
      <c r="U214" s="1">
        <v>33468293</v>
      </c>
      <c r="W214" s="1">
        <f t="shared" si="16"/>
        <v>19336490</v>
      </c>
      <c r="Y214" s="1">
        <v>-1353399</v>
      </c>
      <c r="AA214" s="1">
        <v>51451384</v>
      </c>
      <c r="AC214" s="1">
        <f t="shared" si="17"/>
        <v>0</v>
      </c>
      <c r="AE214" s="3">
        <f t="shared" si="13"/>
        <v>0</v>
      </c>
    </row>
    <row r="215" spans="1:31">
      <c r="A215" s="17" t="s">
        <v>620</v>
      </c>
      <c r="B215" s="17"/>
      <c r="C215" s="17" t="s">
        <v>65</v>
      </c>
      <c r="D215" s="17"/>
      <c r="E215" s="13">
        <v>50278</v>
      </c>
      <c r="F215" s="16"/>
      <c r="G215" s="1">
        <f t="shared" si="14"/>
        <v>10179125</v>
      </c>
      <c r="I215" s="1">
        <v>3046607</v>
      </c>
      <c r="K215" s="1">
        <v>13225732</v>
      </c>
      <c r="M215" s="1">
        <f t="shared" si="15"/>
        <v>6618053</v>
      </c>
      <c r="O215" s="1">
        <v>292089</v>
      </c>
      <c r="Q215" s="1">
        <f>1862950-292089</f>
        <v>1570861</v>
      </c>
      <c r="S215" s="1">
        <v>8481003</v>
      </c>
      <c r="U215" s="1">
        <v>2091608</v>
      </c>
      <c r="W215" s="1">
        <f t="shared" si="16"/>
        <v>753546</v>
      </c>
      <c r="Y215" s="1">
        <v>1899575</v>
      </c>
      <c r="AA215" s="1">
        <v>4744729</v>
      </c>
      <c r="AC215" s="1">
        <f t="shared" si="17"/>
        <v>0</v>
      </c>
      <c r="AE215" s="3">
        <f t="shared" si="13"/>
        <v>0</v>
      </c>
    </row>
    <row r="216" spans="1:31">
      <c r="A216" s="17" t="s">
        <v>837</v>
      </c>
      <c r="B216" s="17"/>
      <c r="C216" s="17" t="s">
        <v>20</v>
      </c>
      <c r="D216" s="17"/>
      <c r="E216" s="13">
        <v>44040</v>
      </c>
      <c r="G216" s="1">
        <f t="shared" si="14"/>
        <v>47490781</v>
      </c>
      <c r="I216" s="1">
        <v>50162946</v>
      </c>
      <c r="K216" s="1">
        <v>97653727</v>
      </c>
      <c r="M216" s="1">
        <f t="shared" si="15"/>
        <v>17953723</v>
      </c>
      <c r="O216" s="1">
        <v>2573535</v>
      </c>
      <c r="Q216" s="1">
        <f>58041842-2573535</f>
        <v>55468307</v>
      </c>
      <c r="S216" s="1">
        <v>75995565</v>
      </c>
      <c r="U216" s="1">
        <v>-1482394</v>
      </c>
      <c r="W216" s="1">
        <f t="shared" si="16"/>
        <v>24121049</v>
      </c>
      <c r="Y216" s="1">
        <v>-980493</v>
      </c>
      <c r="AA216" s="1">
        <v>21658162</v>
      </c>
      <c r="AC216" s="1">
        <f t="shared" si="17"/>
        <v>0</v>
      </c>
      <c r="AE216" s="3">
        <f t="shared" si="13"/>
        <v>0</v>
      </c>
    </row>
    <row r="217" spans="1:31">
      <c r="A217" s="17" t="s">
        <v>786</v>
      </c>
      <c r="B217" s="17"/>
      <c r="C217" s="17" t="s">
        <v>12</v>
      </c>
      <c r="D217" s="17"/>
      <c r="E217" s="13">
        <v>44057</v>
      </c>
      <c r="F217" s="8"/>
      <c r="G217" s="1">
        <f t="shared" si="14"/>
        <v>31058309</v>
      </c>
      <c r="I217" s="1">
        <v>49366300</v>
      </c>
      <c r="K217" s="1">
        <v>80424609</v>
      </c>
      <c r="M217" s="1">
        <f t="shared" si="15"/>
        <v>11097671</v>
      </c>
      <c r="O217" s="1">
        <v>1381282</v>
      </c>
      <c r="Q217" s="1">
        <f>21136870-1381282</f>
        <v>19755588</v>
      </c>
      <c r="S217" s="1">
        <v>32234541</v>
      </c>
      <c r="U217" s="1">
        <v>30801310</v>
      </c>
      <c r="W217" s="1">
        <f t="shared" si="16"/>
        <v>17340068</v>
      </c>
      <c r="Y217" s="1">
        <v>48690</v>
      </c>
      <c r="AA217" s="1">
        <v>48190068</v>
      </c>
      <c r="AC217" s="1">
        <f t="shared" si="17"/>
        <v>0</v>
      </c>
      <c r="AE217" s="3">
        <f t="shared" si="13"/>
        <v>0</v>
      </c>
    </row>
    <row r="218" spans="1:31">
      <c r="A218" s="17" t="s">
        <v>521</v>
      </c>
      <c r="B218" s="17"/>
      <c r="C218" s="17" t="s">
        <v>53</v>
      </c>
      <c r="D218" s="17"/>
      <c r="E218" s="13">
        <v>48942</v>
      </c>
      <c r="G218" s="1">
        <f>+K218-I218</f>
        <v>24416775</v>
      </c>
      <c r="I218" s="1">
        <v>12113752</v>
      </c>
      <c r="K218" s="1">
        <v>36530527</v>
      </c>
      <c r="M218" s="1">
        <f>+S218-O218-Q218</f>
        <v>5704477</v>
      </c>
      <c r="O218" s="1">
        <v>667509</v>
      </c>
      <c r="Q218" s="1">
        <f>10049755-667509</f>
        <v>9382246</v>
      </c>
      <c r="S218" s="1">
        <v>15754232</v>
      </c>
      <c r="U218" s="1">
        <v>8147936</v>
      </c>
      <c r="W218" s="1">
        <f>AA218-Y218-U218</f>
        <v>12497986</v>
      </c>
      <c r="Y218" s="1">
        <v>130373</v>
      </c>
      <c r="AA218" s="1">
        <v>20776295</v>
      </c>
      <c r="AC218" s="1">
        <f>+K218-S218-AA218</f>
        <v>0</v>
      </c>
      <c r="AE218" s="3">
        <f>+G218+I218+-M218-O218-U218-W218-Y218-Q218</f>
        <v>0</v>
      </c>
    </row>
    <row r="219" spans="1:31" hidden="1">
      <c r="A219" s="17" t="s">
        <v>816</v>
      </c>
      <c r="B219" s="17"/>
      <c r="C219" s="17" t="s">
        <v>77</v>
      </c>
      <c r="D219" s="17"/>
      <c r="E219" s="13">
        <v>45377</v>
      </c>
      <c r="G219" s="1">
        <f t="shared" si="14"/>
        <v>0</v>
      </c>
      <c r="M219" s="1">
        <f t="shared" si="15"/>
        <v>0</v>
      </c>
      <c r="W219" s="1">
        <f t="shared" si="16"/>
        <v>0</v>
      </c>
      <c r="AC219" s="1">
        <f t="shared" si="17"/>
        <v>0</v>
      </c>
      <c r="AE219" s="3">
        <f t="shared" si="13"/>
        <v>0</v>
      </c>
    </row>
    <row r="220" spans="1:31">
      <c r="A220" s="17" t="s">
        <v>557</v>
      </c>
      <c r="B220" s="17"/>
      <c r="C220" s="17" t="s">
        <v>79</v>
      </c>
      <c r="D220" s="17"/>
      <c r="E220" s="13">
        <v>45385</v>
      </c>
      <c r="G220" s="1">
        <f t="shared" ref="G220:G231" si="23">+K220-I220</f>
        <v>7671493</v>
      </c>
      <c r="I220" s="1">
        <v>22283262</v>
      </c>
      <c r="K220" s="1">
        <v>29954755</v>
      </c>
      <c r="M220" s="1">
        <f t="shared" si="15"/>
        <v>3515074</v>
      </c>
      <c r="O220" s="1">
        <v>533191</v>
      </c>
      <c r="Q220" s="1">
        <f>4997705-533191</f>
        <v>4464514</v>
      </c>
      <c r="S220" s="1">
        <v>8512779</v>
      </c>
      <c r="U220" s="1">
        <v>18102806</v>
      </c>
      <c r="W220" s="1">
        <f t="shared" si="16"/>
        <v>2477054</v>
      </c>
      <c r="Y220" s="1">
        <v>862116</v>
      </c>
      <c r="AA220" s="1">
        <v>21441976</v>
      </c>
      <c r="AC220" s="1">
        <f t="shared" si="17"/>
        <v>0</v>
      </c>
      <c r="AE220" s="3">
        <f t="shared" si="13"/>
        <v>0</v>
      </c>
    </row>
    <row r="221" spans="1:31">
      <c r="A221" s="17" t="s">
        <v>603</v>
      </c>
      <c r="B221" s="17"/>
      <c r="C221" s="17" t="s">
        <v>64</v>
      </c>
      <c r="D221" s="17"/>
      <c r="E221" s="13">
        <v>44065</v>
      </c>
      <c r="G221" s="1">
        <f t="shared" si="23"/>
        <v>25634423</v>
      </c>
      <c r="I221" s="1">
        <v>31773359</v>
      </c>
      <c r="K221" s="1">
        <v>57407782</v>
      </c>
      <c r="M221" s="1">
        <f t="shared" si="15"/>
        <v>8497879</v>
      </c>
      <c r="O221" s="1">
        <v>662076</v>
      </c>
      <c r="Q221" s="1">
        <f>13757513-662076</f>
        <v>13095437</v>
      </c>
      <c r="S221" s="1">
        <v>22255392</v>
      </c>
      <c r="U221" s="1">
        <v>24857444</v>
      </c>
      <c r="W221" s="1">
        <f t="shared" si="16"/>
        <v>5598920</v>
      </c>
      <c r="Y221" s="1">
        <v>4696026</v>
      </c>
      <c r="AA221" s="1">
        <v>35152390</v>
      </c>
      <c r="AC221" s="1">
        <f t="shared" si="17"/>
        <v>0</v>
      </c>
      <c r="AE221" s="3">
        <f t="shared" si="13"/>
        <v>0</v>
      </c>
    </row>
    <row r="222" spans="1:31" hidden="1">
      <c r="A222" s="17" t="s">
        <v>869</v>
      </c>
      <c r="B222" s="17"/>
      <c r="C222" s="17" t="s">
        <v>28</v>
      </c>
      <c r="D222" s="17"/>
      <c r="E222" s="13">
        <v>47068</v>
      </c>
      <c r="G222" s="1">
        <f>+K222-I222</f>
        <v>0</v>
      </c>
      <c r="M222" s="1">
        <f>+S222-O222-Q222</f>
        <v>0</v>
      </c>
      <c r="W222" s="1">
        <f>AA222-Y222-U222</f>
        <v>0</v>
      </c>
      <c r="AC222" s="1">
        <f>+K222-S222-AA222</f>
        <v>0</v>
      </c>
      <c r="AE222" s="3">
        <f>+G222+I222+-M222-O222-U222-W222-Y222-Q222</f>
        <v>0</v>
      </c>
    </row>
    <row r="223" spans="1:31">
      <c r="A223" s="17" t="s">
        <v>254</v>
      </c>
      <c r="B223" s="17"/>
      <c r="C223" s="17" t="s">
        <v>115</v>
      </c>
      <c r="D223" s="17"/>
      <c r="E223" s="13">
        <v>46342</v>
      </c>
      <c r="G223" s="1">
        <f>+K223-I223</f>
        <v>14457660</v>
      </c>
      <c r="I223" s="1">
        <v>36694436</v>
      </c>
      <c r="K223" s="1">
        <v>51152096</v>
      </c>
      <c r="M223" s="1">
        <f t="shared" si="15"/>
        <v>8990094</v>
      </c>
      <c r="O223" s="1">
        <v>740944</v>
      </c>
      <c r="Q223" s="1">
        <f>11467187-740944</f>
        <v>10726243</v>
      </c>
      <c r="S223" s="1">
        <v>20457281</v>
      </c>
      <c r="U223" s="1">
        <v>27132689</v>
      </c>
      <c r="W223" s="1">
        <f>AA223-Y223-U223</f>
        <v>2936540</v>
      </c>
      <c r="Y223" s="1">
        <v>625586</v>
      </c>
      <c r="AA223" s="1">
        <v>30694815</v>
      </c>
      <c r="AC223" s="1">
        <f t="shared" si="17"/>
        <v>0</v>
      </c>
      <c r="AE223" s="3">
        <f t="shared" si="13"/>
        <v>0</v>
      </c>
    </row>
    <row r="224" spans="1:31">
      <c r="A224" s="17" t="s">
        <v>239</v>
      </c>
      <c r="B224" s="17"/>
      <c r="C224" s="17" t="s">
        <v>240</v>
      </c>
      <c r="D224" s="17"/>
      <c r="E224" s="13">
        <v>46193</v>
      </c>
      <c r="G224" s="1">
        <f t="shared" si="23"/>
        <v>15682925</v>
      </c>
      <c r="I224" s="1">
        <v>42630956</v>
      </c>
      <c r="K224" s="1">
        <v>58313881</v>
      </c>
      <c r="M224" s="1">
        <f t="shared" si="15"/>
        <v>7146502</v>
      </c>
      <c r="O224" s="1">
        <v>694483</v>
      </c>
      <c r="Q224" s="1">
        <f>20687086-694483</f>
        <v>19992603</v>
      </c>
      <c r="S224" s="1">
        <v>27833588</v>
      </c>
      <c r="U224" s="1">
        <v>23853230</v>
      </c>
      <c r="W224" s="1">
        <f t="shared" si="16"/>
        <v>7524956</v>
      </c>
      <c r="Y224" s="1">
        <v>-897893</v>
      </c>
      <c r="AA224" s="1">
        <v>30480293</v>
      </c>
      <c r="AC224" s="1">
        <f t="shared" si="17"/>
        <v>0</v>
      </c>
      <c r="AE224" s="3">
        <f t="shared" ref="AE224:AE291" si="24">+G224+I224+-M224-O224-U224-W224-Y224-Q224</f>
        <v>0</v>
      </c>
    </row>
    <row r="225" spans="1:31">
      <c r="A225" s="17" t="s">
        <v>211</v>
      </c>
      <c r="B225" s="17"/>
      <c r="C225" s="17" t="s">
        <v>12</v>
      </c>
      <c r="D225" s="17"/>
      <c r="E225" s="13">
        <v>45864</v>
      </c>
      <c r="G225" s="1">
        <f t="shared" si="23"/>
        <v>15878993</v>
      </c>
      <c r="I225" s="1">
        <v>29598493</v>
      </c>
      <c r="K225" s="1">
        <v>45477486</v>
      </c>
      <c r="M225" s="1">
        <f t="shared" si="15"/>
        <v>4776149</v>
      </c>
      <c r="O225" s="1">
        <v>620618</v>
      </c>
      <c r="Q225" s="1">
        <f>12103850-620618</f>
        <v>11483232</v>
      </c>
      <c r="S225" s="1">
        <v>16879999</v>
      </c>
      <c r="U225" s="1">
        <v>18124493</v>
      </c>
      <c r="W225" s="1">
        <f t="shared" si="16"/>
        <v>9204880</v>
      </c>
      <c r="Y225" s="1">
        <v>1268114</v>
      </c>
      <c r="AA225" s="1">
        <v>28597487</v>
      </c>
      <c r="AC225" s="1">
        <f t="shared" si="17"/>
        <v>0</v>
      </c>
      <c r="AE225" s="3">
        <f t="shared" si="24"/>
        <v>0</v>
      </c>
    </row>
    <row r="226" spans="1:31">
      <c r="A226" s="17" t="s">
        <v>334</v>
      </c>
      <c r="B226" s="17"/>
      <c r="C226" s="17" t="s">
        <v>27</v>
      </c>
      <c r="D226" s="17"/>
      <c r="E226" s="13">
        <v>44073</v>
      </c>
      <c r="G226" s="1">
        <f t="shared" si="23"/>
        <v>19396154</v>
      </c>
      <c r="I226" s="1">
        <v>12182121</v>
      </c>
      <c r="K226" s="1">
        <v>31578275</v>
      </c>
      <c r="M226" s="1">
        <f t="shared" si="15"/>
        <v>9604819</v>
      </c>
      <c r="O226" s="1">
        <v>982723</v>
      </c>
      <c r="Q226" s="1">
        <f>7154741-982723</f>
        <v>6172018</v>
      </c>
      <c r="S226" s="1">
        <v>16759560</v>
      </c>
      <c r="U226" s="1">
        <v>6031485</v>
      </c>
      <c r="W226" s="1">
        <f t="shared" si="16"/>
        <v>1636932</v>
      </c>
      <c r="Y226" s="1">
        <v>7150298</v>
      </c>
      <c r="AA226" s="1">
        <v>14818715</v>
      </c>
      <c r="AC226" s="1">
        <f t="shared" ref="AC226:AC296" si="25">+K226-S226-AA226</f>
        <v>0</v>
      </c>
      <c r="AE226" s="3">
        <f t="shared" si="24"/>
        <v>0</v>
      </c>
    </row>
    <row r="227" spans="1:31">
      <c r="A227" s="17" t="s">
        <v>817</v>
      </c>
      <c r="B227" s="17"/>
      <c r="C227" s="17" t="s">
        <v>42</v>
      </c>
      <c r="D227" s="17"/>
      <c r="E227" s="13">
        <v>45393</v>
      </c>
      <c r="G227" s="1">
        <f t="shared" si="23"/>
        <v>25634998</v>
      </c>
      <c r="I227" s="1">
        <v>36836831</v>
      </c>
      <c r="K227" s="1">
        <v>62471829</v>
      </c>
      <c r="M227" s="1">
        <f t="shared" ref="M227:M231" si="26">+S227-O227-Q227</f>
        <v>17387187</v>
      </c>
      <c r="O227" s="1">
        <v>1880237</v>
      </c>
      <c r="Q227" s="1">
        <f>35844289-1880237</f>
        <v>33964052</v>
      </c>
      <c r="S227" s="1">
        <v>53231476</v>
      </c>
      <c r="U227" s="1">
        <v>9596927</v>
      </c>
      <c r="W227" s="1">
        <f t="shared" ref="W227:W231" si="27">AA227-Y227-U227</f>
        <v>2899726</v>
      </c>
      <c r="Y227" s="1">
        <v>-3256300</v>
      </c>
      <c r="AA227" s="1">
        <v>9240353</v>
      </c>
      <c r="AC227" s="1">
        <f t="shared" si="25"/>
        <v>0</v>
      </c>
      <c r="AE227" s="3">
        <f t="shared" si="24"/>
        <v>0</v>
      </c>
    </row>
    <row r="228" spans="1:31">
      <c r="A228" s="17" t="s">
        <v>561</v>
      </c>
      <c r="B228" s="17"/>
      <c r="C228" s="17" t="s">
        <v>59</v>
      </c>
      <c r="D228" s="17"/>
      <c r="E228" s="13">
        <v>49619</v>
      </c>
      <c r="G228" s="1">
        <f t="shared" si="23"/>
        <v>2712471</v>
      </c>
      <c r="I228" s="1">
        <v>2349546</v>
      </c>
      <c r="K228" s="1">
        <v>5062017</v>
      </c>
      <c r="M228" s="1">
        <f t="shared" si="26"/>
        <v>1963739</v>
      </c>
      <c r="O228" s="1">
        <v>65443</v>
      </c>
      <c r="Q228" s="1">
        <f>512852-65443</f>
        <v>447409</v>
      </c>
      <c r="S228" s="1">
        <v>2476591</v>
      </c>
      <c r="U228" s="1">
        <v>2208520</v>
      </c>
      <c r="W228" s="1">
        <f t="shared" si="27"/>
        <v>429439</v>
      </c>
      <c r="Y228" s="1">
        <v>-52533</v>
      </c>
      <c r="AA228" s="1">
        <v>2585426</v>
      </c>
      <c r="AC228" s="1">
        <f t="shared" si="25"/>
        <v>0</v>
      </c>
      <c r="AE228" s="3">
        <f t="shared" si="24"/>
        <v>0</v>
      </c>
    </row>
    <row r="229" spans="1:31">
      <c r="A229" s="17" t="s">
        <v>561</v>
      </c>
      <c r="B229" s="17"/>
      <c r="C229" s="17" t="s">
        <v>63</v>
      </c>
      <c r="D229" s="17"/>
      <c r="E229" s="13">
        <v>50013</v>
      </c>
      <c r="G229" s="1">
        <f t="shared" si="23"/>
        <v>26056787</v>
      </c>
      <c r="I229" s="1">
        <v>41866810</v>
      </c>
      <c r="K229" s="1">
        <v>67923597</v>
      </c>
      <c r="M229" s="1">
        <f t="shared" si="26"/>
        <v>37744423</v>
      </c>
      <c r="O229" s="1">
        <f>2479024-371580</f>
        <v>2107444</v>
      </c>
      <c r="Q229" s="1">
        <f>38793363-13822773</f>
        <v>24970590</v>
      </c>
      <c r="S229" s="1">
        <v>64822457</v>
      </c>
      <c r="U229" s="1">
        <v>19018149</v>
      </c>
      <c r="W229" s="1">
        <f t="shared" si="27"/>
        <v>1706884</v>
      </c>
      <c r="Y229" s="1">
        <v>-17623893</v>
      </c>
      <c r="AA229" s="1">
        <v>3101140</v>
      </c>
      <c r="AC229" s="1">
        <f t="shared" si="25"/>
        <v>0</v>
      </c>
      <c r="AE229" s="3">
        <f t="shared" si="24"/>
        <v>0</v>
      </c>
    </row>
    <row r="230" spans="1:31" hidden="1">
      <c r="A230" s="17" t="s">
        <v>934</v>
      </c>
      <c r="B230" s="17"/>
      <c r="C230" s="17" t="s">
        <v>71</v>
      </c>
      <c r="D230" s="17"/>
      <c r="E230" s="13">
        <v>50559</v>
      </c>
      <c r="G230" s="1">
        <f t="shared" si="23"/>
        <v>0</v>
      </c>
      <c r="M230" s="1">
        <f t="shared" si="26"/>
        <v>0</v>
      </c>
      <c r="W230" s="1">
        <f t="shared" si="27"/>
        <v>0</v>
      </c>
      <c r="AC230" s="1">
        <f>+K230-S230-AA230</f>
        <v>0</v>
      </c>
      <c r="AE230" s="3">
        <f>+G230+I230+-M230-O230-U230-W230-Y230-Q230</f>
        <v>0</v>
      </c>
    </row>
    <row r="231" spans="1:31">
      <c r="A231" s="17" t="s">
        <v>358</v>
      </c>
      <c r="B231" s="17"/>
      <c r="C231" s="17" t="s">
        <v>116</v>
      </c>
      <c r="D231" s="17"/>
      <c r="E231" s="13">
        <v>47266</v>
      </c>
      <c r="G231" s="1">
        <f t="shared" si="23"/>
        <v>13405112</v>
      </c>
      <c r="I231" s="1">
        <v>10338208</v>
      </c>
      <c r="K231" s="1">
        <v>23743320</v>
      </c>
      <c r="M231" s="1">
        <f t="shared" si="26"/>
        <v>4411583</v>
      </c>
      <c r="O231" s="1">
        <v>445016</v>
      </c>
      <c r="Q231" s="1">
        <f>7964469-445016</f>
        <v>7519453</v>
      </c>
      <c r="S231" s="1">
        <v>12376052</v>
      </c>
      <c r="U231" s="1">
        <v>3203294</v>
      </c>
      <c r="W231" s="1">
        <f t="shared" si="27"/>
        <v>3537713</v>
      </c>
      <c r="Y231" s="1">
        <v>4626261</v>
      </c>
      <c r="AA231" s="1">
        <v>11367268</v>
      </c>
      <c r="AC231" s="1">
        <f t="shared" si="25"/>
        <v>0</v>
      </c>
      <c r="AE231" s="3">
        <f t="shared" si="24"/>
        <v>0</v>
      </c>
    </row>
    <row r="232" spans="1:31">
      <c r="A232" s="12" t="s">
        <v>397</v>
      </c>
      <c r="B232" s="12"/>
      <c r="C232" s="12" t="s">
        <v>395</v>
      </c>
      <c r="D232" s="12"/>
      <c r="E232" s="12">
        <v>45401</v>
      </c>
      <c r="G232" s="1">
        <f t="shared" ref="G232:G295" si="28">+K232-I232</f>
        <v>14247257</v>
      </c>
      <c r="I232" s="1">
        <v>23889225</v>
      </c>
      <c r="K232" s="1">
        <v>38136482</v>
      </c>
      <c r="M232" s="1">
        <f t="shared" ref="M232:M255" si="29">+S232-O232-Q232</f>
        <v>4961849</v>
      </c>
      <c r="O232" s="1">
        <v>270874</v>
      </c>
      <c r="Q232" s="1">
        <f>4120754-270874</f>
        <v>3849880</v>
      </c>
      <c r="S232" s="1">
        <v>9082603</v>
      </c>
      <c r="U232" s="1">
        <v>21394301</v>
      </c>
      <c r="W232" s="1">
        <f t="shared" ref="W232:W301" si="30">AA232-Y232-U232</f>
        <v>2756424</v>
      </c>
      <c r="Y232" s="1">
        <v>4903154</v>
      </c>
      <c r="AA232" s="1">
        <v>29053879</v>
      </c>
      <c r="AC232" s="1">
        <f t="shared" si="25"/>
        <v>0</v>
      </c>
      <c r="AE232" s="3">
        <f t="shared" si="24"/>
        <v>0</v>
      </c>
    </row>
    <row r="233" spans="1:31">
      <c r="A233" s="12" t="s">
        <v>246</v>
      </c>
      <c r="B233" s="12"/>
      <c r="C233" s="12" t="s">
        <v>17</v>
      </c>
      <c r="D233" s="12"/>
      <c r="E233" s="12">
        <v>46235</v>
      </c>
      <c r="G233" s="1">
        <f t="shared" si="28"/>
        <v>8980000</v>
      </c>
      <c r="I233" s="1">
        <v>6720000</v>
      </c>
      <c r="K233" s="1">
        <v>15700000</v>
      </c>
      <c r="M233" s="1">
        <f t="shared" si="29"/>
        <v>5446498</v>
      </c>
      <c r="O233" s="1">
        <v>175227</v>
      </c>
      <c r="Q233" s="1">
        <f>1233502-175227</f>
        <v>1058275</v>
      </c>
      <c r="S233" s="1">
        <v>6680000</v>
      </c>
      <c r="U233" s="1">
        <v>6700000</v>
      </c>
      <c r="W233" s="1">
        <f t="shared" si="30"/>
        <v>2223000</v>
      </c>
      <c r="Y233" s="1">
        <v>97000</v>
      </c>
      <c r="AA233" s="1">
        <v>9020000</v>
      </c>
      <c r="AC233" s="1">
        <f t="shared" si="25"/>
        <v>0</v>
      </c>
      <c r="AE233" s="3">
        <f t="shared" si="24"/>
        <v>0</v>
      </c>
    </row>
    <row r="234" spans="1:31">
      <c r="A234" s="17" t="s">
        <v>309</v>
      </c>
      <c r="B234" s="17"/>
      <c r="C234" s="17" t="s">
        <v>21</v>
      </c>
      <c r="D234" s="17"/>
      <c r="E234" s="13">
        <v>44099</v>
      </c>
      <c r="G234" s="1">
        <f t="shared" si="28"/>
        <v>21532729</v>
      </c>
      <c r="I234" s="1">
        <v>8770583</v>
      </c>
      <c r="K234" s="1">
        <v>30303312</v>
      </c>
      <c r="M234" s="1">
        <f t="shared" si="29"/>
        <v>11740721</v>
      </c>
      <c r="O234" s="1">
        <v>183901</v>
      </c>
      <c r="Q234" s="1">
        <f>946195-183901</f>
        <v>762294</v>
      </c>
      <c r="S234" s="1">
        <v>12686916</v>
      </c>
      <c r="U234" s="1">
        <v>8770583</v>
      </c>
      <c r="W234" s="1">
        <f t="shared" si="30"/>
        <v>3420846</v>
      </c>
      <c r="Y234" s="1">
        <v>5424967</v>
      </c>
      <c r="AA234" s="1">
        <v>17616396</v>
      </c>
      <c r="AC234" s="1">
        <f>+K234-S234-AA234</f>
        <v>0</v>
      </c>
      <c r="AE234" s="3">
        <f>+G234+I234+-M234-O234-U234-W234-Y234-Q234</f>
        <v>0</v>
      </c>
    </row>
    <row r="235" spans="1:31">
      <c r="A235" s="17" t="s">
        <v>335</v>
      </c>
      <c r="B235" s="17"/>
      <c r="C235" s="17" t="s">
        <v>27</v>
      </c>
      <c r="D235" s="17"/>
      <c r="E235" s="13">
        <v>46979</v>
      </c>
      <c r="G235" s="1">
        <f t="shared" si="28"/>
        <v>31507602</v>
      </c>
      <c r="I235" s="1">
        <v>9736271</v>
      </c>
      <c r="K235" s="1">
        <v>41243873</v>
      </c>
      <c r="M235" s="1">
        <f t="shared" si="29"/>
        <v>21932611</v>
      </c>
      <c r="O235" s="1">
        <v>846314</v>
      </c>
      <c r="Q235" s="1">
        <f>4012167-846314</f>
        <v>3165853</v>
      </c>
      <c r="S235" s="1">
        <v>25944778</v>
      </c>
      <c r="U235" s="1">
        <v>9426271</v>
      </c>
      <c r="W235" s="1">
        <f t="shared" si="30"/>
        <v>6128453</v>
      </c>
      <c r="Y235" s="1">
        <v>-255629</v>
      </c>
      <c r="AA235" s="1">
        <v>15299095</v>
      </c>
      <c r="AC235" s="1">
        <f t="shared" si="25"/>
        <v>0</v>
      </c>
      <c r="AE235" s="3">
        <f t="shared" si="24"/>
        <v>0</v>
      </c>
    </row>
    <row r="236" spans="1:31">
      <c r="A236" s="17" t="s">
        <v>229</v>
      </c>
      <c r="B236" s="17"/>
      <c r="C236" s="17" t="s">
        <v>227</v>
      </c>
      <c r="D236" s="17"/>
      <c r="E236" s="13">
        <v>44107</v>
      </c>
      <c r="G236" s="1">
        <f t="shared" si="28"/>
        <v>119100000</v>
      </c>
      <c r="I236" s="1">
        <v>208200000</v>
      </c>
      <c r="K236" s="1">
        <v>327300000</v>
      </c>
      <c r="M236" s="1">
        <f t="shared" si="29"/>
        <v>54827756</v>
      </c>
      <c r="O236" s="1">
        <v>3689083</v>
      </c>
      <c r="Q236" s="1">
        <f>113672244-3689083</f>
        <v>109983161</v>
      </c>
      <c r="S236" s="1">
        <v>168500000</v>
      </c>
      <c r="U236" s="1">
        <v>107800000</v>
      </c>
      <c r="W236" s="1">
        <f t="shared" si="30"/>
        <v>57600000</v>
      </c>
      <c r="Y236" s="1">
        <v>-6600000</v>
      </c>
      <c r="AA236" s="1">
        <v>158800000</v>
      </c>
      <c r="AC236" s="1">
        <f t="shared" si="25"/>
        <v>0</v>
      </c>
      <c r="AE236" s="3">
        <f t="shared" si="24"/>
        <v>0</v>
      </c>
    </row>
    <row r="237" spans="1:31">
      <c r="A237" s="17" t="s">
        <v>935</v>
      </c>
      <c r="B237" s="17"/>
      <c r="C237" s="17" t="s">
        <v>27</v>
      </c>
      <c r="D237" s="17"/>
      <c r="E237" s="13">
        <v>46953</v>
      </c>
      <c r="F237" s="8"/>
      <c r="G237" s="1">
        <f t="shared" si="28"/>
        <v>19539762</v>
      </c>
      <c r="I237" s="1">
        <v>73285772</v>
      </c>
      <c r="K237" s="1">
        <v>92825534</v>
      </c>
      <c r="M237" s="1">
        <f t="shared" si="29"/>
        <v>7845232</v>
      </c>
      <c r="O237" s="1">
        <v>897258</v>
      </c>
      <c r="Q237" s="1">
        <f>26548539-897258</f>
        <v>25651281</v>
      </c>
      <c r="S237" s="1">
        <v>34393771</v>
      </c>
      <c r="U237" s="1">
        <v>48873072</v>
      </c>
      <c r="W237" s="1">
        <f t="shared" si="30"/>
        <v>4662829</v>
      </c>
      <c r="Y237" s="1">
        <v>4895862</v>
      </c>
      <c r="AA237" s="1">
        <v>58431763</v>
      </c>
      <c r="AC237" s="1">
        <f t="shared" si="25"/>
        <v>0</v>
      </c>
      <c r="AE237" s="3">
        <f t="shared" si="24"/>
        <v>0</v>
      </c>
    </row>
    <row r="238" spans="1:31">
      <c r="A238" s="17" t="s">
        <v>384</v>
      </c>
      <c r="B238" s="17"/>
      <c r="C238" s="17" t="s">
        <v>383</v>
      </c>
      <c r="D238" s="17"/>
      <c r="E238" s="13">
        <v>47498</v>
      </c>
      <c r="G238" s="1">
        <f t="shared" si="28"/>
        <v>10256720</v>
      </c>
      <c r="I238" s="1">
        <v>9001943</v>
      </c>
      <c r="K238" s="1">
        <v>19258663</v>
      </c>
      <c r="M238" s="1">
        <f t="shared" si="29"/>
        <v>1515952</v>
      </c>
      <c r="O238" s="1">
        <v>91172</v>
      </c>
      <c r="Q238" s="1">
        <f>4512825-91172</f>
        <v>4421653</v>
      </c>
      <c r="S238" s="1">
        <v>6028777</v>
      </c>
      <c r="U238" s="1">
        <v>4547030</v>
      </c>
      <c r="W238" s="1">
        <f t="shared" si="30"/>
        <v>6178008</v>
      </c>
      <c r="Y238" s="1">
        <v>2504848</v>
      </c>
      <c r="AA238" s="1">
        <v>13229886</v>
      </c>
      <c r="AC238" s="1">
        <f t="shared" si="25"/>
        <v>0</v>
      </c>
      <c r="AE238" s="3">
        <f t="shared" si="24"/>
        <v>0</v>
      </c>
    </row>
    <row r="239" spans="1:31" hidden="1">
      <c r="A239" s="17" t="s">
        <v>936</v>
      </c>
      <c r="B239" s="17"/>
      <c r="C239" s="17" t="s">
        <v>61</v>
      </c>
      <c r="D239" s="17"/>
      <c r="E239" s="13">
        <v>49791</v>
      </c>
      <c r="G239" s="1">
        <f t="shared" si="28"/>
        <v>0</v>
      </c>
      <c r="M239" s="1">
        <f t="shared" si="29"/>
        <v>0</v>
      </c>
      <c r="W239" s="1">
        <f t="shared" si="30"/>
        <v>0</v>
      </c>
      <c r="AC239" s="1">
        <f t="shared" si="25"/>
        <v>0</v>
      </c>
      <c r="AE239" s="3">
        <f t="shared" si="24"/>
        <v>0</v>
      </c>
    </row>
    <row r="240" spans="1:31">
      <c r="A240" s="17" t="s">
        <v>389</v>
      </c>
      <c r="B240" s="17"/>
      <c r="C240" s="17" t="s">
        <v>388</v>
      </c>
      <c r="D240" s="17"/>
      <c r="E240" s="13">
        <v>45245</v>
      </c>
      <c r="G240" s="1">
        <f t="shared" si="28"/>
        <v>11346181</v>
      </c>
      <c r="I240" s="1">
        <v>4657665</v>
      </c>
      <c r="K240" s="1">
        <v>16003846</v>
      </c>
      <c r="M240" s="1">
        <f t="shared" si="29"/>
        <v>6388489</v>
      </c>
      <c r="O240" s="1">
        <v>174893</v>
      </c>
      <c r="Q240" s="1">
        <f>917053-174893</f>
        <v>742160</v>
      </c>
      <c r="S240" s="1">
        <v>7305542</v>
      </c>
      <c r="U240" s="1">
        <v>4657665</v>
      </c>
      <c r="W240" s="1">
        <f t="shared" si="30"/>
        <v>1648318</v>
      </c>
      <c r="Y240" s="1">
        <v>2392321</v>
      </c>
      <c r="AA240" s="1">
        <v>8698304</v>
      </c>
      <c r="AC240" s="1">
        <f t="shared" si="25"/>
        <v>0</v>
      </c>
      <c r="AE240" s="3">
        <f t="shared" si="24"/>
        <v>0</v>
      </c>
    </row>
    <row r="241" spans="1:31">
      <c r="A241" s="17" t="s">
        <v>427</v>
      </c>
      <c r="B241" s="17"/>
      <c r="C241" s="17" t="s">
        <v>42</v>
      </c>
      <c r="D241" s="17"/>
      <c r="E241" s="13">
        <v>44115</v>
      </c>
      <c r="G241" s="1">
        <f t="shared" si="28"/>
        <v>14779179</v>
      </c>
      <c r="I241" s="1">
        <v>16559491</v>
      </c>
      <c r="K241" s="1">
        <v>31338670</v>
      </c>
      <c r="M241" s="1">
        <f t="shared" si="29"/>
        <v>9271014</v>
      </c>
      <c r="O241" s="1">
        <v>948377</v>
      </c>
      <c r="Q241" s="1">
        <f>16903772-948377</f>
        <v>15955395</v>
      </c>
      <c r="S241" s="1">
        <v>26174786</v>
      </c>
      <c r="U241" s="1">
        <v>2693125</v>
      </c>
      <c r="W241" s="1">
        <f t="shared" si="30"/>
        <v>2717297</v>
      </c>
      <c r="Y241" s="1">
        <v>-246538</v>
      </c>
      <c r="AA241" s="1">
        <v>5163884</v>
      </c>
      <c r="AC241" s="1">
        <f t="shared" si="25"/>
        <v>0</v>
      </c>
      <c r="AE241" s="3">
        <f t="shared" si="24"/>
        <v>0</v>
      </c>
    </row>
    <row r="242" spans="1:31" hidden="1">
      <c r="A242" s="17" t="s">
        <v>818</v>
      </c>
      <c r="B242" s="17"/>
      <c r="C242" s="17" t="s">
        <v>22</v>
      </c>
      <c r="D242" s="17"/>
      <c r="E242" s="13">
        <v>45419</v>
      </c>
      <c r="G242" s="1">
        <f t="shared" si="28"/>
        <v>0</v>
      </c>
      <c r="M242" s="1">
        <f t="shared" si="29"/>
        <v>0</v>
      </c>
      <c r="W242" s="1">
        <f t="shared" si="30"/>
        <v>0</v>
      </c>
      <c r="AC242" s="1">
        <f t="shared" si="25"/>
        <v>0</v>
      </c>
      <c r="AE242" s="3">
        <f t="shared" si="24"/>
        <v>0</v>
      </c>
    </row>
    <row r="243" spans="1:31">
      <c r="A243" s="17" t="s">
        <v>481</v>
      </c>
      <c r="B243" s="17"/>
      <c r="C243" s="17" t="s">
        <v>47</v>
      </c>
      <c r="D243" s="17"/>
      <c r="E243" s="13">
        <v>48496</v>
      </c>
      <c r="G243" s="1">
        <f t="shared" si="28"/>
        <v>32756847</v>
      </c>
      <c r="I243" s="1">
        <v>41705630</v>
      </c>
      <c r="K243" s="1">
        <v>74462477</v>
      </c>
      <c r="M243" s="1">
        <f t="shared" si="29"/>
        <v>20163453</v>
      </c>
      <c r="O243" s="1">
        <v>2140369</v>
      </c>
      <c r="Q243" s="1">
        <f>35082465-2140369</f>
        <v>32942096</v>
      </c>
      <c r="S243" s="1">
        <v>55245918</v>
      </c>
      <c r="U243" s="1">
        <v>8954771</v>
      </c>
      <c r="W243" s="1">
        <f t="shared" si="30"/>
        <v>5792139</v>
      </c>
      <c r="Y243" s="1">
        <v>4469649</v>
      </c>
      <c r="AA243" s="1">
        <v>19216559</v>
      </c>
      <c r="AC243" s="1">
        <f>+K243-S243-AA243</f>
        <v>0</v>
      </c>
      <c r="AE243" s="3">
        <f>+G243+I243+-M243-O243-U243-W243-Y243-Q243</f>
        <v>0</v>
      </c>
    </row>
    <row r="244" spans="1:31">
      <c r="A244" s="17" t="s">
        <v>481</v>
      </c>
      <c r="B244" s="17"/>
      <c r="C244" s="17" t="s">
        <v>78</v>
      </c>
      <c r="D244" s="17"/>
      <c r="E244" s="13">
        <v>48801</v>
      </c>
      <c r="G244" s="1">
        <f t="shared" si="28"/>
        <v>48993751</v>
      </c>
      <c r="I244" s="1">
        <v>30720468</v>
      </c>
      <c r="K244" s="1">
        <v>79714219</v>
      </c>
      <c r="M244" s="1">
        <f t="shared" si="29"/>
        <v>9663628</v>
      </c>
      <c r="O244" s="1">
        <v>146773</v>
      </c>
      <c r="Q244" s="1">
        <f>16290527-146773</f>
        <v>16143754</v>
      </c>
      <c r="S244" s="1">
        <v>25954155</v>
      </c>
      <c r="U244" s="1">
        <v>30682012</v>
      </c>
      <c r="W244" s="1">
        <f t="shared" si="30"/>
        <v>22563477</v>
      </c>
      <c r="Y244" s="1">
        <v>514575</v>
      </c>
      <c r="AA244" s="1">
        <v>53760064</v>
      </c>
      <c r="AC244" s="1">
        <f>+K244-S244-AA244</f>
        <v>0</v>
      </c>
      <c r="AE244" s="3">
        <f>+G244+I244+-M244-O244-U244-W244-Y244-Q244</f>
        <v>0</v>
      </c>
    </row>
    <row r="245" spans="1:31">
      <c r="A245" s="17" t="s">
        <v>337</v>
      </c>
      <c r="B245" s="17"/>
      <c r="C245" s="17" t="s">
        <v>27</v>
      </c>
      <c r="D245" s="17"/>
      <c r="E245" s="13">
        <v>47019</v>
      </c>
      <c r="G245" s="1">
        <f t="shared" si="28"/>
        <v>164819003</v>
      </c>
      <c r="I245" s="1">
        <v>183341763</v>
      </c>
      <c r="K245" s="1">
        <v>348160766</v>
      </c>
      <c r="M245" s="1">
        <f t="shared" si="29"/>
        <v>89041588</v>
      </c>
      <c r="O245" s="1">
        <v>13473184</v>
      </c>
      <c r="Q245" s="1">
        <f>203448157-13473184</f>
        <v>189974973</v>
      </c>
      <c r="S245" s="1">
        <v>292489745</v>
      </c>
      <c r="U245" s="1">
        <v>-4211910</v>
      </c>
      <c r="W245" s="1">
        <f t="shared" si="30"/>
        <v>27606826</v>
      </c>
      <c r="Y245" s="1">
        <v>32276105</v>
      </c>
      <c r="AA245" s="1">
        <v>55671021</v>
      </c>
      <c r="AC245" s="1">
        <f t="shared" si="25"/>
        <v>0</v>
      </c>
      <c r="AE245" s="3">
        <f t="shared" si="24"/>
        <v>0</v>
      </c>
    </row>
    <row r="246" spans="1:31" hidden="1">
      <c r="A246" s="17" t="s">
        <v>398</v>
      </c>
      <c r="B246" s="17"/>
      <c r="C246" s="17" t="s">
        <v>395</v>
      </c>
      <c r="D246" s="17"/>
      <c r="E246" s="13">
        <v>44123</v>
      </c>
      <c r="G246" s="1">
        <f t="shared" si="28"/>
        <v>0</v>
      </c>
      <c r="M246" s="1">
        <f t="shared" si="29"/>
        <v>0</v>
      </c>
      <c r="W246" s="1">
        <f t="shared" si="30"/>
        <v>0</v>
      </c>
      <c r="AC246" s="1">
        <f t="shared" si="25"/>
        <v>0</v>
      </c>
      <c r="AE246" s="3">
        <f t="shared" si="24"/>
        <v>0</v>
      </c>
    </row>
    <row r="247" spans="1:31">
      <c r="A247" s="17" t="s">
        <v>207</v>
      </c>
      <c r="B247" s="17"/>
      <c r="C247" s="17" t="s">
        <v>11</v>
      </c>
      <c r="D247" s="17"/>
      <c r="E247" s="13">
        <v>45823</v>
      </c>
      <c r="G247" s="1">
        <f t="shared" si="28"/>
        <v>7795175</v>
      </c>
      <c r="I247" s="1">
        <v>1841552</v>
      </c>
      <c r="K247" s="1">
        <v>9636727</v>
      </c>
      <c r="M247" s="1">
        <f t="shared" si="29"/>
        <v>4641928</v>
      </c>
      <c r="O247" s="1">
        <v>167654</v>
      </c>
      <c r="Q247" s="1">
        <f>1323161-167654</f>
        <v>1155507</v>
      </c>
      <c r="S247" s="1">
        <v>5965089</v>
      </c>
      <c r="U247" s="1">
        <v>1708702</v>
      </c>
      <c r="W247" s="1">
        <f t="shared" si="30"/>
        <v>144311</v>
      </c>
      <c r="Y247" s="1">
        <v>1818625</v>
      </c>
      <c r="AA247" s="1">
        <v>3671638</v>
      </c>
      <c r="AC247" s="1">
        <f t="shared" si="25"/>
        <v>0</v>
      </c>
      <c r="AE247" s="3">
        <f t="shared" si="24"/>
        <v>0</v>
      </c>
    </row>
    <row r="248" spans="1:31">
      <c r="A248" s="17" t="s">
        <v>390</v>
      </c>
      <c r="B248" s="17"/>
      <c r="C248" s="17" t="s">
        <v>34</v>
      </c>
      <c r="D248" s="17"/>
      <c r="E248" s="13">
        <v>47571</v>
      </c>
      <c r="G248" s="1">
        <f t="shared" si="28"/>
        <v>6028670</v>
      </c>
      <c r="I248" s="1">
        <v>20404570</v>
      </c>
      <c r="K248" s="1">
        <v>26433240</v>
      </c>
      <c r="M248" s="1">
        <f t="shared" si="29"/>
        <v>2028162</v>
      </c>
      <c r="O248" s="1">
        <v>167909</v>
      </c>
      <c r="Q248" s="1">
        <f>4506145-167909</f>
        <v>4338236</v>
      </c>
      <c r="S248" s="1">
        <v>6534307</v>
      </c>
      <c r="U248" s="1">
        <v>16171686</v>
      </c>
      <c r="W248" s="1">
        <f t="shared" si="30"/>
        <v>1701408</v>
      </c>
      <c r="Y248" s="1">
        <v>2025839</v>
      </c>
      <c r="AA248" s="1">
        <v>19898933</v>
      </c>
      <c r="AC248" s="1">
        <f t="shared" si="25"/>
        <v>0</v>
      </c>
      <c r="AE248" s="3">
        <f t="shared" si="24"/>
        <v>0</v>
      </c>
    </row>
    <row r="249" spans="1:31">
      <c r="A249" s="17" t="s">
        <v>604</v>
      </c>
      <c r="B249" s="17"/>
      <c r="C249" s="17" t="s">
        <v>64</v>
      </c>
      <c r="D249" s="17"/>
      <c r="E249" s="13">
        <v>50161</v>
      </c>
      <c r="G249" s="1">
        <f t="shared" si="28"/>
        <v>27752605</v>
      </c>
      <c r="I249" s="1">
        <v>3669010</v>
      </c>
      <c r="K249" s="1">
        <v>31421615</v>
      </c>
      <c r="M249" s="1">
        <f t="shared" si="29"/>
        <v>21272674</v>
      </c>
      <c r="O249" s="1">
        <v>340931</v>
      </c>
      <c r="Q249" s="1">
        <f>3046433-340931</f>
        <v>2705502</v>
      </c>
      <c r="S249" s="1">
        <v>24319107</v>
      </c>
      <c r="U249" s="1">
        <v>3669010</v>
      </c>
      <c r="W249" s="1">
        <f t="shared" si="30"/>
        <v>1045745</v>
      </c>
      <c r="Y249" s="1">
        <v>2387753</v>
      </c>
      <c r="AA249" s="1">
        <v>7102508</v>
      </c>
      <c r="AC249" s="1">
        <f t="shared" si="25"/>
        <v>0</v>
      </c>
      <c r="AE249" s="3">
        <f t="shared" si="24"/>
        <v>0</v>
      </c>
    </row>
    <row r="250" spans="1:31">
      <c r="A250" s="17" t="s">
        <v>605</v>
      </c>
      <c r="B250" s="17"/>
      <c r="C250" s="17" t="s">
        <v>64</v>
      </c>
      <c r="D250" s="17"/>
      <c r="E250" s="13">
        <v>45427</v>
      </c>
      <c r="G250" s="1">
        <f t="shared" si="28"/>
        <v>45841886</v>
      </c>
      <c r="I250" s="1">
        <v>33181035</v>
      </c>
      <c r="K250" s="1">
        <v>79022921</v>
      </c>
      <c r="M250" s="1">
        <f t="shared" si="29"/>
        <v>10378215</v>
      </c>
      <c r="O250" s="1">
        <v>946707</v>
      </c>
      <c r="Q250" s="1">
        <f>19376789-946707</f>
        <v>18430082</v>
      </c>
      <c r="S250" s="1">
        <v>29755004</v>
      </c>
      <c r="U250" s="1">
        <v>15611502</v>
      </c>
      <c r="W250" s="1">
        <f t="shared" si="30"/>
        <v>0</v>
      </c>
      <c r="Y250" s="1">
        <f>26766317+280626+581639+1172422+4855411</f>
        <v>33656415</v>
      </c>
      <c r="AA250" s="1">
        <v>49267917</v>
      </c>
      <c r="AC250" s="1">
        <f>+K250-S250-AA250</f>
        <v>0</v>
      </c>
      <c r="AE250" s="3">
        <f t="shared" si="24"/>
        <v>0</v>
      </c>
    </row>
    <row r="251" spans="1:31">
      <c r="A251" s="17" t="s">
        <v>497</v>
      </c>
      <c r="B251" s="17"/>
      <c r="C251" s="17" t="s">
        <v>50</v>
      </c>
      <c r="D251" s="17"/>
      <c r="E251" s="13">
        <v>48751</v>
      </c>
      <c r="G251" s="1">
        <f t="shared" si="28"/>
        <v>218822766</v>
      </c>
      <c r="I251" s="1">
        <v>30374677</v>
      </c>
      <c r="K251" s="1">
        <v>249197443</v>
      </c>
      <c r="M251" s="1">
        <f t="shared" si="29"/>
        <v>38180066</v>
      </c>
      <c r="O251" s="1">
        <v>1460158</v>
      </c>
      <c r="Q251" s="1">
        <f>84006742-1460158</f>
        <v>82546584</v>
      </c>
      <c r="S251" s="1">
        <v>122186808</v>
      </c>
      <c r="U251" s="1">
        <v>29068428</v>
      </c>
      <c r="W251" s="1">
        <f t="shared" si="30"/>
        <v>82060213</v>
      </c>
      <c r="Y251" s="1">
        <v>15881994</v>
      </c>
      <c r="AA251" s="1">
        <v>127010635</v>
      </c>
      <c r="AC251" s="1">
        <f t="shared" si="25"/>
        <v>0</v>
      </c>
      <c r="AE251" s="3">
        <f t="shared" si="24"/>
        <v>0</v>
      </c>
    </row>
    <row r="252" spans="1:31">
      <c r="A252" s="17" t="s">
        <v>590</v>
      </c>
      <c r="B252" s="17"/>
      <c r="C252" s="17" t="s">
        <v>63</v>
      </c>
      <c r="D252" s="17"/>
      <c r="E252" s="13">
        <v>50021</v>
      </c>
      <c r="G252" s="1">
        <f t="shared" si="28"/>
        <v>66675409</v>
      </c>
      <c r="I252" s="1">
        <v>50534432</v>
      </c>
      <c r="K252" s="1">
        <v>117209841</v>
      </c>
      <c r="M252" s="1">
        <f t="shared" si="29"/>
        <v>45461785</v>
      </c>
      <c r="O252" s="1">
        <f>3151746+15472</f>
        <v>3167218</v>
      </c>
      <c r="Q252" s="1">
        <f>36920253+17800-3151746-15472</f>
        <v>33770835</v>
      </c>
      <c r="S252" s="1">
        <v>82399838</v>
      </c>
      <c r="U252" s="1">
        <v>19493702</v>
      </c>
      <c r="W252" s="1">
        <f t="shared" si="30"/>
        <v>7185275</v>
      </c>
      <c r="Y252" s="1">
        <v>8131026</v>
      </c>
      <c r="AA252" s="1">
        <v>34810003</v>
      </c>
      <c r="AC252" s="1">
        <f t="shared" si="25"/>
        <v>0</v>
      </c>
      <c r="AE252" s="3">
        <f t="shared" si="24"/>
        <v>0</v>
      </c>
    </row>
    <row r="253" spans="1:31">
      <c r="A253" s="17" t="s">
        <v>551</v>
      </c>
      <c r="B253" s="17"/>
      <c r="C253" s="17" t="s">
        <v>58</v>
      </c>
      <c r="D253" s="17"/>
      <c r="E253" s="13">
        <v>49502</v>
      </c>
      <c r="G253" s="1">
        <f t="shared" si="28"/>
        <v>7730847</v>
      </c>
      <c r="I253" s="1">
        <v>12458409</v>
      </c>
      <c r="K253" s="1">
        <v>20189256</v>
      </c>
      <c r="M253" s="1">
        <f t="shared" si="29"/>
        <v>2446888</v>
      </c>
      <c r="O253" s="1">
        <v>144014</v>
      </c>
      <c r="Q253" s="1">
        <f>1493385+144014</f>
        <v>1637399</v>
      </c>
      <c r="S253" s="1">
        <v>4228301</v>
      </c>
      <c r="U253" s="1">
        <v>11631397</v>
      </c>
      <c r="W253" s="1">
        <f t="shared" si="30"/>
        <v>1037986</v>
      </c>
      <c r="Y253" s="1">
        <v>3291572</v>
      </c>
      <c r="AA253" s="1">
        <v>15960955</v>
      </c>
      <c r="AC253" s="1">
        <f t="shared" si="25"/>
        <v>0</v>
      </c>
      <c r="AE253" s="3">
        <f t="shared" si="24"/>
        <v>0</v>
      </c>
    </row>
    <row r="254" spans="1:31">
      <c r="A254" s="17" t="s">
        <v>315</v>
      </c>
      <c r="B254" s="17"/>
      <c r="C254" s="17" t="s">
        <v>24</v>
      </c>
      <c r="D254" s="17"/>
      <c r="E254" s="13">
        <v>44131</v>
      </c>
      <c r="G254" s="1">
        <f t="shared" si="28"/>
        <v>21143786</v>
      </c>
      <c r="I254" s="1">
        <v>7535659</v>
      </c>
      <c r="K254" s="1">
        <v>28679445</v>
      </c>
      <c r="M254" s="1">
        <f t="shared" si="29"/>
        <v>10847472</v>
      </c>
      <c r="O254" s="1">
        <v>1117756</v>
      </c>
      <c r="Q254" s="1">
        <f>10223410-1117756</f>
        <v>9105654</v>
      </c>
      <c r="S254" s="1">
        <v>21070882</v>
      </c>
      <c r="U254" s="1">
        <v>3074649</v>
      </c>
      <c r="W254" s="1">
        <f t="shared" si="30"/>
        <v>901664</v>
      </c>
      <c r="Y254" s="1">
        <v>3632250</v>
      </c>
      <c r="AA254" s="1">
        <v>7608563</v>
      </c>
      <c r="AC254" s="1">
        <f t="shared" si="25"/>
        <v>0</v>
      </c>
      <c r="AE254" s="3">
        <f t="shared" si="24"/>
        <v>0</v>
      </c>
    </row>
    <row r="255" spans="1:31">
      <c r="A255" s="17" t="s">
        <v>292</v>
      </c>
      <c r="B255" s="17"/>
      <c r="C255" s="17" t="s">
        <v>20</v>
      </c>
      <c r="D255" s="17"/>
      <c r="E255" s="13">
        <v>46565</v>
      </c>
      <c r="G255" s="1">
        <f t="shared" si="28"/>
        <v>20002873</v>
      </c>
      <c r="I255" s="1">
        <v>25226709</v>
      </c>
      <c r="K255" s="1">
        <v>45229582</v>
      </c>
      <c r="M255" s="1">
        <f t="shared" si="29"/>
        <v>12972729</v>
      </c>
      <c r="O255" s="1">
        <v>528720</v>
      </c>
      <c r="Q255" s="1">
        <f>16273184-528720</f>
        <v>15744464</v>
      </c>
      <c r="S255" s="1">
        <v>29245913</v>
      </c>
      <c r="U255" s="1">
        <v>10497485</v>
      </c>
      <c r="W255" s="1">
        <f t="shared" si="30"/>
        <v>2659241</v>
      </c>
      <c r="Y255" s="1">
        <v>2826943</v>
      </c>
      <c r="AA255" s="1">
        <v>15983669</v>
      </c>
      <c r="AC255" s="1">
        <f t="shared" si="25"/>
        <v>0</v>
      </c>
      <c r="AE255" s="3">
        <f t="shared" si="24"/>
        <v>0</v>
      </c>
    </row>
    <row r="256" spans="1:31">
      <c r="A256" s="17"/>
      <c r="B256" s="17"/>
      <c r="C256" s="17"/>
      <c r="D256" s="17"/>
      <c r="E256" s="13"/>
    </row>
    <row r="257" spans="1:31">
      <c r="A257" s="17"/>
      <c r="B257" s="17"/>
      <c r="C257" s="17"/>
      <c r="D257" s="17"/>
      <c r="E257" s="13"/>
      <c r="AA257" s="20" t="s">
        <v>709</v>
      </c>
    </row>
    <row r="258" spans="1:31">
      <c r="A258" s="17"/>
      <c r="B258" s="17"/>
      <c r="C258" s="17"/>
      <c r="D258" s="17"/>
      <c r="E258" s="13"/>
    </row>
    <row r="259" spans="1:31">
      <c r="A259" s="17" t="s">
        <v>411</v>
      </c>
      <c r="B259" s="17"/>
      <c r="C259" s="17" t="s">
        <v>39</v>
      </c>
      <c r="D259" s="17"/>
      <c r="E259" s="13">
        <v>47803</v>
      </c>
      <c r="F259" s="8"/>
      <c r="G259" s="16">
        <f t="shared" si="28"/>
        <v>28762109</v>
      </c>
      <c r="H259" s="16"/>
      <c r="I259" s="16">
        <v>5942721</v>
      </c>
      <c r="J259" s="16"/>
      <c r="K259" s="16">
        <v>34704830</v>
      </c>
      <c r="L259" s="16"/>
      <c r="M259" s="16">
        <f t="shared" ref="M259:M309" si="31">+S259-O259-Q259</f>
        <v>10900882</v>
      </c>
      <c r="N259" s="16"/>
      <c r="O259" s="16">
        <v>546703</v>
      </c>
      <c r="P259" s="16"/>
      <c r="Q259" s="16">
        <f>13551757-546703</f>
        <v>13005054</v>
      </c>
      <c r="R259" s="16"/>
      <c r="S259" s="16">
        <v>24452639</v>
      </c>
      <c r="T259" s="16"/>
      <c r="U259" s="16">
        <v>3316569</v>
      </c>
      <c r="V259" s="16"/>
      <c r="W259" s="16">
        <f t="shared" si="30"/>
        <v>5883526</v>
      </c>
      <c r="X259" s="16"/>
      <c r="Y259" s="16">
        <v>1052096</v>
      </c>
      <c r="Z259" s="16"/>
      <c r="AA259" s="16">
        <v>10252191</v>
      </c>
      <c r="AC259" s="1">
        <f t="shared" si="25"/>
        <v>0</v>
      </c>
      <c r="AE259" s="3">
        <f t="shared" si="24"/>
        <v>0</v>
      </c>
    </row>
    <row r="260" spans="1:31">
      <c r="A260" s="17" t="s">
        <v>365</v>
      </c>
      <c r="B260" s="17"/>
      <c r="C260" s="17" t="s">
        <v>32</v>
      </c>
      <c r="D260" s="17"/>
      <c r="E260" s="13">
        <v>45435</v>
      </c>
      <c r="G260" s="1">
        <f t="shared" si="28"/>
        <v>59885807</v>
      </c>
      <c r="I260" s="1">
        <v>45614136</v>
      </c>
      <c r="K260" s="1">
        <v>105499943</v>
      </c>
      <c r="M260" s="1">
        <f t="shared" si="31"/>
        <v>23370236</v>
      </c>
      <c r="O260" s="1">
        <v>2481231</v>
      </c>
      <c r="Q260" s="1">
        <f>39111652-2481231</f>
        <v>36630421</v>
      </c>
      <c r="S260" s="1">
        <v>62481888</v>
      </c>
      <c r="U260" s="1">
        <v>9151400</v>
      </c>
      <c r="W260" s="1">
        <f t="shared" si="30"/>
        <v>3603378</v>
      </c>
      <c r="Y260" s="1">
        <v>30263277</v>
      </c>
      <c r="AA260" s="1">
        <v>43018055</v>
      </c>
      <c r="AC260" s="1">
        <f t="shared" si="25"/>
        <v>0</v>
      </c>
      <c r="AE260" s="3">
        <f t="shared" si="24"/>
        <v>0</v>
      </c>
    </row>
    <row r="261" spans="1:31" hidden="1">
      <c r="A261" s="17" t="s">
        <v>937</v>
      </c>
      <c r="B261" s="17"/>
      <c r="C261" s="17" t="s">
        <v>43</v>
      </c>
      <c r="D261" s="17"/>
      <c r="E261" s="13"/>
      <c r="G261" s="1">
        <f t="shared" si="28"/>
        <v>0</v>
      </c>
      <c r="M261" s="1">
        <f t="shared" si="31"/>
        <v>0</v>
      </c>
      <c r="W261" s="1">
        <f t="shared" si="30"/>
        <v>0</v>
      </c>
      <c r="AC261" s="1">
        <f t="shared" si="25"/>
        <v>0</v>
      </c>
      <c r="AE261" s="3">
        <f t="shared" si="24"/>
        <v>0</v>
      </c>
    </row>
    <row r="262" spans="1:31">
      <c r="A262" s="17" t="s">
        <v>621</v>
      </c>
      <c r="B262" s="17"/>
      <c r="C262" s="17" t="s">
        <v>65</v>
      </c>
      <c r="D262" s="17"/>
      <c r="E262" s="13">
        <v>50286</v>
      </c>
      <c r="G262" s="1">
        <f t="shared" si="28"/>
        <v>10851322</v>
      </c>
      <c r="I262" s="1">
        <v>45132139</v>
      </c>
      <c r="K262" s="1">
        <v>55983461</v>
      </c>
      <c r="M262" s="1">
        <f t="shared" si="31"/>
        <v>7342102</v>
      </c>
      <c r="O262" s="1">
        <v>779932</v>
      </c>
      <c r="Q262" s="1">
        <f>14291410-779932</f>
        <v>13511478</v>
      </c>
      <c r="S262" s="1">
        <v>21633512</v>
      </c>
      <c r="U262" s="1">
        <v>33133203</v>
      </c>
      <c r="W262" s="1">
        <f t="shared" si="30"/>
        <v>1858273</v>
      </c>
      <c r="Y262" s="1">
        <v>-641527</v>
      </c>
      <c r="AA262" s="1">
        <v>34349949</v>
      </c>
      <c r="AC262" s="1">
        <f t="shared" si="25"/>
        <v>0</v>
      </c>
      <c r="AE262" s="3">
        <f t="shared" si="24"/>
        <v>0</v>
      </c>
    </row>
    <row r="263" spans="1:31">
      <c r="A263" s="17" t="s">
        <v>423</v>
      </c>
      <c r="B263" s="17"/>
      <c r="C263" s="17" t="s">
        <v>420</v>
      </c>
      <c r="D263" s="17"/>
      <c r="E263" s="13">
        <v>44149</v>
      </c>
      <c r="G263" s="1">
        <f t="shared" si="28"/>
        <v>15322009</v>
      </c>
      <c r="I263" s="1">
        <v>49516242</v>
      </c>
      <c r="K263" s="1">
        <v>64838251</v>
      </c>
      <c r="M263" s="1">
        <f t="shared" si="31"/>
        <v>6137471</v>
      </c>
      <c r="O263" s="1">
        <v>321046</v>
      </c>
      <c r="Q263" s="1">
        <f>18873023-321046</f>
        <v>18551977</v>
      </c>
      <c r="S263" s="1">
        <v>25010494</v>
      </c>
      <c r="U263" s="1">
        <v>32102592</v>
      </c>
      <c r="W263" s="1">
        <f t="shared" si="30"/>
        <v>7923750</v>
      </c>
      <c r="Y263" s="1">
        <v>-198585</v>
      </c>
      <c r="AA263" s="1">
        <v>39827757</v>
      </c>
      <c r="AC263" s="1">
        <f t="shared" si="25"/>
        <v>0</v>
      </c>
      <c r="AE263" s="3">
        <f t="shared" si="24"/>
        <v>0</v>
      </c>
    </row>
    <row r="264" spans="1:31" hidden="1">
      <c r="A264" s="17" t="s">
        <v>820</v>
      </c>
      <c r="B264" s="17"/>
      <c r="C264" s="17" t="s">
        <v>61</v>
      </c>
      <c r="D264" s="17"/>
      <c r="E264" s="13">
        <v>49809</v>
      </c>
      <c r="G264" s="1">
        <f t="shared" si="28"/>
        <v>0</v>
      </c>
      <c r="M264" s="1">
        <f t="shared" si="31"/>
        <v>0</v>
      </c>
      <c r="W264" s="1">
        <f t="shared" si="30"/>
        <v>0</v>
      </c>
      <c r="AC264" s="1">
        <f t="shared" si="25"/>
        <v>0</v>
      </c>
      <c r="AE264" s="3">
        <f t="shared" si="24"/>
        <v>0</v>
      </c>
    </row>
    <row r="265" spans="1:31" hidden="1">
      <c r="A265" s="17" t="s">
        <v>838</v>
      </c>
      <c r="B265" s="17"/>
      <c r="C265" s="17" t="s">
        <v>38</v>
      </c>
      <c r="D265" s="17"/>
      <c r="E265" s="13"/>
      <c r="G265" s="1">
        <f t="shared" si="28"/>
        <v>0</v>
      </c>
      <c r="M265" s="1">
        <f t="shared" si="31"/>
        <v>0</v>
      </c>
      <c r="W265" s="1">
        <f t="shared" si="30"/>
        <v>0</v>
      </c>
      <c r="AC265" s="1">
        <f>+K265-S265-AA265</f>
        <v>0</v>
      </c>
      <c r="AE265" s="3">
        <f t="shared" si="24"/>
        <v>0</v>
      </c>
    </row>
    <row r="266" spans="1:31">
      <c r="A266" s="17" t="s">
        <v>576</v>
      </c>
      <c r="B266" s="17"/>
      <c r="C266" s="17" t="s">
        <v>62</v>
      </c>
      <c r="D266" s="17"/>
      <c r="E266" s="13">
        <v>49858</v>
      </c>
      <c r="G266" s="1">
        <f t="shared" si="28"/>
        <v>64162143</v>
      </c>
      <c r="I266" s="1">
        <v>91208793</v>
      </c>
      <c r="K266" s="1">
        <v>155370936</v>
      </c>
      <c r="M266" s="1">
        <f t="shared" si="31"/>
        <v>49841176</v>
      </c>
      <c r="O266" s="1">
        <v>4930811</v>
      </c>
      <c r="Q266" s="1">
        <f>73187170-4930811</f>
        <v>68256359</v>
      </c>
      <c r="S266" s="1">
        <v>123028346</v>
      </c>
      <c r="U266" s="1">
        <v>24224009</v>
      </c>
      <c r="W266" s="1">
        <f t="shared" si="30"/>
        <v>7162587</v>
      </c>
      <c r="Y266" s="1">
        <v>955994</v>
      </c>
      <c r="AA266" s="1">
        <v>32342590</v>
      </c>
      <c r="AC266" s="1">
        <f t="shared" si="25"/>
        <v>0</v>
      </c>
      <c r="AE266" s="3">
        <f t="shared" si="24"/>
        <v>0</v>
      </c>
    </row>
    <row r="267" spans="1:31">
      <c r="A267" s="17" t="s">
        <v>465</v>
      </c>
      <c r="B267" s="17"/>
      <c r="C267" s="17" t="s">
        <v>45</v>
      </c>
      <c r="D267" s="17"/>
      <c r="E267" s="13">
        <v>48322</v>
      </c>
      <c r="G267" s="1">
        <f t="shared" si="28"/>
        <v>10779043</v>
      </c>
      <c r="I267" s="1">
        <v>17958637</v>
      </c>
      <c r="K267" s="1">
        <v>28737680</v>
      </c>
      <c r="M267" s="1">
        <f t="shared" si="31"/>
        <v>6598765</v>
      </c>
      <c r="O267" s="1">
        <v>371316</v>
      </c>
      <c r="Q267" s="1">
        <f>15819726-371316</f>
        <v>15448410</v>
      </c>
      <c r="S267" s="1">
        <v>22418491</v>
      </c>
      <c r="U267" s="1">
        <v>2898556</v>
      </c>
      <c r="W267" s="1">
        <f t="shared" si="30"/>
        <v>1721891</v>
      </c>
      <c r="Y267" s="1">
        <v>1698742</v>
      </c>
      <c r="AA267" s="1">
        <v>6319189</v>
      </c>
      <c r="AC267" s="1">
        <f t="shared" si="25"/>
        <v>0</v>
      </c>
      <c r="AE267" s="3">
        <f t="shared" si="24"/>
        <v>0</v>
      </c>
    </row>
    <row r="268" spans="1:31">
      <c r="A268" s="17" t="s">
        <v>534</v>
      </c>
      <c r="B268" s="17"/>
      <c r="C268" s="17" t="s">
        <v>56</v>
      </c>
      <c r="D268" s="17"/>
      <c r="E268" s="13">
        <v>49205</v>
      </c>
      <c r="G268" s="1">
        <f t="shared" si="28"/>
        <v>8729848</v>
      </c>
      <c r="I268" s="1">
        <v>7462241</v>
      </c>
      <c r="K268" s="1">
        <v>16192089</v>
      </c>
      <c r="M268" s="1">
        <f t="shared" si="31"/>
        <v>5432554</v>
      </c>
      <c r="O268" s="1">
        <v>370095</v>
      </c>
      <c r="Q268" s="1">
        <f>5958082-370095</f>
        <v>5587987</v>
      </c>
      <c r="S268" s="1">
        <v>11390636</v>
      </c>
      <c r="U268" s="1">
        <v>2390014</v>
      </c>
      <c r="W268" s="1">
        <f t="shared" si="30"/>
        <v>491553</v>
      </c>
      <c r="Y268" s="1">
        <v>1919886</v>
      </c>
      <c r="AA268" s="1">
        <v>4801453</v>
      </c>
      <c r="AC268" s="1">
        <f t="shared" si="25"/>
        <v>0</v>
      </c>
      <c r="AE268" s="3">
        <f t="shared" si="24"/>
        <v>0</v>
      </c>
    </row>
    <row r="269" spans="1:31">
      <c r="A269" s="17" t="s">
        <v>212</v>
      </c>
      <c r="B269" s="17"/>
      <c r="C269" s="17" t="s">
        <v>12</v>
      </c>
      <c r="D269" s="17"/>
      <c r="E269" s="13">
        <v>45872</v>
      </c>
      <c r="G269" s="1">
        <f t="shared" si="28"/>
        <v>19507413</v>
      </c>
      <c r="I269" s="1">
        <v>51212266</v>
      </c>
      <c r="K269" s="1">
        <v>70719679</v>
      </c>
      <c r="M269" s="1">
        <f t="shared" si="31"/>
        <v>6636272</v>
      </c>
      <c r="O269" s="1">
        <v>587637</v>
      </c>
      <c r="Q269" s="1">
        <f>21485260-587637</f>
        <v>20897623</v>
      </c>
      <c r="S269" s="1">
        <v>28121532</v>
      </c>
      <c r="U269" s="1">
        <v>31340550</v>
      </c>
      <c r="W269" s="1">
        <f t="shared" si="30"/>
        <v>10061900</v>
      </c>
      <c r="Y269" s="1">
        <v>1195697</v>
      </c>
      <c r="AA269" s="1">
        <v>42598147</v>
      </c>
      <c r="AC269" s="1">
        <f t="shared" si="25"/>
        <v>0</v>
      </c>
      <c r="AE269" s="3">
        <f t="shared" si="24"/>
        <v>0</v>
      </c>
    </row>
    <row r="270" spans="1:31">
      <c r="A270" s="17" t="s">
        <v>457</v>
      </c>
      <c r="B270" s="17"/>
      <c r="C270" s="17" t="s">
        <v>458</v>
      </c>
      <c r="D270" s="17"/>
      <c r="E270" s="13">
        <v>48256</v>
      </c>
      <c r="G270" s="1">
        <f t="shared" si="28"/>
        <v>13788128</v>
      </c>
      <c r="I270" s="1">
        <v>30412584</v>
      </c>
      <c r="K270" s="1">
        <v>44200712</v>
      </c>
      <c r="M270" s="1">
        <f t="shared" si="31"/>
        <v>4260241</v>
      </c>
      <c r="O270" s="1">
        <v>1695732</v>
      </c>
      <c r="Q270" s="1">
        <f>15506882-1695732</f>
        <v>13811150</v>
      </c>
      <c r="S270" s="1">
        <v>19767123</v>
      </c>
      <c r="U270" s="1">
        <v>15761818</v>
      </c>
      <c r="W270" s="1">
        <f t="shared" si="30"/>
        <v>1949295</v>
      </c>
      <c r="Y270" s="1">
        <v>6722476</v>
      </c>
      <c r="AA270" s="1">
        <v>24433589</v>
      </c>
      <c r="AC270" s="1">
        <f t="shared" si="25"/>
        <v>0</v>
      </c>
      <c r="AE270" s="3">
        <f t="shared" si="24"/>
        <v>0</v>
      </c>
    </row>
    <row r="271" spans="1:31">
      <c r="A271" s="17" t="s">
        <v>841</v>
      </c>
      <c r="B271" s="17"/>
      <c r="C271" s="17" t="s">
        <v>50</v>
      </c>
      <c r="D271" s="17"/>
      <c r="E271" s="13">
        <v>48686</v>
      </c>
      <c r="G271" s="1">
        <f t="shared" si="28"/>
        <v>6114878</v>
      </c>
      <c r="I271" s="1">
        <v>1410179</v>
      </c>
      <c r="K271" s="1">
        <v>7525057</v>
      </c>
      <c r="M271" s="1">
        <f t="shared" si="31"/>
        <v>4916409</v>
      </c>
      <c r="O271" s="1">
        <v>808367</v>
      </c>
      <c r="Q271" s="1">
        <f>162239-808367</f>
        <v>-646128</v>
      </c>
      <c r="S271" s="1">
        <v>5078648</v>
      </c>
      <c r="U271" s="1">
        <v>792179</v>
      </c>
      <c r="W271" s="1">
        <f t="shared" si="30"/>
        <v>535079</v>
      </c>
      <c r="Y271" s="1">
        <v>1119151</v>
      </c>
      <c r="AA271" s="1">
        <v>2446409</v>
      </c>
      <c r="AC271" s="1">
        <f t="shared" si="25"/>
        <v>0</v>
      </c>
      <c r="AE271" s="3">
        <f t="shared" si="24"/>
        <v>0</v>
      </c>
    </row>
    <row r="272" spans="1:31" hidden="1">
      <c r="A272" s="17" t="s">
        <v>821</v>
      </c>
      <c r="B272" s="17"/>
      <c r="C272" s="17" t="s">
        <v>542</v>
      </c>
      <c r="D272" s="17"/>
      <c r="E272" s="13"/>
      <c r="G272" s="1">
        <f t="shared" si="28"/>
        <v>0</v>
      </c>
      <c r="M272" s="1">
        <f t="shared" si="31"/>
        <v>0</v>
      </c>
      <c r="W272" s="1">
        <f t="shared" si="30"/>
        <v>0</v>
      </c>
      <c r="AC272" s="1">
        <f t="shared" si="25"/>
        <v>0</v>
      </c>
      <c r="AE272" s="3">
        <f t="shared" si="24"/>
        <v>0</v>
      </c>
    </row>
    <row r="273" spans="1:31">
      <c r="A273" s="17" t="s">
        <v>428</v>
      </c>
      <c r="B273" s="17"/>
      <c r="C273" s="17" t="s">
        <v>42</v>
      </c>
      <c r="D273" s="17"/>
      <c r="E273" s="13">
        <v>47985</v>
      </c>
      <c r="G273" s="1">
        <f t="shared" si="28"/>
        <v>13850365</v>
      </c>
      <c r="I273" s="1">
        <v>2750175</v>
      </c>
      <c r="K273" s="1">
        <v>16600540</v>
      </c>
      <c r="M273" s="1">
        <f t="shared" si="31"/>
        <v>6102971</v>
      </c>
      <c r="O273" s="1">
        <v>210659</v>
      </c>
      <c r="Q273" s="1">
        <f>1111057-210659</f>
        <v>900398</v>
      </c>
      <c r="S273" s="1">
        <v>7214028</v>
      </c>
      <c r="U273" s="1">
        <v>2161772</v>
      </c>
      <c r="W273" s="1">
        <f t="shared" si="30"/>
        <v>401506</v>
      </c>
      <c r="Y273" s="1">
        <v>6823234</v>
      </c>
      <c r="AA273" s="1">
        <v>9386512</v>
      </c>
      <c r="AC273" s="1">
        <f t="shared" si="25"/>
        <v>0</v>
      </c>
      <c r="AE273" s="3">
        <f t="shared" si="24"/>
        <v>0</v>
      </c>
    </row>
    <row r="274" spans="1:31">
      <c r="A274" s="17" t="s">
        <v>459</v>
      </c>
      <c r="B274" s="17"/>
      <c r="C274" s="17" t="s">
        <v>458</v>
      </c>
      <c r="D274" s="17"/>
      <c r="E274" s="13">
        <v>48264</v>
      </c>
      <c r="G274" s="1">
        <f t="shared" si="28"/>
        <v>38550528</v>
      </c>
      <c r="I274" s="1">
        <v>28948812</v>
      </c>
      <c r="K274" s="1">
        <v>67499340</v>
      </c>
      <c r="M274" s="1">
        <f t="shared" si="31"/>
        <v>8421724</v>
      </c>
      <c r="O274" s="1">
        <v>816946</v>
      </c>
      <c r="Q274" s="1">
        <f>23631450-816946</f>
        <v>22814504</v>
      </c>
      <c r="S274" s="1">
        <v>32053174</v>
      </c>
      <c r="U274" s="1">
        <v>5792842</v>
      </c>
      <c r="W274" s="1">
        <f t="shared" si="30"/>
        <v>28391354</v>
      </c>
      <c r="Y274" s="1">
        <v>1261970</v>
      </c>
      <c r="AA274" s="1">
        <v>35446166</v>
      </c>
      <c r="AC274" s="1">
        <f t="shared" si="25"/>
        <v>0</v>
      </c>
      <c r="AE274" s="3">
        <f t="shared" si="24"/>
        <v>0</v>
      </c>
    </row>
    <row r="275" spans="1:31" s="16" customFormat="1">
      <c r="A275" s="14" t="s">
        <v>606</v>
      </c>
      <c r="B275" s="14"/>
      <c r="C275" s="14" t="s">
        <v>64</v>
      </c>
      <c r="D275" s="14"/>
      <c r="E275" s="14">
        <v>50179</v>
      </c>
      <c r="G275" s="1">
        <f t="shared" si="28"/>
        <v>7471629</v>
      </c>
      <c r="H275" s="1"/>
      <c r="I275" s="1">
        <v>27137968</v>
      </c>
      <c r="J275" s="1"/>
      <c r="K275" s="1">
        <v>34609597</v>
      </c>
      <c r="L275" s="1"/>
      <c r="M275" s="1">
        <f t="shared" si="31"/>
        <v>4399259</v>
      </c>
      <c r="N275" s="1"/>
      <c r="O275" s="1">
        <f>658429+4558</f>
        <v>662987</v>
      </c>
      <c r="P275" s="1"/>
      <c r="Q275" s="1">
        <f>9275692+9966-658429-4558</f>
        <v>8622671</v>
      </c>
      <c r="R275" s="1"/>
      <c r="S275" s="1">
        <v>13684917</v>
      </c>
      <c r="T275" s="1"/>
      <c r="U275" s="1">
        <v>18971546</v>
      </c>
      <c r="V275" s="1"/>
      <c r="W275" s="1">
        <f t="shared" si="30"/>
        <v>870201</v>
      </c>
      <c r="X275" s="1"/>
      <c r="Y275" s="1">
        <v>1082933</v>
      </c>
      <c r="Z275" s="1"/>
      <c r="AA275" s="1">
        <v>20924680</v>
      </c>
      <c r="AC275" s="1">
        <f t="shared" si="25"/>
        <v>0</v>
      </c>
      <c r="AE275" s="3">
        <f t="shared" si="24"/>
        <v>0</v>
      </c>
    </row>
    <row r="276" spans="1:31" hidden="1">
      <c r="A276" s="17" t="s">
        <v>316</v>
      </c>
      <c r="B276" s="17"/>
      <c r="C276" s="17" t="s">
        <v>24</v>
      </c>
      <c r="D276" s="17"/>
      <c r="E276" s="13">
        <v>46797</v>
      </c>
      <c r="G276" s="1">
        <f t="shared" si="28"/>
        <v>0</v>
      </c>
      <c r="M276" s="1">
        <f t="shared" si="31"/>
        <v>0</v>
      </c>
      <c r="W276" s="1">
        <f t="shared" si="30"/>
        <v>0</v>
      </c>
      <c r="AC276" s="1">
        <f t="shared" si="25"/>
        <v>0</v>
      </c>
      <c r="AE276" s="3">
        <f t="shared" si="24"/>
        <v>0</v>
      </c>
    </row>
    <row r="277" spans="1:31">
      <c r="A277" s="17" t="s">
        <v>353</v>
      </c>
      <c r="B277" s="17"/>
      <c r="C277" s="17" t="s">
        <v>30</v>
      </c>
      <c r="D277" s="17"/>
      <c r="E277" s="13">
        <v>47191</v>
      </c>
      <c r="G277" s="1">
        <f t="shared" si="28"/>
        <v>46521278</v>
      </c>
      <c r="I277" s="1">
        <v>55429260</v>
      </c>
      <c r="K277" s="1">
        <v>101950538</v>
      </c>
      <c r="M277" s="1">
        <f t="shared" si="31"/>
        <v>28623749</v>
      </c>
      <c r="O277" s="1">
        <f>2619123+9453</f>
        <v>2628576</v>
      </c>
      <c r="Q277" s="1">
        <f>48276920+30907-2619123-9453</f>
        <v>45679251</v>
      </c>
      <c r="S277" s="1">
        <v>76931576</v>
      </c>
      <c r="U277" s="1">
        <v>10352061</v>
      </c>
      <c r="W277" s="1">
        <f t="shared" si="30"/>
        <v>5472675</v>
      </c>
      <c r="Y277" s="1">
        <v>9194226</v>
      </c>
      <c r="AA277" s="1">
        <v>25018962</v>
      </c>
      <c r="AC277" s="1">
        <f t="shared" si="25"/>
        <v>0</v>
      </c>
      <c r="AE277" s="3">
        <f t="shared" si="24"/>
        <v>0</v>
      </c>
    </row>
    <row r="278" spans="1:31">
      <c r="A278" s="17" t="s">
        <v>535</v>
      </c>
      <c r="B278" s="17"/>
      <c r="C278" s="17" t="s">
        <v>56</v>
      </c>
      <c r="D278" s="17"/>
      <c r="E278" s="13">
        <v>44164</v>
      </c>
      <c r="G278" s="1">
        <f t="shared" si="28"/>
        <v>45730565</v>
      </c>
      <c r="I278" s="1">
        <v>27411974</v>
      </c>
      <c r="K278" s="1">
        <v>73142539</v>
      </c>
      <c r="M278" s="1">
        <f t="shared" si="31"/>
        <v>24359642</v>
      </c>
      <c r="O278" s="1">
        <v>2224101</v>
      </c>
      <c r="Q278" s="1">
        <f>29876503-2224101</f>
        <v>27652402</v>
      </c>
      <c r="S278" s="1">
        <v>54236145</v>
      </c>
      <c r="U278" s="1">
        <v>12284031</v>
      </c>
      <c r="W278" s="1">
        <f t="shared" si="30"/>
        <v>2076382</v>
      </c>
      <c r="Y278" s="1">
        <v>4545981</v>
      </c>
      <c r="AA278" s="1">
        <v>18906394</v>
      </c>
      <c r="AC278" s="1">
        <f t="shared" si="25"/>
        <v>0</v>
      </c>
      <c r="AE278" s="3">
        <f t="shared" si="24"/>
        <v>0</v>
      </c>
    </row>
    <row r="279" spans="1:31">
      <c r="A279" s="17" t="s">
        <v>385</v>
      </c>
      <c r="B279" s="17"/>
      <c r="C279" s="17" t="s">
        <v>383</v>
      </c>
      <c r="D279" s="17"/>
      <c r="E279" s="13">
        <v>44172</v>
      </c>
      <c r="G279" s="1">
        <f t="shared" si="28"/>
        <v>7686501</v>
      </c>
      <c r="I279" s="1">
        <v>3100360</v>
      </c>
      <c r="K279" s="1">
        <v>10786861</v>
      </c>
      <c r="M279" s="1">
        <f t="shared" si="31"/>
        <v>5514887</v>
      </c>
      <c r="O279" s="1">
        <v>122475</v>
      </c>
      <c r="Q279" s="1">
        <f>1110080-122475</f>
        <v>987605</v>
      </c>
      <c r="S279" s="1">
        <v>6624967</v>
      </c>
      <c r="U279" s="1">
        <v>3000979</v>
      </c>
      <c r="W279" s="1">
        <f t="shared" si="30"/>
        <v>598637</v>
      </c>
      <c r="Y279" s="1">
        <v>562278</v>
      </c>
      <c r="AA279" s="1">
        <v>4161894</v>
      </c>
      <c r="AC279" s="1">
        <f t="shared" si="25"/>
        <v>0</v>
      </c>
      <c r="AE279" s="3">
        <f t="shared" si="24"/>
        <v>0</v>
      </c>
    </row>
    <row r="280" spans="1:31">
      <c r="A280" s="17" t="s">
        <v>499</v>
      </c>
      <c r="B280" s="17"/>
      <c r="C280" s="17" t="s">
        <v>50</v>
      </c>
      <c r="D280" s="17"/>
      <c r="E280" s="13">
        <v>44180</v>
      </c>
      <c r="F280" s="8"/>
      <c r="G280" s="1">
        <f t="shared" si="28"/>
        <v>81512531</v>
      </c>
      <c r="I280" s="1">
        <v>114144354</v>
      </c>
      <c r="K280" s="1">
        <v>195656885</v>
      </c>
      <c r="M280" s="1">
        <f t="shared" si="31"/>
        <v>66276421</v>
      </c>
      <c r="O280" s="1">
        <v>4576650</v>
      </c>
      <c r="Q280" s="1">
        <f>107600307-4576650</f>
        <v>103023657</v>
      </c>
      <c r="S280" s="1">
        <v>173876728</v>
      </c>
      <c r="U280" s="1">
        <v>16447133</v>
      </c>
      <c r="W280" s="1">
        <f t="shared" si="30"/>
        <v>3175151</v>
      </c>
      <c r="Y280" s="1">
        <v>2157873</v>
      </c>
      <c r="AA280" s="1">
        <v>21780157</v>
      </c>
      <c r="AC280" s="1">
        <f t="shared" si="25"/>
        <v>0</v>
      </c>
      <c r="AE280" s="3">
        <f t="shared" si="24"/>
        <v>0</v>
      </c>
    </row>
    <row r="281" spans="1:31">
      <c r="A281" s="17" t="s">
        <v>779</v>
      </c>
      <c r="B281" s="17"/>
      <c r="C281" s="17" t="s">
        <v>44</v>
      </c>
      <c r="D281" s="17"/>
      <c r="E281" s="13">
        <v>48165</v>
      </c>
      <c r="G281" s="1">
        <f t="shared" si="28"/>
        <v>15059689</v>
      </c>
      <c r="I281" s="1">
        <v>18884240</v>
      </c>
      <c r="K281" s="1">
        <v>33943929</v>
      </c>
      <c r="M281" s="1">
        <f t="shared" si="31"/>
        <v>7693172</v>
      </c>
      <c r="O281" s="1">
        <v>1068122</v>
      </c>
      <c r="Q281" s="1">
        <f>16222781-1068122</f>
        <v>15154659</v>
      </c>
      <c r="S281" s="1">
        <v>23915953</v>
      </c>
      <c r="U281" s="1">
        <v>3748240</v>
      </c>
      <c r="W281" s="1">
        <f t="shared" si="30"/>
        <v>2547989</v>
      </c>
      <c r="Y281" s="1">
        <v>3731747</v>
      </c>
      <c r="AA281" s="1">
        <v>10027976</v>
      </c>
      <c r="AC281" s="1">
        <f t="shared" si="25"/>
        <v>0</v>
      </c>
      <c r="AE281" s="3">
        <f t="shared" si="24"/>
        <v>0</v>
      </c>
    </row>
    <row r="282" spans="1:31">
      <c r="A282" s="17" t="s">
        <v>906</v>
      </c>
      <c r="B282" s="17"/>
      <c r="C282" s="17" t="s">
        <v>69</v>
      </c>
      <c r="D282" s="17"/>
      <c r="E282" s="13">
        <v>50435</v>
      </c>
      <c r="G282" s="1">
        <f t="shared" si="28"/>
        <v>44613111</v>
      </c>
      <c r="I282" s="1">
        <v>55497822</v>
      </c>
      <c r="K282" s="1">
        <v>100110933</v>
      </c>
      <c r="M282" s="1">
        <f t="shared" si="31"/>
        <v>30845369</v>
      </c>
      <c r="O282" s="1">
        <f>1602212+28166</f>
        <v>1630378</v>
      </c>
      <c r="Q282" s="1">
        <f>61315325+135584-1602212-28166</f>
        <v>59820531</v>
      </c>
      <c r="S282" s="1">
        <v>92296278</v>
      </c>
      <c r="U282" s="1">
        <v>84798</v>
      </c>
      <c r="W282" s="1">
        <f t="shared" si="30"/>
        <v>3368440</v>
      </c>
      <c r="Y282" s="1">
        <v>4361417</v>
      </c>
      <c r="AA282" s="1">
        <v>7814655</v>
      </c>
      <c r="AC282" s="1">
        <f t="shared" si="25"/>
        <v>0</v>
      </c>
      <c r="AE282" s="3">
        <f t="shared" si="24"/>
        <v>0</v>
      </c>
    </row>
    <row r="283" spans="1:31" hidden="1">
      <c r="A283" s="17" t="s">
        <v>862</v>
      </c>
      <c r="B283" s="17"/>
      <c r="C283" s="17" t="s">
        <v>41</v>
      </c>
      <c r="D283" s="17"/>
      <c r="E283" s="13">
        <v>47878</v>
      </c>
      <c r="G283" s="1">
        <f t="shared" si="28"/>
        <v>0</v>
      </c>
      <c r="M283" s="1">
        <f t="shared" si="31"/>
        <v>0</v>
      </c>
      <c r="W283" s="1">
        <f t="shared" si="30"/>
        <v>0</v>
      </c>
      <c r="AC283" s="1">
        <f t="shared" si="25"/>
        <v>0</v>
      </c>
      <c r="AE283" s="3">
        <f t="shared" si="24"/>
        <v>0</v>
      </c>
    </row>
    <row r="284" spans="1:31">
      <c r="A284" s="17" t="s">
        <v>607</v>
      </c>
      <c r="B284" s="17"/>
      <c r="C284" s="17" t="s">
        <v>64</v>
      </c>
      <c r="D284" s="17"/>
      <c r="E284" s="13">
        <v>50245</v>
      </c>
      <c r="G284" s="1">
        <f t="shared" si="28"/>
        <v>12332983</v>
      </c>
      <c r="I284" s="1">
        <v>24090853</v>
      </c>
      <c r="K284" s="1">
        <v>36423836</v>
      </c>
      <c r="M284" s="1">
        <f t="shared" si="31"/>
        <v>5314182</v>
      </c>
      <c r="O284" s="1">
        <v>536963</v>
      </c>
      <c r="Q284" s="1">
        <f>9237799-536963</f>
        <v>8700836</v>
      </c>
      <c r="S284" s="1">
        <v>14551981</v>
      </c>
      <c r="U284" s="1">
        <v>15880859</v>
      </c>
      <c r="W284" s="1">
        <f t="shared" si="30"/>
        <v>4285780</v>
      </c>
      <c r="Y284" s="1">
        <v>1705216</v>
      </c>
      <c r="AA284" s="1">
        <v>21871855</v>
      </c>
      <c r="AC284" s="1">
        <f t="shared" si="25"/>
        <v>0</v>
      </c>
      <c r="AE284" s="3">
        <f t="shared" si="24"/>
        <v>0</v>
      </c>
    </row>
    <row r="285" spans="1:31">
      <c r="A285" s="17" t="s">
        <v>577</v>
      </c>
      <c r="B285" s="17"/>
      <c r="C285" s="17" t="s">
        <v>62</v>
      </c>
      <c r="D285" s="17"/>
      <c r="E285" s="13">
        <v>49866</v>
      </c>
      <c r="G285" s="1">
        <f t="shared" si="28"/>
        <v>25023204</v>
      </c>
      <c r="I285" s="1">
        <v>36043734</v>
      </c>
      <c r="K285" s="1">
        <v>61066938</v>
      </c>
      <c r="M285" s="1">
        <f t="shared" si="31"/>
        <v>18746389</v>
      </c>
      <c r="O285" s="1">
        <f>1327156+1064</f>
        <v>1328220</v>
      </c>
      <c r="Q285" s="1">
        <f>25940185+9688-1327156-1064</f>
        <v>24621653</v>
      </c>
      <c r="S285" s="1">
        <v>44696262</v>
      </c>
      <c r="U285" s="1">
        <v>12747263</v>
      </c>
      <c r="W285" s="1">
        <f t="shared" si="30"/>
        <v>1569470</v>
      </c>
      <c r="Y285" s="1">
        <v>2053943</v>
      </c>
      <c r="AA285" s="1">
        <v>16370676</v>
      </c>
      <c r="AC285" s="1">
        <f t="shared" si="25"/>
        <v>0</v>
      </c>
      <c r="AE285" s="3">
        <f t="shared" si="24"/>
        <v>0</v>
      </c>
    </row>
    <row r="286" spans="1:31" hidden="1">
      <c r="A286" s="12" t="s">
        <v>939</v>
      </c>
      <c r="B286" s="17"/>
      <c r="C286" s="17" t="s">
        <v>72</v>
      </c>
      <c r="D286" s="17"/>
      <c r="E286" s="13">
        <v>50690</v>
      </c>
      <c r="G286" s="1">
        <f t="shared" si="28"/>
        <v>0</v>
      </c>
      <c r="M286" s="1">
        <f t="shared" si="31"/>
        <v>0</v>
      </c>
      <c r="W286" s="1">
        <f t="shared" si="30"/>
        <v>0</v>
      </c>
      <c r="AC286" s="1">
        <f t="shared" si="25"/>
        <v>0</v>
      </c>
      <c r="AE286" s="3">
        <f t="shared" si="24"/>
        <v>0</v>
      </c>
    </row>
    <row r="287" spans="1:31">
      <c r="A287" s="17" t="s">
        <v>608</v>
      </c>
      <c r="B287" s="17"/>
      <c r="C287" s="17" t="s">
        <v>64</v>
      </c>
      <c r="D287" s="17"/>
      <c r="E287" s="13">
        <v>50187</v>
      </c>
      <c r="G287" s="1">
        <f t="shared" si="28"/>
        <v>9893288</v>
      </c>
      <c r="I287" s="1">
        <v>6185594</v>
      </c>
      <c r="K287" s="1">
        <v>16078882</v>
      </c>
      <c r="M287" s="1">
        <f t="shared" si="31"/>
        <v>8052170</v>
      </c>
      <c r="O287" s="1">
        <v>321909</v>
      </c>
      <c r="Q287" s="1">
        <f>6101569-321909</f>
        <v>5779660</v>
      </c>
      <c r="S287" s="1">
        <v>14153739</v>
      </c>
      <c r="U287" s="1">
        <v>3047778</v>
      </c>
      <c r="W287" s="1">
        <f t="shared" si="30"/>
        <v>960297</v>
      </c>
      <c r="Y287" s="1">
        <v>-2082932</v>
      </c>
      <c r="AA287" s="1">
        <v>1925143</v>
      </c>
      <c r="AC287" s="1">
        <f t="shared" si="25"/>
        <v>0</v>
      </c>
      <c r="AE287" s="3">
        <f t="shared" si="24"/>
        <v>0</v>
      </c>
    </row>
    <row r="288" spans="1:31">
      <c r="A288" s="17" t="s">
        <v>293</v>
      </c>
      <c r="B288" s="17"/>
      <c r="C288" s="17" t="s">
        <v>20</v>
      </c>
      <c r="D288" s="17"/>
      <c r="E288" s="13">
        <v>44198</v>
      </c>
      <c r="G288" s="1">
        <f>+K288-I288</f>
        <v>72993837</v>
      </c>
      <c r="I288" s="1">
        <v>138783030</v>
      </c>
      <c r="K288" s="1">
        <v>211776867</v>
      </c>
      <c r="M288" s="1">
        <f t="shared" si="31"/>
        <v>51571838</v>
      </c>
      <c r="O288" s="1">
        <f>6230901+952</f>
        <v>6231853</v>
      </c>
      <c r="Q288" s="1">
        <f>139885639+103933-6230901-952</f>
        <v>133757719</v>
      </c>
      <c r="S288" s="1">
        <v>191561410</v>
      </c>
      <c r="U288" s="1">
        <v>20793683</v>
      </c>
      <c r="W288" s="1">
        <f t="shared" si="30"/>
        <v>9179008</v>
      </c>
      <c r="Y288" s="1">
        <v>-9757234</v>
      </c>
      <c r="AA288" s="1">
        <v>20215457</v>
      </c>
      <c r="AC288" s="1">
        <f t="shared" si="25"/>
        <v>0</v>
      </c>
      <c r="AE288" s="3">
        <f t="shared" si="24"/>
        <v>0</v>
      </c>
    </row>
    <row r="289" spans="1:31">
      <c r="A289" s="17" t="s">
        <v>763</v>
      </c>
      <c r="B289" s="17"/>
      <c r="C289" s="17" t="s">
        <v>42</v>
      </c>
      <c r="D289" s="17"/>
      <c r="E289" s="13">
        <v>47993</v>
      </c>
      <c r="G289" s="1">
        <f t="shared" si="28"/>
        <v>17314432</v>
      </c>
      <c r="I289" s="1">
        <v>15297348</v>
      </c>
      <c r="K289" s="1">
        <v>32611780</v>
      </c>
      <c r="M289" s="1">
        <f t="shared" si="31"/>
        <v>10927978</v>
      </c>
      <c r="O289" s="1">
        <v>827816</v>
      </c>
      <c r="Q289" s="1">
        <f>13611053+16541-827816</f>
        <v>12799778</v>
      </c>
      <c r="S289" s="1">
        <v>24555572</v>
      </c>
      <c r="U289" s="1">
        <v>3220637</v>
      </c>
      <c r="W289" s="1">
        <f t="shared" si="30"/>
        <v>1082006</v>
      </c>
      <c r="Y289" s="1">
        <v>3753565</v>
      </c>
      <c r="AA289" s="1">
        <v>8056208</v>
      </c>
      <c r="AC289" s="1">
        <f t="shared" si="25"/>
        <v>0</v>
      </c>
      <c r="AE289" s="3">
        <f t="shared" si="24"/>
        <v>0</v>
      </c>
    </row>
    <row r="290" spans="1:31">
      <c r="A290" s="17" t="s">
        <v>230</v>
      </c>
      <c r="B290" s="17"/>
      <c r="C290" s="17" t="s">
        <v>227</v>
      </c>
      <c r="D290" s="17"/>
      <c r="E290" s="13">
        <v>46110</v>
      </c>
      <c r="G290" s="1">
        <f t="shared" si="28"/>
        <v>167952643</v>
      </c>
      <c r="I290" s="1">
        <v>193413517</v>
      </c>
      <c r="K290" s="1">
        <v>361366160</v>
      </c>
      <c r="M290" s="1">
        <f t="shared" si="31"/>
        <v>124019266</v>
      </c>
      <c r="O290" s="1">
        <f>6844535+16083</f>
        <v>6860618</v>
      </c>
      <c r="Q290" s="1">
        <f>181345036+85948-6844535-16083</f>
        <v>174570366</v>
      </c>
      <c r="S290" s="1">
        <v>305450250</v>
      </c>
      <c r="U290" s="1">
        <v>30152263</v>
      </c>
      <c r="W290" s="1">
        <f t="shared" si="30"/>
        <v>9608553</v>
      </c>
      <c r="Y290" s="1">
        <v>16155094</v>
      </c>
      <c r="AA290" s="1">
        <v>55915910</v>
      </c>
      <c r="AC290" s="1">
        <f t="shared" si="25"/>
        <v>0</v>
      </c>
      <c r="AE290" s="3">
        <f t="shared" si="24"/>
        <v>0</v>
      </c>
    </row>
    <row r="291" spans="1:31">
      <c r="A291" s="17" t="s">
        <v>842</v>
      </c>
      <c r="B291" s="17"/>
      <c r="C291" s="17" t="s">
        <v>79</v>
      </c>
      <c r="D291" s="17"/>
      <c r="E291" s="13">
        <v>49569</v>
      </c>
      <c r="G291" s="1">
        <f>+K291-I291</f>
        <v>27499825</v>
      </c>
      <c r="I291" s="1">
        <v>18601550</v>
      </c>
      <c r="K291" s="1">
        <v>46101375</v>
      </c>
      <c r="M291" s="1">
        <f t="shared" si="31"/>
        <v>5720124</v>
      </c>
      <c r="O291" s="1">
        <v>670927</v>
      </c>
      <c r="Q291" s="1">
        <f>19911197-670927</f>
        <v>19240270</v>
      </c>
      <c r="S291" s="1">
        <v>25631321</v>
      </c>
      <c r="U291" s="1">
        <v>3357466</v>
      </c>
      <c r="W291" s="1">
        <f t="shared" si="30"/>
        <v>21179614</v>
      </c>
      <c r="Y291" s="1">
        <v>-4067026</v>
      </c>
      <c r="AA291" s="1">
        <v>20470054</v>
      </c>
      <c r="AC291" s="1">
        <f t="shared" si="25"/>
        <v>0</v>
      </c>
      <c r="AE291" s="3">
        <f t="shared" si="24"/>
        <v>0</v>
      </c>
    </row>
    <row r="292" spans="1:31">
      <c r="A292" s="17" t="s">
        <v>325</v>
      </c>
      <c r="B292" s="17"/>
      <c r="C292" s="17" t="s">
        <v>25</v>
      </c>
      <c r="D292" s="17"/>
      <c r="E292" s="13">
        <v>44206</v>
      </c>
      <c r="G292" s="1">
        <f t="shared" si="28"/>
        <v>62670513</v>
      </c>
      <c r="I292" s="1">
        <v>10699533</v>
      </c>
      <c r="K292" s="1">
        <v>73370046</v>
      </c>
      <c r="M292" s="1">
        <f t="shared" si="31"/>
        <v>25007767</v>
      </c>
      <c r="O292" s="1">
        <v>548199</v>
      </c>
      <c r="Q292" s="1">
        <f>3613752-548199</f>
        <v>3065553</v>
      </c>
      <c r="S292" s="1">
        <v>28621519</v>
      </c>
      <c r="U292" s="1">
        <v>10037560</v>
      </c>
      <c r="W292" s="1">
        <f t="shared" si="30"/>
        <v>1545062</v>
      </c>
      <c r="Y292" s="1">
        <v>33165905</v>
      </c>
      <c r="AA292" s="1">
        <v>44748527</v>
      </c>
      <c r="AC292" s="1">
        <f t="shared" si="25"/>
        <v>0</v>
      </c>
      <c r="AE292" s="3">
        <f t="shared" ref="AE292:AE319" si="32">+G292+I292+-M292-O292-U292-W292-Y292-Q292</f>
        <v>0</v>
      </c>
    </row>
    <row r="293" spans="1:31" hidden="1">
      <c r="A293" s="17" t="s">
        <v>940</v>
      </c>
      <c r="B293" s="17"/>
      <c r="C293" s="17" t="s">
        <v>69</v>
      </c>
      <c r="D293" s="17"/>
      <c r="E293" s="13">
        <v>44214</v>
      </c>
      <c r="G293" s="1">
        <f t="shared" ref="G293:G308" si="33">+K293-I293</f>
        <v>0</v>
      </c>
      <c r="M293" s="1">
        <f t="shared" si="31"/>
        <v>0</v>
      </c>
      <c r="W293" s="1">
        <f t="shared" si="30"/>
        <v>0</v>
      </c>
      <c r="AC293" s="1">
        <f t="shared" si="25"/>
        <v>0</v>
      </c>
      <c r="AE293" s="3">
        <f t="shared" si="32"/>
        <v>0</v>
      </c>
    </row>
    <row r="294" spans="1:31">
      <c r="A294" s="17" t="s">
        <v>354</v>
      </c>
      <c r="B294" s="17"/>
      <c r="C294" s="17" t="s">
        <v>30</v>
      </c>
      <c r="D294" s="17"/>
      <c r="E294" s="13">
        <v>47209</v>
      </c>
      <c r="F294" s="8"/>
      <c r="G294" s="1">
        <f t="shared" si="28"/>
        <v>2215837</v>
      </c>
      <c r="I294" s="1">
        <v>1190469</v>
      </c>
      <c r="K294" s="1">
        <v>3406306</v>
      </c>
      <c r="M294" s="1">
        <f t="shared" si="31"/>
        <v>2715515</v>
      </c>
      <c r="O294" s="1">
        <v>65623</v>
      </c>
      <c r="Q294" s="1">
        <f>297586-65623</f>
        <v>231963</v>
      </c>
      <c r="S294" s="1">
        <v>3013101</v>
      </c>
      <c r="U294" s="1">
        <v>1190469</v>
      </c>
      <c r="W294" s="1">
        <f t="shared" si="30"/>
        <v>1046741</v>
      </c>
      <c r="Y294" s="1">
        <v>-1844005</v>
      </c>
      <c r="AA294" s="1">
        <v>393205</v>
      </c>
      <c r="AC294" s="1">
        <f t="shared" si="25"/>
        <v>0</v>
      </c>
      <c r="AE294" s="3">
        <f t="shared" si="32"/>
        <v>0</v>
      </c>
    </row>
    <row r="295" spans="1:31" hidden="1">
      <c r="A295" s="12" t="s">
        <v>941</v>
      </c>
      <c r="B295" s="17"/>
      <c r="C295" s="17" t="s">
        <v>114</v>
      </c>
      <c r="D295" s="17"/>
      <c r="E295" s="13"/>
      <c r="G295" s="1">
        <f t="shared" si="28"/>
        <v>0</v>
      </c>
      <c r="M295" s="1">
        <f t="shared" ref="M295" si="34">+S295-O295-Q295</f>
        <v>0</v>
      </c>
      <c r="W295" s="1">
        <f t="shared" ref="W295" si="35">AA295-Y295-U295</f>
        <v>0</v>
      </c>
      <c r="AC295" s="1">
        <f t="shared" ref="AC295" si="36">+K295-S295-AA295</f>
        <v>0</v>
      </c>
      <c r="AE295" s="3">
        <f t="shared" ref="AE295" si="37">+G295+I295+-M295-O295-U295-W295-Y295-Q295</f>
        <v>0</v>
      </c>
    </row>
    <row r="296" spans="1:31" hidden="1">
      <c r="A296" s="17" t="s">
        <v>843</v>
      </c>
      <c r="B296" s="17"/>
      <c r="C296" s="17" t="s">
        <v>542</v>
      </c>
      <c r="D296" s="17"/>
      <c r="E296" s="13">
        <v>49353</v>
      </c>
      <c r="G296" s="1">
        <f t="shared" si="33"/>
        <v>0</v>
      </c>
      <c r="M296" s="1">
        <f t="shared" si="31"/>
        <v>0</v>
      </c>
      <c r="W296" s="1">
        <f t="shared" si="30"/>
        <v>0</v>
      </c>
      <c r="AC296" s="1">
        <f t="shared" si="25"/>
        <v>0</v>
      </c>
      <c r="AE296" s="3">
        <f t="shared" si="32"/>
        <v>0</v>
      </c>
    </row>
    <row r="297" spans="1:31" hidden="1">
      <c r="A297" s="17" t="s">
        <v>942</v>
      </c>
      <c r="B297" s="17"/>
      <c r="C297" s="17" t="s">
        <v>112</v>
      </c>
      <c r="D297" s="17"/>
      <c r="E297" s="13">
        <v>49437</v>
      </c>
      <c r="G297" s="1">
        <f t="shared" si="33"/>
        <v>0</v>
      </c>
      <c r="M297" s="1">
        <f t="shared" si="31"/>
        <v>0</v>
      </c>
      <c r="W297" s="1">
        <f t="shared" si="30"/>
        <v>0</v>
      </c>
      <c r="AC297" s="1">
        <f t="shared" ref="AC297:AC319" si="38">+K297-S297-AA297</f>
        <v>0</v>
      </c>
      <c r="AE297" s="3">
        <f t="shared" si="32"/>
        <v>0</v>
      </c>
    </row>
    <row r="298" spans="1:31">
      <c r="A298" s="17" t="s">
        <v>391</v>
      </c>
      <c r="B298" s="17"/>
      <c r="C298" s="17" t="s">
        <v>34</v>
      </c>
      <c r="D298" s="17"/>
      <c r="E298" s="13">
        <v>47589</v>
      </c>
      <c r="G298" s="1">
        <f t="shared" si="33"/>
        <v>11239797</v>
      </c>
      <c r="I298" s="1">
        <v>7938106</v>
      </c>
      <c r="K298" s="1">
        <v>19177903</v>
      </c>
      <c r="M298" s="1">
        <f t="shared" si="31"/>
        <v>5569246</v>
      </c>
      <c r="O298" s="1">
        <v>387856</v>
      </c>
      <c r="Q298" s="1">
        <f>3369182-387856</f>
        <v>2981326</v>
      </c>
      <c r="S298" s="1">
        <v>8938428</v>
      </c>
      <c r="U298" s="1">
        <v>5220050</v>
      </c>
      <c r="W298" s="1">
        <f t="shared" si="30"/>
        <v>758819</v>
      </c>
      <c r="Y298" s="1">
        <v>4260606</v>
      </c>
      <c r="AA298" s="1">
        <v>10239475</v>
      </c>
      <c r="AC298" s="1">
        <f t="shared" si="38"/>
        <v>0</v>
      </c>
      <c r="AE298" s="3">
        <f t="shared" si="32"/>
        <v>0</v>
      </c>
    </row>
    <row r="299" spans="1:31">
      <c r="A299" s="17" t="s">
        <v>609</v>
      </c>
      <c r="B299" s="17"/>
      <c r="C299" s="17" t="s">
        <v>64</v>
      </c>
      <c r="D299" s="17"/>
      <c r="E299" s="13">
        <v>50195</v>
      </c>
      <c r="G299" s="1">
        <f t="shared" si="33"/>
        <v>15291984</v>
      </c>
      <c r="I299" s="1">
        <v>10917774</v>
      </c>
      <c r="K299" s="1">
        <v>26209758</v>
      </c>
      <c r="M299" s="1">
        <f t="shared" si="31"/>
        <v>15165462</v>
      </c>
      <c r="O299" s="1">
        <v>854860</v>
      </c>
      <c r="Q299" s="1">
        <f>9399141-854860</f>
        <v>8544281</v>
      </c>
      <c r="S299" s="1">
        <v>24564603</v>
      </c>
      <c r="U299" s="1">
        <v>4138185</v>
      </c>
      <c r="W299" s="1">
        <f t="shared" si="30"/>
        <v>2203996</v>
      </c>
      <c r="Y299" s="1">
        <v>-4697026</v>
      </c>
      <c r="AA299" s="1">
        <v>1645155</v>
      </c>
      <c r="AC299" s="1">
        <f t="shared" si="38"/>
        <v>0</v>
      </c>
      <c r="AE299" s="3">
        <f t="shared" si="32"/>
        <v>0</v>
      </c>
    </row>
    <row r="300" spans="1:31">
      <c r="A300" s="17" t="s">
        <v>768</v>
      </c>
      <c r="B300" s="17"/>
      <c r="C300" s="17" t="s">
        <v>25</v>
      </c>
      <c r="D300" s="17"/>
      <c r="E300" s="13">
        <v>46888</v>
      </c>
      <c r="G300" s="1">
        <f t="shared" si="33"/>
        <v>35752818</v>
      </c>
      <c r="I300" s="1">
        <v>10685134</v>
      </c>
      <c r="K300" s="1">
        <v>46437952</v>
      </c>
      <c r="M300" s="1">
        <f t="shared" si="31"/>
        <v>5202105</v>
      </c>
      <c r="O300" s="1">
        <v>710568</v>
      </c>
      <c r="Q300" s="1">
        <f>13136910-710568</f>
        <v>12426342</v>
      </c>
      <c r="S300" s="1">
        <v>18339015</v>
      </c>
      <c r="U300" s="1">
        <v>1914324</v>
      </c>
      <c r="W300" s="1">
        <f t="shared" si="30"/>
        <v>21932101</v>
      </c>
      <c r="Y300" s="1">
        <v>4252512</v>
      </c>
      <c r="AA300" s="1">
        <v>28098937</v>
      </c>
      <c r="AC300" s="1">
        <f t="shared" si="38"/>
        <v>0</v>
      </c>
      <c r="AE300" s="3">
        <f t="shared" si="32"/>
        <v>0</v>
      </c>
    </row>
    <row r="301" spans="1:31">
      <c r="A301" s="17" t="s">
        <v>381</v>
      </c>
      <c r="B301" s="17"/>
      <c r="C301" s="17" t="s">
        <v>33</v>
      </c>
      <c r="D301" s="17"/>
      <c r="E301" s="13">
        <v>47449</v>
      </c>
      <c r="G301" s="1">
        <f t="shared" si="33"/>
        <v>10762748</v>
      </c>
      <c r="I301" s="1">
        <v>10287511</v>
      </c>
      <c r="K301" s="1">
        <v>21050259</v>
      </c>
      <c r="M301" s="1">
        <f t="shared" si="31"/>
        <v>5575330</v>
      </c>
      <c r="O301" s="1">
        <v>125876</v>
      </c>
      <c r="Q301" s="1">
        <f>4769378-125876</f>
        <v>4643502</v>
      </c>
      <c r="S301" s="1">
        <v>10344708</v>
      </c>
      <c r="U301" s="1">
        <v>8363916</v>
      </c>
      <c r="W301" s="1">
        <f t="shared" si="30"/>
        <v>1065693</v>
      </c>
      <c r="Y301" s="1">
        <v>1275942</v>
      </c>
      <c r="AA301" s="1">
        <v>10705551</v>
      </c>
      <c r="AC301" s="1">
        <f t="shared" si="38"/>
        <v>0</v>
      </c>
      <c r="AE301" s="3">
        <f t="shared" si="32"/>
        <v>0</v>
      </c>
    </row>
    <row r="302" spans="1:31">
      <c r="A302" s="17" t="s">
        <v>429</v>
      </c>
      <c r="B302" s="17"/>
      <c r="C302" s="17" t="s">
        <v>42</v>
      </c>
      <c r="D302" s="17"/>
      <c r="E302" s="13">
        <v>48009</v>
      </c>
      <c r="G302" s="1">
        <f t="shared" si="33"/>
        <v>28391527</v>
      </c>
      <c r="I302" s="1">
        <v>58602098</v>
      </c>
      <c r="K302" s="1">
        <v>86993625</v>
      </c>
      <c r="M302" s="1">
        <f t="shared" si="31"/>
        <v>16832699</v>
      </c>
      <c r="O302" s="1">
        <v>979356</v>
      </c>
      <c r="Q302" s="1">
        <f>59840393-979356</f>
        <v>58861037</v>
      </c>
      <c r="S302" s="1">
        <v>76673092</v>
      </c>
      <c r="U302" s="1">
        <v>5466825</v>
      </c>
      <c r="W302" s="1">
        <f>AA302-Y302-U302</f>
        <v>2451730</v>
      </c>
      <c r="Y302" s="1">
        <v>2401978</v>
      </c>
      <c r="AA302" s="1">
        <v>10320533</v>
      </c>
      <c r="AC302" s="1">
        <f t="shared" si="38"/>
        <v>0</v>
      </c>
      <c r="AE302" s="3">
        <f t="shared" si="32"/>
        <v>0</v>
      </c>
    </row>
    <row r="303" spans="1:31">
      <c r="A303" s="17" t="s">
        <v>430</v>
      </c>
      <c r="B303" s="17"/>
      <c r="C303" s="17" t="s">
        <v>42</v>
      </c>
      <c r="D303" s="17"/>
      <c r="E303" s="13">
        <v>48017</v>
      </c>
      <c r="G303" s="1">
        <f t="shared" si="33"/>
        <v>13456674</v>
      </c>
      <c r="I303" s="1">
        <v>40060498</v>
      </c>
      <c r="K303" s="1">
        <v>53517172</v>
      </c>
      <c r="M303" s="1">
        <f t="shared" si="31"/>
        <v>5826719</v>
      </c>
      <c r="O303" s="1">
        <v>1143339</v>
      </c>
      <c r="Q303" s="1">
        <f>15390904-1143339</f>
        <v>14247565</v>
      </c>
      <c r="S303" s="1">
        <v>21217623</v>
      </c>
      <c r="U303" s="1">
        <v>26736835</v>
      </c>
      <c r="W303" s="1">
        <f>AA303-Y303-U303</f>
        <v>556682</v>
      </c>
      <c r="Y303" s="1">
        <v>5006032</v>
      </c>
      <c r="AA303" s="1">
        <v>32299549</v>
      </c>
      <c r="AC303" s="1">
        <f t="shared" si="38"/>
        <v>0</v>
      </c>
      <c r="AE303" s="3">
        <f t="shared" si="32"/>
        <v>0</v>
      </c>
    </row>
    <row r="304" spans="1:31" hidden="1">
      <c r="A304" s="12" t="s">
        <v>845</v>
      </c>
      <c r="B304" s="12"/>
      <c r="C304" s="12" t="s">
        <v>10</v>
      </c>
      <c r="D304" s="17"/>
      <c r="E304" s="13"/>
      <c r="G304" s="1">
        <f t="shared" si="33"/>
        <v>0</v>
      </c>
      <c r="M304" s="1">
        <f t="shared" si="31"/>
        <v>0</v>
      </c>
      <c r="W304" s="1">
        <f t="shared" ref="W304:W306" si="39">AA304-Y304-U304</f>
        <v>0</v>
      </c>
      <c r="AC304" s="1">
        <f t="shared" si="38"/>
        <v>0</v>
      </c>
      <c r="AE304" s="3">
        <f t="shared" si="32"/>
        <v>0</v>
      </c>
    </row>
    <row r="305" spans="1:31">
      <c r="A305" s="17" t="s">
        <v>628</v>
      </c>
      <c r="B305" s="17"/>
      <c r="C305" s="17" t="s">
        <v>67</v>
      </c>
      <c r="D305" s="17"/>
      <c r="E305" s="13">
        <v>50369</v>
      </c>
      <c r="G305" s="1">
        <f t="shared" si="33"/>
        <v>14709747</v>
      </c>
      <c r="I305" s="1">
        <v>24443057</v>
      </c>
      <c r="K305" s="1">
        <v>39152804</v>
      </c>
      <c r="M305" s="1">
        <f t="shared" si="31"/>
        <v>3808632</v>
      </c>
      <c r="O305" s="1">
        <v>498570</v>
      </c>
      <c r="Q305" s="1">
        <f>12395607-498570</f>
        <v>11897037</v>
      </c>
      <c r="S305" s="1">
        <v>16204239</v>
      </c>
      <c r="U305" s="1">
        <v>13010875</v>
      </c>
      <c r="W305" s="1">
        <f t="shared" si="39"/>
        <v>1844732</v>
      </c>
      <c r="Y305" s="1">
        <v>8092958</v>
      </c>
      <c r="AA305" s="1">
        <v>22948565</v>
      </c>
      <c r="AC305" s="1">
        <f t="shared" si="38"/>
        <v>0</v>
      </c>
      <c r="AE305" s="3">
        <f t="shared" si="32"/>
        <v>0</v>
      </c>
    </row>
    <row r="306" spans="1:31">
      <c r="A306" s="17" t="s">
        <v>268</v>
      </c>
      <c r="B306" s="17"/>
      <c r="C306" s="17" t="s">
        <v>114</v>
      </c>
      <c r="D306" s="17"/>
      <c r="E306" s="13">
        <v>45450</v>
      </c>
      <c r="G306" s="1">
        <f t="shared" si="33"/>
        <v>7685529</v>
      </c>
      <c r="I306" s="1">
        <v>21330689</v>
      </c>
      <c r="K306" s="1">
        <v>29016218</v>
      </c>
      <c r="M306" s="1">
        <f t="shared" si="31"/>
        <v>2752598</v>
      </c>
      <c r="O306" s="1">
        <v>267220</v>
      </c>
      <c r="Q306" s="1">
        <f>5694699-267220</f>
        <v>5427479</v>
      </c>
      <c r="S306" s="1">
        <v>8447297</v>
      </c>
      <c r="U306" s="1">
        <v>16264720</v>
      </c>
      <c r="W306" s="1">
        <f t="shared" si="39"/>
        <v>1429106</v>
      </c>
      <c r="Y306" s="1">
        <v>2875095</v>
      </c>
      <c r="AA306" s="1">
        <v>20568921</v>
      </c>
      <c r="AC306" s="1">
        <f t="shared" si="38"/>
        <v>0</v>
      </c>
      <c r="AE306" s="3">
        <f t="shared" si="32"/>
        <v>0</v>
      </c>
    </row>
    <row r="307" spans="1:31">
      <c r="A307" s="12" t="s">
        <v>634</v>
      </c>
      <c r="B307" s="12"/>
      <c r="C307" s="12" t="s">
        <v>69</v>
      </c>
      <c r="D307" s="12"/>
      <c r="E307" s="12">
        <v>50443</v>
      </c>
      <c r="G307" s="1">
        <f t="shared" si="33"/>
        <v>34083255</v>
      </c>
      <c r="I307" s="1">
        <v>75580826</v>
      </c>
      <c r="K307" s="1">
        <v>109664081</v>
      </c>
      <c r="M307" s="1">
        <f t="shared" si="31"/>
        <v>40179565</v>
      </c>
      <c r="O307" s="1">
        <v>3970853</v>
      </c>
      <c r="Q307" s="1">
        <f>74852809-3970853</f>
        <v>70881956</v>
      </c>
      <c r="S307" s="1">
        <v>115032374</v>
      </c>
      <c r="U307" s="1">
        <v>-3419470</v>
      </c>
      <c r="W307" s="1">
        <f>AA307-Y307-U307</f>
        <v>1229126</v>
      </c>
      <c r="Y307" s="1">
        <v>-3177949</v>
      </c>
      <c r="AA307" s="1">
        <v>-5368293</v>
      </c>
      <c r="AC307" s="1">
        <f t="shared" si="38"/>
        <v>0</v>
      </c>
      <c r="AE307" s="3">
        <f t="shared" si="32"/>
        <v>0</v>
      </c>
    </row>
    <row r="308" spans="1:31" hidden="1">
      <c r="A308" s="17" t="s">
        <v>943</v>
      </c>
      <c r="B308" s="17"/>
      <c r="C308" s="17" t="s">
        <v>32</v>
      </c>
      <c r="D308" s="17"/>
      <c r="E308" s="13">
        <v>44230</v>
      </c>
      <c r="G308" s="1">
        <f t="shared" si="33"/>
        <v>0</v>
      </c>
      <c r="M308" s="1">
        <f t="shared" si="31"/>
        <v>0</v>
      </c>
      <c r="W308" s="1">
        <f t="shared" ref="W308:W312" si="40">AA308-Y308-U308</f>
        <v>0</v>
      </c>
      <c r="AC308" s="1">
        <f t="shared" si="38"/>
        <v>0</v>
      </c>
      <c r="AE308" s="3">
        <f t="shared" si="32"/>
        <v>0</v>
      </c>
    </row>
    <row r="309" spans="1:31">
      <c r="A309" s="17" t="s">
        <v>526</v>
      </c>
      <c r="B309" s="17"/>
      <c r="C309" s="17" t="s">
        <v>54</v>
      </c>
      <c r="D309" s="17"/>
      <c r="E309" s="13">
        <v>49080</v>
      </c>
      <c r="G309" s="1">
        <f t="shared" ref="G309:G372" si="41">+K309-I309</f>
        <v>17217200</v>
      </c>
      <c r="I309" s="1">
        <v>3770848</v>
      </c>
      <c r="K309" s="1">
        <v>20988048</v>
      </c>
      <c r="M309" s="1">
        <f t="shared" si="31"/>
        <v>8616427</v>
      </c>
      <c r="O309" s="1">
        <v>89190</v>
      </c>
      <c r="Q309" s="1">
        <f>1309093-89190</f>
        <v>1219903</v>
      </c>
      <c r="S309" s="1">
        <v>9925520</v>
      </c>
      <c r="U309" s="1">
        <v>3770848</v>
      </c>
      <c r="W309" s="1">
        <f t="shared" si="40"/>
        <v>550797</v>
      </c>
      <c r="Y309" s="1">
        <v>6740883</v>
      </c>
      <c r="AA309" s="1">
        <v>11062528</v>
      </c>
      <c r="AC309" s="1">
        <f t="shared" si="38"/>
        <v>0</v>
      </c>
      <c r="AE309" s="3">
        <f t="shared" si="32"/>
        <v>0</v>
      </c>
    </row>
    <row r="310" spans="1:31">
      <c r="A310" s="17" t="s">
        <v>400</v>
      </c>
      <c r="B310" s="17"/>
      <c r="C310" s="17" t="s">
        <v>35</v>
      </c>
      <c r="D310" s="17"/>
      <c r="E310" s="13">
        <v>44248</v>
      </c>
      <c r="G310" s="1">
        <f t="shared" si="41"/>
        <v>32519226</v>
      </c>
      <c r="I310" s="1">
        <v>110545796</v>
      </c>
      <c r="K310" s="1">
        <v>143065022</v>
      </c>
      <c r="M310" s="1">
        <f t="shared" ref="M310:M373" si="42">+S310-O310-Q310</f>
        <v>16067778</v>
      </c>
      <c r="O310" s="1">
        <v>2602069</v>
      </c>
      <c r="Q310" s="1">
        <f>28491597-2602069</f>
        <v>25889528</v>
      </c>
      <c r="S310" s="1">
        <v>44559375</v>
      </c>
      <c r="U310" s="1">
        <v>87344015</v>
      </c>
      <c r="W310" s="1">
        <f t="shared" si="40"/>
        <v>10202450</v>
      </c>
      <c r="Y310" s="1">
        <v>959182</v>
      </c>
      <c r="AA310" s="1">
        <v>98505647</v>
      </c>
      <c r="AC310" s="1">
        <f t="shared" si="38"/>
        <v>0</v>
      </c>
      <c r="AE310" s="3">
        <f t="shared" si="32"/>
        <v>0</v>
      </c>
    </row>
    <row r="311" spans="1:31">
      <c r="A311" s="17" t="s">
        <v>460</v>
      </c>
      <c r="B311" s="17"/>
      <c r="C311" s="17" t="s">
        <v>458</v>
      </c>
      <c r="D311" s="17"/>
      <c r="E311" s="13">
        <v>44255</v>
      </c>
      <c r="G311" s="1">
        <f t="shared" si="41"/>
        <v>37529162</v>
      </c>
      <c r="I311" s="1">
        <v>38390241</v>
      </c>
      <c r="K311" s="1">
        <v>75919403</v>
      </c>
      <c r="M311" s="1">
        <f t="shared" si="42"/>
        <v>31740689</v>
      </c>
      <c r="O311" s="1">
        <v>2207019</v>
      </c>
      <c r="Q311" s="1">
        <f>25410995-22070109</f>
        <v>3340886</v>
      </c>
      <c r="S311" s="1">
        <v>37288594</v>
      </c>
      <c r="U311" s="1">
        <v>15324035</v>
      </c>
      <c r="W311" s="1">
        <f t="shared" si="40"/>
        <v>23222956</v>
      </c>
      <c r="Y311" s="1">
        <v>83818</v>
      </c>
      <c r="AA311" s="1">
        <v>38630809</v>
      </c>
      <c r="AC311" s="1">
        <f t="shared" si="38"/>
        <v>0</v>
      </c>
      <c r="AE311" s="3">
        <f t="shared" si="32"/>
        <v>0</v>
      </c>
    </row>
    <row r="312" spans="1:31">
      <c r="A312" s="17" t="s">
        <v>443</v>
      </c>
      <c r="B312" s="17"/>
      <c r="C312" s="17" t="s">
        <v>44</v>
      </c>
      <c r="D312" s="17"/>
      <c r="E312" s="13">
        <v>44263</v>
      </c>
      <c r="G312" s="1">
        <f>+K312-I312</f>
        <v>170271059</v>
      </c>
      <c r="I312" s="1">
        <v>106751555</v>
      </c>
      <c r="K312" s="1">
        <v>277022614</v>
      </c>
      <c r="M312" s="1">
        <f t="shared" si="42"/>
        <v>37834408</v>
      </c>
      <c r="O312" s="1">
        <v>4815510</v>
      </c>
      <c r="Q312" s="1">
        <f>51079331-4815510</f>
        <v>46263821</v>
      </c>
      <c r="S312" s="1">
        <v>88913739</v>
      </c>
      <c r="U312" s="1">
        <v>69648692</v>
      </c>
      <c r="W312" s="1">
        <f t="shared" si="40"/>
        <v>123743208</v>
      </c>
      <c r="Y312" s="1">
        <v>-5283025</v>
      </c>
      <c r="AA312" s="1">
        <v>188108875</v>
      </c>
      <c r="AC312" s="1">
        <f t="shared" si="38"/>
        <v>0</v>
      </c>
      <c r="AE312" s="3">
        <f t="shared" si="32"/>
        <v>0</v>
      </c>
    </row>
    <row r="313" spans="1:31">
      <c r="A313" s="17" t="s">
        <v>610</v>
      </c>
      <c r="B313" s="17"/>
      <c r="C313" s="17" t="s">
        <v>64</v>
      </c>
      <c r="D313" s="17"/>
      <c r="E313" s="13">
        <v>50203</v>
      </c>
      <c r="G313" s="1">
        <f t="shared" si="41"/>
        <v>5448274</v>
      </c>
      <c r="I313" s="1">
        <v>5363375</v>
      </c>
      <c r="K313" s="1">
        <v>10811649</v>
      </c>
      <c r="M313" s="1">
        <f t="shared" si="42"/>
        <v>4108821</v>
      </c>
      <c r="O313" s="1">
        <v>559532</v>
      </c>
      <c r="Q313" s="1">
        <f>2681199-559532</f>
        <v>2121667</v>
      </c>
      <c r="S313" s="1">
        <v>6790020</v>
      </c>
      <c r="U313" s="1">
        <v>3122521</v>
      </c>
      <c r="W313" s="1">
        <f t="shared" ref="W313:W375" si="43">AA313-Y313-U313</f>
        <v>209559</v>
      </c>
      <c r="Y313" s="1">
        <v>689549</v>
      </c>
      <c r="AA313" s="1">
        <v>4021629</v>
      </c>
      <c r="AC313" s="1">
        <f t="shared" si="38"/>
        <v>0</v>
      </c>
      <c r="AE313" s="3">
        <f t="shared" si="32"/>
        <v>0</v>
      </c>
    </row>
    <row r="314" spans="1:31">
      <c r="A314" s="17" t="s">
        <v>846</v>
      </c>
      <c r="B314" s="17"/>
      <c r="C314" s="17" t="s">
        <v>11</v>
      </c>
      <c r="D314" s="17"/>
      <c r="E314" s="13">
        <v>45468</v>
      </c>
      <c r="F314" s="8"/>
      <c r="G314" s="1">
        <f t="shared" si="41"/>
        <v>10378593</v>
      </c>
      <c r="I314" s="1">
        <v>3940285</v>
      </c>
      <c r="K314" s="1">
        <v>14318878</v>
      </c>
      <c r="M314" s="1">
        <f t="shared" si="42"/>
        <v>4557091</v>
      </c>
      <c r="O314" s="1">
        <v>283159</v>
      </c>
      <c r="Q314" s="1">
        <f>2742686-283159</f>
        <v>2459527</v>
      </c>
      <c r="S314" s="1">
        <v>7299777</v>
      </c>
      <c r="U314" s="1">
        <v>2804096</v>
      </c>
      <c r="W314" s="1">
        <f t="shared" si="43"/>
        <v>211741</v>
      </c>
      <c r="Y314" s="1">
        <v>4003264</v>
      </c>
      <c r="AA314" s="1">
        <v>7019101</v>
      </c>
      <c r="AC314" s="1">
        <f t="shared" si="38"/>
        <v>0</v>
      </c>
      <c r="AE314" s="3">
        <f t="shared" si="32"/>
        <v>0</v>
      </c>
    </row>
    <row r="315" spans="1:31">
      <c r="A315" s="17" t="s">
        <v>578</v>
      </c>
      <c r="B315" s="17"/>
      <c r="C315" s="17" t="s">
        <v>62</v>
      </c>
      <c r="D315" s="17"/>
      <c r="E315" s="13">
        <v>49874</v>
      </c>
      <c r="G315" s="1">
        <f t="shared" si="41"/>
        <v>60886805</v>
      </c>
      <c r="I315" s="1">
        <v>32048807</v>
      </c>
      <c r="K315" s="1">
        <v>92935612</v>
      </c>
      <c r="M315" s="1">
        <f t="shared" si="42"/>
        <v>11890087</v>
      </c>
      <c r="O315" s="1">
        <v>866025</v>
      </c>
      <c r="Q315" s="1">
        <f>34285860-866025</f>
        <v>33419835</v>
      </c>
      <c r="S315" s="1">
        <v>46175947</v>
      </c>
      <c r="U315" s="1">
        <v>7982661</v>
      </c>
      <c r="W315" s="1">
        <f t="shared" si="43"/>
        <v>38182559</v>
      </c>
      <c r="Y315" s="1">
        <v>594445</v>
      </c>
      <c r="AA315" s="1">
        <v>46759665</v>
      </c>
      <c r="AC315" s="1">
        <f t="shared" si="38"/>
        <v>0</v>
      </c>
      <c r="AE315" s="3">
        <f t="shared" si="32"/>
        <v>0</v>
      </c>
    </row>
    <row r="316" spans="1:31">
      <c r="A316" s="17" t="s">
        <v>366</v>
      </c>
      <c r="B316" s="17"/>
      <c r="C316" s="17" t="s">
        <v>32</v>
      </c>
      <c r="D316" s="17"/>
      <c r="E316" s="13">
        <v>44271</v>
      </c>
      <c r="F316" s="16"/>
      <c r="G316" s="1">
        <f>+K316-I316</f>
        <v>45813773</v>
      </c>
      <c r="I316" s="1">
        <v>51189903</v>
      </c>
      <c r="K316" s="1">
        <v>97003676</v>
      </c>
      <c r="M316" s="1">
        <f>+S316-O316-Q316</f>
        <v>34765090</v>
      </c>
      <c r="O316" s="1">
        <v>1541298</v>
      </c>
      <c r="Q316" s="1">
        <f>28047188-1541298</f>
        <v>26505890</v>
      </c>
      <c r="S316" s="1">
        <v>62812278</v>
      </c>
      <c r="U316" s="1">
        <v>20956745</v>
      </c>
      <c r="W316" s="1">
        <f t="shared" si="43"/>
        <v>3567049</v>
      </c>
      <c r="Y316" s="1">
        <v>9667604</v>
      </c>
      <c r="AA316" s="1">
        <v>34191398</v>
      </c>
      <c r="AC316" s="1">
        <f t="shared" si="38"/>
        <v>0</v>
      </c>
      <c r="AE316" s="3">
        <f t="shared" si="32"/>
        <v>0</v>
      </c>
    </row>
    <row r="317" spans="1:31">
      <c r="A317" s="17" t="s">
        <v>847</v>
      </c>
      <c r="B317" s="17"/>
      <c r="C317" s="17" t="s">
        <v>45</v>
      </c>
      <c r="D317" s="17"/>
      <c r="E317" s="13">
        <v>48330</v>
      </c>
      <c r="G317" s="1">
        <f t="shared" si="41"/>
        <v>5352714</v>
      </c>
      <c r="I317" s="1">
        <v>12694147</v>
      </c>
      <c r="K317" s="1">
        <v>18046861</v>
      </c>
      <c r="M317" s="1">
        <f t="shared" si="42"/>
        <v>1696003</v>
      </c>
      <c r="O317" s="1">
        <v>149718</v>
      </c>
      <c r="Q317" s="1">
        <f>2017417-149718</f>
        <v>1867699</v>
      </c>
      <c r="S317" s="1">
        <v>3713420</v>
      </c>
      <c r="U317" s="1">
        <v>11004201</v>
      </c>
      <c r="W317" s="1">
        <f t="shared" si="43"/>
        <v>1768917</v>
      </c>
      <c r="Y317" s="1">
        <v>1560323</v>
      </c>
      <c r="AA317" s="1">
        <v>14333441</v>
      </c>
      <c r="AC317" s="1">
        <f t="shared" si="38"/>
        <v>0</v>
      </c>
      <c r="AE317" s="3">
        <f t="shared" si="32"/>
        <v>0</v>
      </c>
    </row>
    <row r="318" spans="1:31">
      <c r="A318" s="17" t="s">
        <v>544</v>
      </c>
      <c r="B318" s="17"/>
      <c r="C318" s="17" t="s">
        <v>112</v>
      </c>
      <c r="D318" s="17"/>
      <c r="E318" s="13">
        <v>49445</v>
      </c>
      <c r="G318" s="1">
        <f>+K318-I318</f>
        <v>5614917</v>
      </c>
      <c r="I318" s="1">
        <v>1146460</v>
      </c>
      <c r="K318" s="1">
        <v>6761377</v>
      </c>
      <c r="M318" s="1">
        <f t="shared" si="42"/>
        <v>2231953</v>
      </c>
      <c r="O318" s="1">
        <v>31961</v>
      </c>
      <c r="Q318" s="1">
        <f>189405-31961</f>
        <v>157444</v>
      </c>
      <c r="S318" s="1">
        <v>2421358</v>
      </c>
      <c r="U318" s="1">
        <v>1146460</v>
      </c>
      <c r="W318" s="1">
        <f t="shared" si="43"/>
        <v>757613</v>
      </c>
      <c r="Y318" s="1">
        <v>2435946</v>
      </c>
      <c r="AA318" s="1">
        <v>4340019</v>
      </c>
      <c r="AC318" s="1">
        <f t="shared" si="38"/>
        <v>0</v>
      </c>
      <c r="AE318" s="3">
        <f t="shared" si="32"/>
        <v>0</v>
      </c>
    </row>
    <row r="319" spans="1:31">
      <c r="A319" s="17" t="s">
        <v>399</v>
      </c>
      <c r="B319" s="17"/>
      <c r="C319" s="17" t="s">
        <v>395</v>
      </c>
      <c r="D319" s="17"/>
      <c r="E319" s="13">
        <v>47639</v>
      </c>
      <c r="G319" s="1">
        <f t="shared" si="41"/>
        <v>11566694</v>
      </c>
      <c r="I319" s="1">
        <v>19422601</v>
      </c>
      <c r="K319" s="1">
        <v>30989295</v>
      </c>
      <c r="M319" s="1">
        <f t="shared" si="42"/>
        <v>3207757</v>
      </c>
      <c r="O319" s="1">
        <v>151007</v>
      </c>
      <c r="Q319" s="1">
        <f>2056577-151007</f>
        <v>1905570</v>
      </c>
      <c r="S319" s="1">
        <v>5264334</v>
      </c>
      <c r="U319" s="1">
        <v>17982597</v>
      </c>
      <c r="W319" s="1">
        <f t="shared" si="43"/>
        <v>1536369</v>
      </c>
      <c r="Y319" s="1">
        <v>6205995</v>
      </c>
      <c r="AA319" s="1">
        <v>25724961</v>
      </c>
      <c r="AC319" s="1">
        <f t="shared" si="38"/>
        <v>0</v>
      </c>
      <c r="AE319" s="3">
        <f t="shared" si="32"/>
        <v>0</v>
      </c>
    </row>
    <row r="320" spans="1:31">
      <c r="A320" s="12" t="s">
        <v>892</v>
      </c>
      <c r="B320" s="17"/>
      <c r="C320" s="17" t="s">
        <v>50</v>
      </c>
      <c r="D320" s="17"/>
      <c r="E320" s="13">
        <v>48702</v>
      </c>
      <c r="G320" s="1">
        <f t="shared" si="41"/>
        <v>29910580</v>
      </c>
      <c r="I320" s="1">
        <f>916000+78054401</f>
        <v>78970401</v>
      </c>
      <c r="K320" s="1">
        <v>108880981</v>
      </c>
      <c r="M320" s="1">
        <f t="shared" si="42"/>
        <v>13494104</v>
      </c>
      <c r="O320" s="1">
        <v>1398949</v>
      </c>
      <c r="Q320" s="1">
        <v>15622391</v>
      </c>
      <c r="S320" s="1">
        <v>30515444</v>
      </c>
      <c r="U320" s="1">
        <v>65139660</v>
      </c>
      <c r="W320" s="1">
        <f t="shared" si="43"/>
        <v>5627172</v>
      </c>
      <c r="Y320" s="1">
        <v>7598705</v>
      </c>
      <c r="AA320" s="1">
        <v>78365537</v>
      </c>
      <c r="AC320" s="1">
        <f t="shared" ref="AC320:AC367" si="44">+K320-S320-AA320</f>
        <v>0</v>
      </c>
      <c r="AE320" s="3">
        <f t="shared" ref="AE320:AE362" si="45">+G320+I320+-M320-O320-U320-W320-Y320-Q320</f>
        <v>0</v>
      </c>
    </row>
    <row r="321" spans="1:31">
      <c r="A321" s="17" t="s">
        <v>367</v>
      </c>
      <c r="B321" s="17"/>
      <c r="C321" s="17" t="s">
        <v>32</v>
      </c>
      <c r="D321" s="17"/>
      <c r="E321" s="13">
        <v>44289</v>
      </c>
      <c r="G321" s="1">
        <f t="shared" si="41"/>
        <v>23613273</v>
      </c>
      <c r="I321" s="1">
        <f>1056058+29189861</f>
        <v>30245919</v>
      </c>
      <c r="K321" s="1">
        <v>53859192</v>
      </c>
      <c r="M321" s="1">
        <f t="shared" si="42"/>
        <v>10713394</v>
      </c>
      <c r="O321" s="1">
        <v>1660900</v>
      </c>
      <c r="Q321" s="1">
        <v>28772624</v>
      </c>
      <c r="S321" s="1">
        <v>41146918</v>
      </c>
      <c r="U321" s="1">
        <v>1403540</v>
      </c>
      <c r="W321" s="1">
        <f t="shared" si="43"/>
        <v>4997513</v>
      </c>
      <c r="Y321" s="1">
        <v>6311221</v>
      </c>
      <c r="AA321" s="1">
        <v>12712274</v>
      </c>
      <c r="AC321" s="1">
        <f t="shared" si="44"/>
        <v>0</v>
      </c>
      <c r="AE321" s="3">
        <f t="shared" si="45"/>
        <v>0</v>
      </c>
    </row>
    <row r="322" spans="1:31">
      <c r="A322" s="17" t="s">
        <v>231</v>
      </c>
      <c r="B322" s="17"/>
      <c r="C322" s="17" t="s">
        <v>227</v>
      </c>
      <c r="D322" s="17"/>
      <c r="E322" s="13">
        <v>46128</v>
      </c>
      <c r="G322" s="1">
        <f t="shared" si="41"/>
        <v>19691104</v>
      </c>
      <c r="I322" s="1">
        <f>14361650+12049524</f>
        <v>26411174</v>
      </c>
      <c r="K322" s="1">
        <v>46102278</v>
      </c>
      <c r="M322" s="1">
        <f t="shared" si="42"/>
        <v>6515602</v>
      </c>
      <c r="O322" s="1">
        <v>713174</v>
      </c>
      <c r="Q322" s="1">
        <v>13749774</v>
      </c>
      <c r="S322" s="1">
        <v>20978550</v>
      </c>
      <c r="U322" s="1">
        <v>13135860</v>
      </c>
      <c r="W322" s="1">
        <f t="shared" si="43"/>
        <v>9528776</v>
      </c>
      <c r="Y322" s="1">
        <v>2459092</v>
      </c>
      <c r="AA322" s="1">
        <v>25123728</v>
      </c>
      <c r="AC322" s="1">
        <f>+K322-S322-AA322</f>
        <v>0</v>
      </c>
      <c r="AE322" s="3">
        <f t="shared" si="45"/>
        <v>0</v>
      </c>
    </row>
    <row r="323" spans="1:31" hidden="1">
      <c r="A323" s="17" t="s">
        <v>849</v>
      </c>
      <c r="B323" s="17"/>
      <c r="C323" s="17" t="s">
        <v>41</v>
      </c>
      <c r="D323" s="17"/>
      <c r="E323" s="13"/>
      <c r="G323" s="1">
        <f t="shared" si="41"/>
        <v>0</v>
      </c>
      <c r="W323" s="1">
        <f t="shared" si="43"/>
        <v>0</v>
      </c>
      <c r="AC323" s="1">
        <f>+K323-S323-AA323</f>
        <v>0</v>
      </c>
      <c r="AE323" s="3">
        <f t="shared" si="45"/>
        <v>0</v>
      </c>
    </row>
    <row r="324" spans="1:31">
      <c r="A324" s="17" t="s">
        <v>231</v>
      </c>
      <c r="B324" s="17"/>
      <c r="C324" s="17" t="s">
        <v>112</v>
      </c>
      <c r="D324" s="17"/>
      <c r="E324" s="13">
        <v>49452</v>
      </c>
      <c r="G324" s="1">
        <f t="shared" si="41"/>
        <v>25614209</v>
      </c>
      <c r="I324" s="1">
        <f>3558868+371039</f>
        <v>3929907</v>
      </c>
      <c r="K324" s="1">
        <v>29544116</v>
      </c>
      <c r="M324" s="1">
        <f t="shared" si="42"/>
        <v>12831853</v>
      </c>
      <c r="O324" s="1">
        <v>175506</v>
      </c>
      <c r="Q324" s="1">
        <v>1657198</v>
      </c>
      <c r="S324" s="1">
        <v>14664557</v>
      </c>
      <c r="U324" s="1">
        <v>3929907</v>
      </c>
      <c r="W324" s="1">
        <f t="shared" si="43"/>
        <v>837745</v>
      </c>
      <c r="Y324" s="1">
        <v>10111907</v>
      </c>
      <c r="AA324" s="1">
        <v>14879559</v>
      </c>
      <c r="AC324" s="1">
        <f t="shared" si="44"/>
        <v>0</v>
      </c>
      <c r="AE324" s="3">
        <f t="shared" si="45"/>
        <v>0</v>
      </c>
    </row>
    <row r="325" spans="1:31">
      <c r="A325" s="17" t="s">
        <v>864</v>
      </c>
      <c r="B325" s="17"/>
      <c r="C325" s="17" t="s">
        <v>458</v>
      </c>
      <c r="D325" s="17"/>
      <c r="E325" s="13"/>
      <c r="G325" s="1">
        <f t="shared" si="41"/>
        <v>17905099</v>
      </c>
      <c r="I325" s="1">
        <f>855136+3204404</f>
        <v>4059540</v>
      </c>
      <c r="K325" s="1">
        <v>21964639</v>
      </c>
      <c r="M325" s="1">
        <f t="shared" si="42"/>
        <v>5994252</v>
      </c>
      <c r="O325" s="1">
        <v>101052</v>
      </c>
      <c r="Q325" s="1">
        <v>804819</v>
      </c>
      <c r="S325" s="1">
        <v>6900123</v>
      </c>
      <c r="U325" s="1">
        <v>4059540</v>
      </c>
      <c r="W325" s="1">
        <f t="shared" si="43"/>
        <v>2366490</v>
      </c>
      <c r="Y325" s="1">
        <v>8638486</v>
      </c>
      <c r="AA325" s="1">
        <v>15064516</v>
      </c>
      <c r="AC325" s="1">
        <f t="shared" si="44"/>
        <v>0</v>
      </c>
      <c r="AE325" s="3">
        <f t="shared" si="45"/>
        <v>0</v>
      </c>
    </row>
    <row r="326" spans="1:31">
      <c r="A326" s="17" t="s">
        <v>722</v>
      </c>
      <c r="B326" s="17"/>
      <c r="C326" s="17" t="s">
        <v>203</v>
      </c>
      <c r="D326" s="17"/>
      <c r="E326" s="13"/>
      <c r="G326" s="1">
        <f t="shared" si="41"/>
        <v>14358969</v>
      </c>
      <c r="I326" s="1">
        <f>690445+26435931</f>
        <v>27126376</v>
      </c>
      <c r="K326" s="1">
        <v>41485345</v>
      </c>
      <c r="M326" s="1">
        <f t="shared" si="42"/>
        <v>7791025</v>
      </c>
      <c r="O326" s="1">
        <v>2388963</v>
      </c>
      <c r="Q326" s="1">
        <v>14795946</v>
      </c>
      <c r="S326" s="1">
        <v>24975934</v>
      </c>
      <c r="U326" s="1">
        <v>10667022</v>
      </c>
      <c r="W326" s="1">
        <f t="shared" si="43"/>
        <v>2385186</v>
      </c>
      <c r="Y326" s="1">
        <v>3457203</v>
      </c>
      <c r="AA326" s="1">
        <v>16509411</v>
      </c>
      <c r="AC326" s="1">
        <f>+K326-S326-AA326</f>
        <v>0</v>
      </c>
      <c r="AE326" s="3">
        <f t="shared" si="45"/>
        <v>0</v>
      </c>
    </row>
    <row r="327" spans="1:31">
      <c r="A327" s="17" t="s">
        <v>545</v>
      </c>
      <c r="B327" s="17"/>
      <c r="C327" s="17" t="s">
        <v>112</v>
      </c>
      <c r="D327" s="17"/>
      <c r="E327" s="13">
        <v>44297</v>
      </c>
      <c r="G327" s="1">
        <f t="shared" si="41"/>
        <v>47195919</v>
      </c>
      <c r="I327" s="1">
        <v>55013131</v>
      </c>
      <c r="K327" s="1">
        <v>102209050</v>
      </c>
      <c r="M327" s="1">
        <f t="shared" si="42"/>
        <v>22434163</v>
      </c>
      <c r="O327" s="1">
        <v>1728643</v>
      </c>
      <c r="Q327" s="1">
        <v>15649549</v>
      </c>
      <c r="S327" s="1">
        <v>39812355</v>
      </c>
      <c r="U327" s="1">
        <v>41539657</v>
      </c>
      <c r="W327" s="1">
        <f t="shared" si="43"/>
        <v>19582983</v>
      </c>
      <c r="Y327" s="1">
        <v>1274055</v>
      </c>
      <c r="AA327" s="1">
        <v>62396695</v>
      </c>
      <c r="AC327" s="1">
        <f t="shared" si="44"/>
        <v>0</v>
      </c>
      <c r="AE327" s="3">
        <f t="shared" si="45"/>
        <v>0</v>
      </c>
    </row>
    <row r="328" spans="1:31">
      <c r="A328" s="17" t="s">
        <v>907</v>
      </c>
      <c r="B328" s="17"/>
      <c r="C328" s="17" t="s">
        <v>20</v>
      </c>
      <c r="D328" s="17"/>
      <c r="E328" s="13">
        <v>44305</v>
      </c>
      <c r="G328" s="1">
        <f t="shared" si="41"/>
        <v>131592703</v>
      </c>
      <c r="I328" s="1">
        <f>6830966+10266496</f>
        <v>17097462</v>
      </c>
      <c r="K328" s="1">
        <v>148690165</v>
      </c>
      <c r="M328" s="1">
        <f t="shared" si="42"/>
        <v>22392078</v>
      </c>
      <c r="O328" s="1">
        <v>931827</v>
      </c>
      <c r="Q328" s="1">
        <v>65042569</v>
      </c>
      <c r="S328" s="1">
        <v>88366474</v>
      </c>
      <c r="U328" s="1">
        <v>6712212</v>
      </c>
      <c r="W328" s="1">
        <f t="shared" si="43"/>
        <v>55757108</v>
      </c>
      <c r="Y328" s="1">
        <v>-2145629</v>
      </c>
      <c r="AA328" s="1">
        <v>60323691</v>
      </c>
      <c r="AC328" s="1">
        <f t="shared" si="44"/>
        <v>0</v>
      </c>
      <c r="AE328" s="3">
        <f t="shared" si="45"/>
        <v>0</v>
      </c>
    </row>
    <row r="329" spans="1:31">
      <c r="A329" s="17" t="s">
        <v>208</v>
      </c>
      <c r="B329" s="17"/>
      <c r="C329" s="17" t="s">
        <v>11</v>
      </c>
      <c r="D329" s="17"/>
      <c r="E329" s="13">
        <v>45831</v>
      </c>
      <c r="G329" s="1">
        <f t="shared" si="41"/>
        <v>6810001</v>
      </c>
      <c r="I329" s="1">
        <v>16353014</v>
      </c>
      <c r="K329" s="1">
        <v>23163015</v>
      </c>
      <c r="M329" s="1">
        <f t="shared" si="42"/>
        <v>3016833</v>
      </c>
      <c r="O329" s="1">
        <v>266634</v>
      </c>
      <c r="Q329" s="1">
        <v>3072965</v>
      </c>
      <c r="S329" s="1">
        <v>6356432</v>
      </c>
      <c r="U329" s="1">
        <v>13356495</v>
      </c>
      <c r="W329" s="1">
        <f t="shared" si="43"/>
        <v>1661645</v>
      </c>
      <c r="Y329" s="1">
        <v>1788443</v>
      </c>
      <c r="AA329" s="1">
        <v>16806583</v>
      </c>
      <c r="AC329" s="1">
        <f t="shared" si="44"/>
        <v>0</v>
      </c>
      <c r="AE329" s="3">
        <f t="shared" si="45"/>
        <v>0</v>
      </c>
    </row>
    <row r="330" spans="1:31">
      <c r="A330" s="17" t="s">
        <v>611</v>
      </c>
      <c r="B330" s="17"/>
      <c r="C330" s="17" t="s">
        <v>64</v>
      </c>
      <c r="D330" s="17"/>
      <c r="E330" s="13">
        <v>50211</v>
      </c>
      <c r="G330" s="1">
        <f t="shared" si="41"/>
        <v>6554714</v>
      </c>
      <c r="I330" s="1">
        <v>20705810</v>
      </c>
      <c r="K330" s="1">
        <v>27260524</v>
      </c>
      <c r="M330" s="1">
        <f t="shared" si="42"/>
        <v>3734370</v>
      </c>
      <c r="O330" s="1">
        <v>192789</v>
      </c>
      <c r="Q330" s="1">
        <v>2670048</v>
      </c>
      <c r="S330" s="1">
        <v>6597207</v>
      </c>
      <c r="U330" s="1">
        <v>18792984</v>
      </c>
      <c r="W330" s="1">
        <f t="shared" si="43"/>
        <v>1408539</v>
      </c>
      <c r="Y330" s="1">
        <v>461794</v>
      </c>
      <c r="AA330" s="1">
        <v>20663317</v>
      </c>
      <c r="AC330" s="1">
        <f t="shared" si="44"/>
        <v>0</v>
      </c>
      <c r="AE330" s="3">
        <f t="shared" si="45"/>
        <v>0</v>
      </c>
    </row>
    <row r="331" spans="1:31">
      <c r="A331" s="17" t="s">
        <v>317</v>
      </c>
      <c r="B331" s="17"/>
      <c r="C331" s="17" t="s">
        <v>24</v>
      </c>
      <c r="D331" s="17"/>
      <c r="E331" s="13">
        <v>46805</v>
      </c>
      <c r="G331" s="1">
        <f t="shared" si="41"/>
        <v>7672358</v>
      </c>
      <c r="I331" s="1">
        <v>5458328</v>
      </c>
      <c r="K331" s="1">
        <v>13130686</v>
      </c>
      <c r="M331" s="1">
        <f t="shared" si="42"/>
        <v>6124579</v>
      </c>
      <c r="O331" s="1">
        <v>250293</v>
      </c>
      <c r="Q331" s="1">
        <v>3138894</v>
      </c>
      <c r="S331" s="1">
        <v>9513766</v>
      </c>
      <c r="U331" s="1">
        <v>2880328</v>
      </c>
      <c r="W331" s="1">
        <f t="shared" si="43"/>
        <v>339961</v>
      </c>
      <c r="Y331" s="1">
        <v>396631</v>
      </c>
      <c r="AA331" s="1">
        <v>3616920</v>
      </c>
      <c r="AC331" s="1">
        <f t="shared" si="44"/>
        <v>0</v>
      </c>
      <c r="AE331" s="3">
        <f t="shared" si="45"/>
        <v>0</v>
      </c>
    </row>
    <row r="332" spans="1:31">
      <c r="A332" s="17" t="s">
        <v>368</v>
      </c>
      <c r="B332" s="17"/>
      <c r="C332" s="17" t="s">
        <v>32</v>
      </c>
      <c r="D332" s="17"/>
      <c r="E332" s="13">
        <v>44313</v>
      </c>
      <c r="G332" s="1">
        <f t="shared" si="41"/>
        <v>29906518</v>
      </c>
      <c r="I332" s="1">
        <f>827079+10755899</f>
        <v>11582978</v>
      </c>
      <c r="K332" s="1">
        <v>41489496</v>
      </c>
      <c r="M332" s="1">
        <f t="shared" si="42"/>
        <v>18704904</v>
      </c>
      <c r="O332" s="1">
        <v>607602</v>
      </c>
      <c r="Q332" s="1">
        <v>7945736</v>
      </c>
      <c r="S332" s="1">
        <v>27258242</v>
      </c>
      <c r="U332" s="1">
        <v>3876380</v>
      </c>
      <c r="W332" s="1">
        <f t="shared" si="43"/>
        <v>630799</v>
      </c>
      <c r="Y332" s="1">
        <v>9724075</v>
      </c>
      <c r="AA332" s="1">
        <v>14231254</v>
      </c>
      <c r="AC332" s="1">
        <f t="shared" si="44"/>
        <v>0</v>
      </c>
      <c r="AE332" s="3">
        <f t="shared" si="45"/>
        <v>0</v>
      </c>
    </row>
    <row r="333" spans="1:31" hidden="1">
      <c r="A333" s="17" t="s">
        <v>733</v>
      </c>
      <c r="B333" s="17"/>
      <c r="C333" s="17" t="s">
        <v>70</v>
      </c>
      <c r="D333" s="17"/>
      <c r="E333" s="13">
        <v>44321</v>
      </c>
      <c r="F333" s="8"/>
      <c r="G333" s="1">
        <f t="shared" si="41"/>
        <v>0</v>
      </c>
      <c r="M333" s="1">
        <f t="shared" si="42"/>
        <v>0</v>
      </c>
      <c r="W333" s="1">
        <f t="shared" si="43"/>
        <v>0</v>
      </c>
      <c r="AC333" s="1">
        <f>+K333-S333-AA333</f>
        <v>0</v>
      </c>
      <c r="AE333" s="3">
        <f t="shared" si="45"/>
        <v>0</v>
      </c>
    </row>
    <row r="334" spans="1:31" ht="11.25" customHeight="1">
      <c r="A334" s="17" t="s">
        <v>474</v>
      </c>
      <c r="B334" s="17"/>
      <c r="C334" s="17" t="s">
        <v>46</v>
      </c>
      <c r="D334" s="17"/>
      <c r="E334" s="13">
        <v>44339</v>
      </c>
      <c r="G334" s="1">
        <f t="shared" si="41"/>
        <v>33067176</v>
      </c>
      <c r="I334" s="1">
        <f>1965229+79478034</f>
        <v>81443263</v>
      </c>
      <c r="K334" s="1">
        <v>114510439</v>
      </c>
      <c r="M334" s="1">
        <f t="shared" si="42"/>
        <v>12426386</v>
      </c>
      <c r="O334" s="1">
        <v>845548</v>
      </c>
      <c r="Q334" s="1">
        <v>14620498</v>
      </c>
      <c r="S334" s="1">
        <v>27892432</v>
      </c>
      <c r="U334" s="1">
        <v>70927087</v>
      </c>
      <c r="W334" s="1">
        <f t="shared" si="43"/>
        <v>5662412</v>
      </c>
      <c r="Y334" s="1">
        <v>10028508</v>
      </c>
      <c r="AA334" s="1">
        <v>86618007</v>
      </c>
      <c r="AC334" s="1">
        <f t="shared" si="44"/>
        <v>0</v>
      </c>
      <c r="AE334" s="3">
        <f t="shared" si="45"/>
        <v>0</v>
      </c>
    </row>
    <row r="335" spans="1:31" ht="12.75" hidden="1" customHeight="1">
      <c r="A335" s="17" t="s">
        <v>850</v>
      </c>
      <c r="B335" s="17"/>
      <c r="C335" s="17" t="s">
        <v>486</v>
      </c>
      <c r="D335" s="17"/>
      <c r="E335" s="13"/>
      <c r="G335" s="1">
        <f t="shared" si="41"/>
        <v>0</v>
      </c>
      <c r="W335" s="1">
        <f t="shared" si="43"/>
        <v>0</v>
      </c>
      <c r="AC335" s="1">
        <f t="shared" si="44"/>
        <v>0</v>
      </c>
      <c r="AE335" s="3">
        <f t="shared" si="45"/>
        <v>0</v>
      </c>
    </row>
    <row r="336" spans="1:31">
      <c r="A336" s="17" t="s">
        <v>579</v>
      </c>
      <c r="B336" s="17"/>
      <c r="C336" s="17" t="s">
        <v>62</v>
      </c>
      <c r="D336" s="17"/>
      <c r="E336" s="13">
        <v>49882</v>
      </c>
      <c r="G336" s="1">
        <f t="shared" si="41"/>
        <v>18127907</v>
      </c>
      <c r="I336" s="1">
        <v>7093339</v>
      </c>
      <c r="K336" s="1">
        <v>25221246</v>
      </c>
      <c r="M336" s="1">
        <f t="shared" si="42"/>
        <v>10568114</v>
      </c>
      <c r="O336" s="1">
        <v>447417</v>
      </c>
      <c r="Q336" s="1">
        <v>1349978</v>
      </c>
      <c r="S336" s="1">
        <v>12365509</v>
      </c>
      <c r="U336" s="1">
        <v>6861353</v>
      </c>
      <c r="W336" s="1">
        <f t="shared" si="43"/>
        <v>1559627</v>
      </c>
      <c r="Y336" s="1">
        <v>4434757</v>
      </c>
      <c r="AA336" s="1">
        <v>12855737</v>
      </c>
      <c r="AC336" s="1">
        <f t="shared" si="44"/>
        <v>0</v>
      </c>
      <c r="AE336" s="3">
        <f t="shared" si="45"/>
        <v>0</v>
      </c>
    </row>
    <row r="337" spans="1:31">
      <c r="A337" s="17" t="s">
        <v>221</v>
      </c>
      <c r="B337" s="17"/>
      <c r="C337" s="17" t="s">
        <v>15</v>
      </c>
      <c r="D337" s="17"/>
      <c r="E337" s="13">
        <v>44347</v>
      </c>
      <c r="G337" s="1">
        <f t="shared" si="41"/>
        <v>3991270</v>
      </c>
      <c r="I337" s="1">
        <f>2436556+40699192</f>
        <v>43135748</v>
      </c>
      <c r="K337" s="1">
        <v>47127018</v>
      </c>
      <c r="M337" s="1">
        <f t="shared" si="42"/>
        <v>4556841</v>
      </c>
      <c r="O337" s="1">
        <v>407387</v>
      </c>
      <c r="Q337" s="1">
        <v>14465738</v>
      </c>
      <c r="S337" s="1">
        <v>19429966</v>
      </c>
      <c r="U337" s="1">
        <v>29571204</v>
      </c>
      <c r="W337" s="1">
        <f t="shared" si="43"/>
        <v>1126371</v>
      </c>
      <c r="Y337" s="1">
        <v>-3000523</v>
      </c>
      <c r="AA337" s="1">
        <v>27697052</v>
      </c>
      <c r="AC337" s="1">
        <f t="shared" si="44"/>
        <v>0</v>
      </c>
      <c r="AE337" s="3">
        <f t="shared" si="45"/>
        <v>0</v>
      </c>
    </row>
    <row r="338" spans="1:31">
      <c r="A338" s="17" t="s">
        <v>626</v>
      </c>
      <c r="B338" s="17"/>
      <c r="C338" s="17" t="s">
        <v>66</v>
      </c>
      <c r="D338" s="17"/>
      <c r="E338" s="13">
        <v>45476</v>
      </c>
      <c r="G338" s="1">
        <f t="shared" si="41"/>
        <v>38593605</v>
      </c>
      <c r="I338" s="1">
        <v>108864271</v>
      </c>
      <c r="K338" s="1">
        <v>147457876</v>
      </c>
      <c r="M338" s="1">
        <f t="shared" si="42"/>
        <v>30095394</v>
      </c>
      <c r="O338" s="1">
        <v>5313852</v>
      </c>
      <c r="Q338" s="1">
        <v>99426646</v>
      </c>
      <c r="S338" s="1">
        <v>134835892</v>
      </c>
      <c r="U338" s="1">
        <v>13973585</v>
      </c>
      <c r="W338" s="1">
        <f t="shared" si="43"/>
        <v>6950839</v>
      </c>
      <c r="Y338" s="1">
        <v>-8302440</v>
      </c>
      <c r="AA338" s="1">
        <v>12621984</v>
      </c>
      <c r="AC338" s="1">
        <f t="shared" si="44"/>
        <v>0</v>
      </c>
      <c r="AE338" s="3">
        <f t="shared" si="45"/>
        <v>0</v>
      </c>
    </row>
    <row r="339" spans="1:31">
      <c r="A339" s="17" t="s">
        <v>635</v>
      </c>
      <c r="B339" s="17"/>
      <c r="C339" s="17" t="s">
        <v>69</v>
      </c>
      <c r="D339" s="17"/>
      <c r="E339" s="13">
        <v>50450</v>
      </c>
      <c r="G339" s="1">
        <f t="shared" si="41"/>
        <v>149286742</v>
      </c>
      <c r="I339" s="1">
        <f>4134921+177334118</f>
        <v>181469039</v>
      </c>
      <c r="K339" s="1">
        <v>330755781</v>
      </c>
      <c r="M339" s="1">
        <f t="shared" si="42"/>
        <v>92950583</v>
      </c>
      <c r="O339" s="1">
        <v>8404475</v>
      </c>
      <c r="Q339" s="1">
        <v>139445384</v>
      </c>
      <c r="S339" s="1">
        <v>240800442</v>
      </c>
      <c r="U339" s="1">
        <v>28790298</v>
      </c>
      <c r="W339" s="1">
        <f t="shared" si="43"/>
        <v>22124030</v>
      </c>
      <c r="Y339" s="1">
        <v>39041011</v>
      </c>
      <c r="AA339" s="1">
        <v>89955339</v>
      </c>
      <c r="AC339" s="1">
        <f t="shared" si="44"/>
        <v>0</v>
      </c>
      <c r="AE339" s="3">
        <f t="shared" si="45"/>
        <v>0</v>
      </c>
    </row>
    <row r="340" spans="1:31">
      <c r="A340" s="17" t="s">
        <v>580</v>
      </c>
      <c r="B340" s="17"/>
      <c r="C340" s="17" t="s">
        <v>62</v>
      </c>
      <c r="D340" s="17"/>
      <c r="E340" s="13">
        <v>44354</v>
      </c>
      <c r="G340" s="1">
        <f t="shared" si="41"/>
        <v>34081745</v>
      </c>
      <c r="I340" s="1">
        <f>3552636+39993199</f>
        <v>43545835</v>
      </c>
      <c r="K340" s="1">
        <v>77627580</v>
      </c>
      <c r="M340" s="1">
        <f t="shared" si="42"/>
        <v>19667973</v>
      </c>
      <c r="O340" s="1">
        <v>4072523</v>
      </c>
      <c r="Q340" s="1">
        <v>14280672</v>
      </c>
      <c r="S340" s="1">
        <v>38021168</v>
      </c>
      <c r="U340" s="1">
        <v>31085946</v>
      </c>
      <c r="W340" s="1">
        <f t="shared" si="43"/>
        <v>8798767</v>
      </c>
      <c r="Y340" s="1">
        <v>-278301</v>
      </c>
      <c r="AA340" s="1">
        <v>39606412</v>
      </c>
      <c r="AC340" s="1">
        <f t="shared" si="44"/>
        <v>0</v>
      </c>
      <c r="AE340" s="3">
        <f t="shared" si="45"/>
        <v>0</v>
      </c>
    </row>
    <row r="341" spans="1:31">
      <c r="A341" s="17"/>
      <c r="B341" s="17"/>
      <c r="C341" s="17"/>
      <c r="D341" s="17"/>
      <c r="E341" s="13"/>
    </row>
    <row r="342" spans="1:31">
      <c r="A342" s="17"/>
      <c r="B342" s="17"/>
      <c r="C342" s="17"/>
      <c r="D342" s="17"/>
      <c r="E342" s="13"/>
      <c r="AA342" s="20" t="s">
        <v>709</v>
      </c>
    </row>
    <row r="343" spans="1:31">
      <c r="A343" s="17"/>
      <c r="B343" s="17"/>
      <c r="C343" s="17"/>
      <c r="D343" s="17"/>
      <c r="E343" s="13"/>
    </row>
    <row r="344" spans="1:31">
      <c r="A344" s="17" t="s">
        <v>612</v>
      </c>
      <c r="B344" s="17"/>
      <c r="C344" s="17" t="s">
        <v>64</v>
      </c>
      <c r="D344" s="17"/>
      <c r="E344" s="13">
        <v>50153</v>
      </c>
      <c r="G344" s="16">
        <f t="shared" si="41"/>
        <v>6581661</v>
      </c>
      <c r="H344" s="16"/>
      <c r="I344" s="16">
        <v>3324948</v>
      </c>
      <c r="J344" s="16"/>
      <c r="K344" s="16">
        <v>9906609</v>
      </c>
      <c r="L344" s="16"/>
      <c r="M344" s="16">
        <f t="shared" si="42"/>
        <v>5043484</v>
      </c>
      <c r="N344" s="16"/>
      <c r="O344" s="16">
        <v>235603</v>
      </c>
      <c r="P344" s="16"/>
      <c r="Q344" s="16">
        <v>1208676</v>
      </c>
      <c r="R344" s="16"/>
      <c r="S344" s="16">
        <v>6487763</v>
      </c>
      <c r="T344" s="16"/>
      <c r="U344" s="16">
        <v>3295304</v>
      </c>
      <c r="V344" s="16"/>
      <c r="W344" s="16">
        <f t="shared" si="43"/>
        <v>180090</v>
      </c>
      <c r="X344" s="16"/>
      <c r="Y344" s="16">
        <v>-56548</v>
      </c>
      <c r="Z344" s="16"/>
      <c r="AA344" s="16">
        <v>3418846</v>
      </c>
      <c r="AC344" s="1">
        <f t="shared" si="44"/>
        <v>0</v>
      </c>
      <c r="AE344" s="3">
        <f t="shared" si="45"/>
        <v>0</v>
      </c>
    </row>
    <row r="345" spans="1:31">
      <c r="A345" s="17" t="s">
        <v>450</v>
      </c>
      <c r="B345" s="17"/>
      <c r="C345" s="17" t="s">
        <v>117</v>
      </c>
      <c r="D345" s="17"/>
      <c r="E345" s="13">
        <v>44362</v>
      </c>
      <c r="G345" s="1">
        <f t="shared" si="41"/>
        <v>25193398</v>
      </c>
      <c r="I345" s="1">
        <v>45376732</v>
      </c>
      <c r="K345" s="1">
        <v>70570130</v>
      </c>
      <c r="M345" s="1">
        <f t="shared" si="42"/>
        <v>22874701</v>
      </c>
      <c r="O345" s="1">
        <v>1194117</v>
      </c>
      <c r="Q345" s="1">
        <v>37503226</v>
      </c>
      <c r="S345" s="1">
        <v>61572044</v>
      </c>
      <c r="U345" s="1">
        <v>9254464</v>
      </c>
      <c r="W345" s="1">
        <f t="shared" si="43"/>
        <v>2355194</v>
      </c>
      <c r="Y345" s="1">
        <v>-2611572</v>
      </c>
      <c r="AA345" s="1">
        <v>8998086</v>
      </c>
      <c r="AC345" s="1">
        <f t="shared" si="44"/>
        <v>0</v>
      </c>
      <c r="AE345" s="3">
        <f t="shared" si="45"/>
        <v>0</v>
      </c>
    </row>
    <row r="346" spans="1:31">
      <c r="A346" s="17" t="s">
        <v>908</v>
      </c>
      <c r="B346" s="17"/>
      <c r="C346" s="17" t="s">
        <v>20</v>
      </c>
      <c r="D346" s="17"/>
      <c r="E346" s="13">
        <v>44370</v>
      </c>
      <c r="G346" s="1">
        <f t="shared" si="41"/>
        <v>114437721</v>
      </c>
      <c r="I346" s="1">
        <f>1604307+26493210</f>
        <v>28097517</v>
      </c>
      <c r="K346" s="1">
        <v>142535238</v>
      </c>
      <c r="M346" s="1">
        <f t="shared" si="42"/>
        <v>51787767</v>
      </c>
      <c r="O346" s="1">
        <v>2128752</v>
      </c>
      <c r="Q346" s="1">
        <v>43524395</v>
      </c>
      <c r="S346" s="1">
        <v>97440914</v>
      </c>
      <c r="U346" s="1">
        <v>9288738</v>
      </c>
      <c r="W346" s="1">
        <f t="shared" si="43"/>
        <v>8602398</v>
      </c>
      <c r="Y346" s="1">
        <v>27203188</v>
      </c>
      <c r="AA346" s="1">
        <v>45094324</v>
      </c>
      <c r="AC346" s="1">
        <f t="shared" si="44"/>
        <v>0</v>
      </c>
      <c r="AE346" s="3">
        <f t="shared" si="45"/>
        <v>0</v>
      </c>
    </row>
    <row r="347" spans="1:31">
      <c r="A347" s="17" t="s">
        <v>513</v>
      </c>
      <c r="B347" s="17"/>
      <c r="C347" s="17" t="s">
        <v>51</v>
      </c>
      <c r="D347" s="17"/>
      <c r="E347" s="13">
        <v>48850</v>
      </c>
      <c r="G347" s="1">
        <f t="shared" si="41"/>
        <v>11555856</v>
      </c>
      <c r="I347" s="1">
        <f>793584+33429006</f>
        <v>34222590</v>
      </c>
      <c r="K347" s="1">
        <v>45778446</v>
      </c>
      <c r="M347" s="1">
        <f t="shared" si="42"/>
        <v>7161577</v>
      </c>
      <c r="O347" s="1">
        <v>493688</v>
      </c>
      <c r="Q347" s="1">
        <v>5440675</v>
      </c>
      <c r="S347" s="1">
        <v>13095940</v>
      </c>
      <c r="U347" s="1">
        <v>29423211</v>
      </c>
      <c r="W347" s="1">
        <f t="shared" si="43"/>
        <v>1453364</v>
      </c>
      <c r="Y347" s="1">
        <v>1805931</v>
      </c>
      <c r="AA347" s="1">
        <v>32682506</v>
      </c>
      <c r="AC347" s="1">
        <f t="shared" si="44"/>
        <v>0</v>
      </c>
      <c r="AE347" s="3">
        <f t="shared" si="45"/>
        <v>0</v>
      </c>
    </row>
    <row r="348" spans="1:31" hidden="1">
      <c r="A348" s="17" t="s">
        <v>783</v>
      </c>
      <c r="B348" s="17"/>
      <c r="C348" s="17" t="s">
        <v>33</v>
      </c>
      <c r="D348" s="17"/>
      <c r="E348" s="13">
        <v>47456</v>
      </c>
      <c r="G348" s="1">
        <f t="shared" si="41"/>
        <v>0</v>
      </c>
      <c r="M348" s="1">
        <f t="shared" si="42"/>
        <v>0</v>
      </c>
      <c r="W348" s="1">
        <f t="shared" si="43"/>
        <v>0</v>
      </c>
      <c r="AC348" s="1">
        <f t="shared" si="44"/>
        <v>0</v>
      </c>
      <c r="AE348" s="3">
        <f t="shared" si="45"/>
        <v>0</v>
      </c>
    </row>
    <row r="349" spans="1:31">
      <c r="A349" s="17" t="s">
        <v>780</v>
      </c>
      <c r="B349" s="17"/>
      <c r="C349" s="17" t="s">
        <v>64</v>
      </c>
      <c r="D349" s="17"/>
      <c r="E349" s="13">
        <v>50229</v>
      </c>
      <c r="G349" s="1">
        <f t="shared" si="41"/>
        <v>2241048</v>
      </c>
      <c r="I349" s="1">
        <f>311600+14263287</f>
        <v>14574887</v>
      </c>
      <c r="K349" s="1">
        <v>16815935</v>
      </c>
      <c r="M349" s="1">
        <f t="shared" si="42"/>
        <v>4377814</v>
      </c>
      <c r="O349" s="1">
        <v>275591</v>
      </c>
      <c r="Q349" s="1">
        <v>1669695</v>
      </c>
      <c r="S349" s="1">
        <v>6323100</v>
      </c>
      <c r="U349" s="1">
        <v>13210758</v>
      </c>
      <c r="W349" s="1">
        <f t="shared" si="43"/>
        <v>277318</v>
      </c>
      <c r="Y349" s="1">
        <v>-2995241</v>
      </c>
      <c r="AA349" s="1">
        <v>10492835</v>
      </c>
      <c r="AC349" s="1">
        <f t="shared" si="44"/>
        <v>0</v>
      </c>
      <c r="AE349" s="3">
        <f t="shared" si="45"/>
        <v>0</v>
      </c>
    </row>
    <row r="350" spans="1:31">
      <c r="A350" s="17" t="s">
        <v>241</v>
      </c>
      <c r="B350" s="17"/>
      <c r="C350" s="17" t="s">
        <v>240</v>
      </c>
      <c r="D350" s="17"/>
      <c r="E350" s="13">
        <v>45484</v>
      </c>
      <c r="G350" s="1">
        <f t="shared" si="41"/>
        <v>5373403</v>
      </c>
      <c r="I350" s="1">
        <v>24905514</v>
      </c>
      <c r="K350" s="1">
        <v>30278917</v>
      </c>
      <c r="M350" s="1">
        <f t="shared" si="42"/>
        <v>3424854</v>
      </c>
      <c r="O350" s="1">
        <v>321390</v>
      </c>
      <c r="Q350" s="1">
        <v>7300693</v>
      </c>
      <c r="S350" s="1">
        <v>11046937</v>
      </c>
      <c r="U350" s="1">
        <v>17966130</v>
      </c>
      <c r="W350" s="1">
        <f t="shared" si="43"/>
        <v>827393</v>
      </c>
      <c r="Y350" s="1">
        <v>438457</v>
      </c>
      <c r="AA350" s="1">
        <v>19231980</v>
      </c>
      <c r="AC350" s="1">
        <f t="shared" si="44"/>
        <v>0</v>
      </c>
      <c r="AE350" s="3">
        <f t="shared" si="45"/>
        <v>0</v>
      </c>
    </row>
    <row r="351" spans="1:31">
      <c r="A351" s="17" t="s">
        <v>482</v>
      </c>
      <c r="B351" s="17"/>
      <c r="C351" s="17" t="s">
        <v>47</v>
      </c>
      <c r="D351" s="17"/>
      <c r="E351" s="13">
        <v>44388</v>
      </c>
      <c r="G351" s="1">
        <f t="shared" si="41"/>
        <v>86677975</v>
      </c>
      <c r="I351" s="1">
        <f>3092806+106589479</f>
        <v>109682285</v>
      </c>
      <c r="K351" s="1">
        <v>196360260</v>
      </c>
      <c r="M351" s="1">
        <f t="shared" si="42"/>
        <v>59034668</v>
      </c>
      <c r="O351" s="1">
        <v>6317465</v>
      </c>
      <c r="Q351" s="1">
        <v>95216014</v>
      </c>
      <c r="S351" s="1">
        <v>160568147</v>
      </c>
      <c r="U351" s="1">
        <v>17743911</v>
      </c>
      <c r="W351" s="1">
        <f t="shared" si="43"/>
        <v>13138426</v>
      </c>
      <c r="Y351" s="1">
        <v>4909776</v>
      </c>
      <c r="AA351" s="1">
        <v>35792113</v>
      </c>
      <c r="AC351" s="1">
        <f>+K351-S351-AA351</f>
        <v>0</v>
      </c>
      <c r="AE351" s="3">
        <f t="shared" si="45"/>
        <v>0</v>
      </c>
    </row>
    <row r="352" spans="1:31">
      <c r="A352" s="17" t="s">
        <v>485</v>
      </c>
      <c r="B352" s="17"/>
      <c r="C352" s="17" t="s">
        <v>484</v>
      </c>
      <c r="D352" s="17"/>
      <c r="E352" s="13">
        <v>48520</v>
      </c>
      <c r="G352" s="1">
        <f t="shared" si="41"/>
        <v>8577616</v>
      </c>
      <c r="I352" s="1">
        <f>26249072+751943</f>
        <v>27001015</v>
      </c>
      <c r="K352" s="1">
        <v>35578631</v>
      </c>
      <c r="M352" s="1">
        <f t="shared" si="42"/>
        <v>4670139</v>
      </c>
      <c r="O352" s="1">
        <v>450791</v>
      </c>
      <c r="Q352" s="1">
        <v>6139602</v>
      </c>
      <c r="S352" s="1">
        <v>11260532</v>
      </c>
      <c r="U352" s="1">
        <v>21324345</v>
      </c>
      <c r="W352" s="1">
        <f t="shared" si="43"/>
        <v>2076740</v>
      </c>
      <c r="Y352" s="1">
        <v>917014</v>
      </c>
      <c r="AA352" s="1">
        <v>24318099</v>
      </c>
      <c r="AC352" s="1">
        <f t="shared" si="44"/>
        <v>0</v>
      </c>
      <c r="AE352" s="3">
        <f t="shared" si="45"/>
        <v>0</v>
      </c>
    </row>
    <row r="353" spans="1:31">
      <c r="A353" s="17" t="s">
        <v>416</v>
      </c>
      <c r="B353" s="17"/>
      <c r="C353" s="17" t="s">
        <v>41</v>
      </c>
      <c r="D353" s="17"/>
      <c r="E353" s="13">
        <v>45492</v>
      </c>
      <c r="G353" s="1">
        <f t="shared" si="41"/>
        <v>131517594</v>
      </c>
      <c r="I353" s="1">
        <f>750466+16016440</f>
        <v>16766906</v>
      </c>
      <c r="K353" s="1">
        <v>148284500</v>
      </c>
      <c r="M353" s="1">
        <f t="shared" si="42"/>
        <v>71153651</v>
      </c>
      <c r="O353" s="1">
        <v>4562752</v>
      </c>
      <c r="Q353" s="1">
        <v>9417659</v>
      </c>
      <c r="S353" s="1">
        <v>85134062</v>
      </c>
      <c r="U353" s="1">
        <v>12508243</v>
      </c>
      <c r="W353" s="1">
        <f t="shared" si="43"/>
        <v>2462118</v>
      </c>
      <c r="Y353" s="1">
        <v>48180077</v>
      </c>
      <c r="AA353" s="1">
        <v>63150438</v>
      </c>
      <c r="AC353" s="1">
        <f t="shared" si="44"/>
        <v>0</v>
      </c>
      <c r="AE353" s="3">
        <f t="shared" si="45"/>
        <v>0</v>
      </c>
    </row>
    <row r="354" spans="1:31">
      <c r="A354" s="17" t="s">
        <v>488</v>
      </c>
      <c r="B354" s="17"/>
      <c r="C354" s="17" t="s">
        <v>48</v>
      </c>
      <c r="D354" s="17"/>
      <c r="E354" s="13">
        <v>48629</v>
      </c>
      <c r="G354" s="1">
        <f t="shared" si="41"/>
        <v>24275520</v>
      </c>
      <c r="I354" s="1">
        <f>4368975+13552807</f>
        <v>17921782</v>
      </c>
      <c r="K354" s="1">
        <v>42197302</v>
      </c>
      <c r="M354" s="1">
        <f t="shared" si="42"/>
        <v>7312022</v>
      </c>
      <c r="O354" s="1">
        <v>764759</v>
      </c>
      <c r="Q354" s="1">
        <v>18129840</v>
      </c>
      <c r="S354" s="1">
        <v>26206621</v>
      </c>
      <c r="U354" s="1">
        <v>3809818</v>
      </c>
      <c r="W354" s="1">
        <f t="shared" si="43"/>
        <v>14122968</v>
      </c>
      <c r="Y354" s="1">
        <v>-1942105</v>
      </c>
      <c r="AA354" s="1">
        <v>15990681</v>
      </c>
      <c r="AC354" s="1">
        <f t="shared" si="44"/>
        <v>0</v>
      </c>
      <c r="AE354" s="3">
        <f t="shared" si="45"/>
        <v>0</v>
      </c>
    </row>
    <row r="355" spans="1:31">
      <c r="A355" s="17" t="s">
        <v>327</v>
      </c>
      <c r="B355" s="17"/>
      <c r="C355" s="17" t="s">
        <v>26</v>
      </c>
      <c r="D355" s="17"/>
      <c r="E355" s="13">
        <v>46920</v>
      </c>
      <c r="G355" s="1">
        <f t="shared" si="41"/>
        <v>32403440</v>
      </c>
      <c r="I355" s="1">
        <f>11590958+31860155</f>
        <v>43451113</v>
      </c>
      <c r="K355" s="1">
        <v>75854553</v>
      </c>
      <c r="M355" s="1">
        <f t="shared" si="42"/>
        <v>9520156</v>
      </c>
      <c r="O355" s="1">
        <v>673780</v>
      </c>
      <c r="Q355" s="1">
        <v>28459569</v>
      </c>
      <c r="S355" s="1">
        <v>38653505</v>
      </c>
      <c r="U355" s="1">
        <v>24489461</v>
      </c>
      <c r="W355" s="1">
        <f t="shared" si="43"/>
        <v>5790889</v>
      </c>
      <c r="Y355" s="1">
        <v>6920698</v>
      </c>
      <c r="AA355" s="1">
        <v>37201048</v>
      </c>
      <c r="AC355" s="1">
        <f t="shared" si="44"/>
        <v>0</v>
      </c>
      <c r="AE355" s="3">
        <f t="shared" si="45"/>
        <v>0</v>
      </c>
    </row>
    <row r="356" spans="1:31">
      <c r="A356" s="17" t="s">
        <v>501</v>
      </c>
      <c r="B356" s="17"/>
      <c r="C356" s="17" t="s">
        <v>50</v>
      </c>
      <c r="D356" s="17"/>
      <c r="E356" s="13">
        <v>44396</v>
      </c>
      <c r="G356" s="1">
        <f t="shared" si="41"/>
        <v>98927704</v>
      </c>
      <c r="I356" s="1">
        <f>40686884+17596386</f>
        <v>58283270</v>
      </c>
      <c r="K356" s="1">
        <v>157210974</v>
      </c>
      <c r="M356" s="1">
        <f t="shared" si="42"/>
        <v>44501834</v>
      </c>
      <c r="O356" s="1">
        <v>1606976</v>
      </c>
      <c r="Q356" s="1">
        <v>89246929</v>
      </c>
      <c r="S356" s="1">
        <v>135355739</v>
      </c>
      <c r="U356" s="1">
        <v>17015068</v>
      </c>
      <c r="W356" s="1">
        <f t="shared" si="43"/>
        <v>12158464</v>
      </c>
      <c r="Y356" s="1">
        <v>-7318297</v>
      </c>
      <c r="AA356" s="1">
        <v>21855235</v>
      </c>
      <c r="AC356" s="1">
        <f t="shared" si="44"/>
        <v>0</v>
      </c>
      <c r="AE356" s="3">
        <f t="shared" si="45"/>
        <v>0</v>
      </c>
    </row>
    <row r="357" spans="1:31">
      <c r="A357" s="17" t="s">
        <v>232</v>
      </c>
      <c r="B357" s="17"/>
      <c r="C357" s="17" t="s">
        <v>227</v>
      </c>
      <c r="D357" s="17"/>
      <c r="E357" s="13">
        <v>44404</v>
      </c>
      <c r="G357" s="1">
        <f t="shared" si="41"/>
        <v>51438481</v>
      </c>
      <c r="I357" s="1">
        <v>72807768</v>
      </c>
      <c r="K357" s="1">
        <v>124246249</v>
      </c>
      <c r="M357" s="1">
        <f t="shared" si="42"/>
        <v>41601836</v>
      </c>
      <c r="O357" s="1">
        <v>825295</v>
      </c>
      <c r="Q357" s="1">
        <v>64887281</v>
      </c>
      <c r="S357" s="1">
        <v>107314412</v>
      </c>
      <c r="U357" s="1">
        <v>4207648</v>
      </c>
      <c r="W357" s="1">
        <f t="shared" si="43"/>
        <v>3734017</v>
      </c>
      <c r="Y357" s="1">
        <v>8990172</v>
      </c>
      <c r="AA357" s="1">
        <v>16931837</v>
      </c>
      <c r="AC357" s="1">
        <f t="shared" si="44"/>
        <v>0</v>
      </c>
      <c r="AE357" s="3">
        <f t="shared" si="45"/>
        <v>0</v>
      </c>
    </row>
    <row r="358" spans="1:31">
      <c r="A358" s="17" t="s">
        <v>444</v>
      </c>
      <c r="B358" s="17"/>
      <c r="C358" s="17" t="s">
        <v>44</v>
      </c>
      <c r="D358" s="17"/>
      <c r="E358" s="13">
        <v>48173</v>
      </c>
      <c r="G358" s="1">
        <f t="shared" si="41"/>
        <v>27708786</v>
      </c>
      <c r="I358" s="1">
        <f>2656494+29416357</f>
        <v>32072851</v>
      </c>
      <c r="K358" s="1">
        <v>59781637</v>
      </c>
      <c r="M358" s="1">
        <f t="shared" si="42"/>
        <v>15415331</v>
      </c>
      <c r="O358" s="1">
        <v>1054917</v>
      </c>
      <c r="Q358" s="1">
        <v>28904374</v>
      </c>
      <c r="S358" s="1">
        <v>45374622</v>
      </c>
      <c r="U358" s="1">
        <v>6140851</v>
      </c>
      <c r="W358" s="1">
        <f t="shared" si="43"/>
        <v>8020530</v>
      </c>
      <c r="Y358" s="1">
        <v>245634</v>
      </c>
      <c r="AA358" s="1">
        <v>14407015</v>
      </c>
      <c r="AC358" s="1">
        <f t="shared" si="44"/>
        <v>0</v>
      </c>
      <c r="AE358" s="3">
        <f t="shared" si="45"/>
        <v>0</v>
      </c>
    </row>
    <row r="359" spans="1:31">
      <c r="A359" s="12" t="s">
        <v>255</v>
      </c>
      <c r="B359" s="12"/>
      <c r="C359" s="12" t="s">
        <v>115</v>
      </c>
      <c r="D359" s="12"/>
      <c r="E359" s="12">
        <v>45500</v>
      </c>
      <c r="G359" s="1">
        <f t="shared" si="41"/>
        <v>65938097</v>
      </c>
      <c r="I359" s="1">
        <f>34772087+46833499</f>
        <v>81605586</v>
      </c>
      <c r="K359" s="1">
        <v>147543683</v>
      </c>
      <c r="M359" s="1">
        <f t="shared" si="42"/>
        <v>45882349</v>
      </c>
      <c r="O359" s="1">
        <v>1668684</v>
      </c>
      <c r="Q359" s="1">
        <v>72506823</v>
      </c>
      <c r="S359" s="1">
        <v>120057856</v>
      </c>
      <c r="U359" s="1">
        <v>11930308</v>
      </c>
      <c r="W359" s="1">
        <f t="shared" si="43"/>
        <v>5926075</v>
      </c>
      <c r="Y359" s="1">
        <v>9629444</v>
      </c>
      <c r="AA359" s="1">
        <v>27485827</v>
      </c>
      <c r="AC359" s="1">
        <f t="shared" si="44"/>
        <v>0</v>
      </c>
      <c r="AE359" s="3">
        <f t="shared" si="45"/>
        <v>0</v>
      </c>
    </row>
    <row r="360" spans="1:31" hidden="1">
      <c r="A360" s="17" t="s">
        <v>734</v>
      </c>
      <c r="B360" s="17"/>
      <c r="C360" s="17" t="s">
        <v>643</v>
      </c>
      <c r="D360" s="17"/>
      <c r="E360" s="13">
        <v>50633</v>
      </c>
      <c r="G360" s="1">
        <f t="shared" si="41"/>
        <v>0</v>
      </c>
      <c r="M360" s="1">
        <f t="shared" si="42"/>
        <v>0</v>
      </c>
      <c r="W360" s="1">
        <f t="shared" si="43"/>
        <v>0</v>
      </c>
      <c r="AC360" s="1">
        <f t="shared" si="44"/>
        <v>0</v>
      </c>
      <c r="AE360" s="3">
        <f t="shared" si="45"/>
        <v>0</v>
      </c>
    </row>
    <row r="361" spans="1:31" hidden="1">
      <c r="A361" s="12" t="s">
        <v>851</v>
      </c>
      <c r="B361" s="17"/>
      <c r="C361" s="17" t="s">
        <v>542</v>
      </c>
      <c r="D361" s="17"/>
      <c r="E361" s="13">
        <v>49361</v>
      </c>
      <c r="G361" s="1">
        <f t="shared" si="41"/>
        <v>0</v>
      </c>
      <c r="M361" s="1">
        <f t="shared" si="42"/>
        <v>0</v>
      </c>
      <c r="W361" s="1">
        <f t="shared" si="43"/>
        <v>0</v>
      </c>
      <c r="AC361" s="1">
        <f t="shared" si="44"/>
        <v>0</v>
      </c>
      <c r="AE361" s="3">
        <f t="shared" si="45"/>
        <v>0</v>
      </c>
    </row>
    <row r="362" spans="1:31">
      <c r="A362" s="17" t="s">
        <v>489</v>
      </c>
      <c r="B362" s="17"/>
      <c r="C362" s="17" t="s">
        <v>48</v>
      </c>
      <c r="D362" s="17"/>
      <c r="E362" s="13">
        <v>45518</v>
      </c>
      <c r="G362" s="1">
        <f t="shared" si="41"/>
        <v>56555471</v>
      </c>
      <c r="I362" s="1">
        <f>4498687+3813623</f>
        <v>8312310</v>
      </c>
      <c r="K362" s="1">
        <v>64867781</v>
      </c>
      <c r="M362" s="1">
        <f t="shared" si="42"/>
        <v>7033538</v>
      </c>
      <c r="O362" s="1">
        <v>776781</v>
      </c>
      <c r="Q362" s="1">
        <v>23885762</v>
      </c>
      <c r="S362" s="1">
        <v>31696081</v>
      </c>
      <c r="U362" s="1">
        <v>4319904</v>
      </c>
      <c r="W362" s="1">
        <f t="shared" si="43"/>
        <v>26118056</v>
      </c>
      <c r="Y362" s="1">
        <v>2733740</v>
      </c>
      <c r="AA362" s="1">
        <v>33171700</v>
      </c>
      <c r="AC362" s="1">
        <f t="shared" si="44"/>
        <v>0</v>
      </c>
      <c r="AE362" s="3">
        <f t="shared" si="45"/>
        <v>0</v>
      </c>
    </row>
    <row r="363" spans="1:31">
      <c r="A363" s="17" t="s">
        <v>581</v>
      </c>
      <c r="B363" s="17"/>
      <c r="C363" s="17" t="s">
        <v>62</v>
      </c>
      <c r="D363" s="17"/>
      <c r="E363" s="13">
        <v>49890</v>
      </c>
      <c r="G363" s="1">
        <f t="shared" si="41"/>
        <v>8659962</v>
      </c>
      <c r="I363" s="1">
        <f>163309+39468641</f>
        <v>39631950</v>
      </c>
      <c r="K363" s="1">
        <v>48291912</v>
      </c>
      <c r="M363" s="1">
        <f t="shared" si="42"/>
        <v>7949287</v>
      </c>
      <c r="O363" s="1">
        <v>628842</v>
      </c>
      <c r="Q363" s="1">
        <v>13187532</v>
      </c>
      <c r="S363" s="1">
        <v>21765661</v>
      </c>
      <c r="U363" s="1">
        <v>27736577</v>
      </c>
      <c r="W363" s="1">
        <f t="shared" si="43"/>
        <v>1798145</v>
      </c>
      <c r="Y363" s="1">
        <v>-3008471</v>
      </c>
      <c r="AA363" s="1">
        <v>26526251</v>
      </c>
      <c r="AC363" s="1">
        <f t="shared" si="44"/>
        <v>0</v>
      </c>
      <c r="AE363" s="3">
        <f t="shared" ref="AE363:AE430" si="46">+G363+I363+-M363-O363-U363-W363-Y363-Q363</f>
        <v>0</v>
      </c>
    </row>
    <row r="364" spans="1:31">
      <c r="A364" s="17" t="s">
        <v>562</v>
      </c>
      <c r="B364" s="17"/>
      <c r="C364" s="17" t="s">
        <v>59</v>
      </c>
      <c r="D364" s="17"/>
      <c r="E364" s="13">
        <v>49627</v>
      </c>
      <c r="F364" s="8"/>
      <c r="G364" s="1">
        <f t="shared" si="41"/>
        <v>5219355</v>
      </c>
      <c r="I364" s="1">
        <f>674603+26700535</f>
        <v>27375138</v>
      </c>
      <c r="K364" s="1">
        <v>32594493</v>
      </c>
      <c r="M364" s="1">
        <f t="shared" si="42"/>
        <v>3037147</v>
      </c>
      <c r="O364" s="1">
        <v>484039</v>
      </c>
      <c r="Q364" s="1">
        <v>3865541</v>
      </c>
      <c r="S364" s="1">
        <v>7386727</v>
      </c>
      <c r="U364" s="1">
        <v>23964738</v>
      </c>
      <c r="W364" s="1">
        <f t="shared" si="43"/>
        <v>1650407</v>
      </c>
      <c r="Y364" s="1">
        <v>-407379</v>
      </c>
      <c r="AA364" s="1">
        <v>25207766</v>
      </c>
      <c r="AC364" s="1">
        <f t="shared" si="44"/>
        <v>0</v>
      </c>
      <c r="AE364" s="3">
        <f t="shared" si="46"/>
        <v>0</v>
      </c>
    </row>
    <row r="365" spans="1:31">
      <c r="A365" s="17" t="s">
        <v>217</v>
      </c>
      <c r="B365" s="17"/>
      <c r="C365" s="17" t="s">
        <v>14</v>
      </c>
      <c r="D365" s="17"/>
      <c r="E365" s="13">
        <v>45948</v>
      </c>
      <c r="G365" s="1">
        <f t="shared" si="41"/>
        <v>5634885</v>
      </c>
      <c r="I365" s="1">
        <f>265225+14892542</f>
        <v>15157767</v>
      </c>
      <c r="K365" s="1">
        <v>20792652</v>
      </c>
      <c r="M365" s="1">
        <f t="shared" si="42"/>
        <v>4359215</v>
      </c>
      <c r="O365" s="1">
        <v>687643</v>
      </c>
      <c r="Q365" s="1">
        <v>11034911</v>
      </c>
      <c r="S365" s="1">
        <v>16081769</v>
      </c>
      <c r="U365" s="1">
        <v>5295935</v>
      </c>
      <c r="W365" s="1">
        <f t="shared" si="43"/>
        <v>552858</v>
      </c>
      <c r="Y365" s="1">
        <v>-1137910</v>
      </c>
      <c r="AA365" s="1">
        <v>4710883</v>
      </c>
      <c r="AC365" s="1">
        <f t="shared" si="44"/>
        <v>0</v>
      </c>
      <c r="AE365" s="3">
        <f t="shared" si="46"/>
        <v>0</v>
      </c>
    </row>
    <row r="366" spans="1:31" hidden="1">
      <c r="A366" s="17" t="s">
        <v>782</v>
      </c>
      <c r="B366" s="17"/>
      <c r="C366" s="17" t="s">
        <v>21</v>
      </c>
      <c r="D366" s="17"/>
      <c r="E366" s="13">
        <v>46672</v>
      </c>
      <c r="G366" s="1">
        <f t="shared" si="41"/>
        <v>0</v>
      </c>
      <c r="M366" s="1">
        <f t="shared" si="42"/>
        <v>0</v>
      </c>
      <c r="W366" s="1">
        <f t="shared" si="43"/>
        <v>0</v>
      </c>
      <c r="AC366" s="1">
        <f t="shared" si="44"/>
        <v>0</v>
      </c>
      <c r="AE366" s="3">
        <f t="shared" si="46"/>
        <v>0</v>
      </c>
    </row>
    <row r="367" spans="1:31">
      <c r="A367" s="17" t="s">
        <v>591</v>
      </c>
      <c r="B367" s="17"/>
      <c r="C367" s="17" t="s">
        <v>63</v>
      </c>
      <c r="D367" s="17"/>
      <c r="E367" s="13">
        <v>50039</v>
      </c>
      <c r="G367" s="1">
        <f t="shared" si="41"/>
        <v>8409366</v>
      </c>
      <c r="I367" s="1">
        <f>98050+13917113</f>
        <v>14015163</v>
      </c>
      <c r="K367" s="1">
        <v>22424529</v>
      </c>
      <c r="M367" s="1">
        <f t="shared" si="42"/>
        <v>3769783</v>
      </c>
      <c r="O367" s="1">
        <v>455934</v>
      </c>
      <c r="Q367" s="1">
        <v>11489631</v>
      </c>
      <c r="S367" s="1">
        <v>15715348</v>
      </c>
      <c r="U367" s="1">
        <v>2978985</v>
      </c>
      <c r="W367" s="1">
        <f t="shared" si="43"/>
        <v>728058</v>
      </c>
      <c r="Y367" s="1">
        <v>3002138</v>
      </c>
      <c r="AA367" s="1">
        <v>6709181</v>
      </c>
      <c r="AC367" s="1">
        <f t="shared" si="44"/>
        <v>0</v>
      </c>
      <c r="AE367" s="3">
        <f t="shared" si="46"/>
        <v>0</v>
      </c>
    </row>
    <row r="368" spans="1:31" hidden="1">
      <c r="A368" s="17" t="s">
        <v>743</v>
      </c>
      <c r="B368" s="17"/>
      <c r="C368" s="17" t="s">
        <v>653</v>
      </c>
      <c r="D368" s="17"/>
      <c r="E368" s="13">
        <v>50740</v>
      </c>
      <c r="G368" s="1">
        <f t="shared" si="41"/>
        <v>0</v>
      </c>
      <c r="M368" s="1">
        <f t="shared" si="42"/>
        <v>0</v>
      </c>
      <c r="W368" s="1">
        <f t="shared" si="43"/>
        <v>0</v>
      </c>
      <c r="AC368" s="1">
        <f t="shared" ref="AC368:AC430" si="47">+K368-S368-AA368</f>
        <v>0</v>
      </c>
      <c r="AE368" s="3">
        <f t="shared" si="46"/>
        <v>0</v>
      </c>
    </row>
    <row r="369" spans="1:31">
      <c r="A369" s="17" t="s">
        <v>233</v>
      </c>
      <c r="B369" s="17"/>
      <c r="C369" s="17" t="s">
        <v>227</v>
      </c>
      <c r="D369" s="17"/>
      <c r="E369" s="13">
        <v>139303</v>
      </c>
      <c r="G369" s="1">
        <f t="shared" si="41"/>
        <v>15381152</v>
      </c>
      <c r="I369" s="1">
        <f>2475849+26164439</f>
        <v>28640288</v>
      </c>
      <c r="K369" s="1">
        <v>44021440</v>
      </c>
      <c r="M369" s="1">
        <f t="shared" si="42"/>
        <v>15474206</v>
      </c>
      <c r="O369" s="1">
        <v>647269</v>
      </c>
      <c r="Q369" s="1">
        <v>31738387</v>
      </c>
      <c r="S369" s="1">
        <v>47859862</v>
      </c>
      <c r="U369" s="1">
        <v>-3087115</v>
      </c>
      <c r="W369" s="1">
        <f t="shared" si="43"/>
        <v>849776</v>
      </c>
      <c r="Y369" s="1">
        <v>-1601083</v>
      </c>
      <c r="AA369" s="1">
        <v>-3838422</v>
      </c>
      <c r="AC369" s="1">
        <f t="shared" si="47"/>
        <v>0</v>
      </c>
      <c r="AE369" s="3">
        <f t="shared" si="46"/>
        <v>0</v>
      </c>
    </row>
    <row r="370" spans="1:31">
      <c r="A370" s="17" t="s">
        <v>404</v>
      </c>
      <c r="B370" s="17"/>
      <c r="C370" s="17" t="s">
        <v>37</v>
      </c>
      <c r="D370" s="17"/>
      <c r="E370" s="13">
        <v>47712</v>
      </c>
      <c r="G370" s="1">
        <f t="shared" si="41"/>
        <v>3555558</v>
      </c>
      <c r="I370" s="1">
        <f>302965+1434917</f>
        <v>1737882</v>
      </c>
      <c r="K370" s="1">
        <v>5293440</v>
      </c>
      <c r="M370" s="1">
        <f t="shared" si="42"/>
        <v>2677434</v>
      </c>
      <c r="O370" s="1">
        <v>70723</v>
      </c>
      <c r="Q370" s="1">
        <v>341845</v>
      </c>
      <c r="S370" s="1">
        <v>3090002</v>
      </c>
      <c r="U370" s="1">
        <v>1630014</v>
      </c>
      <c r="W370" s="1">
        <f t="shared" si="43"/>
        <v>368009</v>
      </c>
      <c r="Y370" s="1">
        <v>205415</v>
      </c>
      <c r="AA370" s="1">
        <v>2203438</v>
      </c>
      <c r="AC370" s="1">
        <f t="shared" si="47"/>
        <v>0</v>
      </c>
      <c r="AE370" s="3">
        <f t="shared" si="46"/>
        <v>0</v>
      </c>
    </row>
    <row r="371" spans="1:31" hidden="1">
      <c r="A371" s="17" t="s">
        <v>949</v>
      </c>
      <c r="B371" s="17"/>
      <c r="C371" s="17" t="s">
        <v>643</v>
      </c>
      <c r="D371" s="17"/>
      <c r="E371" s="13">
        <v>45526</v>
      </c>
      <c r="G371" s="1">
        <f t="shared" si="41"/>
        <v>0</v>
      </c>
      <c r="M371" s="1">
        <f t="shared" si="42"/>
        <v>0</v>
      </c>
      <c r="W371" s="1">
        <f t="shared" si="43"/>
        <v>0</v>
      </c>
      <c r="AC371" s="1">
        <f t="shared" si="47"/>
        <v>0</v>
      </c>
      <c r="AE371" s="3">
        <f t="shared" si="46"/>
        <v>0</v>
      </c>
    </row>
    <row r="372" spans="1:31">
      <c r="A372" s="17" t="s">
        <v>508</v>
      </c>
      <c r="B372" s="17"/>
      <c r="C372" s="17" t="s">
        <v>509</v>
      </c>
      <c r="D372" s="17"/>
      <c r="E372" s="13">
        <v>48777</v>
      </c>
      <c r="G372" s="1">
        <f t="shared" si="41"/>
        <v>19990154</v>
      </c>
      <c r="I372" s="1">
        <f>21318219+21557434</f>
        <v>42875653</v>
      </c>
      <c r="K372" s="1">
        <v>62865807</v>
      </c>
      <c r="M372" s="1">
        <f t="shared" si="42"/>
        <v>7114944</v>
      </c>
      <c r="O372" s="1">
        <v>1081186</v>
      </c>
      <c r="Q372" s="1">
        <v>11209321</v>
      </c>
      <c r="S372" s="1">
        <v>19405451</v>
      </c>
      <c r="U372" s="1">
        <v>33462403</v>
      </c>
      <c r="W372" s="1">
        <f t="shared" si="43"/>
        <v>3627134</v>
      </c>
      <c r="Y372" s="1">
        <v>6370819</v>
      </c>
      <c r="AA372" s="1">
        <v>43460356</v>
      </c>
      <c r="AC372" s="1">
        <f t="shared" si="47"/>
        <v>0</v>
      </c>
      <c r="AE372" s="3">
        <f t="shared" si="46"/>
        <v>0</v>
      </c>
    </row>
    <row r="373" spans="1:31">
      <c r="A373" s="12" t="s">
        <v>757</v>
      </c>
      <c r="B373" s="17"/>
      <c r="C373" s="17" t="s">
        <v>78</v>
      </c>
      <c r="D373" s="17"/>
      <c r="E373" s="13">
        <v>45534</v>
      </c>
      <c r="G373" s="1">
        <f t="shared" ref="G373:G375" si="48">+K373-I373</f>
        <v>15824622</v>
      </c>
      <c r="I373" s="1">
        <v>29550112</v>
      </c>
      <c r="K373" s="1">
        <v>45374734</v>
      </c>
      <c r="M373" s="1">
        <f t="shared" si="42"/>
        <v>7365929</v>
      </c>
      <c r="O373" s="1">
        <v>550804</v>
      </c>
      <c r="Q373" s="1">
        <v>9759093</v>
      </c>
      <c r="S373" s="1">
        <v>17675826</v>
      </c>
      <c r="U373" s="1">
        <v>21457917</v>
      </c>
      <c r="W373" s="1">
        <f t="shared" si="43"/>
        <v>4575316</v>
      </c>
      <c r="Y373" s="1">
        <v>1665675</v>
      </c>
      <c r="AA373" s="1">
        <v>27698908</v>
      </c>
      <c r="AC373" s="1">
        <f t="shared" si="47"/>
        <v>0</v>
      </c>
      <c r="AE373" s="3">
        <f t="shared" si="46"/>
        <v>0</v>
      </c>
    </row>
    <row r="374" spans="1:31">
      <c r="A374" s="17" t="s">
        <v>415</v>
      </c>
      <c r="B374" s="17"/>
      <c r="C374" s="17" t="s">
        <v>40</v>
      </c>
      <c r="D374" s="17"/>
      <c r="E374" s="13">
        <v>44420</v>
      </c>
      <c r="G374" s="1">
        <f t="shared" si="48"/>
        <v>26800221</v>
      </c>
      <c r="I374" s="1">
        <v>13163483</v>
      </c>
      <c r="K374" s="1">
        <v>39963704</v>
      </c>
      <c r="M374" s="1">
        <f t="shared" ref="M374:M375" si="49">+S374-O374-Q374</f>
        <v>15064868</v>
      </c>
      <c r="O374" s="1">
        <v>815244</v>
      </c>
      <c r="Q374" s="1">
        <v>7893781</v>
      </c>
      <c r="S374" s="1">
        <v>23773893</v>
      </c>
      <c r="U374" s="1">
        <v>6296495</v>
      </c>
      <c r="W374" s="1">
        <f t="shared" si="43"/>
        <v>5004801</v>
      </c>
      <c r="Y374" s="1">
        <v>4888515</v>
      </c>
      <c r="AA374" s="1">
        <v>16189811</v>
      </c>
      <c r="AC374" s="1">
        <f t="shared" si="47"/>
        <v>0</v>
      </c>
      <c r="AE374" s="3">
        <f t="shared" si="46"/>
        <v>0</v>
      </c>
    </row>
    <row r="375" spans="1:31">
      <c r="A375" s="12" t="s">
        <v>894</v>
      </c>
      <c r="B375" s="17"/>
      <c r="C375" s="17" t="s">
        <v>32</v>
      </c>
      <c r="D375" s="17"/>
      <c r="E375" s="13">
        <v>44412</v>
      </c>
      <c r="G375" s="1">
        <f t="shared" si="48"/>
        <v>101341957</v>
      </c>
      <c r="I375" s="1">
        <f>16133338+4055061</f>
        <v>20188399</v>
      </c>
      <c r="K375" s="1">
        <v>121530356</v>
      </c>
      <c r="M375" s="1">
        <f t="shared" si="49"/>
        <v>15814341</v>
      </c>
      <c r="O375" s="1">
        <v>1188968</v>
      </c>
      <c r="Q375" s="1">
        <v>35751074</v>
      </c>
      <c r="S375" s="1">
        <v>52754383</v>
      </c>
      <c r="U375" s="1">
        <v>4085147</v>
      </c>
      <c r="W375" s="1">
        <f t="shared" si="43"/>
        <v>82652529</v>
      </c>
      <c r="Y375" s="1">
        <v>-17961703</v>
      </c>
      <c r="AA375" s="1">
        <v>68775973</v>
      </c>
      <c r="AC375" s="1">
        <f t="shared" si="47"/>
        <v>0</v>
      </c>
      <c r="AE375" s="3">
        <f t="shared" si="46"/>
        <v>0</v>
      </c>
    </row>
    <row r="376" spans="1:31">
      <c r="A376" s="17" t="s">
        <v>392</v>
      </c>
      <c r="B376" s="17"/>
      <c r="C376" s="17" t="s">
        <v>34</v>
      </c>
      <c r="D376" s="17"/>
      <c r="E376" s="13">
        <v>44438</v>
      </c>
      <c r="G376" s="1">
        <f t="shared" ref="G376:G380" si="50">+K376-I376</f>
        <v>23583345</v>
      </c>
      <c r="I376" s="1">
        <v>9564760</v>
      </c>
      <c r="K376" s="1">
        <v>33148105</v>
      </c>
      <c r="M376" s="1">
        <f t="shared" ref="M376:M380" si="51">+S376-O376-Q376</f>
        <v>12657159</v>
      </c>
      <c r="O376" s="1">
        <v>1007033</v>
      </c>
      <c r="Q376" s="1">
        <f>8249947-1007033</f>
        <v>7242914</v>
      </c>
      <c r="S376" s="1">
        <v>20907106</v>
      </c>
      <c r="U376" s="1">
        <v>4017161</v>
      </c>
      <c r="W376" s="1">
        <f t="shared" ref="W376:W379" si="52">AA376-Y376-U376</f>
        <v>361995</v>
      </c>
      <c r="Y376" s="1">
        <v>7861843</v>
      </c>
      <c r="AA376" s="1">
        <v>12240999</v>
      </c>
      <c r="AC376" s="1">
        <f t="shared" si="47"/>
        <v>0</v>
      </c>
      <c r="AE376" s="3">
        <f t="shared" si="46"/>
        <v>0</v>
      </c>
    </row>
    <row r="377" spans="1:31" hidden="1">
      <c r="A377" s="12" t="s">
        <v>945</v>
      </c>
      <c r="B377" s="12"/>
      <c r="C377" s="12" t="s">
        <v>57</v>
      </c>
      <c r="D377" s="17"/>
      <c r="E377" s="13"/>
      <c r="G377" s="1">
        <f t="shared" ref="G377" si="53">+K377-I377</f>
        <v>0</v>
      </c>
      <c r="M377" s="1">
        <f t="shared" ref="M377" si="54">+S377-O377-Q377</f>
        <v>0</v>
      </c>
      <c r="W377" s="1">
        <f t="shared" ref="W377" si="55">AA377-Y377-U377</f>
        <v>0</v>
      </c>
      <c r="AC377" s="1">
        <f t="shared" ref="AC377" si="56">+K377-S377-AA377</f>
        <v>0</v>
      </c>
      <c r="AE377" s="3">
        <f t="shared" ref="AE377" si="57">+G377+I377+-M377-O377-U377-W377-Y377-Q377</f>
        <v>0</v>
      </c>
    </row>
    <row r="378" spans="1:31">
      <c r="A378" s="17" t="s">
        <v>215</v>
      </c>
      <c r="B378" s="17"/>
      <c r="C378" s="17" t="s">
        <v>13</v>
      </c>
      <c r="D378" s="17"/>
      <c r="E378" s="13">
        <v>44446</v>
      </c>
      <c r="G378" s="1">
        <f t="shared" si="50"/>
        <v>11379549</v>
      </c>
      <c r="I378" s="1">
        <v>32021290</v>
      </c>
      <c r="K378" s="1">
        <v>43400839</v>
      </c>
      <c r="M378" s="1">
        <f t="shared" si="51"/>
        <v>5393696</v>
      </c>
      <c r="O378" s="1">
        <v>450537</v>
      </c>
      <c r="Q378" s="1">
        <f>7587224-450537</f>
        <v>7136687</v>
      </c>
      <c r="S378" s="1">
        <v>12980920</v>
      </c>
      <c r="U378" s="1">
        <v>25000846</v>
      </c>
      <c r="W378" s="1">
        <f t="shared" si="52"/>
        <v>3286243</v>
      </c>
      <c r="Y378" s="1">
        <v>2132830</v>
      </c>
      <c r="AA378" s="1">
        <v>30419919</v>
      </c>
      <c r="AC378" s="1">
        <f t="shared" si="47"/>
        <v>0</v>
      </c>
      <c r="AE378" s="3">
        <f t="shared" si="46"/>
        <v>0</v>
      </c>
    </row>
    <row r="379" spans="1:31">
      <c r="A379" s="17" t="s">
        <v>728</v>
      </c>
      <c r="B379" s="17"/>
      <c r="C379" s="17" t="s">
        <v>27</v>
      </c>
      <c r="D379" s="17"/>
      <c r="E379" s="13"/>
      <c r="G379" s="1">
        <f t="shared" si="50"/>
        <v>77722909</v>
      </c>
      <c r="I379" s="1">
        <v>80009746</v>
      </c>
      <c r="K379" s="1">
        <v>157732655</v>
      </c>
      <c r="M379" s="1">
        <f t="shared" si="51"/>
        <v>33549601</v>
      </c>
      <c r="O379" s="1">
        <v>2968666</v>
      </c>
      <c r="Q379" s="1">
        <f>84068690-2968666</f>
        <v>81100024</v>
      </c>
      <c r="S379" s="1">
        <v>117618291</v>
      </c>
      <c r="U379" s="1">
        <v>3075330</v>
      </c>
      <c r="W379" s="1">
        <f t="shared" si="52"/>
        <v>9965161</v>
      </c>
      <c r="Y379" s="1">
        <v>27073873</v>
      </c>
      <c r="AA379" s="1">
        <v>40114364</v>
      </c>
      <c r="AC379" s="1">
        <f>+K379-S379-AA379</f>
        <v>0</v>
      </c>
      <c r="AE379" s="3">
        <f t="shared" si="46"/>
        <v>0</v>
      </c>
    </row>
    <row r="380" spans="1:31">
      <c r="A380" s="17" t="s">
        <v>563</v>
      </c>
      <c r="B380" s="17"/>
      <c r="C380" s="17" t="s">
        <v>59</v>
      </c>
      <c r="D380" s="17"/>
      <c r="E380" s="13">
        <v>44461</v>
      </c>
      <c r="G380" s="1">
        <f t="shared" si="50"/>
        <v>25415920</v>
      </c>
      <c r="I380" s="1">
        <v>2804974</v>
      </c>
      <c r="K380" s="1">
        <v>28220894</v>
      </c>
      <c r="M380" s="1">
        <f t="shared" si="51"/>
        <v>3300468</v>
      </c>
      <c r="O380" s="1">
        <v>75956</v>
      </c>
      <c r="Q380" s="1">
        <f>3675932-75956</f>
        <v>3599976</v>
      </c>
      <c r="S380" s="1">
        <v>6976400</v>
      </c>
      <c r="U380" s="1">
        <v>2745401</v>
      </c>
      <c r="W380" s="1">
        <f>AA380-Y380-U380</f>
        <v>16662650</v>
      </c>
      <c r="Y380" s="1">
        <v>1836443</v>
      </c>
      <c r="AA380" s="1">
        <v>21244494</v>
      </c>
      <c r="AC380" s="1">
        <f t="shared" si="47"/>
        <v>0</v>
      </c>
      <c r="AE380" s="3">
        <f t="shared" si="46"/>
        <v>0</v>
      </c>
    </row>
    <row r="381" spans="1:31">
      <c r="A381" s="17" t="s">
        <v>218</v>
      </c>
      <c r="B381" s="17"/>
      <c r="C381" s="17" t="s">
        <v>14</v>
      </c>
      <c r="D381" s="17"/>
      <c r="E381" s="13">
        <v>45955</v>
      </c>
      <c r="G381" s="1">
        <f>+K381-I381</f>
        <v>10491763</v>
      </c>
      <c r="I381" s="1">
        <v>13425702</v>
      </c>
      <c r="K381" s="1">
        <v>23917465</v>
      </c>
      <c r="M381" s="1">
        <f>+S381-O381-Q381</f>
        <v>2316659</v>
      </c>
      <c r="O381" s="1">
        <v>681499</v>
      </c>
      <c r="Q381" s="1">
        <f>5699912+681499</f>
        <v>6381411</v>
      </c>
      <c r="S381" s="1">
        <v>9379569</v>
      </c>
      <c r="U381" s="1">
        <v>8998182</v>
      </c>
      <c r="W381" s="1">
        <f>AA381-Y381-U381</f>
        <v>1362776</v>
      </c>
      <c r="Y381" s="1">
        <v>4176938</v>
      </c>
      <c r="AA381" s="1">
        <v>14537896</v>
      </c>
      <c r="AC381" s="1">
        <f t="shared" si="47"/>
        <v>0</v>
      </c>
      <c r="AE381" s="3">
        <f t="shared" si="46"/>
        <v>0</v>
      </c>
    </row>
    <row r="382" spans="1:31" hidden="1">
      <c r="A382" s="17" t="s">
        <v>879</v>
      </c>
      <c r="B382" s="17"/>
      <c r="C382" s="17" t="s">
        <v>14</v>
      </c>
      <c r="D382" s="17"/>
      <c r="E382" s="13">
        <v>45963</v>
      </c>
      <c r="G382" s="1">
        <f t="shared" ref="G382:G408" si="58">+K382-I382</f>
        <v>0</v>
      </c>
      <c r="M382" s="1">
        <f t="shared" ref="M382:M408" si="59">+S382-O382-Q382</f>
        <v>0</v>
      </c>
      <c r="AB382" s="16"/>
      <c r="AC382" s="1">
        <f t="shared" si="47"/>
        <v>0</v>
      </c>
      <c r="AD382" s="16"/>
      <c r="AE382" s="3">
        <f t="shared" si="46"/>
        <v>0</v>
      </c>
    </row>
    <row r="383" spans="1:31">
      <c r="A383" s="17" t="s">
        <v>502</v>
      </c>
      <c r="B383" s="17"/>
      <c r="C383" s="17" t="s">
        <v>50</v>
      </c>
      <c r="D383" s="17"/>
      <c r="E383" s="13">
        <v>48710</v>
      </c>
      <c r="G383" s="1">
        <f>+K383-I383</f>
        <v>9324949</v>
      </c>
      <c r="I383" s="1">
        <v>27054616</v>
      </c>
      <c r="K383" s="1">
        <v>36379565</v>
      </c>
      <c r="M383" s="1">
        <f t="shared" si="59"/>
        <v>4226412</v>
      </c>
      <c r="O383" s="1">
        <v>341108</v>
      </c>
      <c r="Q383" s="1">
        <f>4058956-341108</f>
        <v>3717848</v>
      </c>
      <c r="S383" s="1">
        <v>8285368</v>
      </c>
      <c r="U383" s="1">
        <v>23533654</v>
      </c>
      <c r="W383" s="1">
        <f t="shared" ref="W383:W408" si="60">AA383-Y383-U383</f>
        <v>1369194</v>
      </c>
      <c r="Y383" s="1">
        <v>3191349</v>
      </c>
      <c r="AA383" s="1">
        <v>28094197</v>
      </c>
      <c r="AC383" s="1">
        <f t="shared" si="47"/>
        <v>0</v>
      </c>
      <c r="AE383" s="3">
        <f t="shared" si="46"/>
        <v>0</v>
      </c>
    </row>
    <row r="384" spans="1:31" hidden="1">
      <c r="A384" s="12" t="s">
        <v>889</v>
      </c>
      <c r="B384" s="12"/>
      <c r="C384" s="12" t="s">
        <v>524</v>
      </c>
      <c r="D384" s="12"/>
      <c r="E384" s="12">
        <v>44479</v>
      </c>
      <c r="G384" s="1">
        <f t="shared" si="58"/>
        <v>0</v>
      </c>
      <c r="M384" s="1">
        <f t="shared" si="59"/>
        <v>0</v>
      </c>
      <c r="W384" s="1">
        <f t="shared" si="60"/>
        <v>0</v>
      </c>
      <c r="AC384" s="1">
        <f t="shared" si="47"/>
        <v>0</v>
      </c>
      <c r="AE384" s="3">
        <f t="shared" si="46"/>
        <v>0</v>
      </c>
    </row>
    <row r="385" spans="1:31">
      <c r="A385" s="12" t="s">
        <v>405</v>
      </c>
      <c r="B385" s="12"/>
      <c r="C385" s="12" t="s">
        <v>37</v>
      </c>
      <c r="D385" s="12"/>
      <c r="E385" s="12">
        <v>47720</v>
      </c>
      <c r="G385" s="1">
        <f t="shared" si="58"/>
        <v>6299915</v>
      </c>
      <c r="I385" s="1">
        <v>13397073</v>
      </c>
      <c r="K385" s="1">
        <v>19696988</v>
      </c>
      <c r="M385" s="1">
        <f t="shared" si="59"/>
        <v>3126899</v>
      </c>
      <c r="O385" s="1">
        <v>301686</v>
      </c>
      <c r="Q385" s="1">
        <f>3059569-301686</f>
        <v>2757883</v>
      </c>
      <c r="S385" s="1">
        <v>6186468</v>
      </c>
      <c r="U385" s="1">
        <v>11061635</v>
      </c>
      <c r="W385" s="1">
        <f t="shared" si="60"/>
        <v>1316357</v>
      </c>
      <c r="Y385" s="1">
        <v>1132528</v>
      </c>
      <c r="AA385" s="1">
        <v>13510520</v>
      </c>
      <c r="AC385" s="1">
        <f t="shared" si="47"/>
        <v>0</v>
      </c>
      <c r="AE385" s="3">
        <f t="shared" si="46"/>
        <v>0</v>
      </c>
    </row>
    <row r="386" spans="1:31">
      <c r="A386" s="17" t="s">
        <v>234</v>
      </c>
      <c r="B386" s="17"/>
      <c r="C386" s="17" t="s">
        <v>227</v>
      </c>
      <c r="D386" s="17"/>
      <c r="E386" s="13">
        <v>46136</v>
      </c>
      <c r="G386" s="1">
        <f t="shared" si="58"/>
        <v>5143041</v>
      </c>
      <c r="I386" s="1">
        <v>12799789</v>
      </c>
      <c r="K386" s="1">
        <v>17942830</v>
      </c>
      <c r="M386" s="1">
        <f t="shared" si="59"/>
        <v>1852047</v>
      </c>
      <c r="O386" s="1">
        <v>266350</v>
      </c>
      <c r="Q386" s="1">
        <f>2448693-266350</f>
        <v>2182343</v>
      </c>
      <c r="S386" s="1">
        <v>4300740</v>
      </c>
      <c r="U386" s="1">
        <v>10777102</v>
      </c>
      <c r="W386" s="1">
        <f t="shared" si="60"/>
        <v>225993</v>
      </c>
      <c r="Y386" s="1">
        <v>2638995</v>
      </c>
      <c r="AA386" s="1">
        <v>13642090</v>
      </c>
      <c r="AC386" s="1">
        <f t="shared" si="47"/>
        <v>0</v>
      </c>
      <c r="AE386" s="3">
        <f t="shared" si="46"/>
        <v>0</v>
      </c>
    </row>
    <row r="387" spans="1:31">
      <c r="A387" s="17" t="s">
        <v>622</v>
      </c>
      <c r="B387" s="17"/>
      <c r="C387" s="17" t="s">
        <v>65</v>
      </c>
      <c r="D387" s="17"/>
      <c r="E387" s="13">
        <v>44487</v>
      </c>
      <c r="G387" s="1">
        <f t="shared" si="58"/>
        <v>24600000</v>
      </c>
      <c r="I387" s="1">
        <v>13300000</v>
      </c>
      <c r="K387" s="1">
        <v>37900000</v>
      </c>
      <c r="M387" s="1">
        <f t="shared" si="59"/>
        <v>15110853</v>
      </c>
      <c r="O387" s="1">
        <v>600635</v>
      </c>
      <c r="Q387" s="1">
        <f>6789147-600635</f>
        <v>6188512</v>
      </c>
      <c r="S387" s="1">
        <v>21900000</v>
      </c>
      <c r="U387" s="1">
        <v>7500000</v>
      </c>
      <c r="W387" s="1">
        <f t="shared" si="60"/>
        <v>1600000</v>
      </c>
      <c r="Y387" s="1">
        <v>6900000</v>
      </c>
      <c r="AA387" s="1">
        <v>16000000</v>
      </c>
      <c r="AC387" s="1">
        <f>+K387-S387-AA387</f>
        <v>0</v>
      </c>
      <c r="AE387" s="3">
        <f t="shared" si="46"/>
        <v>0</v>
      </c>
    </row>
    <row r="388" spans="1:31">
      <c r="A388" s="17" t="s">
        <v>256</v>
      </c>
      <c r="B388" s="17"/>
      <c r="C388" s="17" t="s">
        <v>115</v>
      </c>
      <c r="D388" s="17"/>
      <c r="E388" s="13">
        <v>45559</v>
      </c>
      <c r="G388" s="1">
        <f t="shared" si="58"/>
        <v>33758228</v>
      </c>
      <c r="I388" s="1">
        <v>18985280</v>
      </c>
      <c r="K388" s="1">
        <v>52743508</v>
      </c>
      <c r="M388" s="1">
        <f t="shared" si="59"/>
        <v>14384143</v>
      </c>
      <c r="O388" s="1">
        <v>234624</v>
      </c>
      <c r="Q388" s="1">
        <f>3008051+12995-234624</f>
        <v>2786422</v>
      </c>
      <c r="S388" s="1">
        <v>17405189</v>
      </c>
      <c r="U388" s="1">
        <v>18985280</v>
      </c>
      <c r="W388" s="1">
        <f t="shared" si="60"/>
        <v>1398162</v>
      </c>
      <c r="Y388" s="1">
        <v>14954877</v>
      </c>
      <c r="AA388" s="1">
        <v>35338319</v>
      </c>
      <c r="AC388" s="1">
        <f t="shared" si="47"/>
        <v>0</v>
      </c>
      <c r="AE388" s="3">
        <f t="shared" si="46"/>
        <v>0</v>
      </c>
    </row>
    <row r="389" spans="1:31" hidden="1">
      <c r="A389" s="12" t="s">
        <v>888</v>
      </c>
      <c r="B389" s="17"/>
      <c r="C389" s="17" t="s">
        <v>60</v>
      </c>
      <c r="D389" s="17"/>
      <c r="E389" s="13">
        <v>49718</v>
      </c>
      <c r="G389" s="1">
        <f t="shared" si="58"/>
        <v>0</v>
      </c>
      <c r="M389" s="1">
        <f t="shared" si="59"/>
        <v>0</v>
      </c>
      <c r="W389" s="1">
        <f t="shared" si="60"/>
        <v>0</v>
      </c>
      <c r="AC389" s="1">
        <f t="shared" si="47"/>
        <v>0</v>
      </c>
      <c r="AE389" s="3">
        <f t="shared" si="46"/>
        <v>0</v>
      </c>
    </row>
    <row r="390" spans="1:31">
      <c r="A390" s="17" t="s">
        <v>431</v>
      </c>
      <c r="B390" s="17"/>
      <c r="C390" s="17" t="s">
        <v>42</v>
      </c>
      <c r="D390" s="17"/>
      <c r="E390" s="13">
        <v>44453</v>
      </c>
      <c r="G390" s="1">
        <f t="shared" si="58"/>
        <v>116590991</v>
      </c>
      <c r="I390" s="1">
        <v>94268212</v>
      </c>
      <c r="K390" s="1">
        <v>210859203</v>
      </c>
      <c r="M390" s="1">
        <f t="shared" si="59"/>
        <v>30777302</v>
      </c>
      <c r="O390" s="1">
        <v>2370408</v>
      </c>
      <c r="Q390" s="1">
        <f>70686694-2370408</f>
        <v>68316286</v>
      </c>
      <c r="S390" s="1">
        <v>101463996</v>
      </c>
      <c r="U390" s="1">
        <v>37693300</v>
      </c>
      <c r="W390" s="1">
        <f t="shared" si="60"/>
        <v>67677213</v>
      </c>
      <c r="Y390" s="1">
        <v>4024694</v>
      </c>
      <c r="AA390" s="1">
        <v>109395207</v>
      </c>
      <c r="AC390" s="1">
        <f>+K390-S390-AA390</f>
        <v>0</v>
      </c>
      <c r="AE390" s="3">
        <f>+G390+I390+-M390-O390-U390-W390-Y390-Q390</f>
        <v>0</v>
      </c>
    </row>
    <row r="391" spans="1:31">
      <c r="A391" s="17" t="s">
        <v>355</v>
      </c>
      <c r="B391" s="17"/>
      <c r="C391" s="17" t="s">
        <v>30</v>
      </c>
      <c r="D391" s="17"/>
      <c r="E391" s="13">
        <v>47217</v>
      </c>
      <c r="G391" s="1">
        <f t="shared" si="58"/>
        <v>7080699</v>
      </c>
      <c r="I391" s="1">
        <v>3352331</v>
      </c>
      <c r="K391" s="1">
        <v>10433030</v>
      </c>
      <c r="M391" s="1">
        <f t="shared" si="59"/>
        <v>5846946</v>
      </c>
      <c r="O391" s="1">
        <v>92483</v>
      </c>
      <c r="Q391" s="1">
        <f>502643-92483</f>
        <v>410160</v>
      </c>
      <c r="S391" s="1">
        <v>6349589</v>
      </c>
      <c r="U391" s="1">
        <v>3352331</v>
      </c>
      <c r="W391" s="1">
        <f t="shared" si="60"/>
        <v>136063</v>
      </c>
      <c r="Y391" s="1">
        <v>595047</v>
      </c>
      <c r="AA391" s="1">
        <v>4083441</v>
      </c>
      <c r="AC391" s="1">
        <f t="shared" si="47"/>
        <v>0</v>
      </c>
      <c r="AE391" s="3">
        <f t="shared" si="46"/>
        <v>0</v>
      </c>
    </row>
    <row r="392" spans="1:31">
      <c r="A392" s="17" t="s">
        <v>623</v>
      </c>
      <c r="B392" s="17"/>
      <c r="C392" s="17" t="s">
        <v>65</v>
      </c>
      <c r="D392" s="17"/>
      <c r="E392" s="13">
        <v>45542</v>
      </c>
      <c r="G392" s="1">
        <f t="shared" si="58"/>
        <v>5175385</v>
      </c>
      <c r="I392" s="1">
        <v>15361044</v>
      </c>
      <c r="K392" s="1">
        <v>20536429</v>
      </c>
      <c r="M392" s="1">
        <f t="shared" si="59"/>
        <v>4220684</v>
      </c>
      <c r="O392" s="1">
        <v>373089</v>
      </c>
      <c r="Q392" s="1">
        <f>3313337-373089</f>
        <v>2940248</v>
      </c>
      <c r="S392" s="1">
        <v>7534021</v>
      </c>
      <c r="U392" s="1">
        <v>12625012</v>
      </c>
      <c r="W392" s="1">
        <f t="shared" si="60"/>
        <v>1089169</v>
      </c>
      <c r="Y392" s="1">
        <v>-711773</v>
      </c>
      <c r="AA392" s="1">
        <v>13002408</v>
      </c>
      <c r="AC392" s="1">
        <f t="shared" si="47"/>
        <v>0</v>
      </c>
      <c r="AE392" s="3">
        <f t="shared" si="46"/>
        <v>0</v>
      </c>
    </row>
    <row r="393" spans="1:31">
      <c r="A393" s="17" t="s">
        <v>614</v>
      </c>
      <c r="B393" s="17"/>
      <c r="C393" s="17" t="s">
        <v>64</v>
      </c>
      <c r="D393" s="17"/>
      <c r="E393" s="13">
        <v>45567</v>
      </c>
      <c r="G393" s="1">
        <f t="shared" si="58"/>
        <v>8182470</v>
      </c>
      <c r="I393" s="1">
        <v>19628555</v>
      </c>
      <c r="K393" s="1">
        <v>27811025</v>
      </c>
      <c r="M393" s="1">
        <f t="shared" si="59"/>
        <v>4652911</v>
      </c>
      <c r="O393" s="1">
        <v>679025</v>
      </c>
      <c r="Q393" s="1">
        <f>4228391-679025</f>
        <v>3549366</v>
      </c>
      <c r="S393" s="1">
        <v>8881302</v>
      </c>
      <c r="U393" s="1">
        <v>15988555</v>
      </c>
      <c r="W393" s="1">
        <f t="shared" si="60"/>
        <v>2603979</v>
      </c>
      <c r="Y393" s="1">
        <v>337189</v>
      </c>
      <c r="AA393" s="1">
        <v>18929723</v>
      </c>
      <c r="AC393" s="1">
        <f t="shared" si="47"/>
        <v>0</v>
      </c>
      <c r="AE393" s="3">
        <f t="shared" si="46"/>
        <v>0</v>
      </c>
    </row>
    <row r="394" spans="1:31" hidden="1">
      <c r="A394" s="12" t="s">
        <v>946</v>
      </c>
      <c r="B394" s="17"/>
      <c r="C394" s="17" t="s">
        <v>48</v>
      </c>
      <c r="D394" s="17"/>
      <c r="E394" s="13">
        <v>48637</v>
      </c>
      <c r="G394" s="1">
        <f t="shared" si="58"/>
        <v>0</v>
      </c>
      <c r="M394" s="1">
        <f t="shared" si="59"/>
        <v>0</v>
      </c>
      <c r="W394" s="1">
        <f t="shared" si="60"/>
        <v>0</v>
      </c>
      <c r="AC394" s="1">
        <f t="shared" si="47"/>
        <v>0</v>
      </c>
      <c r="AE394" s="3">
        <f t="shared" si="46"/>
        <v>0</v>
      </c>
    </row>
    <row r="395" spans="1:31">
      <c r="A395" s="17" t="s">
        <v>723</v>
      </c>
      <c r="B395" s="17"/>
      <c r="C395" s="17" t="s">
        <v>64</v>
      </c>
      <c r="D395" s="17"/>
      <c r="E395" s="13"/>
      <c r="G395" s="1">
        <f t="shared" si="58"/>
        <v>72853630</v>
      </c>
      <c r="I395" s="1">
        <v>13567960</v>
      </c>
      <c r="K395" s="1">
        <v>86421590</v>
      </c>
      <c r="M395" s="1">
        <f t="shared" si="59"/>
        <v>13633901</v>
      </c>
      <c r="O395" s="1">
        <v>1007003</v>
      </c>
      <c r="Q395" s="1">
        <f>24856249-1007003</f>
        <v>23849246</v>
      </c>
      <c r="S395" s="1">
        <v>38490150</v>
      </c>
      <c r="U395" s="1">
        <v>8692402</v>
      </c>
      <c r="W395" s="1">
        <f t="shared" si="60"/>
        <v>43662098</v>
      </c>
      <c r="Y395" s="1">
        <v>-4423060</v>
      </c>
      <c r="AA395" s="1">
        <v>47931440</v>
      </c>
      <c r="AC395" s="1">
        <f t="shared" si="47"/>
        <v>0</v>
      </c>
      <c r="AE395" s="3">
        <f t="shared" si="46"/>
        <v>0</v>
      </c>
    </row>
    <row r="396" spans="1:31">
      <c r="A396" s="17" t="s">
        <v>518</v>
      </c>
      <c r="B396" s="17"/>
      <c r="C396" s="17" t="s">
        <v>52</v>
      </c>
      <c r="D396" s="17"/>
      <c r="E396" s="13">
        <v>48900</v>
      </c>
      <c r="G396" s="1">
        <f t="shared" si="58"/>
        <v>6251614</v>
      </c>
      <c r="I396" s="1">
        <v>4180594</v>
      </c>
      <c r="K396" s="1">
        <v>10432208</v>
      </c>
      <c r="M396" s="1">
        <f t="shared" si="59"/>
        <v>3625496</v>
      </c>
      <c r="O396" s="1">
        <v>52940</v>
      </c>
      <c r="Q396" s="1">
        <f>575057-52940</f>
        <v>522117</v>
      </c>
      <c r="S396" s="1">
        <v>4200553</v>
      </c>
      <c r="U396" s="1">
        <v>4161090</v>
      </c>
      <c r="W396" s="1">
        <f t="shared" si="60"/>
        <v>258845</v>
      </c>
      <c r="Y396" s="1">
        <v>1811720</v>
      </c>
      <c r="AA396" s="1">
        <v>6231655</v>
      </c>
      <c r="AC396" s="1">
        <f t="shared" si="47"/>
        <v>0</v>
      </c>
      <c r="AE396" s="3">
        <f t="shared" si="46"/>
        <v>0</v>
      </c>
    </row>
    <row r="397" spans="1:31">
      <c r="A397" s="17" t="s">
        <v>592</v>
      </c>
      <c r="B397" s="17"/>
      <c r="C397" s="17" t="s">
        <v>63</v>
      </c>
      <c r="D397" s="17"/>
      <c r="E397" s="13">
        <v>50047</v>
      </c>
      <c r="G397" s="1">
        <f t="shared" si="58"/>
        <v>44292776</v>
      </c>
      <c r="I397" s="1">
        <v>38888939</v>
      </c>
      <c r="K397" s="1">
        <v>83181715</v>
      </c>
      <c r="M397" s="1">
        <f t="shared" si="59"/>
        <v>-345662882</v>
      </c>
      <c r="O397" s="1">
        <v>2746492</v>
      </c>
      <c r="Q397" s="1">
        <f>418690209-2746492</f>
        <v>415943717</v>
      </c>
      <c r="S397" s="1">
        <v>73027327</v>
      </c>
      <c r="U397" s="1">
        <v>4897509</v>
      </c>
      <c r="W397" s="1">
        <f t="shared" si="60"/>
        <v>4891418</v>
      </c>
      <c r="Y397" s="1">
        <v>365461</v>
      </c>
      <c r="AA397" s="1">
        <v>10154388</v>
      </c>
      <c r="AC397" s="1">
        <f t="shared" si="47"/>
        <v>0</v>
      </c>
      <c r="AE397" s="3">
        <f t="shared" si="46"/>
        <v>0</v>
      </c>
    </row>
    <row r="398" spans="1:31">
      <c r="A398" s="17" t="s">
        <v>648</v>
      </c>
      <c r="B398" s="17"/>
      <c r="C398" s="17" t="s">
        <v>72</v>
      </c>
      <c r="D398" s="17"/>
      <c r="E398" s="13">
        <v>50708</v>
      </c>
      <c r="G398" s="1">
        <f t="shared" si="58"/>
        <v>26832325</v>
      </c>
      <c r="I398" s="1">
        <v>4256692</v>
      </c>
      <c r="K398" s="1">
        <v>31089017</v>
      </c>
      <c r="M398" s="1">
        <f t="shared" si="59"/>
        <v>3976665</v>
      </c>
      <c r="O398" s="1">
        <v>312251</v>
      </c>
      <c r="Q398" s="1">
        <f>12755908</f>
        <v>12755908</v>
      </c>
      <c r="S398" s="1">
        <v>17044824</v>
      </c>
      <c r="U398" s="1">
        <v>2868326</v>
      </c>
      <c r="W398" s="1">
        <f t="shared" si="60"/>
        <v>9721900</v>
      </c>
      <c r="Y398" s="1">
        <v>1453967</v>
      </c>
      <c r="AA398" s="1">
        <v>14044193</v>
      </c>
      <c r="AC398" s="1">
        <f t="shared" si="47"/>
        <v>0</v>
      </c>
      <c r="AE398" s="3">
        <f t="shared" si="46"/>
        <v>0</v>
      </c>
    </row>
    <row r="399" spans="1:31" hidden="1">
      <c r="A399" s="17" t="s">
        <v>887</v>
      </c>
      <c r="B399" s="17"/>
      <c r="C399" s="17" t="s">
        <v>53</v>
      </c>
      <c r="D399" s="17"/>
      <c r="E399" s="13">
        <v>48967</v>
      </c>
      <c r="G399" s="1">
        <f t="shared" si="58"/>
        <v>0</v>
      </c>
      <c r="M399" s="1">
        <f t="shared" si="59"/>
        <v>0</v>
      </c>
      <c r="W399" s="1">
        <f t="shared" si="60"/>
        <v>0</v>
      </c>
      <c r="AC399" s="1">
        <f t="shared" si="47"/>
        <v>0</v>
      </c>
      <c r="AE399" s="3">
        <f t="shared" si="46"/>
        <v>0</v>
      </c>
    </row>
    <row r="400" spans="1:31">
      <c r="A400" s="17" t="s">
        <v>582</v>
      </c>
      <c r="B400" s="17"/>
      <c r="C400" s="17" t="s">
        <v>62</v>
      </c>
      <c r="D400" s="17"/>
      <c r="E400" s="13">
        <v>44503</v>
      </c>
      <c r="G400" s="1">
        <f t="shared" si="58"/>
        <v>28054320</v>
      </c>
      <c r="I400" s="1">
        <v>22521752</v>
      </c>
      <c r="K400" s="1">
        <v>50576072</v>
      </c>
      <c r="M400" s="1">
        <f t="shared" si="59"/>
        <v>26973804</v>
      </c>
      <c r="O400" s="1">
        <v>2560714</v>
      </c>
      <c r="Q400" s="1">
        <f>19795780-2560714</f>
        <v>17235066</v>
      </c>
      <c r="S400" s="1">
        <v>46769584</v>
      </c>
      <c r="U400" s="1">
        <v>7543208</v>
      </c>
      <c r="W400" s="1">
        <f t="shared" si="60"/>
        <v>3306666</v>
      </c>
      <c r="Y400" s="1">
        <v>-7043386</v>
      </c>
      <c r="AA400" s="1">
        <v>3806488</v>
      </c>
      <c r="AC400" s="1">
        <f t="shared" si="47"/>
        <v>0</v>
      </c>
      <c r="AE400" s="3">
        <f t="shared" si="46"/>
        <v>0</v>
      </c>
    </row>
    <row r="401" spans="1:31" hidden="1">
      <c r="A401" s="17" t="s">
        <v>886</v>
      </c>
      <c r="B401" s="17"/>
      <c r="C401" s="17" t="s">
        <v>643</v>
      </c>
      <c r="D401" s="17"/>
      <c r="E401" s="13">
        <v>50641</v>
      </c>
      <c r="G401" s="1">
        <f t="shared" si="58"/>
        <v>0</v>
      </c>
      <c r="M401" s="1">
        <f t="shared" si="59"/>
        <v>0</v>
      </c>
      <c r="W401" s="1">
        <f t="shared" si="60"/>
        <v>0</v>
      </c>
      <c r="AC401" s="1">
        <f t="shared" si="47"/>
        <v>0</v>
      </c>
      <c r="AE401" s="3">
        <f>+G401+I401+-M401-O401-U401-W401-Y401-Q401</f>
        <v>0</v>
      </c>
    </row>
    <row r="402" spans="1:31">
      <c r="A402" s="17" t="s">
        <v>883</v>
      </c>
      <c r="B402" s="17"/>
      <c r="C402" s="17" t="s">
        <v>32</v>
      </c>
      <c r="D402" s="17"/>
      <c r="E402" s="13">
        <v>44511</v>
      </c>
      <c r="G402" s="1">
        <f t="shared" si="58"/>
        <v>29302611</v>
      </c>
      <c r="I402" s="1">
        <v>30712791</v>
      </c>
      <c r="K402" s="1">
        <v>60015402</v>
      </c>
      <c r="M402" s="1">
        <f t="shared" si="59"/>
        <v>8185429</v>
      </c>
      <c r="O402" s="1">
        <v>271408</v>
      </c>
      <c r="Q402" s="1">
        <f>14526994-271408</f>
        <v>14255586</v>
      </c>
      <c r="S402" s="1">
        <v>22712423</v>
      </c>
      <c r="U402" s="1">
        <v>29312519</v>
      </c>
      <c r="W402" s="1">
        <f t="shared" si="60"/>
        <v>8502214</v>
      </c>
      <c r="Y402" s="1">
        <v>-511754</v>
      </c>
      <c r="AA402" s="1">
        <v>37302979</v>
      </c>
      <c r="AC402" s="1">
        <f t="shared" si="47"/>
        <v>0</v>
      </c>
      <c r="AE402" s="3">
        <f t="shared" si="46"/>
        <v>0</v>
      </c>
    </row>
    <row r="403" spans="1:31">
      <c r="A403" s="17" t="s">
        <v>432</v>
      </c>
      <c r="B403" s="17"/>
      <c r="C403" s="17" t="s">
        <v>42</v>
      </c>
      <c r="D403" s="17"/>
      <c r="E403" s="13">
        <v>48025</v>
      </c>
      <c r="G403" s="1">
        <f t="shared" si="58"/>
        <v>7933496</v>
      </c>
      <c r="I403" s="1">
        <v>33505657</v>
      </c>
      <c r="K403" s="1">
        <v>41439153</v>
      </c>
      <c r="M403" s="1">
        <f t="shared" si="59"/>
        <v>6503508</v>
      </c>
      <c r="O403" s="1">
        <v>610330</v>
      </c>
      <c r="Q403" s="1">
        <f>9943817-610330</f>
        <v>9333487</v>
      </c>
      <c r="S403" s="1">
        <v>16447325</v>
      </c>
      <c r="U403" s="1">
        <v>24708934</v>
      </c>
      <c r="W403" s="1">
        <f t="shared" si="60"/>
        <v>2482788</v>
      </c>
      <c r="Y403" s="1">
        <v>-2199894</v>
      </c>
      <c r="AA403" s="1">
        <v>24991828</v>
      </c>
      <c r="AC403" s="1">
        <f t="shared" si="47"/>
        <v>0</v>
      </c>
      <c r="AE403" s="3">
        <f t="shared" si="46"/>
        <v>0</v>
      </c>
    </row>
    <row r="404" spans="1:31">
      <c r="A404" s="17" t="s">
        <v>296</v>
      </c>
      <c r="B404" s="17"/>
      <c r="C404" s="17" t="s">
        <v>20</v>
      </c>
      <c r="D404" s="17"/>
      <c r="E404" s="13">
        <v>44529</v>
      </c>
      <c r="G404" s="1">
        <f t="shared" si="58"/>
        <v>51000110</v>
      </c>
      <c r="I404" s="1">
        <v>12338734</v>
      </c>
      <c r="K404" s="1">
        <v>63338844</v>
      </c>
      <c r="M404" s="1">
        <f t="shared" si="59"/>
        <v>37507971</v>
      </c>
      <c r="O404" s="1">
        <v>1100471</v>
      </c>
      <c r="Q404" s="1">
        <f>3927899-1100471</f>
        <v>2827428</v>
      </c>
      <c r="S404" s="1">
        <v>41435870</v>
      </c>
      <c r="U404" s="1">
        <v>11913734</v>
      </c>
      <c r="W404" s="1">
        <f t="shared" si="60"/>
        <v>3494251</v>
      </c>
      <c r="Y404" s="1">
        <v>6494989</v>
      </c>
      <c r="AA404" s="1">
        <v>21902974</v>
      </c>
      <c r="AC404" s="1">
        <f t="shared" si="47"/>
        <v>0</v>
      </c>
      <c r="AE404" s="3">
        <f t="shared" si="46"/>
        <v>0</v>
      </c>
    </row>
    <row r="405" spans="1:31">
      <c r="A405" s="17" t="s">
        <v>445</v>
      </c>
      <c r="B405" s="17"/>
      <c r="C405" s="17" t="s">
        <v>44</v>
      </c>
      <c r="D405" s="17"/>
      <c r="E405" s="13">
        <v>44537</v>
      </c>
      <c r="G405" s="1">
        <f t="shared" si="58"/>
        <v>31381064</v>
      </c>
      <c r="I405" s="1">
        <v>14297813</v>
      </c>
      <c r="K405" s="1">
        <v>45678877</v>
      </c>
      <c r="M405" s="1">
        <f t="shared" si="59"/>
        <v>28745086</v>
      </c>
      <c r="O405" s="1">
        <v>569402</v>
      </c>
      <c r="Q405" s="1">
        <f>4350214-569402</f>
        <v>3780812</v>
      </c>
      <c r="S405" s="1">
        <v>33095300</v>
      </c>
      <c r="U405" s="1">
        <v>12010174</v>
      </c>
      <c r="W405" s="1">
        <f t="shared" si="60"/>
        <v>1027320</v>
      </c>
      <c r="Y405" s="1">
        <v>-453917</v>
      </c>
      <c r="AA405" s="1">
        <v>12583577</v>
      </c>
      <c r="AC405" s="1">
        <f t="shared" si="47"/>
        <v>0</v>
      </c>
      <c r="AE405" s="3">
        <f t="shared" si="46"/>
        <v>0</v>
      </c>
    </row>
    <row r="406" spans="1:31">
      <c r="A406" s="17" t="s">
        <v>297</v>
      </c>
      <c r="B406" s="17"/>
      <c r="C406" s="17" t="s">
        <v>20</v>
      </c>
      <c r="D406" s="17"/>
      <c r="E406" s="13">
        <v>44545</v>
      </c>
      <c r="G406" s="1">
        <f t="shared" si="58"/>
        <v>50955650</v>
      </c>
      <c r="I406" s="1">
        <v>24330789</v>
      </c>
      <c r="K406" s="1">
        <v>75286439</v>
      </c>
      <c r="M406" s="1">
        <f t="shared" si="59"/>
        <v>37706126</v>
      </c>
      <c r="O406" s="1">
        <v>1558824</v>
      </c>
      <c r="Q406" s="1">
        <f>18232365-1558824</f>
        <v>16673541</v>
      </c>
      <c r="S406" s="1">
        <v>55938491</v>
      </c>
      <c r="U406" s="1">
        <v>11374852</v>
      </c>
      <c r="W406" s="1">
        <f t="shared" si="60"/>
        <v>5144134</v>
      </c>
      <c r="Y406" s="1">
        <v>2828962</v>
      </c>
      <c r="AA406" s="1">
        <v>19347948</v>
      </c>
      <c r="AC406" s="1">
        <f t="shared" si="47"/>
        <v>0</v>
      </c>
      <c r="AE406" s="3">
        <f t="shared" si="46"/>
        <v>0</v>
      </c>
    </row>
    <row r="407" spans="1:31">
      <c r="A407" s="17" t="s">
        <v>627</v>
      </c>
      <c r="B407" s="17"/>
      <c r="C407" s="17" t="s">
        <v>66</v>
      </c>
      <c r="D407" s="17"/>
      <c r="E407" s="13">
        <v>50336</v>
      </c>
      <c r="G407" s="1">
        <f t="shared" si="58"/>
        <v>20307924</v>
      </c>
      <c r="I407" s="1">
        <v>35172611</v>
      </c>
      <c r="K407" s="1">
        <v>55480535</v>
      </c>
      <c r="M407" s="1">
        <f t="shared" si="59"/>
        <v>5370023</v>
      </c>
      <c r="O407" s="1">
        <v>567868</v>
      </c>
      <c r="Q407" s="1">
        <f>11871396-567868</f>
        <v>11303528</v>
      </c>
      <c r="S407" s="1">
        <v>17241419</v>
      </c>
      <c r="U407" s="1">
        <v>23942611</v>
      </c>
      <c r="W407" s="1">
        <f t="shared" si="60"/>
        <v>4699133</v>
      </c>
      <c r="Y407" s="1">
        <v>9597372</v>
      </c>
      <c r="AA407" s="1">
        <v>38239116</v>
      </c>
      <c r="AC407" s="1">
        <f t="shared" si="47"/>
        <v>0</v>
      </c>
      <c r="AE407" s="3">
        <f t="shared" si="46"/>
        <v>0</v>
      </c>
    </row>
    <row r="408" spans="1:31">
      <c r="A408" s="17" t="s">
        <v>247</v>
      </c>
      <c r="B408" s="17"/>
      <c r="C408" s="17" t="s">
        <v>17</v>
      </c>
      <c r="D408" s="17"/>
      <c r="E408" s="13">
        <v>46250</v>
      </c>
      <c r="G408" s="1">
        <f t="shared" si="58"/>
        <v>20473873</v>
      </c>
      <c r="I408" s="1">
        <v>18559274</v>
      </c>
      <c r="K408" s="1">
        <v>39033147</v>
      </c>
      <c r="M408" s="1">
        <f t="shared" si="59"/>
        <v>10423440</v>
      </c>
      <c r="O408" s="1">
        <v>879500</v>
      </c>
      <c r="Q408" s="1">
        <f>5557499-879500</f>
        <v>4677999</v>
      </c>
      <c r="S408" s="1">
        <v>15980939</v>
      </c>
      <c r="U408" s="1">
        <v>14428374</v>
      </c>
      <c r="W408" s="1">
        <f t="shared" si="60"/>
        <v>1947677</v>
      </c>
      <c r="Y408" s="1">
        <v>6676157</v>
      </c>
      <c r="AA408" s="1">
        <v>23052208</v>
      </c>
      <c r="AC408" s="1">
        <f t="shared" si="47"/>
        <v>0</v>
      </c>
      <c r="AE408" s="3">
        <f t="shared" si="46"/>
        <v>0</v>
      </c>
    </row>
    <row r="409" spans="1:31" hidden="1">
      <c r="A409" s="17" t="s">
        <v>882</v>
      </c>
      <c r="B409" s="17"/>
      <c r="C409" s="17" t="s">
        <v>22</v>
      </c>
      <c r="D409" s="17"/>
      <c r="E409" s="13">
        <v>46722</v>
      </c>
      <c r="G409" s="1">
        <f t="shared" ref="G409:G430" si="61">+K409-I409</f>
        <v>0</v>
      </c>
      <c r="M409" s="1">
        <f t="shared" ref="M409:M430" si="62">+S409-O409-Q409</f>
        <v>0</v>
      </c>
      <c r="W409" s="1">
        <f t="shared" ref="W409:W430" si="63">AA409-Y409-U409</f>
        <v>0</v>
      </c>
      <c r="AC409" s="1">
        <f t="shared" si="47"/>
        <v>0</v>
      </c>
      <c r="AE409" s="3">
        <f t="shared" si="46"/>
        <v>0</v>
      </c>
    </row>
    <row r="410" spans="1:31">
      <c r="A410" s="17" t="s">
        <v>503</v>
      </c>
      <c r="B410" s="17"/>
      <c r="C410" s="17" t="s">
        <v>50</v>
      </c>
      <c r="D410" s="17"/>
      <c r="E410" s="13">
        <v>48728</v>
      </c>
      <c r="G410" s="1">
        <f t="shared" si="61"/>
        <v>35934968</v>
      </c>
      <c r="I410" s="1">
        <v>6014312</v>
      </c>
      <c r="K410" s="1">
        <v>41949280</v>
      </c>
      <c r="M410" s="1">
        <f t="shared" si="62"/>
        <v>29227693</v>
      </c>
      <c r="O410" s="1">
        <v>612473</v>
      </c>
      <c r="Q410" s="1">
        <f>2790124-612473</f>
        <v>2177651</v>
      </c>
      <c r="S410" s="1">
        <v>32017817</v>
      </c>
      <c r="U410" s="1">
        <v>5646608</v>
      </c>
      <c r="W410" s="1">
        <f t="shared" si="63"/>
        <v>2112251</v>
      </c>
      <c r="Y410" s="1">
        <v>2172604</v>
      </c>
      <c r="AA410" s="1">
        <v>9931463</v>
      </c>
      <c r="AC410" s="1">
        <f t="shared" si="47"/>
        <v>0</v>
      </c>
      <c r="AE410" s="3">
        <f t="shared" si="46"/>
        <v>0</v>
      </c>
    </row>
    <row r="411" spans="1:31">
      <c r="A411" s="17" t="s">
        <v>510</v>
      </c>
      <c r="B411" s="17"/>
      <c r="C411" s="17" t="s">
        <v>78</v>
      </c>
      <c r="D411" s="17"/>
      <c r="E411" s="13">
        <v>48819</v>
      </c>
      <c r="G411" s="1">
        <f t="shared" si="61"/>
        <v>36163135</v>
      </c>
      <c r="I411" s="1">
        <v>17480964</v>
      </c>
      <c r="K411" s="1">
        <v>53644099</v>
      </c>
      <c r="M411" s="1">
        <f t="shared" si="62"/>
        <v>8864705</v>
      </c>
      <c r="O411" s="1">
        <v>367646</v>
      </c>
      <c r="Q411" s="1">
        <f>15347684-367646</f>
        <v>14980038</v>
      </c>
      <c r="S411" s="1">
        <v>24212389</v>
      </c>
      <c r="U411" s="1">
        <v>17113192</v>
      </c>
      <c r="W411" s="1">
        <f t="shared" si="63"/>
        <v>13113932</v>
      </c>
      <c r="Y411" s="1">
        <v>-795414</v>
      </c>
      <c r="AA411" s="1">
        <v>29431710</v>
      </c>
      <c r="AC411" s="1">
        <f t="shared" si="47"/>
        <v>0</v>
      </c>
      <c r="AE411" s="3">
        <f t="shared" si="46"/>
        <v>0</v>
      </c>
    </row>
    <row r="412" spans="1:31">
      <c r="A412" s="17" t="s">
        <v>433</v>
      </c>
      <c r="B412" s="17"/>
      <c r="C412" s="17" t="s">
        <v>50</v>
      </c>
      <c r="D412" s="17"/>
      <c r="E412" s="13">
        <v>48033</v>
      </c>
      <c r="G412" s="1">
        <f t="shared" si="61"/>
        <v>17237489</v>
      </c>
      <c r="I412" s="1">
        <v>12566970</v>
      </c>
      <c r="K412" s="1">
        <v>29804459</v>
      </c>
      <c r="M412" s="1">
        <f t="shared" si="62"/>
        <v>8088421</v>
      </c>
      <c r="O412" s="1">
        <v>494214</v>
      </c>
      <c r="Q412" s="1">
        <f>12170297-494214</f>
        <v>11676083</v>
      </c>
      <c r="S412" s="1">
        <v>20258718</v>
      </c>
      <c r="U412" s="1">
        <v>1873281</v>
      </c>
      <c r="W412" s="1">
        <f t="shared" si="63"/>
        <v>2221560</v>
      </c>
      <c r="Y412" s="1">
        <v>5450900</v>
      </c>
      <c r="AA412" s="1">
        <v>9545741</v>
      </c>
      <c r="AC412" s="1">
        <f t="shared" si="47"/>
        <v>0</v>
      </c>
      <c r="AE412" s="3">
        <f t="shared" si="46"/>
        <v>0</v>
      </c>
    </row>
    <row r="413" spans="1:31">
      <c r="A413" s="17" t="s">
        <v>433</v>
      </c>
      <c r="B413" s="17"/>
      <c r="C413" s="17" t="s">
        <v>42</v>
      </c>
      <c r="D413" s="17"/>
      <c r="E413" s="13">
        <v>48736</v>
      </c>
      <c r="G413" s="1">
        <f t="shared" si="61"/>
        <v>11978763</v>
      </c>
      <c r="I413" s="1">
        <v>12188016</v>
      </c>
      <c r="K413" s="1">
        <v>24166779</v>
      </c>
      <c r="M413" s="1">
        <f t="shared" si="62"/>
        <v>7425870</v>
      </c>
      <c r="O413" s="1">
        <v>732179</v>
      </c>
      <c r="Q413" s="1">
        <f>6932470-732179</f>
        <v>6200291</v>
      </c>
      <c r="S413" s="1">
        <v>14358340</v>
      </c>
      <c r="U413" s="1">
        <v>6259638</v>
      </c>
      <c r="W413" s="1">
        <f t="shared" si="63"/>
        <v>946825</v>
      </c>
      <c r="Y413" s="1">
        <v>2601976</v>
      </c>
      <c r="AA413" s="1">
        <v>9808439</v>
      </c>
      <c r="AC413" s="1">
        <f t="shared" si="47"/>
        <v>0</v>
      </c>
      <c r="AE413" s="3">
        <f t="shared" si="46"/>
        <v>0</v>
      </c>
    </row>
    <row r="414" spans="1:31">
      <c r="A414" s="17" t="s">
        <v>370</v>
      </c>
      <c r="B414" s="17"/>
      <c r="C414" s="17" t="s">
        <v>32</v>
      </c>
      <c r="D414" s="17"/>
      <c r="E414" s="13">
        <v>47365</v>
      </c>
      <c r="G414" s="1">
        <f t="shared" si="61"/>
        <v>73450288</v>
      </c>
      <c r="I414" s="1">
        <v>23729553</v>
      </c>
      <c r="K414" s="1">
        <v>97179841</v>
      </c>
      <c r="M414" s="1">
        <f t="shared" si="62"/>
        <v>42267826</v>
      </c>
      <c r="O414" s="1">
        <v>1747488</v>
      </c>
      <c r="Q414" s="1">
        <f>23698306-1747488</f>
        <v>21950818</v>
      </c>
      <c r="S414" s="1">
        <v>65966132</v>
      </c>
      <c r="U414" s="1">
        <v>4824453</v>
      </c>
      <c r="W414" s="1">
        <f t="shared" si="63"/>
        <v>4503468</v>
      </c>
      <c r="Y414" s="1">
        <v>21885788</v>
      </c>
      <c r="AA414" s="1">
        <v>31213709</v>
      </c>
      <c r="AC414" s="1">
        <f t="shared" si="47"/>
        <v>0</v>
      </c>
      <c r="AE414" s="3">
        <f t="shared" si="46"/>
        <v>0</v>
      </c>
    </row>
    <row r="415" spans="1:31">
      <c r="A415" s="17" t="s">
        <v>708</v>
      </c>
      <c r="B415" s="17"/>
      <c r="C415" s="17" t="s">
        <v>59</v>
      </c>
      <c r="D415" s="17"/>
      <c r="E415" s="13">
        <v>49635</v>
      </c>
      <c r="G415" s="1">
        <f t="shared" si="61"/>
        <v>6369195</v>
      </c>
      <c r="I415" s="1">
        <v>26328286</v>
      </c>
      <c r="K415" s="1">
        <v>32697481</v>
      </c>
      <c r="M415" s="1">
        <f t="shared" si="62"/>
        <v>4097192</v>
      </c>
      <c r="O415" s="1">
        <v>512329</v>
      </c>
      <c r="Q415" s="1">
        <f>4426299-512329</f>
        <v>3913970</v>
      </c>
      <c r="S415" s="1">
        <v>8523491</v>
      </c>
      <c r="U415" s="1">
        <v>23877737</v>
      </c>
      <c r="W415" s="1">
        <f t="shared" si="63"/>
        <v>1718962</v>
      </c>
      <c r="Y415" s="1">
        <v>-1422709</v>
      </c>
      <c r="AA415" s="1">
        <v>24173990</v>
      </c>
      <c r="AC415" s="1">
        <f t="shared" si="47"/>
        <v>0</v>
      </c>
      <c r="AE415" s="3">
        <f t="shared" si="46"/>
        <v>0</v>
      </c>
    </row>
    <row r="416" spans="1:31">
      <c r="A416" s="17" t="s">
        <v>370</v>
      </c>
      <c r="B416" s="17"/>
      <c r="C416" s="17" t="s">
        <v>62</v>
      </c>
      <c r="D416" s="17"/>
      <c r="E416" s="13">
        <v>49908</v>
      </c>
      <c r="F416" s="16"/>
      <c r="G416" s="1">
        <f t="shared" si="61"/>
        <v>40915912</v>
      </c>
      <c r="I416" s="1">
        <v>25823314</v>
      </c>
      <c r="K416" s="1">
        <v>66739226</v>
      </c>
      <c r="M416" s="1">
        <f t="shared" si="62"/>
        <v>11564111</v>
      </c>
      <c r="O416" s="1">
        <v>841890</v>
      </c>
      <c r="Q416" s="1">
        <f>24047788-841890</f>
        <v>23205898</v>
      </c>
      <c r="S416" s="1">
        <v>35611899</v>
      </c>
      <c r="U416" s="1">
        <v>4573571</v>
      </c>
      <c r="W416" s="1">
        <f t="shared" si="63"/>
        <v>31016587</v>
      </c>
      <c r="Y416" s="1">
        <v>-4462831</v>
      </c>
      <c r="AA416" s="1">
        <v>31127327</v>
      </c>
      <c r="AC416" s="1">
        <f t="shared" si="47"/>
        <v>0</v>
      </c>
      <c r="AE416" s="3">
        <f t="shared" si="46"/>
        <v>0</v>
      </c>
    </row>
    <row r="417" spans="1:31">
      <c r="A417" s="17" t="s">
        <v>248</v>
      </c>
      <c r="B417" s="17"/>
      <c r="C417" s="17" t="s">
        <v>17</v>
      </c>
      <c r="D417" s="17"/>
      <c r="E417" s="13">
        <v>46268</v>
      </c>
      <c r="G417" s="1">
        <f t="shared" si="61"/>
        <v>38530000</v>
      </c>
      <c r="I417" s="1">
        <v>6610000</v>
      </c>
      <c r="K417" s="1">
        <v>45140000</v>
      </c>
      <c r="M417" s="1">
        <f t="shared" si="62"/>
        <v>20406832</v>
      </c>
      <c r="O417" s="1">
        <v>213340</v>
      </c>
      <c r="Q417" s="1">
        <f>16443168-213340</f>
        <v>16229828</v>
      </c>
      <c r="S417" s="1">
        <v>36850000</v>
      </c>
      <c r="U417" s="1">
        <v>5620000</v>
      </c>
      <c r="W417" s="1">
        <f t="shared" si="63"/>
        <v>780000</v>
      </c>
      <c r="Y417" s="1">
        <v>1890000</v>
      </c>
      <c r="AA417" s="1">
        <v>8290000</v>
      </c>
      <c r="AC417" s="1">
        <f t="shared" si="47"/>
        <v>0</v>
      </c>
      <c r="AE417" s="3">
        <f t="shared" si="46"/>
        <v>0</v>
      </c>
    </row>
    <row r="418" spans="1:31" hidden="1">
      <c r="A418" s="17" t="s">
        <v>947</v>
      </c>
      <c r="B418" s="17"/>
      <c r="C418" s="17" t="s">
        <v>71</v>
      </c>
      <c r="D418" s="17"/>
      <c r="E418" s="13"/>
      <c r="G418" s="1">
        <f t="shared" ref="G418" si="64">+K418-I418</f>
        <v>0</v>
      </c>
      <c r="M418" s="1">
        <f t="shared" ref="M418" si="65">+S418-O418-Q418</f>
        <v>0</v>
      </c>
      <c r="W418" s="1">
        <f t="shared" ref="W418" si="66">AA418-Y418-U418</f>
        <v>0</v>
      </c>
      <c r="AC418" s="1">
        <f t="shared" ref="AC418" si="67">+K418-S418-AA418</f>
        <v>0</v>
      </c>
      <c r="AE418" s="3">
        <f t="shared" ref="AE418" si="68">+G418+I418+-M418-O418-U418-W418-Y418-Q418</f>
        <v>0</v>
      </c>
    </row>
    <row r="419" spans="1:31">
      <c r="A419" s="17" t="s">
        <v>649</v>
      </c>
      <c r="B419" s="17"/>
      <c r="C419" s="17" t="s">
        <v>72</v>
      </c>
      <c r="D419" s="17"/>
      <c r="E419" s="13">
        <v>50716</v>
      </c>
      <c r="G419" s="1">
        <f t="shared" si="61"/>
        <v>9983555</v>
      </c>
      <c r="I419" s="1">
        <v>3865864</v>
      </c>
      <c r="K419" s="1">
        <v>13849419</v>
      </c>
      <c r="M419" s="1">
        <f t="shared" si="62"/>
        <v>5953942</v>
      </c>
      <c r="O419" s="1">
        <v>244184</v>
      </c>
      <c r="Q419" s="1">
        <f>1428059-244184</f>
        <v>1183875</v>
      </c>
      <c r="S419" s="1">
        <v>7382001</v>
      </c>
      <c r="U419" s="1">
        <v>3075156</v>
      </c>
      <c r="W419" s="1">
        <f t="shared" si="63"/>
        <v>1292583</v>
      </c>
      <c r="Y419" s="1">
        <v>2099679</v>
      </c>
      <c r="AA419" s="1">
        <v>6467418</v>
      </c>
      <c r="AC419" s="1">
        <f t="shared" si="47"/>
        <v>0</v>
      </c>
      <c r="AE419" s="3">
        <f t="shared" si="46"/>
        <v>0</v>
      </c>
    </row>
    <row r="420" spans="1:31">
      <c r="A420" s="17" t="s">
        <v>593</v>
      </c>
      <c r="B420" s="17"/>
      <c r="C420" s="17" t="s">
        <v>63</v>
      </c>
      <c r="D420" s="17"/>
      <c r="E420" s="13">
        <v>44552</v>
      </c>
      <c r="G420" s="1">
        <f t="shared" si="61"/>
        <v>18591482</v>
      </c>
      <c r="I420" s="1">
        <v>3504098</v>
      </c>
      <c r="K420" s="1">
        <v>22095580</v>
      </c>
      <c r="M420" s="1">
        <f t="shared" si="62"/>
        <v>9929950</v>
      </c>
      <c r="O420" s="1">
        <v>142043</v>
      </c>
      <c r="Q420" s="1">
        <f>959486-142043</f>
        <v>817443</v>
      </c>
      <c r="S420" s="1">
        <v>10889436</v>
      </c>
      <c r="U420" s="1">
        <v>3408970</v>
      </c>
      <c r="W420" s="1">
        <f t="shared" si="63"/>
        <v>2947167</v>
      </c>
      <c r="Y420" s="1">
        <v>4850007</v>
      </c>
      <c r="AA420" s="1">
        <v>11206144</v>
      </c>
      <c r="AC420" s="1">
        <f t="shared" si="47"/>
        <v>0</v>
      </c>
      <c r="AE420" s="3">
        <f t="shared" si="46"/>
        <v>0</v>
      </c>
    </row>
    <row r="421" spans="1:31">
      <c r="A421" s="17" t="s">
        <v>406</v>
      </c>
      <c r="B421" s="17"/>
      <c r="C421" s="17" t="s">
        <v>37</v>
      </c>
      <c r="D421" s="17"/>
      <c r="E421" s="13">
        <v>44560</v>
      </c>
      <c r="G421" s="1">
        <f t="shared" si="61"/>
        <v>23210196</v>
      </c>
      <c r="I421" s="1">
        <v>24948286</v>
      </c>
      <c r="K421" s="1">
        <v>48158482</v>
      </c>
      <c r="M421" s="1">
        <f t="shared" si="62"/>
        <v>9845817</v>
      </c>
      <c r="O421" s="1">
        <v>855772</v>
      </c>
      <c r="Q421" s="1">
        <f>13512859-855772</f>
        <v>12657087</v>
      </c>
      <c r="S421" s="1">
        <v>23358676</v>
      </c>
      <c r="U421" s="1">
        <v>12938295</v>
      </c>
      <c r="W421" s="1">
        <f t="shared" si="63"/>
        <v>5757168</v>
      </c>
      <c r="Y421" s="1">
        <v>6104343</v>
      </c>
      <c r="AA421" s="1">
        <v>24799806</v>
      </c>
      <c r="AC421" s="1">
        <f t="shared" si="47"/>
        <v>0</v>
      </c>
      <c r="AE421" s="3">
        <f t="shared" si="46"/>
        <v>0</v>
      </c>
    </row>
    <row r="422" spans="1:31">
      <c r="A422" s="17" t="s">
        <v>764</v>
      </c>
      <c r="B422" s="17"/>
      <c r="C422" s="17" t="s">
        <v>32</v>
      </c>
      <c r="D422" s="17"/>
      <c r="E422" s="13">
        <v>44578</v>
      </c>
      <c r="G422" s="1">
        <f t="shared" si="61"/>
        <v>20660864</v>
      </c>
      <c r="I422" s="1">
        <v>6858581</v>
      </c>
      <c r="K422" s="1">
        <v>27519445</v>
      </c>
      <c r="M422" s="1">
        <f t="shared" si="62"/>
        <v>14719639</v>
      </c>
      <c r="O422" s="1">
        <v>458949</v>
      </c>
      <c r="Q422" s="1">
        <f>6240271-458949</f>
        <v>5781322</v>
      </c>
      <c r="S422" s="1">
        <v>20959910</v>
      </c>
      <c r="U422" s="1">
        <v>1727756</v>
      </c>
      <c r="W422" s="1">
        <f t="shared" si="63"/>
        <v>1737768</v>
      </c>
      <c r="Y422" s="1">
        <v>3094011</v>
      </c>
      <c r="AA422" s="1">
        <v>6559535</v>
      </c>
      <c r="AC422" s="1">
        <f t="shared" si="47"/>
        <v>0</v>
      </c>
      <c r="AE422" s="3">
        <f t="shared" si="46"/>
        <v>0</v>
      </c>
    </row>
    <row r="423" spans="1:31" hidden="1">
      <c r="A423" s="17" t="s">
        <v>948</v>
      </c>
      <c r="B423" s="17"/>
      <c r="C423" s="17" t="s">
        <v>38</v>
      </c>
      <c r="D423" s="17"/>
      <c r="E423" s="13"/>
      <c r="F423" s="8"/>
      <c r="G423" s="1">
        <f t="shared" ref="G423" si="69">+K423-I423</f>
        <v>0</v>
      </c>
      <c r="M423" s="1">
        <f t="shared" ref="M423" si="70">+S423-O423-Q423</f>
        <v>0</v>
      </c>
      <c r="W423" s="1">
        <f t="shared" ref="W423" si="71">AA423-Y423-U423</f>
        <v>0</v>
      </c>
      <c r="AC423" s="1">
        <f t="shared" ref="AC423" si="72">+K423-S423-AA423</f>
        <v>0</v>
      </c>
      <c r="AE423" s="3">
        <f t="shared" ref="AE423" si="73">+G423+I423+-M423-O423-U423-W423-Y423-Q423</f>
        <v>0</v>
      </c>
    </row>
    <row r="424" spans="1:31">
      <c r="A424" s="17" t="s">
        <v>371</v>
      </c>
      <c r="B424" s="17"/>
      <c r="C424" s="17" t="s">
        <v>32</v>
      </c>
      <c r="D424" s="17"/>
      <c r="E424" s="13">
        <v>47373</v>
      </c>
      <c r="F424" s="8"/>
      <c r="G424" s="1">
        <f t="shared" si="61"/>
        <v>61630458</v>
      </c>
      <c r="I424" s="1">
        <v>49344022</v>
      </c>
      <c r="K424" s="1">
        <v>110974480</v>
      </c>
      <c r="M424" s="1">
        <f t="shared" si="62"/>
        <v>26657562</v>
      </c>
      <c r="O424" s="1">
        <v>2148842</v>
      </c>
      <c r="Q424" s="1">
        <f>46630463-2148842</f>
        <v>44481621</v>
      </c>
      <c r="S424" s="1">
        <v>73288025</v>
      </c>
      <c r="U424" s="1">
        <v>7686787</v>
      </c>
      <c r="W424" s="1">
        <f t="shared" si="63"/>
        <v>8247014</v>
      </c>
      <c r="Y424" s="1">
        <v>21752654</v>
      </c>
      <c r="AA424" s="1">
        <v>37686455</v>
      </c>
      <c r="AC424" s="1">
        <f t="shared" si="47"/>
        <v>0</v>
      </c>
      <c r="AE424" s="3">
        <f t="shared" si="46"/>
        <v>0</v>
      </c>
    </row>
    <row r="425" spans="1:31">
      <c r="A425" s="17" t="s">
        <v>504</v>
      </c>
      <c r="B425" s="17"/>
      <c r="C425" s="17" t="s">
        <v>50</v>
      </c>
      <c r="D425" s="17"/>
      <c r="E425" s="13">
        <v>44586</v>
      </c>
      <c r="G425" s="1">
        <f t="shared" si="61"/>
        <v>17811899</v>
      </c>
      <c r="I425" s="1">
        <v>21572749</v>
      </c>
      <c r="K425" s="1">
        <v>39384648</v>
      </c>
      <c r="M425" s="1">
        <f t="shared" si="62"/>
        <v>16861077</v>
      </c>
      <c r="O425" s="1">
        <v>759562</v>
      </c>
      <c r="Q425" s="1">
        <f>18833775-759562</f>
        <v>18074213</v>
      </c>
      <c r="S425" s="1">
        <v>35694852</v>
      </c>
      <c r="U425" s="1">
        <v>3837757</v>
      </c>
      <c r="W425" s="1">
        <f t="shared" si="63"/>
        <v>766000</v>
      </c>
      <c r="Y425" s="1">
        <v>-913961</v>
      </c>
      <c r="AA425" s="1">
        <v>3689796</v>
      </c>
      <c r="AC425" s="1">
        <f t="shared" si="47"/>
        <v>0</v>
      </c>
      <c r="AE425" s="3">
        <f t="shared" si="46"/>
        <v>0</v>
      </c>
    </row>
    <row r="426" spans="1:31">
      <c r="A426" s="17"/>
      <c r="B426" s="17"/>
      <c r="C426" s="17"/>
      <c r="D426" s="17"/>
      <c r="E426" s="13"/>
    </row>
    <row r="427" spans="1:31">
      <c r="A427" s="17"/>
      <c r="B427" s="17"/>
      <c r="C427" s="17"/>
      <c r="D427" s="17"/>
      <c r="E427" s="13"/>
      <c r="AA427" s="20" t="s">
        <v>709</v>
      </c>
    </row>
    <row r="428" spans="1:31">
      <c r="A428" s="17"/>
      <c r="B428" s="17"/>
      <c r="C428" s="17"/>
      <c r="D428" s="17"/>
      <c r="E428" s="13"/>
    </row>
    <row r="429" spans="1:31">
      <c r="A429" s="17" t="s">
        <v>446</v>
      </c>
      <c r="B429" s="17"/>
      <c r="C429" s="17" t="s">
        <v>44</v>
      </c>
      <c r="D429" s="17"/>
      <c r="E429" s="13">
        <v>44594</v>
      </c>
      <c r="G429" s="16">
        <f t="shared" si="61"/>
        <v>7436447</v>
      </c>
      <c r="H429" s="16"/>
      <c r="I429" s="16">
        <v>5790177</v>
      </c>
      <c r="J429" s="16"/>
      <c r="K429" s="16">
        <v>13226624</v>
      </c>
      <c r="L429" s="16"/>
      <c r="M429" s="16">
        <f t="shared" si="62"/>
        <v>6528693</v>
      </c>
      <c r="N429" s="16"/>
      <c r="O429" s="16">
        <v>459679</v>
      </c>
      <c r="P429" s="16"/>
      <c r="Q429" s="16">
        <f>1897362-459679</f>
        <v>1437683</v>
      </c>
      <c r="R429" s="16"/>
      <c r="S429" s="16">
        <v>8426055</v>
      </c>
      <c r="T429" s="16"/>
      <c r="U429" s="16">
        <v>5259467</v>
      </c>
      <c r="V429" s="16"/>
      <c r="W429" s="16">
        <f t="shared" si="63"/>
        <v>638587</v>
      </c>
      <c r="X429" s="16"/>
      <c r="Y429" s="16">
        <v>-1097485</v>
      </c>
      <c r="Z429" s="16"/>
      <c r="AA429" s="16">
        <v>4800569</v>
      </c>
      <c r="AC429" s="1">
        <f t="shared" si="47"/>
        <v>0</v>
      </c>
      <c r="AE429" s="3">
        <f t="shared" si="46"/>
        <v>0</v>
      </c>
    </row>
    <row r="430" spans="1:31" hidden="1">
      <c r="A430" s="17" t="s">
        <v>735</v>
      </c>
      <c r="B430" s="17"/>
      <c r="C430" s="17" t="s">
        <v>60</v>
      </c>
      <c r="D430" s="17"/>
      <c r="E430" s="13">
        <v>49726</v>
      </c>
      <c r="G430" s="1">
        <f t="shared" si="61"/>
        <v>0</v>
      </c>
      <c r="M430" s="1">
        <f t="shared" si="62"/>
        <v>0</v>
      </c>
      <c r="W430" s="1">
        <f t="shared" si="63"/>
        <v>0</v>
      </c>
      <c r="AC430" s="1">
        <f t="shared" si="47"/>
        <v>0</v>
      </c>
      <c r="AE430" s="3">
        <f t="shared" si="46"/>
        <v>0</v>
      </c>
    </row>
    <row r="431" spans="1:31">
      <c r="A431" s="17" t="s">
        <v>313</v>
      </c>
      <c r="B431" s="17"/>
      <c r="C431" s="17" t="s">
        <v>23</v>
      </c>
      <c r="D431" s="17"/>
      <c r="E431" s="13">
        <v>46763</v>
      </c>
      <c r="G431" s="1">
        <f t="shared" ref="G431:G494" si="74">+K431-I431</f>
        <v>261613411</v>
      </c>
      <c r="I431" s="1">
        <v>332802861</v>
      </c>
      <c r="K431" s="1">
        <v>594416272</v>
      </c>
      <c r="M431" s="1">
        <f t="shared" ref="M431:M494" si="75">+S431-O431-Q431</f>
        <v>145745083</v>
      </c>
      <c r="O431" s="1">
        <v>12526648</v>
      </c>
      <c r="Q431" s="1">
        <f>398944657-12526648</f>
        <v>386418009</v>
      </c>
      <c r="S431" s="1">
        <v>544689740</v>
      </c>
      <c r="U431" s="1">
        <v>3163011</v>
      </c>
      <c r="W431" s="1">
        <f t="shared" ref="W431:W441" si="76">AA431-Y431-U431</f>
        <v>33553973</v>
      </c>
      <c r="Y431" s="1">
        <v>13009548</v>
      </c>
      <c r="AA431" s="1">
        <v>49726532</v>
      </c>
      <c r="AB431" s="16"/>
      <c r="AC431" s="1">
        <f t="shared" ref="AC431:AC493" si="77">+K431-S431-AA431</f>
        <v>0</v>
      </c>
      <c r="AD431" s="16"/>
      <c r="AE431" s="3">
        <f t="shared" ref="AE431:AE494" si="78">+G431+I431+-M431-O431-U431-W431-Y431-Q431</f>
        <v>0</v>
      </c>
    </row>
    <row r="432" spans="1:31">
      <c r="A432" s="17" t="s">
        <v>298</v>
      </c>
      <c r="B432" s="17"/>
      <c r="C432" s="17" t="s">
        <v>20</v>
      </c>
      <c r="D432" s="17"/>
      <c r="E432" s="13">
        <v>46573</v>
      </c>
      <c r="G432" s="1">
        <f t="shared" si="74"/>
        <v>40102845</v>
      </c>
      <c r="I432" s="1">
        <v>40633805</v>
      </c>
      <c r="K432" s="1">
        <v>80736650</v>
      </c>
      <c r="M432" s="1">
        <f t="shared" si="75"/>
        <v>28409131</v>
      </c>
      <c r="O432" s="1">
        <v>1569899</v>
      </c>
      <c r="Q432" s="1">
        <f>25808603-1569899</f>
        <v>24238704</v>
      </c>
      <c r="S432" s="1">
        <v>54217734</v>
      </c>
      <c r="U432" s="1">
        <v>16290696</v>
      </c>
      <c r="W432" s="1">
        <f t="shared" si="76"/>
        <v>7242137</v>
      </c>
      <c r="Y432" s="1">
        <v>2986083</v>
      </c>
      <c r="AA432" s="1">
        <v>26518916</v>
      </c>
      <c r="AC432" s="1">
        <f t="shared" si="77"/>
        <v>0</v>
      </c>
      <c r="AE432" s="3">
        <f t="shared" si="78"/>
        <v>0</v>
      </c>
    </row>
    <row r="433" spans="1:31">
      <c r="A433" s="17" t="s">
        <v>546</v>
      </c>
      <c r="B433" s="17"/>
      <c r="C433" s="17" t="s">
        <v>112</v>
      </c>
      <c r="D433" s="17"/>
      <c r="E433" s="13">
        <v>49478</v>
      </c>
      <c r="G433" s="1">
        <f t="shared" si="74"/>
        <v>19305818</v>
      </c>
      <c r="I433" s="1">
        <v>23065894</v>
      </c>
      <c r="K433" s="1">
        <v>42371712</v>
      </c>
      <c r="M433" s="1">
        <f t="shared" si="75"/>
        <v>10654501</v>
      </c>
      <c r="O433" s="1">
        <v>1196773</v>
      </c>
      <c r="Q433" s="1">
        <f>16894086-1196773</f>
        <v>15697313</v>
      </c>
      <c r="S433" s="1">
        <v>27548587</v>
      </c>
      <c r="U433" s="1">
        <v>8048351</v>
      </c>
      <c r="W433" s="1">
        <f t="shared" si="76"/>
        <v>2774606</v>
      </c>
      <c r="Y433" s="1">
        <v>4000168</v>
      </c>
      <c r="AA433" s="1">
        <v>14823125</v>
      </c>
      <c r="AC433" s="1">
        <f t="shared" si="77"/>
        <v>0</v>
      </c>
      <c r="AE433" s="3">
        <f t="shared" si="78"/>
        <v>0</v>
      </c>
    </row>
    <row r="434" spans="1:31">
      <c r="A434" s="17" t="s">
        <v>299</v>
      </c>
      <c r="B434" s="17"/>
      <c r="C434" s="17" t="s">
        <v>20</v>
      </c>
      <c r="D434" s="17"/>
      <c r="E434" s="13">
        <v>46581</v>
      </c>
      <c r="G434" s="1">
        <f t="shared" si="74"/>
        <v>84508399</v>
      </c>
      <c r="I434" s="1">
        <v>45462755</v>
      </c>
      <c r="K434" s="1">
        <v>129971154</v>
      </c>
      <c r="M434" s="1">
        <f t="shared" si="75"/>
        <v>38610902</v>
      </c>
      <c r="O434" s="1">
        <f>1719017+7765</f>
        <v>1726782</v>
      </c>
      <c r="Q434" s="1">
        <f>29922218+18159-1719017-7765</f>
        <v>28213595</v>
      </c>
      <c r="S434" s="1">
        <v>68551279</v>
      </c>
      <c r="U434" s="1">
        <v>21932110</v>
      </c>
      <c r="W434" s="1">
        <f t="shared" si="76"/>
        <v>9431851</v>
      </c>
      <c r="Y434" s="1">
        <v>30055914</v>
      </c>
      <c r="AA434" s="1">
        <v>61419875</v>
      </c>
      <c r="AC434" s="1">
        <f t="shared" si="77"/>
        <v>0</v>
      </c>
      <c r="AE434" s="3">
        <f t="shared" si="78"/>
        <v>0</v>
      </c>
    </row>
    <row r="435" spans="1:31">
      <c r="A435" s="17" t="s">
        <v>451</v>
      </c>
      <c r="B435" s="17"/>
      <c r="C435" s="17" t="s">
        <v>117</v>
      </c>
      <c r="D435" s="17"/>
      <c r="E435" s="13">
        <v>44602</v>
      </c>
      <c r="G435" s="1">
        <f t="shared" si="74"/>
        <v>39466911</v>
      </c>
      <c r="I435" s="1">
        <v>58870340</v>
      </c>
      <c r="K435" s="1">
        <v>98337251</v>
      </c>
      <c r="M435" s="1">
        <f t="shared" si="75"/>
        <v>27014862</v>
      </c>
      <c r="O435" s="1">
        <v>2178954</v>
      </c>
      <c r="Q435" s="1">
        <f>49209945-2178954</f>
        <v>47030991</v>
      </c>
      <c r="S435" s="1">
        <v>76224807</v>
      </c>
      <c r="U435" s="1">
        <v>16045918</v>
      </c>
      <c r="W435" s="1">
        <f t="shared" si="76"/>
        <v>7065583</v>
      </c>
      <c r="Y435" s="1">
        <v>-999057</v>
      </c>
      <c r="AA435" s="1">
        <v>22112444</v>
      </c>
      <c r="AC435" s="1">
        <f t="shared" si="77"/>
        <v>0</v>
      </c>
      <c r="AE435" s="3">
        <f t="shared" si="78"/>
        <v>0</v>
      </c>
    </row>
    <row r="436" spans="1:31">
      <c r="A436" s="17" t="s">
        <v>707</v>
      </c>
      <c r="B436" s="17"/>
      <c r="C436" s="17" t="s">
        <v>71</v>
      </c>
      <c r="D436" s="17"/>
      <c r="E436" s="13">
        <v>44610</v>
      </c>
      <c r="G436" s="1">
        <f t="shared" si="74"/>
        <v>32258420</v>
      </c>
      <c r="I436" s="1">
        <f>3466911+27976448</f>
        <v>31443359</v>
      </c>
      <c r="K436" s="1">
        <v>63701779</v>
      </c>
      <c r="M436" s="1">
        <f t="shared" si="75"/>
        <v>9550469</v>
      </c>
      <c r="O436" s="1">
        <v>804375</v>
      </c>
      <c r="Q436" s="1">
        <v>32530561</v>
      </c>
      <c r="S436" s="1">
        <v>42885405</v>
      </c>
      <c r="U436" s="1">
        <v>3604748</v>
      </c>
      <c r="W436" s="1">
        <f t="shared" si="76"/>
        <v>21540191</v>
      </c>
      <c r="Y436" s="1">
        <v>-4328565</v>
      </c>
      <c r="AA436" s="1">
        <v>20816374</v>
      </c>
      <c r="AC436" s="1">
        <f t="shared" si="77"/>
        <v>0</v>
      </c>
      <c r="AE436" s="3">
        <f t="shared" si="78"/>
        <v>0</v>
      </c>
    </row>
    <row r="437" spans="1:31">
      <c r="A437" s="17" t="s">
        <v>583</v>
      </c>
      <c r="B437" s="17"/>
      <c r="C437" s="17" t="s">
        <v>62</v>
      </c>
      <c r="D437" s="17"/>
      <c r="E437" s="13">
        <v>49916</v>
      </c>
      <c r="G437" s="1">
        <f t="shared" si="74"/>
        <v>13350069</v>
      </c>
      <c r="I437" s="1">
        <f>19439372+941659</f>
        <v>20381031</v>
      </c>
      <c r="K437" s="1">
        <v>33731100</v>
      </c>
      <c r="M437" s="1">
        <f t="shared" si="75"/>
        <v>4722944</v>
      </c>
      <c r="O437" s="1">
        <v>408419</v>
      </c>
      <c r="Q437" s="1">
        <v>8985802</v>
      </c>
      <c r="S437" s="1">
        <v>14117165</v>
      </c>
      <c r="U437" s="1">
        <v>14061469</v>
      </c>
      <c r="W437" s="1">
        <f t="shared" si="76"/>
        <v>3298583</v>
      </c>
      <c r="Y437" s="1">
        <v>2253883</v>
      </c>
      <c r="AA437" s="1">
        <v>19613935</v>
      </c>
      <c r="AC437" s="1">
        <f t="shared" si="77"/>
        <v>0</v>
      </c>
      <c r="AE437" s="3">
        <f t="shared" si="78"/>
        <v>0</v>
      </c>
    </row>
    <row r="438" spans="1:31">
      <c r="A438" s="17" t="s">
        <v>650</v>
      </c>
      <c r="B438" s="17"/>
      <c r="C438" s="17" t="s">
        <v>72</v>
      </c>
      <c r="D438" s="17"/>
      <c r="E438" s="13">
        <v>50724</v>
      </c>
      <c r="G438" s="1">
        <f t="shared" si="74"/>
        <v>33411474</v>
      </c>
      <c r="I438" s="1">
        <f>519642+21420971</f>
        <v>21940613</v>
      </c>
      <c r="K438" s="1">
        <v>55352087</v>
      </c>
      <c r="M438" s="1">
        <f t="shared" si="75"/>
        <v>5989195</v>
      </c>
      <c r="O438" s="1">
        <v>633187</v>
      </c>
      <c r="Q438" s="1">
        <v>21924903</v>
      </c>
      <c r="S438" s="1">
        <v>28547285</v>
      </c>
      <c r="U438" s="1">
        <v>4949357</v>
      </c>
      <c r="W438" s="1">
        <f t="shared" si="76"/>
        <v>22487571</v>
      </c>
      <c r="Y438" s="1">
        <v>-632126</v>
      </c>
      <c r="AA438" s="1">
        <v>26804802</v>
      </c>
      <c r="AC438" s="1">
        <f t="shared" si="77"/>
        <v>0</v>
      </c>
      <c r="AE438" s="3">
        <f t="shared" si="78"/>
        <v>0</v>
      </c>
    </row>
    <row r="439" spans="1:31">
      <c r="A439" s="17" t="s">
        <v>452</v>
      </c>
      <c r="B439" s="17"/>
      <c r="C439" s="17" t="s">
        <v>117</v>
      </c>
      <c r="D439" s="17"/>
      <c r="E439" s="13">
        <v>48215</v>
      </c>
      <c r="G439" s="1">
        <f t="shared" si="74"/>
        <v>15001433</v>
      </c>
      <c r="I439" s="1">
        <f>56845+6144333</f>
        <v>6201178</v>
      </c>
      <c r="K439" s="1">
        <v>21202611</v>
      </c>
      <c r="M439" s="1">
        <f t="shared" si="75"/>
        <v>10501885</v>
      </c>
      <c r="O439" s="1">
        <v>573650</v>
      </c>
      <c r="Q439" s="1">
        <v>3883721</v>
      </c>
      <c r="S439" s="1">
        <v>14959256</v>
      </c>
      <c r="U439" s="1">
        <v>3404333</v>
      </c>
      <c r="W439" s="1">
        <f t="shared" si="76"/>
        <v>455940</v>
      </c>
      <c r="Y439" s="1">
        <v>2383082</v>
      </c>
      <c r="AA439" s="1">
        <v>6243355</v>
      </c>
      <c r="AC439" s="1">
        <f t="shared" si="77"/>
        <v>0</v>
      </c>
      <c r="AE439" s="3">
        <f t="shared" si="78"/>
        <v>0</v>
      </c>
    </row>
    <row r="440" spans="1:31" hidden="1">
      <c r="A440" s="12" t="s">
        <v>885</v>
      </c>
      <c r="B440" s="17"/>
      <c r="C440" s="17" t="s">
        <v>542</v>
      </c>
      <c r="D440" s="17"/>
      <c r="E440" s="13">
        <v>49379</v>
      </c>
      <c r="G440" s="1">
        <f t="shared" si="74"/>
        <v>0</v>
      </c>
      <c r="M440" s="1">
        <f t="shared" si="75"/>
        <v>0</v>
      </c>
      <c r="W440" s="1">
        <f t="shared" si="76"/>
        <v>0</v>
      </c>
      <c r="AC440" s="1">
        <f t="shared" si="77"/>
        <v>0</v>
      </c>
      <c r="AE440" s="3">
        <f t="shared" si="78"/>
        <v>0</v>
      </c>
    </row>
    <row r="441" spans="1:31" hidden="1">
      <c r="A441" s="12" t="s">
        <v>884</v>
      </c>
      <c r="B441" s="17"/>
      <c r="C441" s="17" t="s">
        <v>542</v>
      </c>
      <c r="D441" s="17"/>
      <c r="E441" s="13">
        <v>49387</v>
      </c>
      <c r="G441" s="1">
        <f t="shared" si="74"/>
        <v>0</v>
      </c>
      <c r="M441" s="1">
        <f t="shared" si="75"/>
        <v>0</v>
      </c>
      <c r="W441" s="1">
        <f t="shared" si="76"/>
        <v>0</v>
      </c>
      <c r="AC441" s="1">
        <f t="shared" si="77"/>
        <v>0</v>
      </c>
      <c r="AE441" s="3">
        <f t="shared" si="78"/>
        <v>0</v>
      </c>
    </row>
    <row r="442" spans="1:31">
      <c r="A442" s="17" t="s">
        <v>417</v>
      </c>
      <c r="B442" s="17"/>
      <c r="C442" s="17" t="s">
        <v>41</v>
      </c>
      <c r="D442" s="17"/>
      <c r="E442" s="13">
        <v>44628</v>
      </c>
      <c r="G442" s="1">
        <f t="shared" si="74"/>
        <v>18510430</v>
      </c>
      <c r="I442" s="1">
        <f>8141631+86258246</f>
        <v>94399877</v>
      </c>
      <c r="K442" s="1">
        <v>112910307</v>
      </c>
      <c r="M442" s="1">
        <f t="shared" si="75"/>
        <v>13116512</v>
      </c>
      <c r="O442" s="1">
        <v>1216483</v>
      </c>
      <c r="Q442" s="1">
        <v>30050210</v>
      </c>
      <c r="S442" s="1">
        <v>44383205</v>
      </c>
      <c r="U442" s="1">
        <v>64711593</v>
      </c>
      <c r="W442" s="1">
        <f>AA442-Y442-U442</f>
        <v>5759061</v>
      </c>
      <c r="Y442" s="1">
        <v>-1943552</v>
      </c>
      <c r="AA442" s="1">
        <v>68527102</v>
      </c>
      <c r="AC442" s="1">
        <f t="shared" si="77"/>
        <v>0</v>
      </c>
      <c r="AE442" s="3">
        <f t="shared" si="78"/>
        <v>0</v>
      </c>
    </row>
    <row r="443" spans="1:31" hidden="1">
      <c r="A443" s="17" t="s">
        <v>852</v>
      </c>
      <c r="B443" s="17"/>
      <c r="C443" s="17" t="s">
        <v>41</v>
      </c>
      <c r="D443" s="17"/>
      <c r="E443" s="13">
        <v>47894</v>
      </c>
      <c r="G443" s="1">
        <f t="shared" si="74"/>
        <v>0</v>
      </c>
      <c r="M443" s="1">
        <f t="shared" si="75"/>
        <v>0</v>
      </c>
      <c r="W443" s="1">
        <f t="shared" ref="W443:W451" si="79">AA443-Y443-U443</f>
        <v>0</v>
      </c>
      <c r="AC443" s="1">
        <f t="shared" si="77"/>
        <v>0</v>
      </c>
      <c r="AE443" s="3">
        <f t="shared" si="78"/>
        <v>0</v>
      </c>
    </row>
    <row r="444" spans="1:31">
      <c r="A444" s="17" t="s">
        <v>552</v>
      </c>
      <c r="B444" s="17"/>
      <c r="C444" s="17" t="s">
        <v>58</v>
      </c>
      <c r="D444" s="17"/>
      <c r="E444" s="13">
        <v>49510</v>
      </c>
      <c r="G444" s="1">
        <f t="shared" si="74"/>
        <v>7299223</v>
      </c>
      <c r="I444" s="1">
        <f>35188+17933999</f>
        <v>17969187</v>
      </c>
      <c r="K444" s="1">
        <v>25268410</v>
      </c>
      <c r="M444" s="1">
        <f t="shared" si="75"/>
        <v>2601466</v>
      </c>
      <c r="O444" s="1">
        <v>130998</v>
      </c>
      <c r="Q444" s="1">
        <v>1650052</v>
      </c>
      <c r="S444" s="1">
        <v>4382516</v>
      </c>
      <c r="U444" s="1">
        <v>16646981</v>
      </c>
      <c r="W444" s="1">
        <f t="shared" si="79"/>
        <v>1569930</v>
      </c>
      <c r="Y444" s="1">
        <v>2668983</v>
      </c>
      <c r="AA444" s="1">
        <v>20885894</v>
      </c>
      <c r="AC444" s="1">
        <f t="shared" si="77"/>
        <v>0</v>
      </c>
      <c r="AE444" s="3">
        <f t="shared" si="78"/>
        <v>0</v>
      </c>
    </row>
    <row r="445" spans="1:31" hidden="1">
      <c r="A445" s="17" t="s">
        <v>853</v>
      </c>
      <c r="B445" s="17"/>
      <c r="C445" s="17" t="s">
        <v>542</v>
      </c>
      <c r="D445" s="17"/>
      <c r="E445" s="13">
        <v>49395</v>
      </c>
      <c r="F445" s="8"/>
      <c r="G445" s="1">
        <f t="shared" si="74"/>
        <v>0</v>
      </c>
      <c r="M445" s="1">
        <f t="shared" si="75"/>
        <v>0</v>
      </c>
      <c r="W445" s="1">
        <f t="shared" si="79"/>
        <v>0</v>
      </c>
      <c r="AC445" s="1">
        <f t="shared" si="77"/>
        <v>0</v>
      </c>
      <c r="AE445" s="3">
        <f t="shared" si="78"/>
        <v>0</v>
      </c>
    </row>
    <row r="446" spans="1:31" hidden="1">
      <c r="A446" s="17" t="s">
        <v>854</v>
      </c>
      <c r="B446" s="17"/>
      <c r="C446" s="17" t="s">
        <v>486</v>
      </c>
      <c r="D446" s="17"/>
      <c r="E446" s="13">
        <v>48579</v>
      </c>
      <c r="G446" s="1">
        <f t="shared" si="74"/>
        <v>0</v>
      </c>
      <c r="M446" s="1">
        <f t="shared" si="75"/>
        <v>0</v>
      </c>
      <c r="W446" s="1">
        <f t="shared" si="79"/>
        <v>0</v>
      </c>
      <c r="AC446" s="1">
        <f t="shared" si="77"/>
        <v>0</v>
      </c>
      <c r="AE446" s="3">
        <f t="shared" si="78"/>
        <v>0</v>
      </c>
    </row>
    <row r="447" spans="1:31">
      <c r="A447" s="17" t="s">
        <v>300</v>
      </c>
      <c r="B447" s="17"/>
      <c r="C447" s="17" t="s">
        <v>20</v>
      </c>
      <c r="D447" s="17"/>
      <c r="E447" s="13">
        <v>44636</v>
      </c>
      <c r="G447" s="1">
        <f t="shared" si="74"/>
        <v>111059669</v>
      </c>
      <c r="I447" s="1">
        <f>5096730+57629975</f>
        <v>62726705</v>
      </c>
      <c r="K447" s="1">
        <v>173786374</v>
      </c>
      <c r="M447" s="1">
        <f t="shared" si="75"/>
        <v>87900385</v>
      </c>
      <c r="O447" s="1">
        <v>6355129</v>
      </c>
      <c r="Q447" s="1">
        <v>46821750</v>
      </c>
      <c r="S447" s="1">
        <v>141077264</v>
      </c>
      <c r="U447" s="1">
        <v>19768412</v>
      </c>
      <c r="W447" s="1">
        <f t="shared" si="79"/>
        <v>5960186</v>
      </c>
      <c r="Y447" s="1">
        <v>6980512</v>
      </c>
      <c r="AA447" s="1">
        <v>32709110</v>
      </c>
      <c r="AC447" s="1">
        <f t="shared" si="77"/>
        <v>0</v>
      </c>
      <c r="AE447" s="3">
        <f t="shared" si="78"/>
        <v>0</v>
      </c>
    </row>
    <row r="448" spans="1:31" s="16" customFormat="1">
      <c r="A448" s="14" t="s">
        <v>393</v>
      </c>
      <c r="B448" s="14"/>
      <c r="C448" s="14" t="s">
        <v>34</v>
      </c>
      <c r="D448" s="14"/>
      <c r="E448" s="14">
        <v>47597</v>
      </c>
      <c r="G448" s="1">
        <f t="shared" si="74"/>
        <v>8025419</v>
      </c>
      <c r="H448" s="1"/>
      <c r="I448" s="1">
        <f>592870+14610983</f>
        <v>15203853</v>
      </c>
      <c r="J448" s="1"/>
      <c r="K448" s="1">
        <v>23229272</v>
      </c>
      <c r="L448" s="1"/>
      <c r="M448" s="1">
        <f t="shared" si="75"/>
        <v>5690754</v>
      </c>
      <c r="N448" s="1"/>
      <c r="O448" s="1">
        <v>221772</v>
      </c>
      <c r="P448" s="1"/>
      <c r="Q448" s="1">
        <v>5808789</v>
      </c>
      <c r="R448" s="1"/>
      <c r="S448" s="1">
        <v>11721315</v>
      </c>
      <c r="T448" s="1"/>
      <c r="U448" s="1">
        <v>9924032</v>
      </c>
      <c r="V448" s="1"/>
      <c r="W448" s="1">
        <f t="shared" si="79"/>
        <v>1375288</v>
      </c>
      <c r="X448" s="1"/>
      <c r="Y448" s="1">
        <v>208637</v>
      </c>
      <c r="Z448" s="1"/>
      <c r="AA448" s="1">
        <v>11507957</v>
      </c>
      <c r="AC448" s="1">
        <f t="shared" si="77"/>
        <v>0</v>
      </c>
      <c r="AD448" s="1"/>
      <c r="AE448" s="3">
        <f t="shared" si="78"/>
        <v>0</v>
      </c>
    </row>
    <row r="449" spans="1:31" hidden="1">
      <c r="A449" s="17" t="s">
        <v>855</v>
      </c>
      <c r="B449" s="17"/>
      <c r="C449" s="17" t="s">
        <v>523</v>
      </c>
      <c r="D449" s="17"/>
      <c r="E449" s="13">
        <v>45575</v>
      </c>
      <c r="G449" s="1">
        <f t="shared" si="74"/>
        <v>0</v>
      </c>
      <c r="M449" s="1">
        <f t="shared" si="75"/>
        <v>0</v>
      </c>
      <c r="W449" s="1">
        <f t="shared" si="79"/>
        <v>0</v>
      </c>
      <c r="AC449" s="1">
        <f t="shared" si="77"/>
        <v>0</v>
      </c>
      <c r="AE449" s="3">
        <f t="shared" si="78"/>
        <v>0</v>
      </c>
    </row>
    <row r="450" spans="1:31">
      <c r="A450" s="17" t="s">
        <v>318</v>
      </c>
      <c r="B450" s="17"/>
      <c r="C450" s="17" t="s">
        <v>24</v>
      </c>
      <c r="D450" s="17"/>
      <c r="E450" s="13">
        <v>46813</v>
      </c>
      <c r="G450" s="1">
        <f t="shared" si="74"/>
        <v>22787853</v>
      </c>
      <c r="I450" s="1">
        <v>9858750</v>
      </c>
      <c r="K450" s="1">
        <v>32646603</v>
      </c>
      <c r="M450" s="1">
        <f t="shared" si="75"/>
        <v>13728827</v>
      </c>
      <c r="O450" s="1">
        <v>896643</v>
      </c>
      <c r="Q450" s="1">
        <v>2986133</v>
      </c>
      <c r="S450" s="1">
        <v>17611603</v>
      </c>
      <c r="U450" s="1">
        <v>7026687</v>
      </c>
      <c r="W450" s="1">
        <f t="shared" si="79"/>
        <v>1650419</v>
      </c>
      <c r="Y450" s="1">
        <v>6357894</v>
      </c>
      <c r="AA450" s="1">
        <v>15035000</v>
      </c>
      <c r="AC450" s="1">
        <f t="shared" si="77"/>
        <v>0</v>
      </c>
      <c r="AE450" s="3">
        <f t="shared" si="78"/>
        <v>0</v>
      </c>
    </row>
    <row r="451" spans="1:31" hidden="1">
      <c r="A451" s="17" t="s">
        <v>856</v>
      </c>
      <c r="B451" s="17"/>
      <c r="C451" s="17" t="s">
        <v>10</v>
      </c>
      <c r="D451" s="17"/>
      <c r="E451" s="13"/>
      <c r="G451" s="1">
        <f t="shared" si="74"/>
        <v>0</v>
      </c>
      <c r="M451" s="1">
        <f t="shared" si="75"/>
        <v>0</v>
      </c>
      <c r="W451" s="1">
        <f t="shared" si="79"/>
        <v>0</v>
      </c>
      <c r="AC451" s="1">
        <f t="shared" si="77"/>
        <v>0</v>
      </c>
      <c r="AE451" s="3">
        <f t="shared" si="78"/>
        <v>0</v>
      </c>
    </row>
    <row r="452" spans="1:31">
      <c r="A452" s="17" t="s">
        <v>205</v>
      </c>
      <c r="B452" s="17"/>
      <c r="C452" s="17" t="s">
        <v>41</v>
      </c>
      <c r="D452" s="17"/>
      <c r="E452" s="13">
        <v>47902</v>
      </c>
      <c r="G452" s="1">
        <f t="shared" si="74"/>
        <v>60990228</v>
      </c>
      <c r="I452" s="1">
        <f>1450908+47283650</f>
        <v>48734558</v>
      </c>
      <c r="K452" s="1">
        <v>109724786</v>
      </c>
      <c r="M452" s="1">
        <f t="shared" si="75"/>
        <v>26663685</v>
      </c>
      <c r="O452" s="1">
        <v>1137342</v>
      </c>
      <c r="Q452" s="1">
        <v>3606104</v>
      </c>
      <c r="S452" s="1">
        <v>31407131</v>
      </c>
      <c r="U452" s="1">
        <v>47342570</v>
      </c>
      <c r="W452" s="1">
        <f>AA452-Y452-U452</f>
        <v>16495320</v>
      </c>
      <c r="Y452" s="1">
        <v>14479765</v>
      </c>
      <c r="AA452" s="1">
        <v>78317655</v>
      </c>
      <c r="AC452" s="1">
        <f t="shared" si="77"/>
        <v>0</v>
      </c>
      <c r="AE452" s="3">
        <f t="shared" si="78"/>
        <v>0</v>
      </c>
    </row>
    <row r="453" spans="1:31">
      <c r="A453" s="17" t="s">
        <v>205</v>
      </c>
      <c r="B453" s="17"/>
      <c r="C453" s="17" t="s">
        <v>62</v>
      </c>
      <c r="D453" s="17"/>
      <c r="E453" s="13">
        <v>49924</v>
      </c>
      <c r="G453" s="1">
        <f t="shared" si="74"/>
        <v>52094624</v>
      </c>
      <c r="I453" s="1">
        <f>1366878+21168789</f>
        <v>22535667</v>
      </c>
      <c r="K453" s="1">
        <v>74630291</v>
      </c>
      <c r="M453" s="1">
        <f t="shared" si="75"/>
        <v>25025872</v>
      </c>
      <c r="O453" s="1">
        <v>2427139</v>
      </c>
      <c r="Q453" s="1">
        <v>6065631</v>
      </c>
      <c r="S453" s="1">
        <v>33518642</v>
      </c>
      <c r="U453" s="1">
        <v>22535667</v>
      </c>
      <c r="W453" s="1">
        <f>AA453-Y453-U453</f>
        <v>4830002</v>
      </c>
      <c r="Y453" s="1">
        <v>13745980</v>
      </c>
      <c r="AA453" s="1">
        <v>41111649</v>
      </c>
      <c r="AC453" s="1">
        <f t="shared" si="77"/>
        <v>0</v>
      </c>
      <c r="AE453" s="3">
        <f t="shared" si="78"/>
        <v>0</v>
      </c>
    </row>
    <row r="454" spans="1:31">
      <c r="A454" s="17" t="s">
        <v>651</v>
      </c>
      <c r="B454" s="17"/>
      <c r="C454" s="17" t="s">
        <v>72</v>
      </c>
      <c r="D454" s="17"/>
      <c r="E454" s="13">
        <v>45583</v>
      </c>
      <c r="F454" s="8"/>
      <c r="G454" s="1">
        <f t="shared" si="74"/>
        <v>32096322</v>
      </c>
      <c r="I454" s="1">
        <v>49070889</v>
      </c>
      <c r="K454" s="1">
        <v>81167211</v>
      </c>
      <c r="M454" s="1">
        <f t="shared" si="75"/>
        <v>28452734</v>
      </c>
      <c r="O454" s="1">
        <v>2523744</v>
      </c>
      <c r="Q454" s="1">
        <v>33473512</v>
      </c>
      <c r="S454" s="1">
        <v>64449990</v>
      </c>
      <c r="U454" s="1">
        <v>18038192</v>
      </c>
      <c r="W454" s="1">
        <f>AA454-Y454-U454</f>
        <v>3644347</v>
      </c>
      <c r="Y454" s="1">
        <v>-4965318</v>
      </c>
      <c r="AA454" s="1">
        <v>16717221</v>
      </c>
      <c r="AC454" s="1">
        <f t="shared" si="77"/>
        <v>0</v>
      </c>
      <c r="AE454" s="3">
        <f t="shared" si="78"/>
        <v>0</v>
      </c>
    </row>
    <row r="455" spans="1:31">
      <c r="A455" s="17" t="s">
        <v>345</v>
      </c>
      <c r="B455" s="17"/>
      <c r="C455" s="17" t="s">
        <v>28</v>
      </c>
      <c r="D455" s="17"/>
      <c r="E455" s="13">
        <v>47076</v>
      </c>
      <c r="G455" s="1">
        <f t="shared" si="74"/>
        <v>18222691</v>
      </c>
      <c r="I455" s="1">
        <f>966290+2298045</f>
        <v>3264335</v>
      </c>
      <c r="K455" s="1">
        <v>21487026</v>
      </c>
      <c r="M455" s="1">
        <f t="shared" si="75"/>
        <v>2166878</v>
      </c>
      <c r="O455" s="1">
        <v>106342</v>
      </c>
      <c r="Q455" s="1">
        <v>5144928</v>
      </c>
      <c r="S455" s="1">
        <v>7418148</v>
      </c>
      <c r="U455" s="1">
        <v>-1580440</v>
      </c>
      <c r="W455" s="1">
        <f>AA455-Y455-U455</f>
        <v>15246812</v>
      </c>
      <c r="Y455" s="1">
        <v>402506</v>
      </c>
      <c r="AA455" s="1">
        <v>14068878</v>
      </c>
      <c r="AC455" s="1">
        <f t="shared" si="77"/>
        <v>0</v>
      </c>
      <c r="AE455" s="3">
        <f t="shared" si="78"/>
        <v>0</v>
      </c>
    </row>
    <row r="456" spans="1:31">
      <c r="A456" s="17" t="s">
        <v>326</v>
      </c>
      <c r="B456" s="17"/>
      <c r="C456" s="17" t="s">
        <v>25</v>
      </c>
      <c r="D456" s="17"/>
      <c r="E456" s="13">
        <v>46896</v>
      </c>
      <c r="G456" s="1">
        <f t="shared" si="74"/>
        <v>140347262</v>
      </c>
      <c r="I456" s="1">
        <v>152654730</v>
      </c>
      <c r="K456" s="1">
        <v>293001992</v>
      </c>
      <c r="M456" s="1">
        <f t="shared" si="75"/>
        <v>51324182</v>
      </c>
      <c r="O456" s="1">
        <v>9628374</v>
      </c>
      <c r="Q456" s="1">
        <v>159679339</v>
      </c>
      <c r="S456" s="1">
        <v>220631895</v>
      </c>
      <c r="U456" s="1">
        <v>8748029</v>
      </c>
      <c r="W456" s="1">
        <f>AA456-Y456-U456</f>
        <v>79798417</v>
      </c>
      <c r="Y456" s="1">
        <v>-16176349</v>
      </c>
      <c r="AA456" s="1">
        <v>72370097</v>
      </c>
      <c r="AC456" s="1">
        <f t="shared" si="77"/>
        <v>0</v>
      </c>
      <c r="AE456" s="3">
        <f t="shared" si="78"/>
        <v>0</v>
      </c>
    </row>
    <row r="457" spans="1:31">
      <c r="A457" s="12" t="s">
        <v>346</v>
      </c>
      <c r="B457" s="12"/>
      <c r="C457" s="12" t="s">
        <v>28</v>
      </c>
      <c r="D457" s="12"/>
      <c r="E457" s="12">
        <v>47084</v>
      </c>
      <c r="G457" s="1">
        <f t="shared" si="74"/>
        <v>30459474</v>
      </c>
      <c r="I457" s="1">
        <f>7787598+15166814</f>
        <v>22954412</v>
      </c>
      <c r="K457" s="1">
        <v>53413886</v>
      </c>
      <c r="M457" s="1">
        <f t="shared" si="75"/>
        <v>7285719</v>
      </c>
      <c r="O457" s="1">
        <v>740611</v>
      </c>
      <c r="Q457" s="1">
        <v>17168756</v>
      </c>
      <c r="S457" s="1">
        <v>25195086</v>
      </c>
      <c r="U457" s="1">
        <v>16744437</v>
      </c>
      <c r="W457" s="1">
        <f t="shared" ref="W457:W520" si="80">AA457-Y457-U457</f>
        <v>11353526</v>
      </c>
      <c r="Y457" s="1">
        <v>120837</v>
      </c>
      <c r="AA457" s="1">
        <v>28218800</v>
      </c>
      <c r="AC457" s="1">
        <f t="shared" si="77"/>
        <v>0</v>
      </c>
      <c r="AE457" s="3">
        <f t="shared" si="78"/>
        <v>0</v>
      </c>
    </row>
    <row r="458" spans="1:31" ht="11.25" customHeight="1">
      <c r="A458" s="17" t="s">
        <v>490</v>
      </c>
      <c r="B458" s="17"/>
      <c r="C458" s="17" t="s">
        <v>48</v>
      </c>
      <c r="D458" s="17"/>
      <c r="E458" s="13">
        <v>44644</v>
      </c>
      <c r="G458" s="1">
        <f t="shared" si="74"/>
        <v>30935410</v>
      </c>
      <c r="I458" s="1">
        <f>323722+25973670</f>
        <v>26297392</v>
      </c>
      <c r="K458" s="1">
        <v>57232802</v>
      </c>
      <c r="M458" s="1">
        <f t="shared" si="75"/>
        <v>16382747</v>
      </c>
      <c r="O458" s="1">
        <v>1348645</v>
      </c>
      <c r="Q458" s="1">
        <v>9245740</v>
      </c>
      <c r="S458" s="1">
        <v>26977132</v>
      </c>
      <c r="U458" s="1">
        <v>18495886</v>
      </c>
      <c r="W458" s="1">
        <f t="shared" si="80"/>
        <v>3447554</v>
      </c>
      <c r="Y458" s="1">
        <v>8312230</v>
      </c>
      <c r="AA458" s="1">
        <v>30255670</v>
      </c>
      <c r="AC458" s="1">
        <f t="shared" si="77"/>
        <v>0</v>
      </c>
      <c r="AE458" s="3">
        <f t="shared" si="78"/>
        <v>0</v>
      </c>
    </row>
    <row r="459" spans="1:31" hidden="1">
      <c r="A459" s="17" t="s">
        <v>857</v>
      </c>
      <c r="B459" s="17"/>
      <c r="C459" s="17" t="s">
        <v>27</v>
      </c>
      <c r="D459" s="17"/>
      <c r="E459" s="13">
        <v>46995</v>
      </c>
      <c r="G459" s="1">
        <f t="shared" si="74"/>
        <v>0</v>
      </c>
      <c r="M459" s="1">
        <f t="shared" si="75"/>
        <v>0</v>
      </c>
      <c r="W459" s="1">
        <f t="shared" si="80"/>
        <v>0</v>
      </c>
      <c r="AC459" s="1">
        <f t="shared" si="77"/>
        <v>0</v>
      </c>
      <c r="AE459" s="3">
        <f t="shared" si="78"/>
        <v>0</v>
      </c>
    </row>
    <row r="460" spans="1:31">
      <c r="A460" s="17" t="s">
        <v>338</v>
      </c>
      <c r="B460" s="17"/>
      <c r="C460" s="17" t="s">
        <v>62</v>
      </c>
      <c r="D460" s="17"/>
      <c r="E460" s="13">
        <v>49932</v>
      </c>
      <c r="G460" s="1">
        <f t="shared" si="74"/>
        <v>48233833</v>
      </c>
      <c r="I460" s="1">
        <v>66109349</v>
      </c>
      <c r="K460" s="1">
        <v>114343182</v>
      </c>
      <c r="M460" s="1">
        <f t="shared" si="75"/>
        <v>38482760</v>
      </c>
      <c r="O460" s="1">
        <v>3242753</v>
      </c>
      <c r="Q460" s="1">
        <v>57810828</v>
      </c>
      <c r="S460" s="1">
        <v>99536341</v>
      </c>
      <c r="U460" s="1">
        <v>11632075</v>
      </c>
      <c r="W460" s="1">
        <f t="shared" si="80"/>
        <v>4283666</v>
      </c>
      <c r="Y460" s="1">
        <v>-1108900</v>
      </c>
      <c r="AA460" s="1">
        <v>14806841</v>
      </c>
      <c r="AC460" s="1">
        <f t="shared" si="77"/>
        <v>0</v>
      </c>
      <c r="AE460" s="3">
        <f t="shared" si="78"/>
        <v>0</v>
      </c>
    </row>
    <row r="461" spans="1:31">
      <c r="A461" s="17" t="s">
        <v>475</v>
      </c>
      <c r="B461" s="17"/>
      <c r="C461" s="17" t="s">
        <v>46</v>
      </c>
      <c r="D461" s="17"/>
      <c r="E461" s="13">
        <v>48421</v>
      </c>
      <c r="G461" s="1">
        <f t="shared" si="74"/>
        <v>9338869</v>
      </c>
      <c r="I461" s="1">
        <f>416997+7046855</f>
        <v>7463852</v>
      </c>
      <c r="K461" s="1">
        <v>16802721</v>
      </c>
      <c r="M461" s="1">
        <f t="shared" si="75"/>
        <v>3556354</v>
      </c>
      <c r="O461" s="1">
        <v>335314</v>
      </c>
      <c r="Q461" s="1">
        <v>2465712</v>
      </c>
      <c r="S461" s="1">
        <v>6357380</v>
      </c>
      <c r="U461" s="1">
        <v>5344283</v>
      </c>
      <c r="W461" s="1">
        <f t="shared" si="80"/>
        <v>1042628</v>
      </c>
      <c r="Y461" s="1">
        <v>4058430</v>
      </c>
      <c r="AA461" s="1">
        <v>10445341</v>
      </c>
      <c r="AC461" s="1">
        <f t="shared" si="77"/>
        <v>0</v>
      </c>
      <c r="AE461" s="3">
        <f t="shared" si="78"/>
        <v>0</v>
      </c>
    </row>
    <row r="462" spans="1:31">
      <c r="A462" s="17" t="s">
        <v>547</v>
      </c>
      <c r="B462" s="17"/>
      <c r="C462" s="17" t="s">
        <v>112</v>
      </c>
      <c r="D462" s="17"/>
      <c r="E462" s="13">
        <v>49460</v>
      </c>
      <c r="G462" s="1">
        <f t="shared" si="74"/>
        <v>7123957</v>
      </c>
      <c r="I462" s="1">
        <v>20051876</v>
      </c>
      <c r="K462" s="1">
        <v>27175833</v>
      </c>
      <c r="M462" s="1">
        <f t="shared" si="75"/>
        <v>2723500</v>
      </c>
      <c r="O462" s="1">
        <v>213297</v>
      </c>
      <c r="Q462" s="1">
        <v>2329698</v>
      </c>
      <c r="S462" s="1">
        <v>5266495</v>
      </c>
      <c r="U462" s="1">
        <v>18314144</v>
      </c>
      <c r="W462" s="1">
        <f t="shared" si="80"/>
        <v>1463212</v>
      </c>
      <c r="Y462" s="1">
        <v>2131982</v>
      </c>
      <c r="AA462" s="1">
        <v>21909338</v>
      </c>
      <c r="AC462" s="1">
        <f t="shared" si="77"/>
        <v>0</v>
      </c>
      <c r="AE462" s="3">
        <f t="shared" si="78"/>
        <v>0</v>
      </c>
    </row>
    <row r="463" spans="1:31">
      <c r="A463" s="17" t="s">
        <v>909</v>
      </c>
      <c r="B463" s="17"/>
      <c r="C463" s="17" t="s">
        <v>45</v>
      </c>
      <c r="D463" s="17"/>
      <c r="E463" s="13">
        <v>48348</v>
      </c>
      <c r="G463" s="1">
        <f t="shared" si="74"/>
        <v>18817389</v>
      </c>
      <c r="I463" s="1">
        <f>304780+14201770</f>
        <v>14506550</v>
      </c>
      <c r="K463" s="1">
        <v>33323939</v>
      </c>
      <c r="M463" s="1">
        <f t="shared" si="75"/>
        <v>15074178</v>
      </c>
      <c r="O463" s="1">
        <v>1065124</v>
      </c>
      <c r="Q463" s="1">
        <v>14108934</v>
      </c>
      <c r="S463" s="1">
        <v>30248236</v>
      </c>
      <c r="U463" s="1">
        <v>1452070</v>
      </c>
      <c r="W463" s="1">
        <f t="shared" si="80"/>
        <v>1403025</v>
      </c>
      <c r="Y463" s="1">
        <v>220608</v>
      </c>
      <c r="AA463" s="1">
        <v>3075703</v>
      </c>
      <c r="AC463" s="1">
        <f t="shared" si="77"/>
        <v>0</v>
      </c>
      <c r="AE463" s="3">
        <f t="shared" si="78"/>
        <v>0</v>
      </c>
    </row>
    <row r="464" spans="1:31">
      <c r="A464" s="17" t="s">
        <v>522</v>
      </c>
      <c r="B464" s="17"/>
      <c r="C464" s="17" t="s">
        <v>53</v>
      </c>
      <c r="D464" s="17"/>
      <c r="E464" s="13">
        <v>44651</v>
      </c>
      <c r="G464" s="1">
        <f t="shared" si="74"/>
        <v>71228539</v>
      </c>
      <c r="I464" s="1">
        <v>4349210</v>
      </c>
      <c r="K464" s="1">
        <v>75577749</v>
      </c>
      <c r="M464" s="1">
        <f t="shared" si="75"/>
        <v>16043563</v>
      </c>
      <c r="O464" s="1">
        <v>998173</v>
      </c>
      <c r="Q464" s="1">
        <v>44837163</v>
      </c>
      <c r="S464" s="1">
        <v>61878899</v>
      </c>
      <c r="U464" s="1">
        <v>1736917</v>
      </c>
      <c r="W464" s="1">
        <f t="shared" si="80"/>
        <v>3966259</v>
      </c>
      <c r="Y464" s="1">
        <v>7995674</v>
      </c>
      <c r="AA464" s="1">
        <v>13698850</v>
      </c>
      <c r="AC464" s="1">
        <f t="shared" si="77"/>
        <v>0</v>
      </c>
      <c r="AE464" s="3">
        <f t="shared" si="78"/>
        <v>0</v>
      </c>
    </row>
    <row r="465" spans="1:31">
      <c r="A465" s="17" t="s">
        <v>564</v>
      </c>
      <c r="B465" s="17"/>
      <c r="C465" s="17" t="s">
        <v>59</v>
      </c>
      <c r="D465" s="17"/>
      <c r="E465" s="13">
        <v>44669</v>
      </c>
      <c r="G465" s="1">
        <f t="shared" si="74"/>
        <v>16895907</v>
      </c>
      <c r="I465" s="1">
        <f>5984276+52384261</f>
        <v>58368537</v>
      </c>
      <c r="K465" s="1">
        <v>75264444</v>
      </c>
      <c r="M465" s="1">
        <f t="shared" si="75"/>
        <v>8100885</v>
      </c>
      <c r="O465" s="1">
        <v>848535</v>
      </c>
      <c r="Q465" s="1">
        <v>15287280</v>
      </c>
      <c r="S465" s="1">
        <v>24236700</v>
      </c>
      <c r="U465" s="1">
        <v>44092020</v>
      </c>
      <c r="W465" s="1">
        <f t="shared" si="80"/>
        <v>5985113</v>
      </c>
      <c r="Y465" s="1">
        <v>950611</v>
      </c>
      <c r="AA465" s="1">
        <v>51027744</v>
      </c>
      <c r="AC465" s="1">
        <f t="shared" si="77"/>
        <v>0</v>
      </c>
      <c r="AE465" s="3">
        <f t="shared" si="78"/>
        <v>0</v>
      </c>
    </row>
    <row r="466" spans="1:31" hidden="1">
      <c r="A466" s="17" t="s">
        <v>858</v>
      </c>
      <c r="B466" s="17"/>
      <c r="C466" s="17" t="s">
        <v>57</v>
      </c>
      <c r="D466" s="17"/>
      <c r="E466" s="13">
        <v>49288</v>
      </c>
      <c r="G466" s="1">
        <f t="shared" si="74"/>
        <v>0</v>
      </c>
      <c r="M466" s="1">
        <f t="shared" si="75"/>
        <v>0</v>
      </c>
      <c r="W466" s="1">
        <f t="shared" si="80"/>
        <v>0</v>
      </c>
      <c r="AC466" s="1">
        <f t="shared" si="77"/>
        <v>0</v>
      </c>
      <c r="AE466" s="3">
        <f t="shared" si="78"/>
        <v>0</v>
      </c>
    </row>
    <row r="467" spans="1:31">
      <c r="A467" s="17" t="s">
        <v>372</v>
      </c>
      <c r="B467" s="17"/>
      <c r="C467" s="17" t="s">
        <v>32</v>
      </c>
      <c r="D467" s="17"/>
      <c r="E467" s="13">
        <v>44677</v>
      </c>
      <c r="G467" s="1">
        <f t="shared" si="74"/>
        <v>99580263</v>
      </c>
      <c r="I467" s="1">
        <f>6327535+88940791</f>
        <v>95268326</v>
      </c>
      <c r="K467" s="1">
        <v>194848589</v>
      </c>
      <c r="M467" s="1">
        <f>+S467-O467-Q467</f>
        <v>63733068</v>
      </c>
      <c r="O467" s="1">
        <v>2555375</v>
      </c>
      <c r="Q467" s="1">
        <v>82094345</v>
      </c>
      <c r="S467" s="1">
        <v>148382788</v>
      </c>
      <c r="U467" s="1">
        <v>11939134</v>
      </c>
      <c r="W467" s="1">
        <f t="shared" si="80"/>
        <v>7958748</v>
      </c>
      <c r="Y467" s="1">
        <v>26567919</v>
      </c>
      <c r="AA467" s="1">
        <v>46465801</v>
      </c>
      <c r="AC467" s="1">
        <f t="shared" si="77"/>
        <v>0</v>
      </c>
      <c r="AE467" s="3">
        <f t="shared" si="78"/>
        <v>0</v>
      </c>
    </row>
    <row r="468" spans="1:31">
      <c r="A468" s="17" t="s">
        <v>213</v>
      </c>
      <c r="B468" s="17"/>
      <c r="C468" s="17" t="s">
        <v>12</v>
      </c>
      <c r="D468" s="17"/>
      <c r="E468" s="13">
        <v>45880</v>
      </c>
      <c r="G468" s="1">
        <f t="shared" si="74"/>
        <v>9941371</v>
      </c>
      <c r="I468" s="1">
        <f>478147+24682332</f>
        <v>25160479</v>
      </c>
      <c r="K468" s="1">
        <v>35101850</v>
      </c>
      <c r="M468" s="1">
        <f t="shared" si="75"/>
        <v>4042960</v>
      </c>
      <c r="O468" s="1">
        <v>462583</v>
      </c>
      <c r="Q468" s="1">
        <v>6966030</v>
      </c>
      <c r="S468" s="1">
        <v>11471573</v>
      </c>
      <c r="U468" s="1">
        <v>18574653</v>
      </c>
      <c r="W468" s="1">
        <f t="shared" si="80"/>
        <v>3302196</v>
      </c>
      <c r="Y468" s="1">
        <v>1753428</v>
      </c>
      <c r="AA468" s="1">
        <v>23630277</v>
      </c>
      <c r="AC468" s="1">
        <f t="shared" si="77"/>
        <v>0</v>
      </c>
      <c r="AE468" s="3">
        <f t="shared" si="78"/>
        <v>0</v>
      </c>
    </row>
    <row r="469" spans="1:31">
      <c r="A469" s="17" t="s">
        <v>765</v>
      </c>
      <c r="B469" s="17"/>
      <c r="C469" s="17" t="s">
        <v>56</v>
      </c>
      <c r="D469" s="17"/>
      <c r="E469" s="13"/>
      <c r="G469" s="1">
        <f t="shared" si="74"/>
        <v>22074767</v>
      </c>
      <c r="I469" s="1">
        <f>28212703+6346652</f>
        <v>34559355</v>
      </c>
      <c r="K469" s="1">
        <v>56634122</v>
      </c>
      <c r="M469" s="1">
        <f t="shared" si="75"/>
        <v>13925252</v>
      </c>
      <c r="O469" s="1">
        <v>693617</v>
      </c>
      <c r="Q469" s="1">
        <v>21066133</v>
      </c>
      <c r="S469" s="1">
        <v>35685002</v>
      </c>
      <c r="U469" s="1">
        <v>15768119</v>
      </c>
      <c r="W469" s="1">
        <f t="shared" si="80"/>
        <v>5248152</v>
      </c>
      <c r="Y469" s="1">
        <v>-67151</v>
      </c>
      <c r="AA469" s="1">
        <v>20949120</v>
      </c>
      <c r="AC469" s="1">
        <f t="shared" si="77"/>
        <v>0</v>
      </c>
      <c r="AE469" s="3">
        <f t="shared" si="78"/>
        <v>0</v>
      </c>
    </row>
    <row r="470" spans="1:31">
      <c r="A470" s="17" t="s">
        <v>373</v>
      </c>
      <c r="B470" s="17"/>
      <c r="C470" s="17" t="s">
        <v>32</v>
      </c>
      <c r="D470" s="17"/>
      <c r="E470" s="13">
        <v>44693</v>
      </c>
      <c r="G470" s="1">
        <f t="shared" si="74"/>
        <v>9731451</v>
      </c>
      <c r="I470" s="1">
        <f>419344+1657325</f>
        <v>2076669</v>
      </c>
      <c r="K470" s="1">
        <v>11808120</v>
      </c>
      <c r="M470" s="1">
        <f t="shared" si="75"/>
        <v>5971860</v>
      </c>
      <c r="O470" s="1">
        <v>98153</v>
      </c>
      <c r="Q470" s="1">
        <v>1271207</v>
      </c>
      <c r="S470" s="1">
        <v>7341220</v>
      </c>
      <c r="U470" s="1">
        <v>1743000</v>
      </c>
      <c r="W470" s="1">
        <f t="shared" si="80"/>
        <v>411938</v>
      </c>
      <c r="Y470" s="1">
        <v>2311962</v>
      </c>
      <c r="AA470" s="1">
        <v>4466900</v>
      </c>
      <c r="AC470" s="1">
        <f t="shared" si="77"/>
        <v>0</v>
      </c>
      <c r="AE470" s="3">
        <f t="shared" si="78"/>
        <v>0</v>
      </c>
    </row>
    <row r="471" spans="1:31">
      <c r="A471" s="17" t="s">
        <v>594</v>
      </c>
      <c r="B471" s="17"/>
      <c r="C471" s="17" t="s">
        <v>63</v>
      </c>
      <c r="D471" s="17"/>
      <c r="E471" s="13">
        <v>50054</v>
      </c>
      <c r="G471" s="1">
        <f t="shared" si="74"/>
        <v>44796571</v>
      </c>
      <c r="I471" s="1">
        <f>1900942+15819681</f>
        <v>17720623</v>
      </c>
      <c r="K471" s="1">
        <v>62517194</v>
      </c>
      <c r="M471" s="1">
        <f t="shared" si="75"/>
        <v>27039920</v>
      </c>
      <c r="O471" s="1">
        <v>1422749</v>
      </c>
      <c r="Q471" s="1">
        <v>9755723</v>
      </c>
      <c r="S471" s="1">
        <v>38218392</v>
      </c>
      <c r="U471" s="1">
        <v>9716237</v>
      </c>
      <c r="W471" s="1">
        <f t="shared" si="80"/>
        <v>2742566</v>
      </c>
      <c r="Y471" s="1">
        <v>11839999</v>
      </c>
      <c r="AA471" s="1">
        <v>24298802</v>
      </c>
      <c r="AC471" s="1">
        <f t="shared" si="77"/>
        <v>0</v>
      </c>
      <c r="AE471" s="3">
        <f t="shared" si="78"/>
        <v>0</v>
      </c>
    </row>
    <row r="472" spans="1:31">
      <c r="A472" s="17" t="s">
        <v>339</v>
      </c>
      <c r="B472" s="17"/>
      <c r="C472" s="17" t="s">
        <v>27</v>
      </c>
      <c r="D472" s="17"/>
      <c r="E472" s="13">
        <v>47001</v>
      </c>
      <c r="F472" s="8"/>
      <c r="G472" s="1">
        <f t="shared" si="74"/>
        <v>137365398</v>
      </c>
      <c r="I472" s="1">
        <f>35404258+64964806</f>
        <v>100369064</v>
      </c>
      <c r="K472" s="1">
        <v>237734462</v>
      </c>
      <c r="M472" s="1">
        <f t="shared" si="75"/>
        <v>38207410</v>
      </c>
      <c r="O472" s="1">
        <v>4306080</v>
      </c>
      <c r="Q472" s="1">
        <v>118368816</v>
      </c>
      <c r="S472" s="1">
        <v>160882306</v>
      </c>
      <c r="U472" s="1">
        <v>40206013</v>
      </c>
      <c r="W472" s="1">
        <f t="shared" si="80"/>
        <v>35856189</v>
      </c>
      <c r="Y472" s="1">
        <v>789954</v>
      </c>
      <c r="AA472" s="1">
        <v>76852156</v>
      </c>
      <c r="AC472" s="1">
        <f t="shared" si="77"/>
        <v>0</v>
      </c>
      <c r="AE472" s="3">
        <f t="shared" si="78"/>
        <v>0</v>
      </c>
    </row>
    <row r="473" spans="1:31">
      <c r="A473" s="17" t="s">
        <v>301</v>
      </c>
      <c r="B473" s="17"/>
      <c r="C473" s="17" t="s">
        <v>20</v>
      </c>
      <c r="D473" s="17"/>
      <c r="E473" s="13">
        <v>46599</v>
      </c>
      <c r="G473" s="1">
        <f t="shared" si="74"/>
        <v>11778981</v>
      </c>
      <c r="I473" s="1">
        <f>311214+835355</f>
        <v>1146569</v>
      </c>
      <c r="K473" s="1">
        <v>12925550</v>
      </c>
      <c r="M473" s="1">
        <f t="shared" si="75"/>
        <v>8708074</v>
      </c>
      <c r="O473" s="1">
        <v>102326</v>
      </c>
      <c r="Q473" s="1">
        <v>1327146</v>
      </c>
      <c r="S473" s="1">
        <v>10137546</v>
      </c>
      <c r="U473" s="1">
        <v>111785</v>
      </c>
      <c r="W473" s="1">
        <f t="shared" si="80"/>
        <v>485558</v>
      </c>
      <c r="Y473" s="1">
        <v>2190661</v>
      </c>
      <c r="AA473" s="1">
        <v>2788004</v>
      </c>
      <c r="AC473" s="1">
        <f t="shared" si="77"/>
        <v>0</v>
      </c>
      <c r="AE473" s="3">
        <f t="shared" si="78"/>
        <v>0</v>
      </c>
    </row>
    <row r="474" spans="1:31">
      <c r="A474" s="17" t="s">
        <v>476</v>
      </c>
      <c r="B474" s="17"/>
      <c r="C474" s="17" t="s">
        <v>46</v>
      </c>
      <c r="D474" s="17"/>
      <c r="E474" s="13">
        <v>48439</v>
      </c>
      <c r="G474" s="1">
        <f t="shared" si="74"/>
        <v>4987152</v>
      </c>
      <c r="I474" s="1">
        <f>50442+1924315</f>
        <v>1974757</v>
      </c>
      <c r="K474" s="1">
        <v>6961909</v>
      </c>
      <c r="M474" s="1">
        <f t="shared" si="75"/>
        <v>2271365</v>
      </c>
      <c r="O474" s="1">
        <v>157435</v>
      </c>
      <c r="Q474" s="1">
        <v>372818</v>
      </c>
      <c r="S474" s="1">
        <v>2801618</v>
      </c>
      <c r="U474" s="1">
        <v>1772074</v>
      </c>
      <c r="W474" s="1">
        <f t="shared" si="80"/>
        <v>324142</v>
      </c>
      <c r="Y474" s="1">
        <v>2064075</v>
      </c>
      <c r="AA474" s="1">
        <v>4160291</v>
      </c>
      <c r="AC474" s="1">
        <f t="shared" si="77"/>
        <v>0</v>
      </c>
      <c r="AE474" s="3">
        <f t="shared" si="78"/>
        <v>0</v>
      </c>
    </row>
    <row r="475" spans="1:31">
      <c r="A475" s="12" t="s">
        <v>895</v>
      </c>
      <c r="B475" s="17"/>
      <c r="C475" s="17" t="s">
        <v>383</v>
      </c>
      <c r="D475" s="17"/>
      <c r="E475" s="13">
        <v>47506</v>
      </c>
      <c r="G475" s="1">
        <f t="shared" si="74"/>
        <v>2561405</v>
      </c>
      <c r="I475" s="1">
        <f>78259+1932773</f>
        <v>2011032</v>
      </c>
      <c r="K475" s="1">
        <v>4572437</v>
      </c>
      <c r="M475" s="1">
        <f t="shared" si="75"/>
        <v>1784285</v>
      </c>
      <c r="O475" s="1">
        <f>66310+24666</f>
        <v>90976</v>
      </c>
      <c r="Q475" s="1">
        <v>738751</v>
      </c>
      <c r="S475" s="1">
        <v>2614012</v>
      </c>
      <c r="U475" s="1">
        <v>1716536</v>
      </c>
      <c r="W475" s="1">
        <f t="shared" si="80"/>
        <v>310238</v>
      </c>
      <c r="Y475" s="1">
        <v>-68349</v>
      </c>
      <c r="AA475" s="1">
        <v>1958425</v>
      </c>
      <c r="AC475" s="1">
        <f t="shared" si="77"/>
        <v>0</v>
      </c>
      <c r="AE475" s="3">
        <f t="shared" si="78"/>
        <v>0</v>
      </c>
    </row>
    <row r="476" spans="1:31">
      <c r="A476" s="17" t="s">
        <v>273</v>
      </c>
      <c r="B476" s="17"/>
      <c r="C476" s="17" t="s">
        <v>19</v>
      </c>
      <c r="D476" s="17"/>
      <c r="E476" s="13">
        <v>46474</v>
      </c>
      <c r="G476" s="1">
        <f t="shared" si="74"/>
        <v>8407003</v>
      </c>
      <c r="I476" s="1">
        <v>16219038</v>
      </c>
      <c r="K476" s="1">
        <v>24626041</v>
      </c>
      <c r="M476" s="1">
        <f t="shared" si="75"/>
        <v>4086397</v>
      </c>
      <c r="O476" s="1">
        <v>350994</v>
      </c>
      <c r="Q476" s="1">
        <v>3918946</v>
      </c>
      <c r="S476" s="1">
        <v>8356337</v>
      </c>
      <c r="U476" s="1">
        <v>13090581</v>
      </c>
      <c r="W476" s="1">
        <f t="shared" si="80"/>
        <v>1862068</v>
      </c>
      <c r="Y476" s="1">
        <v>1317055</v>
      </c>
      <c r="AA476" s="1">
        <v>16269704</v>
      </c>
      <c r="AC476" s="1">
        <f t="shared" si="77"/>
        <v>0</v>
      </c>
      <c r="AE476" s="3">
        <f t="shared" si="78"/>
        <v>0</v>
      </c>
    </row>
    <row r="477" spans="1:31">
      <c r="A477" s="17" t="s">
        <v>766</v>
      </c>
      <c r="B477" s="17"/>
      <c r="C477" s="17" t="s">
        <v>77</v>
      </c>
      <c r="D477" s="17"/>
      <c r="E477" s="13">
        <v>46078</v>
      </c>
      <c r="G477" s="1">
        <f t="shared" si="74"/>
        <v>7150150</v>
      </c>
      <c r="I477" s="1">
        <f>289313+28342667</f>
        <v>28631980</v>
      </c>
      <c r="K477" s="1">
        <v>35782130</v>
      </c>
      <c r="M477" s="1">
        <f t="shared" si="75"/>
        <v>2966079</v>
      </c>
      <c r="O477" s="1">
        <v>339029</v>
      </c>
      <c r="Q477" s="1">
        <v>2872463</v>
      </c>
      <c r="S477" s="1">
        <v>6177571</v>
      </c>
      <c r="U477" s="1">
        <v>26086519</v>
      </c>
      <c r="W477" s="1">
        <f t="shared" si="80"/>
        <v>3288997</v>
      </c>
      <c r="Y477" s="1">
        <v>229043</v>
      </c>
      <c r="AA477" s="1">
        <v>29604559</v>
      </c>
      <c r="AC477" s="1">
        <f t="shared" si="77"/>
        <v>0</v>
      </c>
      <c r="AE477" s="3">
        <f t="shared" si="78"/>
        <v>0</v>
      </c>
    </row>
    <row r="478" spans="1:31">
      <c r="A478" s="17" t="s">
        <v>642</v>
      </c>
      <c r="B478" s="17"/>
      <c r="C478" s="17" t="s">
        <v>71</v>
      </c>
      <c r="D478" s="17"/>
      <c r="E478" s="13">
        <v>45591</v>
      </c>
      <c r="G478" s="1">
        <f t="shared" si="74"/>
        <v>23777384</v>
      </c>
      <c r="I478" s="1">
        <f>5573885+8625657</f>
        <v>14199542</v>
      </c>
      <c r="K478" s="1">
        <v>37976926</v>
      </c>
      <c r="M478" s="1">
        <f t="shared" si="75"/>
        <v>5607386</v>
      </c>
      <c r="O478" s="1">
        <v>299220</v>
      </c>
      <c r="Q478" s="1">
        <v>9006836</v>
      </c>
      <c r="S478" s="1">
        <v>14913442</v>
      </c>
      <c r="U478" s="1">
        <v>6062770</v>
      </c>
      <c r="W478" s="1">
        <f t="shared" si="80"/>
        <v>14971178</v>
      </c>
      <c r="Y478" s="1">
        <v>2029536</v>
      </c>
      <c r="AA478" s="1">
        <v>23063484</v>
      </c>
      <c r="AC478" s="1">
        <f t="shared" si="77"/>
        <v>0</v>
      </c>
      <c r="AE478" s="3">
        <f t="shared" si="78"/>
        <v>0</v>
      </c>
    </row>
    <row r="479" spans="1:31">
      <c r="A479" s="17" t="s">
        <v>477</v>
      </c>
      <c r="B479" s="17"/>
      <c r="C479" s="17" t="s">
        <v>46</v>
      </c>
      <c r="D479" s="17"/>
      <c r="E479" s="13">
        <v>48447</v>
      </c>
      <c r="G479" s="1">
        <f t="shared" si="74"/>
        <v>13137947</v>
      </c>
      <c r="I479" s="1">
        <f>971089+37254091</f>
        <v>38225180</v>
      </c>
      <c r="K479" s="1">
        <v>51363127</v>
      </c>
      <c r="M479" s="1">
        <f t="shared" si="75"/>
        <v>6207733</v>
      </c>
      <c r="O479" s="1">
        <v>893207</v>
      </c>
      <c r="Q479" s="1">
        <v>14881547</v>
      </c>
      <c r="S479" s="1">
        <v>21982487</v>
      </c>
      <c r="U479" s="1">
        <v>23635180</v>
      </c>
      <c r="W479" s="1">
        <f t="shared" si="80"/>
        <v>3696019</v>
      </c>
      <c r="Y479" s="1">
        <v>2049441</v>
      </c>
      <c r="AA479" s="1">
        <v>29380640</v>
      </c>
      <c r="AC479" s="1">
        <f t="shared" si="77"/>
        <v>0</v>
      </c>
      <c r="AE479" s="3">
        <f t="shared" si="78"/>
        <v>0</v>
      </c>
    </row>
    <row r="480" spans="1:31">
      <c r="A480" s="17" t="s">
        <v>274</v>
      </c>
      <c r="B480" s="17"/>
      <c r="C480" s="17" t="s">
        <v>19</v>
      </c>
      <c r="D480" s="17"/>
      <c r="E480" s="13">
        <v>46482</v>
      </c>
      <c r="G480" s="1">
        <f t="shared" si="74"/>
        <v>18241175</v>
      </c>
      <c r="I480" s="1">
        <f>478659+5838676</f>
        <v>6317335</v>
      </c>
      <c r="K480" s="1">
        <v>24558510</v>
      </c>
      <c r="M480" s="1">
        <f t="shared" si="75"/>
        <v>11102218</v>
      </c>
      <c r="O480" s="1">
        <v>185973</v>
      </c>
      <c r="Q480" s="1">
        <v>2188848</v>
      </c>
      <c r="S480" s="1">
        <v>13477039</v>
      </c>
      <c r="U480" s="1">
        <v>4798784</v>
      </c>
      <c r="W480" s="1">
        <f t="shared" si="80"/>
        <v>2646700</v>
      </c>
      <c r="Y480" s="1">
        <v>3635987</v>
      </c>
      <c r="AA480" s="1">
        <v>11081471</v>
      </c>
      <c r="AC480" s="1">
        <f t="shared" si="77"/>
        <v>0</v>
      </c>
      <c r="AE480" s="3">
        <f t="shared" si="78"/>
        <v>0</v>
      </c>
    </row>
    <row r="481" spans="1:31" hidden="1">
      <c r="A481" s="12" t="s">
        <v>932</v>
      </c>
      <c r="B481" s="17"/>
      <c r="C481" s="17" t="s">
        <v>383</v>
      </c>
      <c r="D481" s="17"/>
      <c r="E481" s="13">
        <v>47514</v>
      </c>
      <c r="G481" s="1">
        <f t="shared" si="74"/>
        <v>0</v>
      </c>
      <c r="M481" s="1">
        <f t="shared" si="75"/>
        <v>0</v>
      </c>
      <c r="W481" s="1">
        <f t="shared" si="80"/>
        <v>0</v>
      </c>
      <c r="AC481" s="1">
        <f t="shared" si="77"/>
        <v>0</v>
      </c>
      <c r="AE481" s="3">
        <f t="shared" si="78"/>
        <v>0</v>
      </c>
    </row>
    <row r="482" spans="1:31">
      <c r="A482" s="17" t="s">
        <v>435</v>
      </c>
      <c r="B482" s="17"/>
      <c r="C482" s="17" t="s">
        <v>41</v>
      </c>
      <c r="D482" s="17"/>
      <c r="E482" s="13"/>
      <c r="G482" s="1">
        <f t="shared" si="74"/>
        <v>33412700</v>
      </c>
      <c r="I482" s="1">
        <f>1495805+14556336</f>
        <v>16052141</v>
      </c>
      <c r="K482" s="1">
        <v>49464841</v>
      </c>
      <c r="M482" s="1">
        <f t="shared" si="75"/>
        <v>26854442</v>
      </c>
      <c r="O482" s="1">
        <v>1420528</v>
      </c>
      <c r="Q482" s="1">
        <v>4538599</v>
      </c>
      <c r="S482" s="1">
        <v>32813569</v>
      </c>
      <c r="U482" s="1">
        <v>11275855</v>
      </c>
      <c r="W482" s="1">
        <f t="shared" si="80"/>
        <v>2082470</v>
      </c>
      <c r="Y482" s="1">
        <v>3292947</v>
      </c>
      <c r="AA482" s="1">
        <v>16651272</v>
      </c>
      <c r="AC482" s="1">
        <f t="shared" si="77"/>
        <v>0</v>
      </c>
      <c r="AE482" s="3">
        <f t="shared" si="78"/>
        <v>0</v>
      </c>
    </row>
    <row r="483" spans="1:31">
      <c r="A483" s="17" t="s">
        <v>435</v>
      </c>
      <c r="B483" s="17"/>
      <c r="C483" s="17" t="s">
        <v>43</v>
      </c>
      <c r="D483" s="17"/>
      <c r="E483" s="13">
        <v>48090</v>
      </c>
      <c r="G483" s="1">
        <f t="shared" si="74"/>
        <v>2879721</v>
      </c>
      <c r="I483" s="1">
        <v>11970430</v>
      </c>
      <c r="K483" s="1">
        <v>14850151</v>
      </c>
      <c r="M483" s="1">
        <f t="shared" si="75"/>
        <v>2416791</v>
      </c>
      <c r="O483" s="1">
        <v>189813</v>
      </c>
      <c r="Q483" s="1">
        <v>2367814</v>
      </c>
      <c r="S483" s="1">
        <v>4974418</v>
      </c>
      <c r="U483" s="1">
        <v>10186503</v>
      </c>
      <c r="W483" s="1">
        <f t="shared" si="80"/>
        <v>676375</v>
      </c>
      <c r="Y483" s="1">
        <v>-987145</v>
      </c>
      <c r="AA483" s="1">
        <v>9875733</v>
      </c>
      <c r="AC483" s="1">
        <f t="shared" si="77"/>
        <v>0</v>
      </c>
      <c r="AE483" s="3">
        <f t="shared" si="78"/>
        <v>0</v>
      </c>
    </row>
    <row r="484" spans="1:31">
      <c r="A484" s="17" t="s">
        <v>424</v>
      </c>
      <c r="B484" s="17"/>
      <c r="C484" s="17" t="s">
        <v>420</v>
      </c>
      <c r="D484" s="17"/>
      <c r="E484" s="13">
        <v>47944</v>
      </c>
      <c r="G484" s="1">
        <f t="shared" si="74"/>
        <v>11809235</v>
      </c>
      <c r="I484" s="1">
        <f>835149+36117357</f>
        <v>36952506</v>
      </c>
      <c r="K484" s="1">
        <v>48761741</v>
      </c>
      <c r="M484" s="1">
        <f t="shared" si="75"/>
        <v>4236489</v>
      </c>
      <c r="O484" s="1">
        <v>64136</v>
      </c>
      <c r="Q484" s="1">
        <v>1141051</v>
      </c>
      <c r="S484" s="1">
        <v>5441676</v>
      </c>
      <c r="U484" s="1">
        <v>36952506</v>
      </c>
      <c r="W484" s="1">
        <f t="shared" si="80"/>
        <v>7108047</v>
      </c>
      <c r="Y484" s="1">
        <v>-740488</v>
      </c>
      <c r="AA484" s="1">
        <v>43320065</v>
      </c>
      <c r="AC484" s="1">
        <f t="shared" si="77"/>
        <v>0</v>
      </c>
      <c r="AE484" s="3">
        <f t="shared" si="78"/>
        <v>0</v>
      </c>
    </row>
    <row r="485" spans="1:31">
      <c r="A485" s="12" t="s">
        <v>896</v>
      </c>
      <c r="B485" s="17"/>
      <c r="C485" s="17" t="s">
        <v>20</v>
      </c>
      <c r="D485" s="17"/>
      <c r="E485" s="13">
        <v>44701</v>
      </c>
      <c r="G485" s="1">
        <f t="shared" si="74"/>
        <v>35564732</v>
      </c>
      <c r="I485" s="1">
        <v>23930075</v>
      </c>
      <c r="K485" s="1">
        <v>59494807</v>
      </c>
      <c r="M485" s="1">
        <f t="shared" si="75"/>
        <v>28664118</v>
      </c>
      <c r="O485" s="1">
        <v>3218830</v>
      </c>
      <c r="Q485" s="1">
        <v>15805198</v>
      </c>
      <c r="S485" s="1">
        <v>47688146</v>
      </c>
      <c r="U485" s="1">
        <v>10925096</v>
      </c>
      <c r="W485" s="1">
        <f t="shared" si="80"/>
        <v>5547810</v>
      </c>
      <c r="Y485" s="1">
        <v>-4666245</v>
      </c>
      <c r="AA485" s="1">
        <v>11806661</v>
      </c>
      <c r="AC485" s="1">
        <f t="shared" si="77"/>
        <v>0</v>
      </c>
      <c r="AE485" s="3">
        <f t="shared" si="78"/>
        <v>0</v>
      </c>
    </row>
    <row r="486" spans="1:31">
      <c r="A486" s="17" t="s">
        <v>362</v>
      </c>
      <c r="B486" s="17"/>
      <c r="C486" s="17" t="s">
        <v>31</v>
      </c>
      <c r="D486" s="17"/>
      <c r="E486" s="13">
        <v>47308</v>
      </c>
      <c r="G486" s="1">
        <f t="shared" si="74"/>
        <v>10029560</v>
      </c>
      <c r="I486" s="1">
        <f>594778+12317573</f>
        <v>12912351</v>
      </c>
      <c r="K486" s="1">
        <v>22941911</v>
      </c>
      <c r="M486" s="1">
        <f t="shared" si="75"/>
        <v>6663724</v>
      </c>
      <c r="O486" s="1">
        <v>408528</v>
      </c>
      <c r="Q486" s="1">
        <v>1649545</v>
      </c>
      <c r="S486" s="1">
        <v>8721797</v>
      </c>
      <c r="U486" s="1">
        <v>12237751</v>
      </c>
      <c r="W486" s="1">
        <f t="shared" si="80"/>
        <v>717267</v>
      </c>
      <c r="Y486" s="1">
        <v>1265096</v>
      </c>
      <c r="AA486" s="1">
        <v>14220114</v>
      </c>
      <c r="AC486" s="1">
        <f t="shared" si="77"/>
        <v>0</v>
      </c>
      <c r="AE486" s="3">
        <f t="shared" si="78"/>
        <v>0</v>
      </c>
    </row>
    <row r="487" spans="1:31">
      <c r="A487" s="17" t="s">
        <v>536</v>
      </c>
      <c r="B487" s="17"/>
      <c r="C487" s="17" t="s">
        <v>56</v>
      </c>
      <c r="D487" s="17"/>
      <c r="E487" s="13">
        <v>49213</v>
      </c>
      <c r="G487" s="1">
        <f t="shared" si="74"/>
        <v>6923314</v>
      </c>
      <c r="I487" s="1">
        <f>779700+1770280</f>
        <v>2549980</v>
      </c>
      <c r="K487" s="1">
        <v>9473294</v>
      </c>
      <c r="M487" s="1">
        <f t="shared" si="75"/>
        <v>5805916</v>
      </c>
      <c r="O487" s="1">
        <v>204631</v>
      </c>
      <c r="Q487" s="1">
        <v>645783</v>
      </c>
      <c r="S487" s="1">
        <v>6656330</v>
      </c>
      <c r="U487" s="1">
        <v>2549980</v>
      </c>
      <c r="W487" s="1">
        <f t="shared" si="80"/>
        <v>780843</v>
      </c>
      <c r="Y487" s="1">
        <v>-513859</v>
      </c>
      <c r="AA487" s="1">
        <v>2816964</v>
      </c>
      <c r="AC487" s="1">
        <f t="shared" si="77"/>
        <v>0</v>
      </c>
      <c r="AE487" s="3">
        <f t="shared" si="78"/>
        <v>0</v>
      </c>
    </row>
    <row r="488" spans="1:31">
      <c r="A488" s="17" t="s">
        <v>897</v>
      </c>
      <c r="B488" s="17"/>
      <c r="C488" s="17" t="s">
        <v>227</v>
      </c>
      <c r="D488" s="17"/>
      <c r="E488" s="13">
        <v>46144</v>
      </c>
      <c r="G488" s="1">
        <f t="shared" si="74"/>
        <v>42473263</v>
      </c>
      <c r="I488" s="1">
        <f>4038136+32531762</f>
        <v>36569898</v>
      </c>
      <c r="K488" s="1">
        <v>79043161</v>
      </c>
      <c r="M488" s="1">
        <f t="shared" si="75"/>
        <v>13987829</v>
      </c>
      <c r="O488" s="1">
        <v>1860703</v>
      </c>
      <c r="Q488" s="1">
        <v>20411046</v>
      </c>
      <c r="S488" s="1">
        <v>36259578</v>
      </c>
      <c r="U488" s="1">
        <v>15878773</v>
      </c>
      <c r="W488" s="1">
        <f t="shared" si="80"/>
        <v>25193293</v>
      </c>
      <c r="Y488" s="1">
        <v>1711517</v>
      </c>
      <c r="AA488" s="1">
        <v>42783583</v>
      </c>
      <c r="AC488" s="1">
        <f t="shared" si="77"/>
        <v>0</v>
      </c>
      <c r="AE488" s="3">
        <f t="shared" si="78"/>
        <v>0</v>
      </c>
    </row>
    <row r="489" spans="1:31">
      <c r="A489" s="17" t="s">
        <v>652</v>
      </c>
      <c r="B489" s="17"/>
      <c r="C489" s="17" t="s">
        <v>72</v>
      </c>
      <c r="D489" s="17"/>
      <c r="E489" s="13">
        <v>45609</v>
      </c>
      <c r="G489" s="1">
        <f t="shared" si="74"/>
        <v>26160232</v>
      </c>
      <c r="I489" s="1">
        <f>4618923+4793982</f>
        <v>9412905</v>
      </c>
      <c r="K489" s="1">
        <v>35573137</v>
      </c>
      <c r="M489" s="1">
        <f t="shared" si="75"/>
        <v>14834758</v>
      </c>
      <c r="O489" s="1">
        <v>127132</v>
      </c>
      <c r="Q489" s="1">
        <v>1688254</v>
      </c>
      <c r="S489" s="1">
        <v>16650144</v>
      </c>
      <c r="U489" s="1">
        <v>9412905</v>
      </c>
      <c r="W489" s="1">
        <f t="shared" si="80"/>
        <v>1569342</v>
      </c>
      <c r="Y489" s="1">
        <v>7940746</v>
      </c>
      <c r="AA489" s="1">
        <v>18922993</v>
      </c>
      <c r="AC489" s="1">
        <f>+K489-S489-AA489</f>
        <v>0</v>
      </c>
      <c r="AE489" s="3">
        <f t="shared" si="78"/>
        <v>0</v>
      </c>
    </row>
    <row r="490" spans="1:31">
      <c r="A490" s="17" t="s">
        <v>570</v>
      </c>
      <c r="B490" s="17"/>
      <c r="C490" s="17" t="s">
        <v>61</v>
      </c>
      <c r="D490" s="17"/>
      <c r="E490" s="13">
        <v>49817</v>
      </c>
      <c r="G490" s="1">
        <f t="shared" si="74"/>
        <v>9914439</v>
      </c>
      <c r="I490" s="1">
        <f>5271077+430965+18000</f>
        <v>5720042</v>
      </c>
      <c r="K490" s="1">
        <v>15634481</v>
      </c>
      <c r="M490" s="1">
        <f t="shared" si="75"/>
        <v>1754408</v>
      </c>
      <c r="O490" s="1">
        <v>215000</v>
      </c>
      <c r="Q490" s="1">
        <v>5737321</v>
      </c>
      <c r="S490" s="1">
        <v>7706729</v>
      </c>
      <c r="U490" s="1">
        <v>1906220</v>
      </c>
      <c r="W490" s="1">
        <f t="shared" si="80"/>
        <v>7096593</v>
      </c>
      <c r="Y490" s="1">
        <v>-1075061</v>
      </c>
      <c r="AA490" s="1">
        <v>7927752</v>
      </c>
      <c r="AC490" s="1">
        <f t="shared" si="77"/>
        <v>0</v>
      </c>
      <c r="AE490" s="3">
        <f t="shared" si="78"/>
        <v>0</v>
      </c>
    </row>
    <row r="491" spans="1:31">
      <c r="A491" s="17" t="s">
        <v>725</v>
      </c>
      <c r="B491" s="17"/>
      <c r="C491" s="17" t="s">
        <v>114</v>
      </c>
      <c r="D491" s="17"/>
      <c r="E491" s="13"/>
      <c r="G491" s="1">
        <f t="shared" si="74"/>
        <v>13560716</v>
      </c>
      <c r="I491" s="1">
        <v>5723428</v>
      </c>
      <c r="K491" s="1">
        <v>19284144</v>
      </c>
      <c r="M491" s="1">
        <f t="shared" si="75"/>
        <v>9903387</v>
      </c>
      <c r="O491" s="1">
        <v>360949</v>
      </c>
      <c r="Q491" s="1">
        <v>1516662</v>
      </c>
      <c r="S491" s="1">
        <v>11780998</v>
      </c>
      <c r="U491" s="1">
        <v>5723428</v>
      </c>
      <c r="W491" s="1">
        <f t="shared" si="80"/>
        <v>1566846</v>
      </c>
      <c r="Y491" s="1">
        <v>212872</v>
      </c>
      <c r="AA491" s="1">
        <v>7503146</v>
      </c>
      <c r="AC491" s="1">
        <f>+K491-S491-AA491</f>
        <v>0</v>
      </c>
      <c r="AE491" s="3">
        <f t="shared" si="78"/>
        <v>0</v>
      </c>
    </row>
    <row r="492" spans="1:31">
      <c r="A492" s="17" t="s">
        <v>319</v>
      </c>
      <c r="B492" s="17"/>
      <c r="C492" s="17" t="s">
        <v>24</v>
      </c>
      <c r="D492" s="17"/>
      <c r="E492" s="13">
        <v>44743</v>
      </c>
      <c r="F492" s="8"/>
      <c r="G492" s="1">
        <f t="shared" si="74"/>
        <v>30120143</v>
      </c>
      <c r="I492" s="1">
        <f>1928926+7760026</f>
        <v>9688952</v>
      </c>
      <c r="K492" s="1">
        <v>39809095</v>
      </c>
      <c r="M492" s="1">
        <f t="shared" si="75"/>
        <v>20163668</v>
      </c>
      <c r="O492" s="1">
        <v>1175037</v>
      </c>
      <c r="Q492" s="1">
        <v>4625219</v>
      </c>
      <c r="S492" s="1">
        <v>25963924</v>
      </c>
      <c r="U492" s="1">
        <v>9053163</v>
      </c>
      <c r="W492" s="1">
        <f t="shared" si="80"/>
        <v>1693031</v>
      </c>
      <c r="Y492" s="1">
        <v>3098977</v>
      </c>
      <c r="AA492" s="1">
        <v>13845171</v>
      </c>
      <c r="AC492" s="1">
        <f t="shared" si="77"/>
        <v>0</v>
      </c>
      <c r="AE492" s="3">
        <f t="shared" si="78"/>
        <v>0</v>
      </c>
    </row>
    <row r="493" spans="1:31">
      <c r="A493" s="17" t="s">
        <v>584</v>
      </c>
      <c r="B493" s="17"/>
      <c r="C493" s="17" t="s">
        <v>62</v>
      </c>
      <c r="D493" s="17"/>
      <c r="E493" s="13">
        <v>49940</v>
      </c>
      <c r="G493" s="1">
        <f t="shared" si="74"/>
        <v>8690510</v>
      </c>
      <c r="I493" s="1">
        <v>40393717</v>
      </c>
      <c r="K493" s="1">
        <v>49084227</v>
      </c>
      <c r="M493" s="1">
        <f t="shared" si="75"/>
        <v>5850061</v>
      </c>
      <c r="O493" s="1">
        <v>550019</v>
      </c>
      <c r="Q493" s="1">
        <v>12117590</v>
      </c>
      <c r="S493" s="1">
        <v>18517670</v>
      </c>
      <c r="U493" s="1">
        <v>28624801</v>
      </c>
      <c r="W493" s="1">
        <f t="shared" si="80"/>
        <v>1464942</v>
      </c>
      <c r="Y493" s="1">
        <v>476814</v>
      </c>
      <c r="AA493" s="1">
        <v>30566557</v>
      </c>
      <c r="AC493" s="1">
        <f t="shared" si="77"/>
        <v>0</v>
      </c>
      <c r="AE493" s="3">
        <f t="shared" si="78"/>
        <v>0</v>
      </c>
    </row>
    <row r="494" spans="1:31">
      <c r="A494" s="17" t="s">
        <v>529</v>
      </c>
      <c r="B494" s="17"/>
      <c r="C494" s="17" t="s">
        <v>55</v>
      </c>
      <c r="D494" s="17"/>
      <c r="E494" s="13"/>
      <c r="F494" s="8"/>
      <c r="G494" s="1">
        <f t="shared" si="74"/>
        <v>11680511</v>
      </c>
      <c r="I494" s="1">
        <f>830500+23369967</f>
        <v>24200467</v>
      </c>
      <c r="K494" s="1">
        <v>35880978</v>
      </c>
      <c r="M494" s="1">
        <f t="shared" si="75"/>
        <v>3799758</v>
      </c>
      <c r="O494" s="1">
        <v>189019</v>
      </c>
      <c r="Q494" s="1">
        <v>2217705</v>
      </c>
      <c r="S494" s="1">
        <v>6206482</v>
      </c>
      <c r="U494" s="1">
        <v>22395467</v>
      </c>
      <c r="W494" s="1">
        <f t="shared" si="80"/>
        <v>1748083</v>
      </c>
      <c r="Y494" s="1">
        <v>5530946</v>
      </c>
      <c r="AA494" s="1">
        <v>29674496</v>
      </c>
      <c r="AC494" s="1">
        <f>+K494-S494-AA494</f>
        <v>0</v>
      </c>
      <c r="AE494" s="3">
        <f t="shared" si="78"/>
        <v>0</v>
      </c>
    </row>
    <row r="495" spans="1:31">
      <c r="A495" s="17" t="s">
        <v>468</v>
      </c>
      <c r="B495" s="17"/>
      <c r="C495" s="17" t="s">
        <v>45</v>
      </c>
      <c r="D495" s="17"/>
      <c r="E495" s="13">
        <v>48355</v>
      </c>
      <c r="G495" s="1">
        <f t="shared" ref="G495:G557" si="81">+K495-I495</f>
        <v>3431859</v>
      </c>
      <c r="I495" s="1">
        <f>219600+10803523</f>
        <v>11023123</v>
      </c>
      <c r="K495" s="1">
        <v>14454982</v>
      </c>
      <c r="M495" s="1">
        <f t="shared" ref="M495:M557" si="82">+S495-O495-Q495</f>
        <v>2162891</v>
      </c>
      <c r="O495" s="1">
        <v>116220</v>
      </c>
      <c r="Q495" s="1">
        <v>1426056</v>
      </c>
      <c r="S495" s="1">
        <v>3705167</v>
      </c>
      <c r="U495" s="1">
        <v>9919627</v>
      </c>
      <c r="W495" s="1">
        <f t="shared" si="80"/>
        <v>667206</v>
      </c>
      <c r="Y495" s="1">
        <v>162982</v>
      </c>
      <c r="AA495" s="1">
        <v>10749815</v>
      </c>
      <c r="AC495" s="1">
        <f t="shared" ref="AC495:AC562" si="83">+K495-S495-AA495</f>
        <v>0</v>
      </c>
      <c r="AE495" s="3">
        <f t="shared" ref="AE495:AE559" si="84">+G495+I495+-M495-O495-U495-W495-Y495-Q495</f>
        <v>0</v>
      </c>
    </row>
    <row r="496" spans="1:31">
      <c r="A496" s="17" t="s">
        <v>567</v>
      </c>
      <c r="B496" s="17"/>
      <c r="C496" s="17" t="s">
        <v>60</v>
      </c>
      <c r="D496" s="17"/>
      <c r="E496" s="13">
        <v>49684</v>
      </c>
      <c r="G496" s="1">
        <f t="shared" si="81"/>
        <v>5606449</v>
      </c>
      <c r="I496" s="1">
        <v>31211852</v>
      </c>
      <c r="K496" s="1">
        <v>36818301</v>
      </c>
      <c r="M496" s="1">
        <f t="shared" si="82"/>
        <v>1865175</v>
      </c>
      <c r="O496" s="1">
        <v>378880</v>
      </c>
      <c r="Q496" s="1">
        <v>11347918</v>
      </c>
      <c r="S496" s="1">
        <v>13591973</v>
      </c>
      <c r="U496" s="1">
        <v>20225830</v>
      </c>
      <c r="W496" s="1">
        <f t="shared" si="80"/>
        <v>1467947</v>
      </c>
      <c r="Y496" s="1">
        <v>1532551</v>
      </c>
      <c r="AA496" s="1">
        <v>23226328</v>
      </c>
      <c r="AC496" s="1">
        <f t="shared" si="83"/>
        <v>0</v>
      </c>
      <c r="AE496" s="3">
        <f t="shared" si="84"/>
        <v>0</v>
      </c>
    </row>
    <row r="497" spans="1:31">
      <c r="A497" s="17" t="s">
        <v>222</v>
      </c>
      <c r="B497" s="17"/>
      <c r="C497" s="17" t="s">
        <v>15</v>
      </c>
      <c r="D497" s="17"/>
      <c r="E497" s="13">
        <v>46003</v>
      </c>
      <c r="G497" s="1">
        <f t="shared" si="81"/>
        <v>6907217</v>
      </c>
      <c r="I497" s="1">
        <f>42289+1254321</f>
        <v>1296610</v>
      </c>
      <c r="K497" s="1">
        <v>8203827</v>
      </c>
      <c r="M497" s="1">
        <f t="shared" si="82"/>
        <v>3504031</v>
      </c>
      <c r="O497" s="1">
        <v>47863</v>
      </c>
      <c r="Q497" s="1">
        <v>555528</v>
      </c>
      <c r="S497" s="1">
        <v>4107422</v>
      </c>
      <c r="U497" s="1">
        <v>1249822</v>
      </c>
      <c r="W497" s="1">
        <f t="shared" si="80"/>
        <v>868706</v>
      </c>
      <c r="Y497" s="1">
        <v>1977877</v>
      </c>
      <c r="AA497" s="1">
        <v>4096405</v>
      </c>
      <c r="AC497" s="1">
        <f t="shared" si="83"/>
        <v>0</v>
      </c>
      <c r="AE497" s="3">
        <f t="shared" si="84"/>
        <v>0</v>
      </c>
    </row>
    <row r="498" spans="1:31">
      <c r="A498" s="17" t="s">
        <v>898</v>
      </c>
      <c r="B498" s="17"/>
      <c r="C498" s="17" t="s">
        <v>20</v>
      </c>
      <c r="D498" s="17"/>
      <c r="E498" s="13">
        <v>44750</v>
      </c>
      <c r="G498" s="1">
        <f t="shared" si="81"/>
        <v>105549151</v>
      </c>
      <c r="I498" s="1">
        <f>977915+31621203</f>
        <v>32599118</v>
      </c>
      <c r="K498" s="1">
        <v>138148269</v>
      </c>
      <c r="M498" s="1">
        <f t="shared" si="82"/>
        <v>67052690</v>
      </c>
      <c r="O498" s="1">
        <v>4661691</v>
      </c>
      <c r="Q498" s="1">
        <v>30679905</v>
      </c>
      <c r="S498" s="1">
        <v>102394286</v>
      </c>
      <c r="U498" s="1">
        <v>10070839</v>
      </c>
      <c r="W498" s="1">
        <f t="shared" si="80"/>
        <v>5074453</v>
      </c>
      <c r="Y498" s="1">
        <v>20608691</v>
      </c>
      <c r="AA498" s="1">
        <v>35753983</v>
      </c>
      <c r="AC498" s="1">
        <f t="shared" si="83"/>
        <v>0</v>
      </c>
      <c r="AE498" s="3">
        <f t="shared" si="84"/>
        <v>0</v>
      </c>
    </row>
    <row r="499" spans="1:31" hidden="1">
      <c r="A499" s="17" t="s">
        <v>872</v>
      </c>
      <c r="B499" s="17"/>
      <c r="C499" s="17" t="s">
        <v>10</v>
      </c>
      <c r="D499" s="17"/>
      <c r="E499" s="13"/>
      <c r="G499" s="1">
        <f t="shared" si="81"/>
        <v>0</v>
      </c>
      <c r="W499" s="1">
        <f t="shared" si="80"/>
        <v>0</v>
      </c>
      <c r="AC499" s="1">
        <f t="shared" si="83"/>
        <v>0</v>
      </c>
      <c r="AE499" s="3">
        <f t="shared" si="84"/>
        <v>0</v>
      </c>
    </row>
    <row r="500" spans="1:31">
      <c r="A500" s="17" t="s">
        <v>700</v>
      </c>
      <c r="B500" s="17"/>
      <c r="C500" s="17" t="s">
        <v>44</v>
      </c>
      <c r="D500" s="17"/>
      <c r="E500" s="13">
        <v>44768</v>
      </c>
      <c r="G500" s="1">
        <f t="shared" si="81"/>
        <v>25199203</v>
      </c>
      <c r="I500" s="1">
        <f>740256+2809404</f>
        <v>3549660</v>
      </c>
      <c r="K500" s="1">
        <v>28748863</v>
      </c>
      <c r="M500" s="1">
        <f t="shared" si="82"/>
        <v>13887709</v>
      </c>
      <c r="O500" s="1">
        <v>140952</v>
      </c>
      <c r="Q500" s="1">
        <v>1635565</v>
      </c>
      <c r="S500" s="1">
        <v>15664226</v>
      </c>
      <c r="U500" s="1">
        <v>2894660</v>
      </c>
      <c r="W500" s="1">
        <f t="shared" si="80"/>
        <v>1106421</v>
      </c>
      <c r="Y500" s="1">
        <v>9083556</v>
      </c>
      <c r="AA500" s="1">
        <v>13084637</v>
      </c>
      <c r="AC500" s="1">
        <f t="shared" si="83"/>
        <v>0</v>
      </c>
      <c r="AE500" s="3">
        <f t="shared" si="84"/>
        <v>0</v>
      </c>
    </row>
    <row r="501" spans="1:31">
      <c r="A501" s="17" t="s">
        <v>548</v>
      </c>
      <c r="B501" s="17"/>
      <c r="C501" s="17" t="s">
        <v>112</v>
      </c>
      <c r="D501" s="17"/>
      <c r="E501" s="13">
        <v>44776</v>
      </c>
      <c r="G501" s="1">
        <f t="shared" si="81"/>
        <v>12571006</v>
      </c>
      <c r="I501" s="1">
        <v>2793713</v>
      </c>
      <c r="K501" s="1">
        <v>15364719</v>
      </c>
      <c r="M501" s="1">
        <f t="shared" si="82"/>
        <v>6913199</v>
      </c>
      <c r="O501" s="1">
        <v>425891</v>
      </c>
      <c r="Q501" s="1">
        <v>1600014</v>
      </c>
      <c r="S501" s="1">
        <v>8939104</v>
      </c>
      <c r="U501" s="1">
        <v>2325463</v>
      </c>
      <c r="W501" s="1">
        <f t="shared" si="80"/>
        <v>752358</v>
      </c>
      <c r="Y501" s="1">
        <v>3347794</v>
      </c>
      <c r="AA501" s="1">
        <v>6425615</v>
      </c>
      <c r="AC501" s="1">
        <f t="shared" si="83"/>
        <v>0</v>
      </c>
      <c r="AE501" s="3">
        <f t="shared" si="84"/>
        <v>0</v>
      </c>
    </row>
    <row r="502" spans="1:31">
      <c r="A502" s="17" t="s">
        <v>571</v>
      </c>
      <c r="B502" s="17"/>
      <c r="C502" s="17" t="s">
        <v>61</v>
      </c>
      <c r="D502" s="17"/>
      <c r="E502" s="13">
        <v>44784</v>
      </c>
      <c r="G502" s="1">
        <f t="shared" si="81"/>
        <v>26518441</v>
      </c>
      <c r="I502" s="1">
        <f>182740+29203826</f>
        <v>29386566</v>
      </c>
      <c r="K502" s="1">
        <v>55905007</v>
      </c>
      <c r="M502" s="1">
        <f t="shared" si="82"/>
        <v>20954564</v>
      </c>
      <c r="O502" s="1">
        <v>2339624</v>
      </c>
      <c r="Q502" s="1">
        <v>21468145</v>
      </c>
      <c r="S502" s="1">
        <v>44762333</v>
      </c>
      <c r="U502" s="1">
        <v>7687715</v>
      </c>
      <c r="W502" s="1">
        <f t="shared" si="80"/>
        <v>4166076</v>
      </c>
      <c r="Y502" s="1">
        <v>-711117</v>
      </c>
      <c r="AA502" s="1">
        <v>11142674</v>
      </c>
      <c r="AC502" s="1">
        <f t="shared" si="83"/>
        <v>0</v>
      </c>
      <c r="AE502" s="3">
        <f t="shared" si="84"/>
        <v>0</v>
      </c>
    </row>
    <row r="503" spans="1:31">
      <c r="A503" s="17" t="s">
        <v>304</v>
      </c>
      <c r="B503" s="17"/>
      <c r="C503" s="17" t="s">
        <v>20</v>
      </c>
      <c r="D503" s="17"/>
      <c r="E503" s="13">
        <v>46607</v>
      </c>
      <c r="G503" s="1">
        <f t="shared" si="81"/>
        <v>77156411</v>
      </c>
      <c r="I503" s="1">
        <v>35467380</v>
      </c>
      <c r="K503" s="1">
        <v>112623791</v>
      </c>
      <c r="M503" s="1">
        <f t="shared" si="82"/>
        <v>53434559</v>
      </c>
      <c r="O503" s="1">
        <v>3519902</v>
      </c>
      <c r="Q503" s="1">
        <v>26618006</v>
      </c>
      <c r="S503" s="1">
        <v>83572467</v>
      </c>
      <c r="U503" s="1">
        <v>15214893</v>
      </c>
      <c r="W503" s="1">
        <f t="shared" si="80"/>
        <v>13220326</v>
      </c>
      <c r="Y503" s="1">
        <v>616105</v>
      </c>
      <c r="AA503" s="1">
        <v>29051324</v>
      </c>
      <c r="AC503" s="1">
        <f t="shared" si="83"/>
        <v>0</v>
      </c>
      <c r="AE503" s="3">
        <f t="shared" si="84"/>
        <v>0</v>
      </c>
    </row>
    <row r="504" spans="1:31">
      <c r="A504" s="17" t="s">
        <v>767</v>
      </c>
      <c r="B504" s="17"/>
      <c r="C504" s="12" t="s">
        <v>37</v>
      </c>
      <c r="D504" s="17"/>
      <c r="E504" s="13"/>
      <c r="G504" s="1">
        <f t="shared" si="81"/>
        <v>5195920</v>
      </c>
      <c r="I504" s="1">
        <v>6319332</v>
      </c>
      <c r="K504" s="1">
        <v>11515252</v>
      </c>
      <c r="M504" s="1">
        <f t="shared" si="82"/>
        <v>1792071</v>
      </c>
      <c r="O504" s="1">
        <v>199941</v>
      </c>
      <c r="Q504" s="1">
        <v>1470626</v>
      </c>
      <c r="S504" s="1">
        <v>3462638</v>
      </c>
      <c r="U504" s="1">
        <v>5238889</v>
      </c>
      <c r="W504" s="1">
        <f t="shared" si="80"/>
        <v>845150</v>
      </c>
      <c r="Y504" s="1">
        <v>1968575</v>
      </c>
      <c r="AA504" s="1">
        <v>8052614</v>
      </c>
      <c r="AC504" s="1">
        <f>+K504-S504-AA504</f>
        <v>0</v>
      </c>
      <c r="AE504" s="3">
        <f t="shared" si="84"/>
        <v>0</v>
      </c>
    </row>
    <row r="505" spans="1:31">
      <c r="A505" s="17" t="s">
        <v>305</v>
      </c>
      <c r="B505" s="17"/>
      <c r="C505" s="17" t="s">
        <v>20</v>
      </c>
      <c r="D505" s="17"/>
      <c r="E505" s="13">
        <v>44792</v>
      </c>
      <c r="G505" s="1">
        <f t="shared" si="81"/>
        <v>70023956</v>
      </c>
      <c r="I505" s="1">
        <f>660393+18735140</f>
        <v>19395533</v>
      </c>
      <c r="K505" s="1">
        <v>89419489</v>
      </c>
      <c r="M505" s="1">
        <f t="shared" si="82"/>
        <v>52580624</v>
      </c>
      <c r="O505" s="1">
        <v>1807348</v>
      </c>
      <c r="Q505" s="1">
        <v>9206600</v>
      </c>
      <c r="S505" s="1">
        <v>63594572</v>
      </c>
      <c r="U505" s="1">
        <v>3599786</v>
      </c>
      <c r="W505" s="1">
        <f t="shared" si="80"/>
        <v>5485372</v>
      </c>
      <c r="Y505" s="1">
        <v>16739759</v>
      </c>
      <c r="AA505" s="1">
        <v>25824917</v>
      </c>
      <c r="AC505" s="1">
        <f t="shared" si="83"/>
        <v>0</v>
      </c>
      <c r="AE505" s="3">
        <f t="shared" si="84"/>
        <v>0</v>
      </c>
    </row>
    <row r="506" spans="1:31">
      <c r="A506" s="17" t="s">
        <v>425</v>
      </c>
      <c r="B506" s="17"/>
      <c r="C506" s="17" t="s">
        <v>420</v>
      </c>
      <c r="D506" s="17"/>
      <c r="E506" s="13">
        <v>47951</v>
      </c>
      <c r="G506" s="1">
        <f t="shared" si="81"/>
        <v>13556700</v>
      </c>
      <c r="I506" s="1">
        <f>2001887+50313704</f>
        <v>52315591</v>
      </c>
      <c r="K506" s="1">
        <v>65872291</v>
      </c>
      <c r="M506" s="1">
        <f t="shared" si="82"/>
        <v>5560755</v>
      </c>
      <c r="O506" s="1">
        <v>778950</v>
      </c>
      <c r="Q506" s="1">
        <v>12289491</v>
      </c>
      <c r="S506" s="1">
        <v>18629196</v>
      </c>
      <c r="U506" s="1">
        <v>41567290</v>
      </c>
      <c r="W506" s="1">
        <f t="shared" si="80"/>
        <v>3791766</v>
      </c>
      <c r="Y506" s="1">
        <v>1884039</v>
      </c>
      <c r="AA506" s="1">
        <v>47243095</v>
      </c>
      <c r="AC506" s="1">
        <f>+K506-S506-AA506</f>
        <v>0</v>
      </c>
      <c r="AE506" s="3">
        <f t="shared" si="84"/>
        <v>0</v>
      </c>
    </row>
    <row r="507" spans="1:31">
      <c r="A507" s="17"/>
      <c r="B507" s="17"/>
      <c r="C507" s="17"/>
      <c r="D507" s="17"/>
      <c r="E507" s="13"/>
    </row>
    <row r="508" spans="1:31">
      <c r="A508" s="17"/>
      <c r="B508" s="17"/>
      <c r="C508" s="17"/>
      <c r="D508" s="17"/>
      <c r="E508" s="13"/>
      <c r="AA508" s="20" t="s">
        <v>709</v>
      </c>
    </row>
    <row r="509" spans="1:31">
      <c r="A509" s="17"/>
      <c r="B509" s="17"/>
      <c r="C509" s="17"/>
      <c r="D509" s="17"/>
      <c r="E509" s="13"/>
    </row>
    <row r="510" spans="1:31">
      <c r="A510" s="17" t="s">
        <v>469</v>
      </c>
      <c r="B510" s="17"/>
      <c r="C510" s="17" t="s">
        <v>45</v>
      </c>
      <c r="D510" s="17"/>
      <c r="E510" s="13">
        <v>48363</v>
      </c>
      <c r="G510" s="16">
        <f t="shared" si="81"/>
        <v>24709083</v>
      </c>
      <c r="H510" s="16"/>
      <c r="I510" s="16">
        <v>32132995</v>
      </c>
      <c r="J510" s="16"/>
      <c r="K510" s="16">
        <v>56842078</v>
      </c>
      <c r="L510" s="16"/>
      <c r="M510" s="16">
        <f t="shared" si="82"/>
        <v>7928414</v>
      </c>
      <c r="N510" s="16"/>
      <c r="O510" s="16">
        <v>608060</v>
      </c>
      <c r="P510" s="16"/>
      <c r="Q510" s="16">
        <v>20181727</v>
      </c>
      <c r="R510" s="16"/>
      <c r="S510" s="16">
        <v>28718201</v>
      </c>
      <c r="T510" s="16"/>
      <c r="U510" s="16">
        <v>24964210</v>
      </c>
      <c r="V510" s="16"/>
      <c r="W510" s="16">
        <f t="shared" si="80"/>
        <v>1368049</v>
      </c>
      <c r="X510" s="16"/>
      <c r="Y510" s="16">
        <v>1791618</v>
      </c>
      <c r="Z510" s="16"/>
      <c r="AA510" s="16">
        <v>28123877</v>
      </c>
      <c r="AC510" s="1">
        <f t="shared" si="83"/>
        <v>0</v>
      </c>
      <c r="AE510" s="3">
        <f t="shared" si="84"/>
        <v>0</v>
      </c>
    </row>
    <row r="511" spans="1:31">
      <c r="A511" s="17" t="s">
        <v>537</v>
      </c>
      <c r="B511" s="17"/>
      <c r="C511" s="17" t="s">
        <v>56</v>
      </c>
      <c r="D511" s="17"/>
      <c r="E511" s="13">
        <v>49221</v>
      </c>
      <c r="G511" s="1">
        <f t="shared" si="81"/>
        <v>17559257</v>
      </c>
      <c r="I511" s="1">
        <f>400918+29443206</f>
        <v>29844124</v>
      </c>
      <c r="K511" s="1">
        <v>47403381</v>
      </c>
      <c r="M511" s="1">
        <f t="shared" si="82"/>
        <v>7871423</v>
      </c>
      <c r="O511" s="1">
        <v>381546</v>
      </c>
      <c r="Q511" s="1">
        <v>6512343</v>
      </c>
      <c r="S511" s="1">
        <v>14765312</v>
      </c>
      <c r="U511" s="1">
        <v>24572960</v>
      </c>
      <c r="W511" s="1">
        <f t="shared" si="80"/>
        <v>1823693</v>
      </c>
      <c r="Y511" s="1">
        <v>6241416</v>
      </c>
      <c r="AA511" s="1">
        <v>32638069</v>
      </c>
      <c r="AC511" s="1">
        <f t="shared" si="83"/>
        <v>0</v>
      </c>
      <c r="AE511" s="3">
        <f t="shared" si="84"/>
        <v>0</v>
      </c>
    </row>
    <row r="512" spans="1:31">
      <c r="A512" s="17" t="s">
        <v>537</v>
      </c>
      <c r="B512" s="17"/>
      <c r="C512" s="17" t="s">
        <v>71</v>
      </c>
      <c r="D512" s="17"/>
      <c r="E512" s="13">
        <v>50583</v>
      </c>
      <c r="G512" s="1">
        <f t="shared" si="81"/>
        <v>8599723</v>
      </c>
      <c r="I512" s="1">
        <f>588680+2970153</f>
        <v>3558833</v>
      </c>
      <c r="K512" s="1">
        <v>12158556</v>
      </c>
      <c r="M512" s="1">
        <f t="shared" si="82"/>
        <v>7803055</v>
      </c>
      <c r="O512" s="1">
        <v>224100</v>
      </c>
      <c r="Q512" s="1">
        <v>714994</v>
      </c>
      <c r="S512" s="1">
        <v>8742149</v>
      </c>
      <c r="U512" s="1">
        <v>3402496</v>
      </c>
      <c r="W512" s="1">
        <f t="shared" si="80"/>
        <v>733722</v>
      </c>
      <c r="Y512" s="1">
        <v>-719811</v>
      </c>
      <c r="AA512" s="1">
        <v>3416407</v>
      </c>
      <c r="AC512" s="1">
        <f t="shared" si="83"/>
        <v>0</v>
      </c>
      <c r="AE512" s="3">
        <f t="shared" si="84"/>
        <v>0</v>
      </c>
    </row>
    <row r="513" spans="1:31">
      <c r="A513" s="17" t="s">
        <v>249</v>
      </c>
      <c r="B513" s="17"/>
      <c r="C513" s="17" t="s">
        <v>17</v>
      </c>
      <c r="D513" s="17"/>
      <c r="E513" s="13">
        <v>46276</v>
      </c>
      <c r="G513" s="1">
        <f t="shared" si="81"/>
        <v>9480537</v>
      </c>
      <c r="I513" s="1">
        <f>162951+3896935</f>
        <v>4059886</v>
      </c>
      <c r="K513" s="1">
        <v>13540423</v>
      </c>
      <c r="M513" s="1">
        <f t="shared" si="82"/>
        <v>2679780</v>
      </c>
      <c r="O513" s="1">
        <v>213467</v>
      </c>
      <c r="Q513" s="1">
        <v>1595678</v>
      </c>
      <c r="S513" s="1">
        <v>4488925</v>
      </c>
      <c r="U513" s="1">
        <v>2645403</v>
      </c>
      <c r="W513" s="1">
        <f t="shared" si="80"/>
        <v>1509050</v>
      </c>
      <c r="Y513" s="1">
        <v>4897045</v>
      </c>
      <c r="AA513" s="1">
        <v>9051498</v>
      </c>
      <c r="AC513" s="1">
        <f>+K513-S513-AA513</f>
        <v>0</v>
      </c>
      <c r="AE513" s="3">
        <f>+G513+I513+-M513-O513-U513-W513-Y513-Q513</f>
        <v>0</v>
      </c>
    </row>
    <row r="514" spans="1:31">
      <c r="A514" s="17" t="s">
        <v>249</v>
      </c>
      <c r="B514" s="17"/>
      <c r="C514" s="17" t="s">
        <v>58</v>
      </c>
      <c r="D514" s="17"/>
      <c r="E514" s="13">
        <v>49528</v>
      </c>
      <c r="G514" s="1">
        <f t="shared" si="81"/>
        <v>10065989</v>
      </c>
      <c r="I514" s="1">
        <f>705000+22297644</f>
        <v>23002644</v>
      </c>
      <c r="K514" s="1">
        <v>33068633</v>
      </c>
      <c r="M514" s="1">
        <f t="shared" si="82"/>
        <v>2760265</v>
      </c>
      <c r="O514" s="1">
        <v>297510</v>
      </c>
      <c r="Q514" s="1">
        <v>4833764</v>
      </c>
      <c r="S514" s="1">
        <v>7891539</v>
      </c>
      <c r="U514" s="1">
        <v>18714817</v>
      </c>
      <c r="W514" s="1">
        <f t="shared" si="80"/>
        <v>1433134</v>
      </c>
      <c r="Y514" s="1">
        <v>5029143</v>
      </c>
      <c r="AA514" s="1">
        <v>25177094</v>
      </c>
      <c r="AC514" s="1">
        <f t="shared" si="83"/>
        <v>0</v>
      </c>
      <c r="AE514" s="3">
        <f t="shared" si="84"/>
        <v>0</v>
      </c>
    </row>
    <row r="515" spans="1:31">
      <c r="A515" s="17" t="s">
        <v>788</v>
      </c>
      <c r="B515" s="17"/>
      <c r="C515" s="17" t="s">
        <v>114</v>
      </c>
      <c r="D515" s="17"/>
      <c r="E515" s="13">
        <v>46441</v>
      </c>
      <c r="F515" s="16"/>
      <c r="G515" s="1">
        <f t="shared" si="81"/>
        <v>3918503</v>
      </c>
      <c r="I515" s="1">
        <v>13013770</v>
      </c>
      <c r="K515" s="1">
        <v>16932273</v>
      </c>
      <c r="M515" s="1">
        <f t="shared" si="82"/>
        <v>2748369</v>
      </c>
      <c r="O515" s="1">
        <v>219406</v>
      </c>
      <c r="Q515" s="1">
        <v>2972660</v>
      </c>
      <c r="S515" s="1">
        <v>5940435</v>
      </c>
      <c r="U515" s="1">
        <v>10363494</v>
      </c>
      <c r="W515" s="1">
        <f>AA515-Y515-U515</f>
        <v>896193</v>
      </c>
      <c r="Y515" s="1">
        <v>-267849</v>
      </c>
      <c r="AA515" s="1">
        <v>10991838</v>
      </c>
      <c r="AC515" s="1">
        <f t="shared" si="83"/>
        <v>0</v>
      </c>
      <c r="AE515" s="3">
        <f t="shared" si="84"/>
        <v>0</v>
      </c>
    </row>
    <row r="516" spans="1:31">
      <c r="A516" s="17" t="s">
        <v>269</v>
      </c>
      <c r="B516" s="17"/>
      <c r="C516" s="17" t="s">
        <v>484</v>
      </c>
      <c r="D516" s="17"/>
      <c r="E516" s="13">
        <v>46441</v>
      </c>
      <c r="F516" s="16"/>
      <c r="G516" s="1">
        <f t="shared" si="81"/>
        <v>5341011</v>
      </c>
      <c r="I516" s="1">
        <f>173855+9279779</f>
        <v>9453634</v>
      </c>
      <c r="K516" s="1">
        <v>14794645</v>
      </c>
      <c r="M516" s="1">
        <f t="shared" si="82"/>
        <v>2887794</v>
      </c>
      <c r="O516" s="1">
        <v>227521</v>
      </c>
      <c r="Q516" s="1">
        <v>2769395</v>
      </c>
      <c r="S516" s="1">
        <v>5884710</v>
      </c>
      <c r="U516" s="1">
        <v>6795080</v>
      </c>
      <c r="W516" s="1">
        <f t="shared" si="80"/>
        <v>933002</v>
      </c>
      <c r="Y516" s="1">
        <v>1181853</v>
      </c>
      <c r="AA516" s="1">
        <v>8909935</v>
      </c>
      <c r="AC516" s="1">
        <f>+K516-S516-AA516</f>
        <v>0</v>
      </c>
      <c r="AE516" s="3">
        <f>+G516+I516+-M516-O516-U516-W516-Y516-Q516</f>
        <v>0</v>
      </c>
    </row>
    <row r="517" spans="1:31" hidden="1">
      <c r="A517" s="12" t="s">
        <v>873</v>
      </c>
      <c r="B517" s="12"/>
      <c r="C517" s="12" t="s">
        <v>524</v>
      </c>
      <c r="D517" s="17"/>
      <c r="E517" s="13"/>
      <c r="F517" s="16"/>
      <c r="G517" s="1">
        <f t="shared" si="81"/>
        <v>0</v>
      </c>
      <c r="M517" s="1">
        <f t="shared" si="82"/>
        <v>0</v>
      </c>
      <c r="W517" s="1">
        <f t="shared" si="80"/>
        <v>0</v>
      </c>
      <c r="AC517" s="1">
        <f>+K517-S517-AA517</f>
        <v>0</v>
      </c>
      <c r="AE517" s="3">
        <f>+G517+I517+-M517-O517-U517-W517-Y517-Q517</f>
        <v>0</v>
      </c>
    </row>
    <row r="518" spans="1:31">
      <c r="A518" s="17" t="s">
        <v>615</v>
      </c>
      <c r="B518" s="17"/>
      <c r="C518" s="17" t="s">
        <v>64</v>
      </c>
      <c r="D518" s="17"/>
      <c r="E518" s="13">
        <v>50237</v>
      </c>
      <c r="G518" s="1">
        <f t="shared" si="81"/>
        <v>21149565</v>
      </c>
      <c r="I518" s="1">
        <f>8598684+727176</f>
        <v>9325860</v>
      </c>
      <c r="K518" s="1">
        <v>30475425</v>
      </c>
      <c r="M518" s="1">
        <f t="shared" si="82"/>
        <v>3426188</v>
      </c>
      <c r="O518" s="1">
        <v>185368</v>
      </c>
      <c r="Q518" s="1">
        <v>8120763</v>
      </c>
      <c r="S518" s="1">
        <v>11732319</v>
      </c>
      <c r="U518" s="1">
        <v>7113574</v>
      </c>
      <c r="W518" s="1">
        <f t="shared" si="80"/>
        <v>11265119</v>
      </c>
      <c r="Y518" s="1">
        <v>364413</v>
      </c>
      <c r="AA518" s="1">
        <v>18743106</v>
      </c>
      <c r="AC518" s="1">
        <f t="shared" si="83"/>
        <v>0</v>
      </c>
      <c r="AE518" s="3">
        <f t="shared" si="84"/>
        <v>0</v>
      </c>
    </row>
    <row r="519" spans="1:31">
      <c r="A519" s="17" t="s">
        <v>776</v>
      </c>
      <c r="B519" s="17"/>
      <c r="C519" s="17" t="s">
        <v>42</v>
      </c>
      <c r="D519" s="17"/>
      <c r="E519" s="13">
        <v>48041</v>
      </c>
      <c r="F519" s="8"/>
      <c r="G519" s="1">
        <f t="shared" si="81"/>
        <v>28209410</v>
      </c>
      <c r="I519" s="1">
        <f>3939826+23853720</f>
        <v>27793546</v>
      </c>
      <c r="K519" s="1">
        <v>56002956</v>
      </c>
      <c r="M519" s="1">
        <f t="shared" si="82"/>
        <v>17194672</v>
      </c>
      <c r="O519" s="1">
        <v>2213622</v>
      </c>
      <c r="Q519" s="1">
        <v>21237798</v>
      </c>
      <c r="S519" s="1">
        <v>40646092</v>
      </c>
      <c r="U519" s="1">
        <v>9230255</v>
      </c>
      <c r="W519" s="1">
        <f t="shared" si="80"/>
        <v>1289756</v>
      </c>
      <c r="Y519" s="1">
        <v>4836853</v>
      </c>
      <c r="AA519" s="1">
        <v>15356864</v>
      </c>
      <c r="AC519" s="1">
        <f t="shared" si="83"/>
        <v>0</v>
      </c>
      <c r="AE519" s="3">
        <f t="shared" si="84"/>
        <v>0</v>
      </c>
    </row>
    <row r="520" spans="1:31">
      <c r="A520" s="17" t="s">
        <v>374</v>
      </c>
      <c r="B520" s="17"/>
      <c r="C520" s="17" t="s">
        <v>32</v>
      </c>
      <c r="D520" s="17"/>
      <c r="E520" s="13">
        <v>47381</v>
      </c>
      <c r="G520" s="1">
        <f t="shared" si="81"/>
        <v>18579291</v>
      </c>
      <c r="I520" s="1">
        <f>2875501+19697819</f>
        <v>22573320</v>
      </c>
      <c r="K520" s="1">
        <v>41152611</v>
      </c>
      <c r="M520" s="1">
        <f t="shared" si="82"/>
        <v>13763288</v>
      </c>
      <c r="O520" s="1">
        <v>1475394</v>
      </c>
      <c r="Q520" s="1">
        <v>19856355</v>
      </c>
      <c r="S520" s="1">
        <v>35095037</v>
      </c>
      <c r="U520" s="1">
        <v>6181584</v>
      </c>
      <c r="W520" s="1">
        <f t="shared" si="80"/>
        <v>4219251</v>
      </c>
      <c r="Y520" s="1">
        <v>-4343261</v>
      </c>
      <c r="AA520" s="1">
        <v>6057574</v>
      </c>
      <c r="AC520" s="1">
        <f t="shared" si="83"/>
        <v>0</v>
      </c>
      <c r="AE520" s="3">
        <f t="shared" si="84"/>
        <v>0</v>
      </c>
    </row>
    <row r="521" spans="1:31">
      <c r="A521" s="17" t="s">
        <v>340</v>
      </c>
      <c r="B521" s="17"/>
      <c r="C521" s="17" t="s">
        <v>27</v>
      </c>
      <c r="D521" s="17"/>
      <c r="E521" s="13">
        <v>44800</v>
      </c>
      <c r="G521" s="1">
        <f t="shared" si="81"/>
        <v>185726571</v>
      </c>
      <c r="I521" s="1">
        <v>133926373</v>
      </c>
      <c r="K521" s="1">
        <v>319652944</v>
      </c>
      <c r="M521" s="1">
        <f t="shared" si="82"/>
        <v>84219436</v>
      </c>
      <c r="O521" s="1">
        <v>13073929</v>
      </c>
      <c r="Q521" s="1">
        <v>92550907</v>
      </c>
      <c r="S521" s="1">
        <v>189844272</v>
      </c>
      <c r="U521" s="1">
        <v>44612781</v>
      </c>
      <c r="W521" s="1">
        <f t="shared" ref="W521:W580" si="85">AA521-Y521-U521</f>
        <v>29152611</v>
      </c>
      <c r="Y521" s="1">
        <v>56043280</v>
      </c>
      <c r="AA521" s="1">
        <v>129808672</v>
      </c>
      <c r="AC521" s="1">
        <f t="shared" si="83"/>
        <v>0</v>
      </c>
      <c r="AE521" s="3">
        <f t="shared" si="84"/>
        <v>0</v>
      </c>
    </row>
    <row r="522" spans="1:31" hidden="1">
      <c r="A522" s="17" t="s">
        <v>875</v>
      </c>
      <c r="B522" s="17"/>
      <c r="C522" s="17" t="s">
        <v>10</v>
      </c>
      <c r="D522" s="17"/>
      <c r="E522" s="13">
        <v>45807</v>
      </c>
      <c r="G522" s="1">
        <f t="shared" si="81"/>
        <v>0</v>
      </c>
      <c r="M522" s="1">
        <f t="shared" si="82"/>
        <v>0</v>
      </c>
      <c r="W522" s="1">
        <f t="shared" si="85"/>
        <v>0</v>
      </c>
      <c r="AC522" s="1">
        <f t="shared" si="83"/>
        <v>0</v>
      </c>
      <c r="AE522" s="3">
        <f t="shared" si="84"/>
        <v>0</v>
      </c>
    </row>
    <row r="523" spans="1:31" hidden="1">
      <c r="A523" s="17" t="s">
        <v>874</v>
      </c>
      <c r="B523" s="17"/>
      <c r="C523" s="17" t="s">
        <v>69</v>
      </c>
      <c r="D523" s="17"/>
      <c r="E523" s="13">
        <v>50427</v>
      </c>
      <c r="G523" s="1">
        <f t="shared" si="81"/>
        <v>0</v>
      </c>
      <c r="M523" s="1">
        <f t="shared" si="82"/>
        <v>0</v>
      </c>
      <c r="W523" s="1">
        <f t="shared" si="85"/>
        <v>0</v>
      </c>
      <c r="AC523" s="1">
        <f t="shared" si="83"/>
        <v>0</v>
      </c>
      <c r="AE523" s="3">
        <f t="shared" si="84"/>
        <v>0</v>
      </c>
    </row>
    <row r="524" spans="1:31">
      <c r="A524" s="17" t="s">
        <v>761</v>
      </c>
      <c r="B524" s="17"/>
      <c r="C524" s="17" t="s">
        <v>17</v>
      </c>
      <c r="D524" s="17"/>
      <c r="E524" s="13"/>
      <c r="G524" s="1">
        <f t="shared" si="81"/>
        <v>80200159</v>
      </c>
      <c r="I524" s="1">
        <f>14769496+169589970</f>
        <v>184359466</v>
      </c>
      <c r="K524" s="1">
        <v>264559625</v>
      </c>
      <c r="M524" s="1">
        <f t="shared" si="82"/>
        <v>36697708</v>
      </c>
      <c r="O524" s="1">
        <v>5194487</v>
      </c>
      <c r="Q524" s="1">
        <v>33149223</v>
      </c>
      <c r="S524" s="1">
        <v>75041418</v>
      </c>
      <c r="U524" s="1">
        <v>155009658</v>
      </c>
      <c r="W524" s="1">
        <f t="shared" si="85"/>
        <v>15596423</v>
      </c>
      <c r="Y524" s="1">
        <v>18912126</v>
      </c>
      <c r="AA524" s="1">
        <v>189518207</v>
      </c>
      <c r="AC524" s="1">
        <f>+K524-S524-AA524</f>
        <v>0</v>
      </c>
      <c r="AE524" s="3">
        <f t="shared" si="84"/>
        <v>0</v>
      </c>
    </row>
    <row r="525" spans="1:31">
      <c r="A525" s="17" t="s">
        <v>899</v>
      </c>
      <c r="B525" s="17"/>
      <c r="C525" s="17" t="s">
        <v>117</v>
      </c>
      <c r="D525" s="17"/>
      <c r="E525" s="13">
        <v>48223</v>
      </c>
      <c r="G525" s="1">
        <f t="shared" si="81"/>
        <v>27782177</v>
      </c>
      <c r="I525" s="1">
        <f>666064+28122537</f>
        <v>28788601</v>
      </c>
      <c r="K525" s="1">
        <v>56570778</v>
      </c>
      <c r="M525" s="1">
        <f t="shared" si="82"/>
        <v>30086615</v>
      </c>
      <c r="O525" s="1">
        <v>2124824</v>
      </c>
      <c r="Q525" s="1">
        <v>14968415</v>
      </c>
      <c r="S525" s="1">
        <v>47179854</v>
      </c>
      <c r="U525" s="1">
        <v>23157532</v>
      </c>
      <c r="W525" s="1">
        <f t="shared" si="85"/>
        <v>1934598</v>
      </c>
      <c r="Y525" s="1">
        <v>-15701206</v>
      </c>
      <c r="AA525" s="1">
        <v>9390924</v>
      </c>
      <c r="AC525" s="1">
        <f t="shared" si="83"/>
        <v>0</v>
      </c>
      <c r="AE525" s="3">
        <f t="shared" si="84"/>
        <v>0</v>
      </c>
    </row>
    <row r="526" spans="1:31">
      <c r="A526" s="17" t="s">
        <v>453</v>
      </c>
      <c r="B526" s="17"/>
      <c r="C526" s="17" t="s">
        <v>45</v>
      </c>
      <c r="D526" s="17"/>
      <c r="E526" s="13">
        <v>48371</v>
      </c>
      <c r="G526" s="1">
        <f t="shared" si="81"/>
        <v>6791539</v>
      </c>
      <c r="I526" s="1">
        <f>99230+5550499</f>
        <v>5649729</v>
      </c>
      <c r="K526" s="1">
        <v>12441268</v>
      </c>
      <c r="M526" s="1">
        <f t="shared" si="82"/>
        <v>4098480</v>
      </c>
      <c r="O526" s="1">
        <v>578320</v>
      </c>
      <c r="Q526" s="1">
        <v>1558615</v>
      </c>
      <c r="S526" s="1">
        <v>6235415</v>
      </c>
      <c r="U526" s="1">
        <v>4374407</v>
      </c>
      <c r="W526" s="1">
        <f t="shared" si="85"/>
        <v>1402364</v>
      </c>
      <c r="Y526" s="1">
        <v>429082</v>
      </c>
      <c r="AA526" s="1">
        <v>6205853</v>
      </c>
      <c r="AC526" s="1">
        <f t="shared" si="83"/>
        <v>0</v>
      </c>
      <c r="AE526" s="3">
        <f t="shared" si="84"/>
        <v>0</v>
      </c>
    </row>
    <row r="527" spans="1:31">
      <c r="A527" s="17" t="s">
        <v>453</v>
      </c>
      <c r="B527" s="17"/>
      <c r="C527" s="17" t="s">
        <v>63</v>
      </c>
      <c r="D527" s="17"/>
      <c r="E527" s="13">
        <v>50062</v>
      </c>
      <c r="G527" s="1">
        <f t="shared" si="81"/>
        <v>15637480</v>
      </c>
      <c r="I527" s="1">
        <f>687020+1603939</f>
        <v>2290959</v>
      </c>
      <c r="K527" s="1">
        <v>17928439</v>
      </c>
      <c r="M527" s="1">
        <f t="shared" si="82"/>
        <v>14807194</v>
      </c>
      <c r="O527" s="1">
        <v>136738</v>
      </c>
      <c r="Q527" s="1">
        <v>1390780</v>
      </c>
      <c r="S527" s="1">
        <v>16334712</v>
      </c>
      <c r="U527" s="1">
        <v>1754744</v>
      </c>
      <c r="W527" s="1">
        <f t="shared" si="85"/>
        <v>829189</v>
      </c>
      <c r="Y527" s="1">
        <v>-990206</v>
      </c>
      <c r="AA527" s="1">
        <v>1593727</v>
      </c>
      <c r="AC527" s="1">
        <f t="shared" si="83"/>
        <v>0</v>
      </c>
      <c r="AE527" s="3">
        <f t="shared" si="84"/>
        <v>0</v>
      </c>
    </row>
    <row r="528" spans="1:31">
      <c r="A528" s="17" t="s">
        <v>759</v>
      </c>
      <c r="B528" s="17"/>
      <c r="C528" s="17" t="s">
        <v>32</v>
      </c>
      <c r="D528" s="17"/>
      <c r="E528" s="13">
        <v>44719</v>
      </c>
      <c r="G528" s="1">
        <f t="shared" si="81"/>
        <v>15298585</v>
      </c>
      <c r="I528" s="1">
        <f>306322+2624513</f>
        <v>2930835</v>
      </c>
      <c r="K528" s="1">
        <v>18229420</v>
      </c>
      <c r="M528" s="1">
        <f t="shared" si="82"/>
        <v>8420717</v>
      </c>
      <c r="O528" s="1">
        <v>206703</v>
      </c>
      <c r="Q528" s="1">
        <v>2265249</v>
      </c>
      <c r="S528" s="1">
        <v>10892669</v>
      </c>
      <c r="U528" s="1">
        <v>1704835</v>
      </c>
      <c r="W528" s="1">
        <f t="shared" si="85"/>
        <v>894432</v>
      </c>
      <c r="Y528" s="1">
        <v>4737484</v>
      </c>
      <c r="AA528" s="1">
        <v>7336751</v>
      </c>
      <c r="AC528" s="1">
        <f t="shared" si="83"/>
        <v>0</v>
      </c>
      <c r="AE528" s="3">
        <f t="shared" si="84"/>
        <v>0</v>
      </c>
    </row>
    <row r="529" spans="1:31">
      <c r="A529" s="17" t="s">
        <v>758</v>
      </c>
      <c r="B529" s="17"/>
      <c r="C529" s="17" t="s">
        <v>15</v>
      </c>
      <c r="D529" s="17"/>
      <c r="E529" s="13">
        <v>45997</v>
      </c>
      <c r="G529" s="1">
        <f t="shared" si="81"/>
        <v>11837586</v>
      </c>
      <c r="I529" s="1">
        <f>1481528+7770918</f>
        <v>9252446</v>
      </c>
      <c r="K529" s="1">
        <v>21090032</v>
      </c>
      <c r="M529" s="1">
        <f t="shared" si="82"/>
        <v>8457422</v>
      </c>
      <c r="O529" s="1">
        <v>950167</v>
      </c>
      <c r="Q529" s="1">
        <v>3362615</v>
      </c>
      <c r="S529" s="1">
        <v>12770204</v>
      </c>
      <c r="U529" s="1">
        <v>6196008</v>
      </c>
      <c r="W529" s="1">
        <f t="shared" si="85"/>
        <v>970177</v>
      </c>
      <c r="Y529" s="1">
        <v>1153643</v>
      </c>
      <c r="AA529" s="1">
        <v>8319828</v>
      </c>
      <c r="AC529" s="1">
        <f t="shared" si="83"/>
        <v>0</v>
      </c>
      <c r="AE529" s="3">
        <f t="shared" si="84"/>
        <v>0</v>
      </c>
    </row>
    <row r="530" spans="1:31" hidden="1">
      <c r="A530" s="17" t="s">
        <v>876</v>
      </c>
      <c r="B530" s="17"/>
      <c r="C530" s="17" t="s">
        <v>486</v>
      </c>
      <c r="D530" s="17"/>
      <c r="E530" s="13">
        <v>48587</v>
      </c>
      <c r="G530" s="1">
        <f t="shared" si="81"/>
        <v>0</v>
      </c>
      <c r="M530" s="1">
        <f t="shared" si="82"/>
        <v>0</v>
      </c>
      <c r="W530" s="1">
        <f t="shared" si="85"/>
        <v>0</v>
      </c>
      <c r="AC530" s="1">
        <f t="shared" si="83"/>
        <v>0</v>
      </c>
      <c r="AE530" s="3">
        <f t="shared" si="84"/>
        <v>0</v>
      </c>
    </row>
    <row r="531" spans="1:31" hidden="1">
      <c r="A531" s="17" t="s">
        <v>877</v>
      </c>
      <c r="B531" s="17"/>
      <c r="C531" s="17" t="s">
        <v>14</v>
      </c>
      <c r="D531" s="17"/>
      <c r="E531" s="13">
        <v>44727</v>
      </c>
      <c r="G531" s="1">
        <f t="shared" si="81"/>
        <v>0</v>
      </c>
      <c r="M531" s="1">
        <f t="shared" si="82"/>
        <v>0</v>
      </c>
      <c r="W531" s="1">
        <f t="shared" si="85"/>
        <v>0</v>
      </c>
      <c r="AC531" s="1">
        <f t="shared" si="83"/>
        <v>0</v>
      </c>
      <c r="AE531" s="3">
        <f t="shared" si="84"/>
        <v>0</v>
      </c>
    </row>
    <row r="532" spans="1:31">
      <c r="A532" s="17" t="s">
        <v>412</v>
      </c>
      <c r="B532" s="17"/>
      <c r="C532" s="17" t="s">
        <v>39</v>
      </c>
      <c r="D532" s="17"/>
      <c r="E532" s="13">
        <v>44826</v>
      </c>
      <c r="G532" s="1">
        <f t="shared" si="81"/>
        <v>22696400</v>
      </c>
      <c r="I532" s="1">
        <f>6481637+45007994</f>
        <v>51489631</v>
      </c>
      <c r="K532" s="1">
        <v>74186031</v>
      </c>
      <c r="M532" s="1">
        <f t="shared" si="82"/>
        <v>6160469</v>
      </c>
      <c r="O532" s="1">
        <v>893007</v>
      </c>
      <c r="Q532" s="1">
        <v>11972171</v>
      </c>
      <c r="S532" s="1">
        <v>19025647</v>
      </c>
      <c r="U532" s="1">
        <v>42562092</v>
      </c>
      <c r="W532" s="1">
        <f t="shared" si="85"/>
        <v>8319477</v>
      </c>
      <c r="Y532" s="1">
        <v>4278815</v>
      </c>
      <c r="AA532" s="1">
        <v>55160384</v>
      </c>
      <c r="AC532" s="1">
        <f t="shared" si="83"/>
        <v>0</v>
      </c>
      <c r="AE532" s="3">
        <f t="shared" si="84"/>
        <v>0</v>
      </c>
    </row>
    <row r="533" spans="1:31">
      <c r="A533" s="17" t="s">
        <v>595</v>
      </c>
      <c r="B533" s="17"/>
      <c r="C533" s="17" t="s">
        <v>63</v>
      </c>
      <c r="D533" s="17"/>
      <c r="E533" s="13">
        <v>44834</v>
      </c>
      <c r="G533" s="1">
        <f t="shared" si="81"/>
        <v>45375394</v>
      </c>
      <c r="I533" s="1">
        <v>16440170</v>
      </c>
      <c r="K533" s="1">
        <v>61815564</v>
      </c>
      <c r="M533" s="1">
        <f t="shared" si="82"/>
        <v>32231615</v>
      </c>
      <c r="O533" s="1">
        <v>661676</v>
      </c>
      <c r="Q533" s="1">
        <v>6921478</v>
      </c>
      <c r="S533" s="1">
        <v>39814769</v>
      </c>
      <c r="U533" s="1">
        <v>13246179</v>
      </c>
      <c r="W533" s="1">
        <f t="shared" si="85"/>
        <v>1576925</v>
      </c>
      <c r="Y533" s="1">
        <v>7177691</v>
      </c>
      <c r="AA533" s="1">
        <v>22000795</v>
      </c>
      <c r="AC533" s="1">
        <f t="shared" si="83"/>
        <v>0</v>
      </c>
      <c r="AE533" s="3">
        <f t="shared" si="84"/>
        <v>0</v>
      </c>
    </row>
    <row r="534" spans="1:31" hidden="1">
      <c r="A534" s="12" t="s">
        <v>878</v>
      </c>
      <c r="B534" s="17"/>
      <c r="C534" s="17" t="s">
        <v>65</v>
      </c>
      <c r="D534" s="17"/>
      <c r="E534" s="13">
        <v>50294</v>
      </c>
      <c r="G534" s="1">
        <f t="shared" si="81"/>
        <v>0</v>
      </c>
      <c r="M534" s="1">
        <f t="shared" si="82"/>
        <v>0</v>
      </c>
      <c r="W534" s="1">
        <f t="shared" si="85"/>
        <v>0</v>
      </c>
      <c r="AC534" s="1">
        <f t="shared" si="83"/>
        <v>0</v>
      </c>
      <c r="AE534" s="3">
        <f t="shared" si="84"/>
        <v>0</v>
      </c>
    </row>
    <row r="535" spans="1:31">
      <c r="A535" s="17" t="s">
        <v>538</v>
      </c>
      <c r="B535" s="17"/>
      <c r="C535" s="17" t="s">
        <v>56</v>
      </c>
      <c r="D535" s="17"/>
      <c r="E535" s="13">
        <v>49239</v>
      </c>
      <c r="F535" s="8"/>
      <c r="G535" s="1">
        <f t="shared" si="81"/>
        <v>15782941</v>
      </c>
      <c r="I535" s="1">
        <f>1635135+15282541</f>
        <v>16917676</v>
      </c>
      <c r="K535" s="1">
        <v>32700617</v>
      </c>
      <c r="M535" s="1">
        <f t="shared" si="82"/>
        <v>13466961</v>
      </c>
      <c r="O535" s="1">
        <v>1248330</v>
      </c>
      <c r="Q535" s="1">
        <v>14166119</v>
      </c>
      <c r="S535" s="1">
        <v>28881410</v>
      </c>
      <c r="U535" s="1">
        <v>4776740</v>
      </c>
      <c r="W535" s="1">
        <f t="shared" si="85"/>
        <v>1056102</v>
      </c>
      <c r="Y535" s="1">
        <v>-2013635</v>
      </c>
      <c r="AA535" s="1">
        <v>3819207</v>
      </c>
      <c r="AB535" s="16"/>
      <c r="AC535" s="1">
        <f t="shared" si="83"/>
        <v>0</v>
      </c>
      <c r="AD535" s="16"/>
      <c r="AE535" s="3">
        <f t="shared" si="84"/>
        <v>0</v>
      </c>
    </row>
    <row r="536" spans="1:31">
      <c r="A536" s="17" t="s">
        <v>306</v>
      </c>
      <c r="B536" s="17"/>
      <c r="C536" s="17" t="s">
        <v>20</v>
      </c>
      <c r="D536" s="17"/>
      <c r="E536" s="13">
        <v>44842</v>
      </c>
      <c r="G536" s="1">
        <f t="shared" si="81"/>
        <v>58380998</v>
      </c>
      <c r="I536" s="1">
        <f>2611204+42697009</f>
        <v>45308213</v>
      </c>
      <c r="K536" s="1">
        <v>103689211</v>
      </c>
      <c r="M536" s="1">
        <f t="shared" si="82"/>
        <v>53387030</v>
      </c>
      <c r="O536" s="1">
        <v>5045333</v>
      </c>
      <c r="Q536" s="1">
        <v>23553692</v>
      </c>
      <c r="S536" s="1">
        <v>81986055</v>
      </c>
      <c r="U536" s="1">
        <v>25286050</v>
      </c>
      <c r="W536" s="1">
        <f t="shared" si="85"/>
        <v>6364940</v>
      </c>
      <c r="Y536" s="1">
        <v>-9947834</v>
      </c>
      <c r="AA536" s="1">
        <v>21703156</v>
      </c>
      <c r="AC536" s="1">
        <f t="shared" si="83"/>
        <v>0</v>
      </c>
      <c r="AE536" s="3">
        <f t="shared" si="84"/>
        <v>0</v>
      </c>
    </row>
    <row r="537" spans="1:31">
      <c r="A537" s="17" t="s">
        <v>470</v>
      </c>
      <c r="B537" s="17"/>
      <c r="C537" s="17" t="s">
        <v>45</v>
      </c>
      <c r="D537" s="17"/>
      <c r="E537" s="13">
        <v>44859</v>
      </c>
      <c r="G537" s="1">
        <f t="shared" si="81"/>
        <v>14816872</v>
      </c>
      <c r="I537" s="1">
        <f>768031+22941071</f>
        <v>23709102</v>
      </c>
      <c r="K537" s="1">
        <v>38525974</v>
      </c>
      <c r="M537" s="1">
        <f t="shared" si="82"/>
        <v>6923830</v>
      </c>
      <c r="O537" s="1">
        <v>598851</v>
      </c>
      <c r="Q537" s="1">
        <v>5178711</v>
      </c>
      <c r="S537" s="1">
        <v>12701392</v>
      </c>
      <c r="U537" s="1">
        <v>19868082</v>
      </c>
      <c r="W537" s="1">
        <f t="shared" si="85"/>
        <v>2384472</v>
      </c>
      <c r="Y537" s="1">
        <v>3572028</v>
      </c>
      <c r="AA537" s="1">
        <v>25824582</v>
      </c>
      <c r="AC537" s="1">
        <f t="shared" si="83"/>
        <v>0</v>
      </c>
      <c r="AE537" s="3">
        <f t="shared" si="84"/>
        <v>0</v>
      </c>
    </row>
    <row r="538" spans="1:31">
      <c r="A538" s="17" t="s">
        <v>645</v>
      </c>
      <c r="B538" s="17"/>
      <c r="C538" s="17" t="s">
        <v>643</v>
      </c>
      <c r="D538" s="17"/>
      <c r="E538" s="13">
        <v>50658</v>
      </c>
      <c r="G538" s="1">
        <f t="shared" si="81"/>
        <v>3084014</v>
      </c>
      <c r="I538" s="1">
        <f>338751+14790050</f>
        <v>15128801</v>
      </c>
      <c r="K538" s="1">
        <v>18212815</v>
      </c>
      <c r="M538" s="1">
        <f t="shared" si="82"/>
        <v>1696155</v>
      </c>
      <c r="O538" s="1">
        <v>219078</v>
      </c>
      <c r="Q538" s="1">
        <v>5889233</v>
      </c>
      <c r="S538" s="1">
        <v>7804466</v>
      </c>
      <c r="U538" s="1">
        <v>9481652</v>
      </c>
      <c r="W538" s="1">
        <f t="shared" si="85"/>
        <v>611943</v>
      </c>
      <c r="Y538" s="1">
        <v>314754</v>
      </c>
      <c r="AA538" s="1">
        <v>10408349</v>
      </c>
      <c r="AC538" s="1">
        <f t="shared" si="83"/>
        <v>0</v>
      </c>
      <c r="AE538" s="3">
        <f t="shared" si="84"/>
        <v>0</v>
      </c>
    </row>
    <row r="539" spans="1:31">
      <c r="A539" s="17" t="s">
        <v>347</v>
      </c>
      <c r="B539" s="17"/>
      <c r="C539" s="17" t="s">
        <v>28</v>
      </c>
      <c r="D539" s="17"/>
      <c r="E539" s="13">
        <v>47092</v>
      </c>
      <c r="G539" s="1">
        <f t="shared" si="81"/>
        <v>19949741</v>
      </c>
      <c r="I539" s="1">
        <f>563666+16752947</f>
        <v>17316613</v>
      </c>
      <c r="K539" s="1">
        <v>37266354</v>
      </c>
      <c r="M539" s="1">
        <f t="shared" si="82"/>
        <v>7508208</v>
      </c>
      <c r="O539" s="1">
        <v>1040667</v>
      </c>
      <c r="Q539" s="1">
        <v>11920315</v>
      </c>
      <c r="S539" s="1">
        <v>20469190</v>
      </c>
      <c r="U539" s="1">
        <v>6165034</v>
      </c>
      <c r="W539" s="1">
        <f t="shared" si="85"/>
        <v>2184223</v>
      </c>
      <c r="Y539" s="1">
        <v>8447907</v>
      </c>
      <c r="AA539" s="1">
        <v>16797164</v>
      </c>
      <c r="AC539" s="1">
        <f t="shared" si="83"/>
        <v>0</v>
      </c>
      <c r="AE539" s="3">
        <f t="shared" si="84"/>
        <v>0</v>
      </c>
    </row>
    <row r="540" spans="1:31">
      <c r="A540" s="17" t="s">
        <v>760</v>
      </c>
      <c r="B540" s="17"/>
      <c r="C540" s="17" t="s">
        <v>49</v>
      </c>
      <c r="D540" s="17"/>
      <c r="E540" s="13">
        <v>48652</v>
      </c>
      <c r="G540" s="1">
        <f t="shared" si="81"/>
        <v>94548428</v>
      </c>
      <c r="I540" s="1">
        <f>5760507+8041089</f>
        <v>13801596</v>
      </c>
      <c r="K540" s="1">
        <v>108350024</v>
      </c>
      <c r="M540" s="1">
        <f t="shared" si="82"/>
        <v>11252339</v>
      </c>
      <c r="O540" s="1">
        <v>248072</v>
      </c>
      <c r="Q540" s="1">
        <v>36791378</v>
      </c>
      <c r="S540" s="1">
        <v>48291789</v>
      </c>
      <c r="U540" s="1">
        <v>12608504</v>
      </c>
      <c r="W540" s="1">
        <f t="shared" si="85"/>
        <v>51418246</v>
      </c>
      <c r="Y540" s="1">
        <v>-3968515</v>
      </c>
      <c r="AA540" s="1">
        <v>60058235</v>
      </c>
      <c r="AC540" s="1">
        <f t="shared" si="83"/>
        <v>0</v>
      </c>
      <c r="AE540" s="3">
        <f t="shared" si="84"/>
        <v>0</v>
      </c>
    </row>
    <row r="541" spans="1:31">
      <c r="A541" s="17" t="s">
        <v>375</v>
      </c>
      <c r="B541" s="17"/>
      <c r="C541" s="17" t="s">
        <v>32</v>
      </c>
      <c r="D541" s="17"/>
      <c r="E541" s="13">
        <v>44867</v>
      </c>
      <c r="G541" s="1">
        <f t="shared" si="81"/>
        <v>107939691</v>
      </c>
      <c r="I541" s="1">
        <f>1602371+56739112</f>
        <v>58341483</v>
      </c>
      <c r="K541" s="1">
        <v>166281174</v>
      </c>
      <c r="M541" s="1">
        <f t="shared" si="82"/>
        <v>42496124</v>
      </c>
      <c r="O541" s="1">
        <v>3314241</v>
      </c>
      <c r="Q541" s="1">
        <v>47603137</v>
      </c>
      <c r="S541" s="1">
        <v>93413502</v>
      </c>
      <c r="U541" s="1">
        <v>17457330</v>
      </c>
      <c r="W541" s="1">
        <f t="shared" si="85"/>
        <v>8738262</v>
      </c>
      <c r="Y541" s="1">
        <v>46672080</v>
      </c>
      <c r="AA541" s="1">
        <v>72867672</v>
      </c>
      <c r="AC541" s="1">
        <f t="shared" si="83"/>
        <v>0</v>
      </c>
      <c r="AE541" s="3">
        <f t="shared" si="84"/>
        <v>0</v>
      </c>
    </row>
    <row r="542" spans="1:31">
      <c r="A542" s="17" t="s">
        <v>454</v>
      </c>
      <c r="B542" s="17"/>
      <c r="C542" s="17" t="s">
        <v>117</v>
      </c>
      <c r="D542" s="17"/>
      <c r="E542" s="13">
        <v>44875</v>
      </c>
      <c r="G542" s="1">
        <f t="shared" si="81"/>
        <v>127678452</v>
      </c>
      <c r="I542" s="1">
        <v>70959237</v>
      </c>
      <c r="K542" s="1">
        <v>198637689</v>
      </c>
      <c r="M542" s="1">
        <f t="shared" si="82"/>
        <v>73081928</v>
      </c>
      <c r="O542" s="1">
        <v>4265633</v>
      </c>
      <c r="Q542" s="1">
        <v>109464510</v>
      </c>
      <c r="S542" s="1">
        <v>186812071</v>
      </c>
      <c r="U542" s="1">
        <v>18997215</v>
      </c>
      <c r="W542" s="1">
        <f t="shared" si="85"/>
        <v>3569858</v>
      </c>
      <c r="Y542" s="1">
        <v>-10741455</v>
      </c>
      <c r="AA542" s="1">
        <v>11825618</v>
      </c>
      <c r="AC542" s="1">
        <f t="shared" si="83"/>
        <v>0</v>
      </c>
      <c r="AE542" s="3">
        <f t="shared" si="84"/>
        <v>0</v>
      </c>
    </row>
    <row r="543" spans="1:31">
      <c r="A543" s="17" t="s">
        <v>426</v>
      </c>
      <c r="B543" s="17"/>
      <c r="C543" s="17" t="s">
        <v>420</v>
      </c>
      <c r="D543" s="17"/>
      <c r="E543" s="13">
        <v>47969</v>
      </c>
      <c r="G543" s="1">
        <f t="shared" si="81"/>
        <v>6319860</v>
      </c>
      <c r="I543" s="1">
        <f>111779+8913085</f>
        <v>9024864</v>
      </c>
      <c r="K543" s="1">
        <v>15344724</v>
      </c>
      <c r="M543" s="1">
        <f t="shared" si="82"/>
        <v>1695236</v>
      </c>
      <c r="O543" s="1">
        <v>223110</v>
      </c>
      <c r="Q543" s="1">
        <v>1108724</v>
      </c>
      <c r="S543" s="1">
        <v>3027070</v>
      </c>
      <c r="U543" s="1">
        <v>8808764</v>
      </c>
      <c r="W543" s="1">
        <f t="shared" si="85"/>
        <v>1550853</v>
      </c>
      <c r="Y543" s="1">
        <v>1958037</v>
      </c>
      <c r="AA543" s="1">
        <v>12317654</v>
      </c>
      <c r="AC543" s="1">
        <f t="shared" si="83"/>
        <v>0</v>
      </c>
      <c r="AE543" s="3">
        <f t="shared" si="84"/>
        <v>0</v>
      </c>
    </row>
    <row r="544" spans="1:31">
      <c r="A544" s="17" t="s">
        <v>900</v>
      </c>
      <c r="B544" s="17"/>
      <c r="C544" s="17" t="s">
        <v>227</v>
      </c>
      <c r="D544" s="17"/>
      <c r="E544" s="13">
        <v>46151</v>
      </c>
      <c r="G544" s="1">
        <f t="shared" si="81"/>
        <v>83567934</v>
      </c>
      <c r="I544" s="1">
        <f>10160983+17276549</f>
        <v>27437532</v>
      </c>
      <c r="K544" s="1">
        <v>111005466</v>
      </c>
      <c r="M544" s="1">
        <f t="shared" si="82"/>
        <v>25444672</v>
      </c>
      <c r="O544" s="1">
        <v>1752026</v>
      </c>
      <c r="Q544" s="1">
        <v>55675536</v>
      </c>
      <c r="S544" s="1">
        <v>82872234</v>
      </c>
      <c r="U544" s="1">
        <v>11185965</v>
      </c>
      <c r="W544" s="1">
        <f t="shared" si="85"/>
        <v>2903254</v>
      </c>
      <c r="Y544" s="1">
        <v>14044013</v>
      </c>
      <c r="AA544" s="1">
        <v>28133232</v>
      </c>
      <c r="AC544" s="1">
        <f t="shared" si="83"/>
        <v>0</v>
      </c>
      <c r="AE544" s="3">
        <f t="shared" si="84"/>
        <v>0</v>
      </c>
    </row>
    <row r="545" spans="1:31">
      <c r="A545" s="17" t="s">
        <v>596</v>
      </c>
      <c r="B545" s="17"/>
      <c r="C545" s="17" t="s">
        <v>63</v>
      </c>
      <c r="D545" s="17"/>
      <c r="E545" s="13">
        <v>44883</v>
      </c>
      <c r="G545" s="1">
        <f t="shared" si="81"/>
        <v>24986248</v>
      </c>
      <c r="I545" s="1">
        <f>3567091+35011929</f>
        <v>38579020</v>
      </c>
      <c r="K545" s="1">
        <v>63565268</v>
      </c>
      <c r="M545" s="1">
        <f t="shared" si="82"/>
        <v>19439171</v>
      </c>
      <c r="O545" s="1">
        <v>916594</v>
      </c>
      <c r="Q545" s="1">
        <v>29098689</v>
      </c>
      <c r="S545" s="1">
        <v>49454454</v>
      </c>
      <c r="U545" s="1">
        <v>10970129</v>
      </c>
      <c r="W545" s="1">
        <f t="shared" si="85"/>
        <v>3612429</v>
      </c>
      <c r="Y545" s="1">
        <v>-471744</v>
      </c>
      <c r="AA545" s="1">
        <v>14110814</v>
      </c>
      <c r="AC545" s="1">
        <f t="shared" si="83"/>
        <v>0</v>
      </c>
      <c r="AE545" s="3">
        <f t="shared" si="84"/>
        <v>0</v>
      </c>
    </row>
    <row r="546" spans="1:31">
      <c r="A546" s="17" t="s">
        <v>527</v>
      </c>
      <c r="B546" s="17"/>
      <c r="C546" s="17" t="s">
        <v>54</v>
      </c>
      <c r="D546" s="17"/>
      <c r="E546" s="13">
        <v>49098</v>
      </c>
      <c r="G546" s="1">
        <f t="shared" si="81"/>
        <v>29611883</v>
      </c>
      <c r="I546" s="1">
        <v>109780249</v>
      </c>
      <c r="K546" s="1">
        <v>139392132</v>
      </c>
      <c r="M546" s="1">
        <f t="shared" si="82"/>
        <v>15156081</v>
      </c>
      <c r="O546" s="1">
        <v>1541563</v>
      </c>
      <c r="Q546" s="1">
        <v>40018004</v>
      </c>
      <c r="S546" s="1">
        <v>56715648</v>
      </c>
      <c r="U546" s="1">
        <v>71487498</v>
      </c>
      <c r="W546" s="1">
        <f t="shared" si="85"/>
        <v>7936618</v>
      </c>
      <c r="Y546" s="1">
        <v>3252368</v>
      </c>
      <c r="AA546" s="1">
        <v>82676484</v>
      </c>
      <c r="AC546" s="1">
        <f t="shared" si="83"/>
        <v>0</v>
      </c>
      <c r="AE546" s="3">
        <f t="shared" si="84"/>
        <v>0</v>
      </c>
    </row>
    <row r="547" spans="1:31">
      <c r="A547" s="17" t="s">
        <v>250</v>
      </c>
      <c r="B547" s="17"/>
      <c r="C547" s="17" t="s">
        <v>17</v>
      </c>
      <c r="D547" s="17"/>
      <c r="E547" s="13">
        <v>46243</v>
      </c>
      <c r="G547" s="1">
        <f t="shared" si="81"/>
        <v>17607347</v>
      </c>
      <c r="I547" s="1">
        <f>78429726+520022</f>
        <v>78949748</v>
      </c>
      <c r="K547" s="1">
        <v>96557095</v>
      </c>
      <c r="M547" s="1">
        <f t="shared" si="82"/>
        <v>10945008</v>
      </c>
      <c r="O547" s="1">
        <v>563818</v>
      </c>
      <c r="Q547" s="1">
        <v>20201722</v>
      </c>
      <c r="S547" s="1">
        <v>31710548</v>
      </c>
      <c r="U547" s="1">
        <v>60081369</v>
      </c>
      <c r="W547" s="1">
        <f t="shared" si="85"/>
        <v>3958425</v>
      </c>
      <c r="Y547" s="1">
        <v>806753</v>
      </c>
      <c r="AA547" s="1">
        <v>64846547</v>
      </c>
      <c r="AC547" s="1">
        <f t="shared" si="83"/>
        <v>0</v>
      </c>
      <c r="AE547" s="3">
        <f t="shared" si="84"/>
        <v>0</v>
      </c>
    </row>
    <row r="548" spans="1:31">
      <c r="A548" s="12" t="s">
        <v>910</v>
      </c>
      <c r="B548" s="17"/>
      <c r="C548" s="17" t="s">
        <v>32</v>
      </c>
      <c r="D548" s="17"/>
      <c r="E548" s="13">
        <v>47399</v>
      </c>
      <c r="G548" s="1">
        <f t="shared" si="81"/>
        <v>24676839</v>
      </c>
      <c r="I548" s="1">
        <f>267092+1965940</f>
        <v>2233032</v>
      </c>
      <c r="K548" s="1">
        <v>26909871</v>
      </c>
      <c r="M548" s="1">
        <f t="shared" si="82"/>
        <v>12118273</v>
      </c>
      <c r="O548" s="1">
        <v>565088</v>
      </c>
      <c r="Q548" s="1">
        <v>1921397</v>
      </c>
      <c r="S548" s="1">
        <v>14604758</v>
      </c>
      <c r="U548" s="1">
        <v>2233032</v>
      </c>
      <c r="W548" s="1">
        <f t="shared" si="85"/>
        <v>1981958</v>
      </c>
      <c r="Y548" s="1">
        <v>8090123</v>
      </c>
      <c r="AA548" s="1">
        <v>12305113</v>
      </c>
      <c r="AC548" s="1">
        <f t="shared" si="83"/>
        <v>0</v>
      </c>
      <c r="AE548" s="3">
        <f t="shared" si="84"/>
        <v>0</v>
      </c>
    </row>
    <row r="549" spans="1:31">
      <c r="A549" s="17" t="s">
        <v>568</v>
      </c>
      <c r="B549" s="17"/>
      <c r="C549" s="17" t="s">
        <v>60</v>
      </c>
      <c r="D549" s="17"/>
      <c r="E549" s="13">
        <v>44891</v>
      </c>
      <c r="G549" s="1">
        <f t="shared" si="81"/>
        <v>17341698</v>
      </c>
      <c r="I549" s="1">
        <v>17591745</v>
      </c>
      <c r="K549" s="1">
        <v>34933443</v>
      </c>
      <c r="M549" s="1">
        <f t="shared" si="82"/>
        <v>11357735</v>
      </c>
      <c r="O549" s="1">
        <v>964422</v>
      </c>
      <c r="Q549" s="1">
        <v>9391693</v>
      </c>
      <c r="S549" s="1">
        <v>21713850</v>
      </c>
      <c r="U549" s="1">
        <v>9044152</v>
      </c>
      <c r="W549" s="1">
        <f t="shared" si="85"/>
        <v>2526556</v>
      </c>
      <c r="Y549" s="1">
        <v>1648885</v>
      </c>
      <c r="AA549" s="1">
        <v>13219593</v>
      </c>
      <c r="AC549" s="1">
        <f t="shared" si="83"/>
        <v>0</v>
      </c>
      <c r="AE549" s="3">
        <f t="shared" si="84"/>
        <v>0</v>
      </c>
    </row>
    <row r="550" spans="1:31">
      <c r="A550" s="17" t="s">
        <v>491</v>
      </c>
      <c r="B550" s="17"/>
      <c r="C550" s="17" t="s">
        <v>48</v>
      </c>
      <c r="D550" s="17"/>
      <c r="E550" s="13">
        <v>45617</v>
      </c>
      <c r="G550" s="1">
        <f t="shared" si="81"/>
        <v>16335793</v>
      </c>
      <c r="I550" s="1">
        <f>1928313+21997745</f>
        <v>23926058</v>
      </c>
      <c r="K550" s="1">
        <v>40261851</v>
      </c>
      <c r="M550" s="1">
        <f t="shared" si="82"/>
        <v>13510552</v>
      </c>
      <c r="O550" s="1">
        <v>609102</v>
      </c>
      <c r="Q550" s="1">
        <v>20180675</v>
      </c>
      <c r="S550" s="1">
        <v>34300329</v>
      </c>
      <c r="U550" s="1">
        <v>7236846</v>
      </c>
      <c r="W550" s="1">
        <f t="shared" si="85"/>
        <v>2126285</v>
      </c>
      <c r="Y550" s="1">
        <v>-3401609</v>
      </c>
      <c r="AA550" s="1">
        <v>5961522</v>
      </c>
      <c r="AC550" s="1">
        <f t="shared" si="83"/>
        <v>0</v>
      </c>
      <c r="AE550" s="3">
        <f t="shared" si="84"/>
        <v>0</v>
      </c>
    </row>
    <row r="551" spans="1:31">
      <c r="A551" s="17" t="s">
        <v>455</v>
      </c>
      <c r="B551" s="17"/>
      <c r="C551" s="17" t="s">
        <v>117</v>
      </c>
      <c r="D551" s="17"/>
      <c r="E551" s="13">
        <v>44909</v>
      </c>
      <c r="G551" s="1">
        <f t="shared" si="81"/>
        <v>419393431</v>
      </c>
      <c r="I551" s="1">
        <f>55298472+392314071</f>
        <v>447612543</v>
      </c>
      <c r="K551" s="1">
        <v>867005974</v>
      </c>
      <c r="M551" s="1">
        <f t="shared" si="82"/>
        <v>152886642</v>
      </c>
      <c r="O551" s="1">
        <v>4544855</v>
      </c>
      <c r="Q551" s="1">
        <v>211278798</v>
      </c>
      <c r="S551" s="1">
        <v>368710295</v>
      </c>
      <c r="U551" s="1">
        <v>295429243</v>
      </c>
      <c r="W551" s="1">
        <f t="shared" si="85"/>
        <v>242622219</v>
      </c>
      <c r="Y551" s="1">
        <v>-39755783</v>
      </c>
      <c r="AA551" s="1">
        <v>498295679</v>
      </c>
      <c r="AC551" s="1">
        <f t="shared" si="83"/>
        <v>0</v>
      </c>
      <c r="AE551" s="3">
        <f t="shared" si="84"/>
        <v>0</v>
      </c>
    </row>
    <row r="552" spans="1:31" hidden="1">
      <c r="A552" s="12" t="s">
        <v>952</v>
      </c>
      <c r="B552" s="12"/>
      <c r="C552" s="12" t="s">
        <v>117</v>
      </c>
      <c r="D552" s="17"/>
      <c r="E552" s="13"/>
      <c r="G552" s="1">
        <f t="shared" si="81"/>
        <v>0</v>
      </c>
      <c r="M552" s="1">
        <f t="shared" si="82"/>
        <v>0</v>
      </c>
      <c r="W552" s="1">
        <f t="shared" si="85"/>
        <v>0</v>
      </c>
      <c r="AC552" s="1">
        <f t="shared" si="83"/>
        <v>0</v>
      </c>
      <c r="AE552" s="3">
        <f t="shared" si="84"/>
        <v>0</v>
      </c>
    </row>
    <row r="553" spans="1:31">
      <c r="A553" s="12" t="s">
        <v>911</v>
      </c>
      <c r="B553" s="17"/>
      <c r="C553" s="17" t="s">
        <v>39</v>
      </c>
      <c r="D553" s="17"/>
      <c r="E553" s="13">
        <v>44917</v>
      </c>
      <c r="G553" s="1">
        <f t="shared" si="81"/>
        <v>6666318</v>
      </c>
      <c r="I553" s="1">
        <f>215638+1397812</f>
        <v>1613450</v>
      </c>
      <c r="K553" s="1">
        <v>8279768</v>
      </c>
      <c r="M553" s="1">
        <f t="shared" si="82"/>
        <v>2212230</v>
      </c>
      <c r="O553" s="1">
        <v>112994</v>
      </c>
      <c r="Q553" s="1">
        <v>374874</v>
      </c>
      <c r="S553" s="1">
        <v>2700098</v>
      </c>
      <c r="U553" s="1">
        <v>1572898</v>
      </c>
      <c r="W553" s="1">
        <f t="shared" si="85"/>
        <v>232027</v>
      </c>
      <c r="Y553" s="1">
        <v>3774745</v>
      </c>
      <c r="AA553" s="1">
        <v>5579670</v>
      </c>
      <c r="AC553" s="1">
        <f t="shared" si="83"/>
        <v>0</v>
      </c>
      <c r="AE553" s="3">
        <f t="shared" si="84"/>
        <v>0</v>
      </c>
    </row>
    <row r="554" spans="1:31">
      <c r="A554" s="17" t="s">
        <v>242</v>
      </c>
      <c r="B554" s="17"/>
      <c r="C554" s="17" t="s">
        <v>240</v>
      </c>
      <c r="D554" s="17"/>
      <c r="E554" s="13">
        <v>46201</v>
      </c>
      <c r="G554" s="1">
        <f t="shared" si="81"/>
        <v>4420793</v>
      </c>
      <c r="I554" s="1">
        <f>414157+16874877</f>
        <v>17289034</v>
      </c>
      <c r="K554" s="1">
        <v>21709827</v>
      </c>
      <c r="M554" s="1">
        <f t="shared" si="82"/>
        <v>2850357</v>
      </c>
      <c r="O554" s="1">
        <v>250921</v>
      </c>
      <c r="Q554" s="1">
        <v>4624552</v>
      </c>
      <c r="S554" s="1">
        <v>7725830</v>
      </c>
      <c r="U554" s="1">
        <v>13010081</v>
      </c>
      <c r="W554" s="1">
        <f t="shared" si="85"/>
        <v>409716</v>
      </c>
      <c r="Y554" s="1">
        <v>564200</v>
      </c>
      <c r="AA554" s="1">
        <v>13983997</v>
      </c>
      <c r="AC554" s="1">
        <f t="shared" si="83"/>
        <v>0</v>
      </c>
      <c r="AE554" s="3">
        <f t="shared" si="84"/>
        <v>0</v>
      </c>
    </row>
    <row r="555" spans="1:31">
      <c r="A555" s="17" t="s">
        <v>541</v>
      </c>
      <c r="B555" s="17"/>
      <c r="C555" s="17" t="s">
        <v>57</v>
      </c>
      <c r="D555" s="17"/>
      <c r="E555" s="13">
        <v>91397</v>
      </c>
      <c r="G555" s="1">
        <f t="shared" si="81"/>
        <v>9737866</v>
      </c>
      <c r="I555" s="1">
        <f>508042+9585155</f>
        <v>10093197</v>
      </c>
      <c r="K555" s="1">
        <v>19831063</v>
      </c>
      <c r="M555" s="1">
        <f t="shared" si="82"/>
        <v>5739608</v>
      </c>
      <c r="O555" s="1">
        <v>4522</v>
      </c>
      <c r="Q555" s="1">
        <v>498959</v>
      </c>
      <c r="S555" s="1">
        <v>6243089</v>
      </c>
      <c r="U555" s="1">
        <v>10093197</v>
      </c>
      <c r="W555" s="1">
        <f t="shared" si="85"/>
        <v>1060291</v>
      </c>
      <c r="Y555" s="1">
        <v>2434486</v>
      </c>
      <c r="AA555" s="1">
        <v>13587974</v>
      </c>
      <c r="AC555" s="1">
        <f t="shared" si="83"/>
        <v>0</v>
      </c>
      <c r="AE555" s="3">
        <f t="shared" si="84"/>
        <v>0</v>
      </c>
    </row>
    <row r="556" spans="1:31">
      <c r="A556" s="17" t="s">
        <v>216</v>
      </c>
      <c r="B556" s="17"/>
      <c r="C556" s="17" t="s">
        <v>13</v>
      </c>
      <c r="D556" s="17"/>
      <c r="E556" s="13">
        <v>45922</v>
      </c>
      <c r="G556" s="1">
        <f t="shared" si="81"/>
        <v>3658904</v>
      </c>
      <c r="I556" s="1">
        <f>55370+14159601</f>
        <v>14214971</v>
      </c>
      <c r="K556" s="1">
        <v>17873875</v>
      </c>
      <c r="M556" s="1">
        <f t="shared" si="82"/>
        <v>2208729</v>
      </c>
      <c r="O556" s="1">
        <v>105729</v>
      </c>
      <c r="Q556" s="1">
        <v>1285791</v>
      </c>
      <c r="S556" s="1">
        <v>3600249</v>
      </c>
      <c r="U556" s="1">
        <v>13530118</v>
      </c>
      <c r="W556" s="1">
        <f t="shared" si="85"/>
        <v>999603</v>
      </c>
      <c r="Y556" s="1">
        <v>-256095</v>
      </c>
      <c r="AA556" s="1">
        <v>14273626</v>
      </c>
      <c r="AC556" s="1">
        <f t="shared" si="83"/>
        <v>0</v>
      </c>
      <c r="AE556" s="3">
        <f t="shared" si="84"/>
        <v>0</v>
      </c>
    </row>
    <row r="557" spans="1:31">
      <c r="A557" s="17" t="s">
        <v>514</v>
      </c>
      <c r="B557" s="17"/>
      <c r="C557" s="17" t="s">
        <v>51</v>
      </c>
      <c r="D557" s="17"/>
      <c r="E557" s="13">
        <v>48876</v>
      </c>
      <c r="G557" s="1">
        <f t="shared" si="81"/>
        <v>22655611</v>
      </c>
      <c r="I557" s="1">
        <f>4020160+62575589</f>
        <v>66595749</v>
      </c>
      <c r="K557" s="1">
        <v>89251360</v>
      </c>
      <c r="M557" s="1">
        <f t="shared" si="82"/>
        <v>11333672</v>
      </c>
      <c r="O557" s="1">
        <v>639439</v>
      </c>
      <c r="Q557" s="1">
        <v>17011046</v>
      </c>
      <c r="S557" s="1">
        <v>28984157</v>
      </c>
      <c r="U557" s="1">
        <v>50809388</v>
      </c>
      <c r="W557" s="1">
        <f t="shared" si="85"/>
        <v>8861840</v>
      </c>
      <c r="Y557" s="1">
        <v>595975</v>
      </c>
      <c r="AA557" s="1">
        <v>60267203</v>
      </c>
      <c r="AC557" s="1">
        <f t="shared" si="83"/>
        <v>0</v>
      </c>
      <c r="AE557" s="3">
        <f t="shared" si="84"/>
        <v>0</v>
      </c>
    </row>
    <row r="558" spans="1:31" hidden="1">
      <c r="A558" s="17" t="s">
        <v>859</v>
      </c>
      <c r="B558" s="17"/>
      <c r="C558" s="17" t="s">
        <v>21</v>
      </c>
      <c r="D558" s="17"/>
      <c r="E558" s="13">
        <v>46680</v>
      </c>
      <c r="G558" s="1">
        <f t="shared" ref="G558:G603" si="86">+K558-I558</f>
        <v>0</v>
      </c>
      <c r="M558" s="1">
        <f t="shared" ref="M558:M603" si="87">+S558-O558-Q558</f>
        <v>0</v>
      </c>
      <c r="W558" s="1">
        <f t="shared" si="85"/>
        <v>0</v>
      </c>
      <c r="AC558" s="1">
        <f>+K558-S558-AA558</f>
        <v>0</v>
      </c>
      <c r="AE558" s="3">
        <f t="shared" si="84"/>
        <v>0</v>
      </c>
    </row>
    <row r="559" spans="1:31" hidden="1">
      <c r="A559" s="17" t="s">
        <v>933</v>
      </c>
      <c r="B559" s="17"/>
      <c r="C559" s="17" t="s">
        <v>71</v>
      </c>
      <c r="D559" s="17"/>
      <c r="E559" s="13">
        <v>50591</v>
      </c>
      <c r="G559" s="1">
        <f t="shared" si="86"/>
        <v>0</v>
      </c>
      <c r="M559" s="1">
        <f t="shared" si="87"/>
        <v>0</v>
      </c>
      <c r="W559" s="1">
        <f t="shared" si="85"/>
        <v>0</v>
      </c>
      <c r="AC559" s="1">
        <f t="shared" si="83"/>
        <v>0</v>
      </c>
      <c r="AE559" s="3">
        <f t="shared" si="84"/>
        <v>0</v>
      </c>
    </row>
    <row r="560" spans="1:31">
      <c r="A560" s="17" t="s">
        <v>505</v>
      </c>
      <c r="B560" s="17"/>
      <c r="C560" s="17" t="s">
        <v>50</v>
      </c>
      <c r="D560" s="17"/>
      <c r="E560" s="13">
        <v>48694</v>
      </c>
      <c r="G560" s="1">
        <f t="shared" si="86"/>
        <v>37724192</v>
      </c>
      <c r="I560" s="1">
        <f>3864740+83778522</f>
        <v>87643262</v>
      </c>
      <c r="K560" s="1">
        <v>125367454</v>
      </c>
      <c r="M560" s="1">
        <f t="shared" si="87"/>
        <v>15116240</v>
      </c>
      <c r="O560" s="1">
        <v>1271322</v>
      </c>
      <c r="Q560" s="1">
        <v>43035191</v>
      </c>
      <c r="S560" s="1">
        <v>59422753</v>
      </c>
      <c r="U560" s="1">
        <v>46183631</v>
      </c>
      <c r="W560" s="1">
        <f t="shared" si="85"/>
        <v>9866666</v>
      </c>
      <c r="Y560" s="1">
        <v>9894404</v>
      </c>
      <c r="AA560" s="1">
        <v>65944701</v>
      </c>
      <c r="AC560" s="1">
        <f t="shared" si="83"/>
        <v>0</v>
      </c>
      <c r="AE560" s="3">
        <f t="shared" ref="AE560:AE623" si="88">+G560+I560+-M560-O560-U560-W560-Y560-Q560</f>
        <v>0</v>
      </c>
    </row>
    <row r="561" spans="1:31">
      <c r="A561" s="17" t="s">
        <v>492</v>
      </c>
      <c r="B561" s="17"/>
      <c r="C561" s="17" t="s">
        <v>48</v>
      </c>
      <c r="D561" s="17"/>
      <c r="E561" s="13">
        <v>44925</v>
      </c>
      <c r="G561" s="1">
        <f t="shared" si="86"/>
        <v>33289870</v>
      </c>
      <c r="I561" s="1">
        <f>530131+28764275</f>
        <v>29294406</v>
      </c>
      <c r="K561" s="1">
        <v>62584276</v>
      </c>
      <c r="M561" s="1">
        <f t="shared" si="87"/>
        <v>20098826</v>
      </c>
      <c r="O561" s="1">
        <v>999574</v>
      </c>
      <c r="Q561" s="1">
        <v>22999737</v>
      </c>
      <c r="S561" s="1">
        <v>44098137</v>
      </c>
      <c r="U561" s="1">
        <v>9138324</v>
      </c>
      <c r="W561" s="1">
        <f t="shared" si="85"/>
        <v>1266332</v>
      </c>
      <c r="Y561" s="1">
        <v>8081483</v>
      </c>
      <c r="AA561" s="1">
        <v>18486139</v>
      </c>
      <c r="AC561" s="1">
        <f t="shared" si="83"/>
        <v>0</v>
      </c>
      <c r="AE561" s="3">
        <f>+G561+I561+-M561-O561-U561-W561-Y561-Q561</f>
        <v>0</v>
      </c>
    </row>
    <row r="562" spans="1:31">
      <c r="A562" s="17" t="s">
        <v>624</v>
      </c>
      <c r="B562" s="17"/>
      <c r="C562" s="17" t="s">
        <v>65</v>
      </c>
      <c r="D562" s="17"/>
      <c r="E562" s="13">
        <v>50302</v>
      </c>
      <c r="G562" s="1">
        <f t="shared" si="86"/>
        <v>11878204</v>
      </c>
      <c r="I562" s="1">
        <v>6399937</v>
      </c>
      <c r="K562" s="1">
        <v>18278141</v>
      </c>
      <c r="M562" s="1">
        <f t="shared" si="87"/>
        <v>6329653</v>
      </c>
      <c r="O562" s="1">
        <v>581232</v>
      </c>
      <c r="Q562" s="1">
        <v>4875706</v>
      </c>
      <c r="S562" s="1">
        <v>11786591</v>
      </c>
      <c r="U562" s="1">
        <v>3817457</v>
      </c>
      <c r="W562" s="1">
        <f t="shared" si="85"/>
        <v>882377</v>
      </c>
      <c r="Y562" s="1">
        <v>1791716</v>
      </c>
      <c r="AA562" s="1">
        <v>6491550</v>
      </c>
      <c r="AC562" s="1">
        <f t="shared" si="83"/>
        <v>0</v>
      </c>
      <c r="AE562" s="3">
        <f t="shared" si="88"/>
        <v>0</v>
      </c>
    </row>
    <row r="563" spans="1:31">
      <c r="A563" s="17" t="s">
        <v>585</v>
      </c>
      <c r="B563" s="17"/>
      <c r="C563" s="17" t="s">
        <v>62</v>
      </c>
      <c r="D563" s="17"/>
      <c r="E563" s="13">
        <v>49957</v>
      </c>
      <c r="F563" s="8"/>
      <c r="G563" s="1">
        <f t="shared" si="86"/>
        <v>18682694</v>
      </c>
      <c r="I563" s="1">
        <f>2641640+14819219</f>
        <v>17460859</v>
      </c>
      <c r="K563" s="1">
        <v>36143553</v>
      </c>
      <c r="M563" s="1">
        <f t="shared" si="87"/>
        <v>6205714</v>
      </c>
      <c r="O563" s="1">
        <v>588728</v>
      </c>
      <c r="Q563" s="1">
        <v>13878468</v>
      </c>
      <c r="S563" s="1">
        <v>20672910</v>
      </c>
      <c r="U563" s="1">
        <v>4326367</v>
      </c>
      <c r="W563" s="1">
        <f t="shared" si="85"/>
        <v>12395897</v>
      </c>
      <c r="Y563" s="1">
        <v>-1251621</v>
      </c>
      <c r="AA563" s="1">
        <v>15470643</v>
      </c>
      <c r="AC563" s="1">
        <f t="shared" ref="AC563:AC626" si="89">+K563-S563-AA563</f>
        <v>0</v>
      </c>
      <c r="AE563" s="3">
        <f t="shared" si="88"/>
        <v>0</v>
      </c>
    </row>
    <row r="564" spans="1:31" hidden="1">
      <c r="A564" s="17" t="s">
        <v>865</v>
      </c>
      <c r="B564" s="17"/>
      <c r="C564" s="17" t="s">
        <v>57</v>
      </c>
      <c r="D564" s="17"/>
      <c r="E564" s="13">
        <v>49296</v>
      </c>
      <c r="G564" s="1">
        <f t="shared" si="86"/>
        <v>0</v>
      </c>
      <c r="M564" s="1">
        <f t="shared" si="87"/>
        <v>0</v>
      </c>
      <c r="W564" s="1">
        <f t="shared" si="85"/>
        <v>0</v>
      </c>
      <c r="AC564" s="1">
        <f t="shared" si="89"/>
        <v>0</v>
      </c>
      <c r="AE564" s="3">
        <f t="shared" si="88"/>
        <v>0</v>
      </c>
    </row>
    <row r="565" spans="1:31">
      <c r="A565" s="17" t="s">
        <v>597</v>
      </c>
      <c r="B565" s="17"/>
      <c r="C565" s="17" t="s">
        <v>63</v>
      </c>
      <c r="D565" s="17"/>
      <c r="E565" s="13">
        <v>50070</v>
      </c>
      <c r="G565" s="1">
        <f t="shared" si="86"/>
        <v>66220849</v>
      </c>
      <c r="I565" s="1">
        <v>39994715</v>
      </c>
      <c r="K565" s="1">
        <v>106215564</v>
      </c>
      <c r="M565" s="1">
        <f t="shared" si="87"/>
        <v>30646948</v>
      </c>
      <c r="O565" s="1">
        <v>2691981</v>
      </c>
      <c r="Q565" s="1">
        <v>26636855</v>
      </c>
      <c r="S565" s="1">
        <v>59975784</v>
      </c>
      <c r="U565" s="1">
        <v>14090880</v>
      </c>
      <c r="W565" s="1">
        <f t="shared" si="85"/>
        <v>6112893</v>
      </c>
      <c r="Y565" s="1">
        <v>26036007</v>
      </c>
      <c r="AA565" s="1">
        <v>46239780</v>
      </c>
      <c r="AB565" s="16"/>
      <c r="AC565" s="1">
        <f t="shared" ref="AC565:AC580" si="90">+K565-S565-AA565</f>
        <v>0</v>
      </c>
      <c r="AD565" s="16"/>
      <c r="AE565" s="3">
        <f t="shared" ref="AE565:AE580" si="91">+G565+I565+-M565-O565-U565-W565-Y565-Q565</f>
        <v>0</v>
      </c>
    </row>
    <row r="566" spans="1:31" hidden="1">
      <c r="A566" s="12" t="s">
        <v>931</v>
      </c>
      <c r="B566" s="17"/>
      <c r="C566" s="17" t="s">
        <v>15</v>
      </c>
      <c r="D566" s="17"/>
      <c r="E566" s="13">
        <v>46011</v>
      </c>
      <c r="G566" s="1">
        <f t="shared" si="86"/>
        <v>0</v>
      </c>
      <c r="M566" s="1">
        <f t="shared" si="87"/>
        <v>0</v>
      </c>
      <c r="W566" s="1">
        <f t="shared" si="85"/>
        <v>0</v>
      </c>
      <c r="AC566" s="1">
        <f t="shared" si="90"/>
        <v>0</v>
      </c>
      <c r="AE566" s="3">
        <f t="shared" si="91"/>
        <v>0</v>
      </c>
    </row>
    <row r="567" spans="1:31">
      <c r="A567" s="17" t="s">
        <v>553</v>
      </c>
      <c r="B567" s="17"/>
      <c r="C567" s="17" t="s">
        <v>58</v>
      </c>
      <c r="D567" s="17"/>
      <c r="E567" s="13">
        <v>49536</v>
      </c>
      <c r="G567" s="1">
        <f t="shared" si="86"/>
        <v>18078925</v>
      </c>
      <c r="I567" s="1">
        <f>444360+24184678</f>
        <v>24629038</v>
      </c>
      <c r="K567" s="1">
        <v>42707963</v>
      </c>
      <c r="M567" s="1">
        <f t="shared" si="87"/>
        <v>4230215</v>
      </c>
      <c r="O567" s="1">
        <v>502596</v>
      </c>
      <c r="Q567" s="1">
        <v>5945266</v>
      </c>
      <c r="S567" s="1">
        <v>10678077</v>
      </c>
      <c r="U567" s="1">
        <v>21012983</v>
      </c>
      <c r="W567" s="1">
        <f t="shared" si="85"/>
        <v>2126281</v>
      </c>
      <c r="Y567" s="1">
        <v>8890622</v>
      </c>
      <c r="AA567" s="1">
        <v>32029886</v>
      </c>
      <c r="AC567" s="1">
        <f t="shared" si="90"/>
        <v>0</v>
      </c>
      <c r="AE567" s="3">
        <f t="shared" si="91"/>
        <v>0</v>
      </c>
    </row>
    <row r="568" spans="1:31">
      <c r="A568" s="17" t="s">
        <v>270</v>
      </c>
      <c r="B568" s="17"/>
      <c r="C568" s="17" t="s">
        <v>114</v>
      </c>
      <c r="D568" s="17"/>
      <c r="E568" s="13">
        <v>46458</v>
      </c>
      <c r="G568" s="1">
        <f t="shared" si="86"/>
        <v>8913547</v>
      </c>
      <c r="I568" s="1">
        <v>6916237</v>
      </c>
      <c r="K568" s="1">
        <v>15829784</v>
      </c>
      <c r="M568" s="1">
        <f t="shared" si="87"/>
        <v>4130408</v>
      </c>
      <c r="O568" s="1">
        <v>238242</v>
      </c>
      <c r="Q568" s="1">
        <v>1117383</v>
      </c>
      <c r="S568" s="1">
        <v>5486033</v>
      </c>
      <c r="U568" s="1">
        <v>6877523</v>
      </c>
      <c r="W568" s="1">
        <f t="shared" si="85"/>
        <v>1149073</v>
      </c>
      <c r="Y568" s="1">
        <v>2317155</v>
      </c>
      <c r="AA568" s="1">
        <v>10343751</v>
      </c>
      <c r="AC568" s="1">
        <f t="shared" si="90"/>
        <v>0</v>
      </c>
      <c r="AE568" s="3">
        <f t="shared" si="91"/>
        <v>0</v>
      </c>
    </row>
    <row r="569" spans="1:31">
      <c r="A569" s="17" t="s">
        <v>341</v>
      </c>
      <c r="B569" s="17"/>
      <c r="C569" s="17" t="s">
        <v>27</v>
      </c>
      <c r="D569" s="17"/>
      <c r="E569" s="13">
        <v>44933</v>
      </c>
      <c r="G569" s="1">
        <f t="shared" si="86"/>
        <v>113569317</v>
      </c>
      <c r="I569" s="1">
        <f>382781+52701740</f>
        <v>53084521</v>
      </c>
      <c r="K569" s="1">
        <v>166653838</v>
      </c>
      <c r="M569" s="1">
        <f t="shared" si="87"/>
        <v>52740879</v>
      </c>
      <c r="O569" s="1">
        <v>2436086</v>
      </c>
      <c r="Q569" s="1">
        <v>34145734</v>
      </c>
      <c r="S569" s="1">
        <v>89322699</v>
      </c>
      <c r="U569" s="1">
        <v>25248246</v>
      </c>
      <c r="W569" s="1">
        <f t="shared" si="85"/>
        <v>8109062</v>
      </c>
      <c r="Y569" s="1">
        <v>43973831</v>
      </c>
      <c r="AA569" s="1">
        <v>77331139</v>
      </c>
      <c r="AC569" s="1">
        <f t="shared" si="90"/>
        <v>0</v>
      </c>
      <c r="AE569" s="3">
        <f t="shared" si="91"/>
        <v>0</v>
      </c>
    </row>
    <row r="570" spans="1:31" hidden="1">
      <c r="A570" s="17" t="s">
        <v>866</v>
      </c>
      <c r="B570" s="17"/>
      <c r="C570" s="17" t="s">
        <v>653</v>
      </c>
      <c r="D570" s="17"/>
      <c r="E570" s="13">
        <v>45625</v>
      </c>
      <c r="F570" s="8"/>
      <c r="G570" s="1">
        <f t="shared" si="86"/>
        <v>0</v>
      </c>
      <c r="M570" s="1">
        <f t="shared" si="87"/>
        <v>0</v>
      </c>
      <c r="W570" s="1">
        <f t="shared" si="85"/>
        <v>0</v>
      </c>
      <c r="AC570" s="1">
        <f t="shared" si="90"/>
        <v>0</v>
      </c>
      <c r="AE570" s="3">
        <f t="shared" si="91"/>
        <v>0</v>
      </c>
    </row>
    <row r="571" spans="1:31" hidden="1">
      <c r="A571" s="17" t="s">
        <v>867</v>
      </c>
      <c r="B571" s="17"/>
      <c r="C571" s="17" t="s">
        <v>383</v>
      </c>
      <c r="D571" s="17"/>
      <c r="E571" s="13">
        <v>47522</v>
      </c>
      <c r="G571" s="1">
        <f t="shared" si="86"/>
        <v>0</v>
      </c>
      <c r="M571" s="1">
        <f t="shared" si="87"/>
        <v>0</v>
      </c>
      <c r="W571" s="1">
        <f t="shared" si="85"/>
        <v>0</v>
      </c>
      <c r="AC571" s="1">
        <f t="shared" si="90"/>
        <v>0</v>
      </c>
      <c r="AE571" s="3">
        <f t="shared" si="91"/>
        <v>0</v>
      </c>
    </row>
    <row r="572" spans="1:31">
      <c r="A572" s="17" t="s">
        <v>243</v>
      </c>
      <c r="B572" s="17"/>
      <c r="C572" s="17" t="s">
        <v>240</v>
      </c>
      <c r="D572" s="17"/>
      <c r="E572" s="13">
        <v>44941</v>
      </c>
      <c r="G572" s="1">
        <f t="shared" si="86"/>
        <v>18341132</v>
      </c>
      <c r="I572" s="1">
        <v>3512308</v>
      </c>
      <c r="K572" s="1">
        <v>21853440</v>
      </c>
      <c r="M572" s="1">
        <f t="shared" si="87"/>
        <v>8323940</v>
      </c>
      <c r="O572" s="1">
        <v>762350</v>
      </c>
      <c r="Q572" s="1">
        <v>2382219</v>
      </c>
      <c r="S572" s="1">
        <v>11468509</v>
      </c>
      <c r="U572" s="1">
        <v>3273079</v>
      </c>
      <c r="W572" s="1">
        <f t="shared" si="85"/>
        <v>2395863</v>
      </c>
      <c r="Y572" s="1">
        <v>4715989</v>
      </c>
      <c r="AA572" s="1">
        <v>10384931</v>
      </c>
      <c r="AC572" s="1">
        <f t="shared" si="90"/>
        <v>0</v>
      </c>
      <c r="AE572" s="3">
        <f t="shared" si="91"/>
        <v>0</v>
      </c>
    </row>
    <row r="573" spans="1:31" hidden="1">
      <c r="A573" s="17" t="s">
        <v>868</v>
      </c>
      <c r="B573" s="17"/>
      <c r="C573" s="17" t="s">
        <v>59</v>
      </c>
      <c r="D573" s="17"/>
      <c r="E573" s="13">
        <v>49643</v>
      </c>
      <c r="F573" s="8"/>
      <c r="G573" s="1">
        <f t="shared" si="86"/>
        <v>0</v>
      </c>
      <c r="M573" s="1">
        <f t="shared" si="87"/>
        <v>0</v>
      </c>
      <c r="W573" s="1">
        <f t="shared" si="85"/>
        <v>0</v>
      </c>
      <c r="AC573" s="1">
        <f t="shared" si="90"/>
        <v>0</v>
      </c>
      <c r="AE573" s="3">
        <f t="shared" si="91"/>
        <v>0</v>
      </c>
    </row>
    <row r="574" spans="1:31">
      <c r="A574" s="17" t="s">
        <v>506</v>
      </c>
      <c r="B574" s="17"/>
      <c r="C574" s="17" t="s">
        <v>50</v>
      </c>
      <c r="D574" s="17"/>
      <c r="E574" s="13">
        <v>48744</v>
      </c>
      <c r="G574" s="1">
        <f t="shared" si="86"/>
        <v>12996663</v>
      </c>
      <c r="I574" s="1">
        <v>4692554</v>
      </c>
      <c r="K574" s="1">
        <v>17689217</v>
      </c>
      <c r="M574" s="1">
        <f t="shared" si="87"/>
        <v>7796815</v>
      </c>
      <c r="O574" s="1">
        <v>283415</v>
      </c>
      <c r="Q574" s="1">
        <v>1444713</v>
      </c>
      <c r="S574" s="1">
        <v>9524943</v>
      </c>
      <c r="U574" s="1">
        <v>4069332</v>
      </c>
      <c r="W574" s="1">
        <f t="shared" si="85"/>
        <v>746238</v>
      </c>
      <c r="Y574" s="1">
        <v>3348704</v>
      </c>
      <c r="AA574" s="1">
        <v>8164274</v>
      </c>
      <c r="AC574" s="1">
        <f t="shared" si="90"/>
        <v>0</v>
      </c>
      <c r="AE574" s="3">
        <f t="shared" si="91"/>
        <v>0</v>
      </c>
    </row>
    <row r="575" spans="1:31">
      <c r="A575" s="17" t="s">
        <v>382</v>
      </c>
      <c r="B575" s="17"/>
      <c r="C575" s="17" t="s">
        <v>33</v>
      </c>
      <c r="D575" s="17"/>
      <c r="E575" s="13">
        <v>47464</v>
      </c>
      <c r="G575" s="1">
        <f t="shared" si="86"/>
        <v>15054154</v>
      </c>
      <c r="I575" s="1">
        <f>154779+14488256</f>
        <v>14643035</v>
      </c>
      <c r="K575" s="1">
        <v>29697189</v>
      </c>
      <c r="M575" s="1">
        <f t="shared" si="87"/>
        <v>6997736</v>
      </c>
      <c r="O575" s="1">
        <v>823006</v>
      </c>
      <c r="Q575" s="1">
        <v>7890145</v>
      </c>
      <c r="S575" s="1">
        <v>15710887</v>
      </c>
      <c r="U575" s="1">
        <v>6628035</v>
      </c>
      <c r="W575" s="1">
        <f t="shared" si="85"/>
        <v>1974612</v>
      </c>
      <c r="Y575" s="1">
        <v>5383655</v>
      </c>
      <c r="AA575" s="1">
        <v>13986302</v>
      </c>
      <c r="AC575" s="1">
        <f t="shared" si="90"/>
        <v>0</v>
      </c>
      <c r="AE575" s="3">
        <f t="shared" si="91"/>
        <v>0</v>
      </c>
    </row>
    <row r="576" spans="1:31">
      <c r="A576" s="12" t="s">
        <v>629</v>
      </c>
      <c r="B576" s="17"/>
      <c r="C576" s="17" t="s">
        <v>67</v>
      </c>
      <c r="D576" s="17"/>
      <c r="E576" s="13">
        <v>44966</v>
      </c>
      <c r="G576" s="1">
        <f t="shared" si="86"/>
        <v>42480986</v>
      </c>
      <c r="I576" s="1">
        <f>2496257+43274077</f>
        <v>45770334</v>
      </c>
      <c r="K576" s="1">
        <v>88251320</v>
      </c>
      <c r="M576" s="1">
        <f t="shared" si="87"/>
        <v>8320150</v>
      </c>
      <c r="O576" s="1">
        <v>1039218</v>
      </c>
      <c r="Q576" s="1">
        <v>26194338</v>
      </c>
      <c r="S576" s="1">
        <v>35553706</v>
      </c>
      <c r="U576" s="1">
        <v>21367602</v>
      </c>
      <c r="W576" s="1">
        <f t="shared" si="85"/>
        <v>27509377</v>
      </c>
      <c r="Y576" s="1">
        <v>3820635</v>
      </c>
      <c r="AA576" s="1">
        <v>52697614</v>
      </c>
      <c r="AC576" s="1">
        <f t="shared" si="90"/>
        <v>0</v>
      </c>
      <c r="AE576" s="3">
        <f t="shared" si="91"/>
        <v>0</v>
      </c>
    </row>
    <row r="577" spans="1:31">
      <c r="A577" s="17" t="s">
        <v>507</v>
      </c>
      <c r="B577" s="17"/>
      <c r="C577" s="17" t="s">
        <v>50</v>
      </c>
      <c r="D577" s="17"/>
      <c r="E577" s="13">
        <v>44958</v>
      </c>
      <c r="G577" s="1">
        <f t="shared" si="86"/>
        <v>84597107</v>
      </c>
      <c r="I577" s="1">
        <f>5203643+6030586</f>
        <v>11234229</v>
      </c>
      <c r="K577" s="1">
        <v>95831336</v>
      </c>
      <c r="M577" s="1">
        <f t="shared" si="87"/>
        <v>25567742</v>
      </c>
      <c r="O577" s="1">
        <v>392004</v>
      </c>
      <c r="Q577" s="1">
        <v>54413573</v>
      </c>
      <c r="S577" s="1">
        <v>80373319</v>
      </c>
      <c r="U577" s="1">
        <v>4724275</v>
      </c>
      <c r="W577" s="1">
        <f t="shared" si="85"/>
        <v>3713793</v>
      </c>
      <c r="Y577" s="1">
        <v>7019949</v>
      </c>
      <c r="AA577" s="1">
        <v>15458017</v>
      </c>
      <c r="AC577" s="1">
        <f t="shared" si="90"/>
        <v>0</v>
      </c>
      <c r="AE577" s="3">
        <f t="shared" si="91"/>
        <v>0</v>
      </c>
    </row>
    <row r="578" spans="1:31" hidden="1">
      <c r="A578" s="17" t="s">
        <v>870</v>
      </c>
      <c r="B578" s="17"/>
      <c r="C578" s="17" t="s">
        <v>33</v>
      </c>
      <c r="D578" s="17"/>
      <c r="E578" s="13">
        <v>47472</v>
      </c>
      <c r="G578" s="1">
        <f t="shared" si="86"/>
        <v>0</v>
      </c>
      <c r="M578" s="1">
        <f t="shared" si="87"/>
        <v>0</v>
      </c>
      <c r="W578" s="1">
        <f t="shared" si="85"/>
        <v>0</v>
      </c>
      <c r="AC578" s="1">
        <f t="shared" si="90"/>
        <v>0</v>
      </c>
      <c r="AE578" s="3">
        <f t="shared" si="91"/>
        <v>0</v>
      </c>
    </row>
    <row r="579" spans="1:31">
      <c r="A579" s="17" t="s">
        <v>320</v>
      </c>
      <c r="B579" s="17"/>
      <c r="C579" s="17" t="s">
        <v>24</v>
      </c>
      <c r="D579" s="17"/>
      <c r="E579" s="13">
        <v>46821</v>
      </c>
      <c r="G579" s="1">
        <f t="shared" si="86"/>
        <v>30948795</v>
      </c>
      <c r="I579" s="1">
        <v>7992635</v>
      </c>
      <c r="K579" s="1">
        <v>38941430</v>
      </c>
      <c r="M579" s="1">
        <f t="shared" si="87"/>
        <v>15666894</v>
      </c>
      <c r="O579" s="1">
        <v>1529144</v>
      </c>
      <c r="Q579" s="1">
        <v>8496747</v>
      </c>
      <c r="S579" s="1">
        <v>25692785</v>
      </c>
      <c r="U579" s="1">
        <v>4955733</v>
      </c>
      <c r="W579" s="1">
        <f t="shared" si="85"/>
        <v>1656386</v>
      </c>
      <c r="Y579" s="1">
        <v>6636526</v>
      </c>
      <c r="AA579" s="1">
        <v>13248645</v>
      </c>
      <c r="AC579" s="1">
        <f t="shared" si="90"/>
        <v>0</v>
      </c>
      <c r="AE579" s="3">
        <f t="shared" si="91"/>
        <v>0</v>
      </c>
    </row>
    <row r="580" spans="1:31" hidden="1">
      <c r="A580" s="17" t="s">
        <v>871</v>
      </c>
      <c r="B580" s="17"/>
      <c r="C580" s="17" t="s">
        <v>21</v>
      </c>
      <c r="D580" s="17"/>
      <c r="E580" s="13"/>
      <c r="G580" s="1">
        <f t="shared" si="86"/>
        <v>0</v>
      </c>
      <c r="M580" s="1">
        <f t="shared" si="87"/>
        <v>0</v>
      </c>
      <c r="W580" s="1">
        <f t="shared" si="85"/>
        <v>0</v>
      </c>
      <c r="AC580" s="1">
        <f t="shared" si="90"/>
        <v>0</v>
      </c>
      <c r="AE580" s="3">
        <f t="shared" si="91"/>
        <v>0</v>
      </c>
    </row>
    <row r="581" spans="1:31">
      <c r="A581" s="17" t="s">
        <v>630</v>
      </c>
      <c r="B581" s="17"/>
      <c r="C581" s="17" t="s">
        <v>68</v>
      </c>
      <c r="D581" s="17"/>
      <c r="E581" s="13">
        <v>50393</v>
      </c>
      <c r="G581" s="1">
        <f t="shared" si="86"/>
        <v>24746482</v>
      </c>
      <c r="I581" s="1">
        <f>1376059+61557798</f>
        <v>62933857</v>
      </c>
      <c r="K581" s="1">
        <v>87680339</v>
      </c>
      <c r="M581" s="1">
        <f t="shared" si="87"/>
        <v>7654151</v>
      </c>
      <c r="O581" s="1">
        <v>592402</v>
      </c>
      <c r="Q581" s="1">
        <v>7144320</v>
      </c>
      <c r="S581" s="1">
        <v>15390873</v>
      </c>
      <c r="U581" s="1">
        <v>55937302</v>
      </c>
      <c r="W581" s="1">
        <f t="shared" ref="W581:W603" si="92">AA581-Y581-U581</f>
        <v>5139257</v>
      </c>
      <c r="Y581" s="1">
        <v>11212907</v>
      </c>
      <c r="AA581" s="1">
        <v>72289466</v>
      </c>
      <c r="AC581" s="1">
        <f t="shared" si="89"/>
        <v>0</v>
      </c>
      <c r="AE581" s="3">
        <f t="shared" si="88"/>
        <v>0</v>
      </c>
    </row>
    <row r="582" spans="1:31">
      <c r="A582" s="17" t="s">
        <v>483</v>
      </c>
      <c r="B582" s="17"/>
      <c r="C582" s="17" t="s">
        <v>47</v>
      </c>
      <c r="D582" s="17"/>
      <c r="E582" s="13">
        <v>44974</v>
      </c>
      <c r="G582" s="1">
        <f t="shared" si="86"/>
        <v>166064394</v>
      </c>
      <c r="I582" s="1">
        <f>10893113+43338095</f>
        <v>54231208</v>
      </c>
      <c r="K582" s="1">
        <v>220295602</v>
      </c>
      <c r="M582" s="1">
        <f t="shared" si="87"/>
        <v>24490144</v>
      </c>
      <c r="O582" s="1">
        <v>32129694</v>
      </c>
      <c r="Q582" s="1">
        <v>80519938</v>
      </c>
      <c r="S582" s="1">
        <v>137139776</v>
      </c>
      <c r="U582" s="1">
        <v>15015205</v>
      </c>
      <c r="W582" s="1">
        <f t="shared" si="92"/>
        <v>70319211</v>
      </c>
      <c r="Y582" s="1">
        <v>-2178590</v>
      </c>
      <c r="AA582" s="1">
        <v>83155826</v>
      </c>
      <c r="AC582" s="1">
        <f t="shared" si="89"/>
        <v>0</v>
      </c>
      <c r="AE582" s="3">
        <f t="shared" si="88"/>
        <v>0</v>
      </c>
    </row>
    <row r="583" spans="1:31">
      <c r="A583" s="17" t="s">
        <v>616</v>
      </c>
      <c r="B583" s="17"/>
      <c r="C583" s="17" t="s">
        <v>64</v>
      </c>
      <c r="D583" s="17"/>
      <c r="E583" s="13">
        <v>44990</v>
      </c>
      <c r="G583" s="1">
        <f t="shared" si="86"/>
        <v>78220720</v>
      </c>
      <c r="I583" s="1">
        <v>139006176</v>
      </c>
      <c r="K583" s="1">
        <v>217226896</v>
      </c>
      <c r="M583" s="1">
        <f t="shared" si="87"/>
        <v>28526576</v>
      </c>
      <c r="O583" s="1">
        <v>1506273</v>
      </c>
      <c r="Q583" s="1">
        <v>38347565</v>
      </c>
      <c r="S583" s="1">
        <v>68380414</v>
      </c>
      <c r="U583" s="1">
        <v>116044665</v>
      </c>
      <c r="W583" s="1">
        <f t="shared" si="92"/>
        <v>17494919</v>
      </c>
      <c r="Y583" s="1">
        <v>15306898</v>
      </c>
      <c r="AA583" s="1">
        <v>148846482</v>
      </c>
      <c r="AC583" s="1">
        <f t="shared" si="89"/>
        <v>0</v>
      </c>
      <c r="AE583" s="3">
        <f t="shared" si="88"/>
        <v>0</v>
      </c>
    </row>
    <row r="584" spans="1:31">
      <c r="A584" s="17" t="s">
        <v>638</v>
      </c>
      <c r="B584" s="17"/>
      <c r="C584" s="17" t="s">
        <v>70</v>
      </c>
      <c r="D584" s="17"/>
      <c r="E584" s="13">
        <v>50500</v>
      </c>
      <c r="F584" s="8"/>
      <c r="G584" s="1">
        <f t="shared" si="86"/>
        <v>12973796</v>
      </c>
      <c r="I584" s="1">
        <f>330057+5265871</f>
        <v>5595928</v>
      </c>
      <c r="K584" s="1">
        <v>18569724</v>
      </c>
      <c r="M584" s="1">
        <f t="shared" si="87"/>
        <v>8499011</v>
      </c>
      <c r="O584" s="1">
        <v>30768</v>
      </c>
      <c r="Q584" s="1">
        <v>2361012</v>
      </c>
      <c r="S584" s="1">
        <v>10890791</v>
      </c>
      <c r="U584" s="1">
        <v>5595928</v>
      </c>
      <c r="W584" s="1">
        <f t="shared" si="92"/>
        <v>741364</v>
      </c>
      <c r="Y584" s="1">
        <v>1341641</v>
      </c>
      <c r="AA584" s="1">
        <v>7678933</v>
      </c>
      <c r="AC584" s="1">
        <f t="shared" si="89"/>
        <v>0</v>
      </c>
      <c r="AE584" s="3">
        <f t="shared" si="88"/>
        <v>0</v>
      </c>
    </row>
    <row r="585" spans="1:31">
      <c r="A585" s="17" t="s">
        <v>307</v>
      </c>
      <c r="B585" s="17"/>
      <c r="C585" s="17" t="s">
        <v>20</v>
      </c>
      <c r="D585" s="17"/>
      <c r="E585" s="13">
        <v>45005</v>
      </c>
      <c r="G585" s="1">
        <f t="shared" si="86"/>
        <v>40287107</v>
      </c>
      <c r="I585" s="1">
        <f>414153+25009494</f>
        <v>25423647</v>
      </c>
      <c r="K585" s="1">
        <v>65710754</v>
      </c>
      <c r="M585" s="1">
        <f t="shared" si="87"/>
        <v>23267144</v>
      </c>
      <c r="O585" s="1">
        <v>1236668</v>
      </c>
      <c r="Q585" s="1">
        <v>22454135</v>
      </c>
      <c r="S585" s="1">
        <v>46957947</v>
      </c>
      <c r="U585" s="1">
        <v>5098644</v>
      </c>
      <c r="W585" s="1">
        <f t="shared" si="92"/>
        <v>5431685</v>
      </c>
      <c r="Y585" s="1">
        <v>8222478</v>
      </c>
      <c r="AA585" s="1">
        <v>18752807</v>
      </c>
      <c r="AC585" s="1">
        <f t="shared" si="89"/>
        <v>0</v>
      </c>
      <c r="AE585" s="3">
        <f t="shared" si="88"/>
        <v>0</v>
      </c>
    </row>
    <row r="586" spans="1:31">
      <c r="A586" s="17" t="s">
        <v>328</v>
      </c>
      <c r="B586" s="17"/>
      <c r="C586" s="17" t="s">
        <v>26</v>
      </c>
      <c r="D586" s="17"/>
      <c r="E586" s="13">
        <v>45013</v>
      </c>
      <c r="G586" s="1">
        <f t="shared" si="86"/>
        <v>12997934</v>
      </c>
      <c r="I586" s="1">
        <f>477521+71173170</f>
        <v>71650691</v>
      </c>
      <c r="K586" s="1">
        <v>84648625</v>
      </c>
      <c r="M586" s="1">
        <f t="shared" si="87"/>
        <v>7852697</v>
      </c>
      <c r="O586" s="1">
        <v>637022</v>
      </c>
      <c r="Q586" s="1">
        <v>21469250</v>
      </c>
      <c r="S586" s="1">
        <v>29958969</v>
      </c>
      <c r="U586" s="1">
        <v>51952264</v>
      </c>
      <c r="W586" s="1">
        <f t="shared" si="92"/>
        <v>4035473</v>
      </c>
      <c r="Y586" s="1">
        <v>-1298081</v>
      </c>
      <c r="AA586" s="1">
        <v>54689656</v>
      </c>
      <c r="AC586" s="1">
        <f t="shared" si="89"/>
        <v>0</v>
      </c>
      <c r="AE586" s="3">
        <f t="shared" si="88"/>
        <v>0</v>
      </c>
    </row>
    <row r="587" spans="1:31">
      <c r="A587" s="17" t="s">
        <v>456</v>
      </c>
      <c r="B587" s="17"/>
      <c r="C587" s="17" t="s">
        <v>117</v>
      </c>
      <c r="D587" s="17"/>
      <c r="E587" s="13">
        <v>48231</v>
      </c>
      <c r="G587" s="1">
        <f t="shared" si="86"/>
        <v>83066775</v>
      </c>
      <c r="I587" s="1">
        <v>26376481</v>
      </c>
      <c r="K587" s="1">
        <v>109443256</v>
      </c>
      <c r="M587" s="1">
        <f t="shared" si="87"/>
        <v>46340426</v>
      </c>
      <c r="O587" s="1">
        <v>899184</v>
      </c>
      <c r="Q587" s="1">
        <v>4872953</v>
      </c>
      <c r="S587" s="1">
        <v>52112563</v>
      </c>
      <c r="U587" s="1">
        <v>24621481</v>
      </c>
      <c r="W587" s="1">
        <f t="shared" si="92"/>
        <v>2687915</v>
      </c>
      <c r="Y587" s="1">
        <v>30021297</v>
      </c>
      <c r="AA587" s="1">
        <v>57330693</v>
      </c>
      <c r="AC587" s="1">
        <f t="shared" si="89"/>
        <v>0</v>
      </c>
      <c r="AE587" s="3">
        <f t="shared" si="88"/>
        <v>0</v>
      </c>
    </row>
    <row r="588" spans="1:31">
      <c r="A588" s="17" t="s">
        <v>565</v>
      </c>
      <c r="B588" s="17"/>
      <c r="C588" s="17" t="s">
        <v>59</v>
      </c>
      <c r="D588" s="17"/>
      <c r="E588" s="13">
        <v>49650</v>
      </c>
      <c r="G588" s="1">
        <f t="shared" si="86"/>
        <v>20027560</v>
      </c>
      <c r="I588" s="1">
        <f>3774192+23172831</f>
        <v>26947023</v>
      </c>
      <c r="K588" s="1">
        <v>46974583</v>
      </c>
      <c r="M588" s="1">
        <f t="shared" si="87"/>
        <v>3622238</v>
      </c>
      <c r="O588" s="1">
        <v>313374</v>
      </c>
      <c r="Q588" s="1">
        <v>1105534</v>
      </c>
      <c r="S588" s="1">
        <v>5041146</v>
      </c>
      <c r="U588" s="1">
        <v>26187575</v>
      </c>
      <c r="W588" s="1">
        <f t="shared" si="92"/>
        <v>14399485</v>
      </c>
      <c r="Y588" s="1">
        <v>1346377</v>
      </c>
      <c r="AA588" s="1">
        <v>41933437</v>
      </c>
      <c r="AC588" s="1">
        <f t="shared" si="89"/>
        <v>0</v>
      </c>
      <c r="AE588" s="3">
        <f t="shared" si="88"/>
        <v>0</v>
      </c>
    </row>
    <row r="589" spans="1:31">
      <c r="A589" s="17" t="s">
        <v>539</v>
      </c>
      <c r="B589" s="17"/>
      <c r="C589" s="17" t="s">
        <v>56</v>
      </c>
      <c r="D589" s="17"/>
      <c r="E589" s="13">
        <v>49247</v>
      </c>
      <c r="G589" s="1">
        <f t="shared" si="86"/>
        <v>7805007</v>
      </c>
      <c r="I589" s="1">
        <v>16763121</v>
      </c>
      <c r="K589" s="1">
        <v>24568128</v>
      </c>
      <c r="M589" s="1">
        <f t="shared" si="87"/>
        <v>4383131</v>
      </c>
      <c r="O589" s="1">
        <v>609780</v>
      </c>
      <c r="Q589" s="1">
        <v>9758057</v>
      </c>
      <c r="S589" s="1">
        <v>14750968</v>
      </c>
      <c r="U589" s="1">
        <v>8382713</v>
      </c>
      <c r="W589" s="1">
        <f t="shared" si="92"/>
        <v>2067399</v>
      </c>
      <c r="Y589" s="1">
        <v>-632952</v>
      </c>
      <c r="AA589" s="1">
        <v>9817160</v>
      </c>
      <c r="AC589" s="1">
        <f t="shared" si="89"/>
        <v>0</v>
      </c>
      <c r="AE589" s="3">
        <f t="shared" si="88"/>
        <v>0</v>
      </c>
    </row>
    <row r="590" spans="1:31">
      <c r="A590" s="17" t="s">
        <v>348</v>
      </c>
      <c r="B590" s="17"/>
      <c r="C590" s="17" t="s">
        <v>28</v>
      </c>
      <c r="D590" s="17"/>
      <c r="E590" s="13">
        <v>45641</v>
      </c>
      <c r="G590" s="1">
        <f t="shared" si="86"/>
        <v>23711885</v>
      </c>
      <c r="I590" s="1">
        <v>48134937</v>
      </c>
      <c r="K590" s="1">
        <v>71846822</v>
      </c>
      <c r="M590" s="1">
        <f t="shared" si="87"/>
        <v>9232410</v>
      </c>
      <c r="O590" s="1">
        <v>1230738</v>
      </c>
      <c r="Q590" s="1">
        <v>26720554</v>
      </c>
      <c r="S590" s="1">
        <v>37183702</v>
      </c>
      <c r="U590" s="1">
        <v>26303576</v>
      </c>
      <c r="W590" s="1">
        <f t="shared" si="92"/>
        <v>6838764</v>
      </c>
      <c r="Y590" s="1">
        <v>1520780</v>
      </c>
      <c r="AA590" s="1">
        <v>34663120</v>
      </c>
      <c r="AC590" s="1">
        <f t="shared" si="89"/>
        <v>0</v>
      </c>
      <c r="AE590" s="3">
        <f t="shared" si="88"/>
        <v>0</v>
      </c>
    </row>
    <row r="591" spans="1:31">
      <c r="A591" s="17" t="s">
        <v>530</v>
      </c>
      <c r="B591" s="17"/>
      <c r="C591" s="17" t="s">
        <v>55</v>
      </c>
      <c r="D591" s="17"/>
      <c r="E591" s="13">
        <v>49148</v>
      </c>
      <c r="G591" s="1">
        <f t="shared" si="86"/>
        <v>8989549</v>
      </c>
      <c r="I591" s="1">
        <f>763100+40656117</f>
        <v>41419217</v>
      </c>
      <c r="K591" s="1">
        <v>50408766</v>
      </c>
      <c r="M591" s="1">
        <f t="shared" si="87"/>
        <v>5685973</v>
      </c>
      <c r="O591" s="1">
        <v>545888</v>
      </c>
      <c r="Q591" s="1">
        <v>8766559</v>
      </c>
      <c r="S591" s="1">
        <v>14998420</v>
      </c>
      <c r="U591" s="1">
        <v>33722617</v>
      </c>
      <c r="W591" s="1">
        <f t="shared" si="92"/>
        <v>2424711</v>
      </c>
      <c r="Y591" s="1">
        <v>-736982</v>
      </c>
      <c r="AA591" s="1">
        <v>35410346</v>
      </c>
      <c r="AC591" s="1">
        <f t="shared" si="89"/>
        <v>0</v>
      </c>
      <c r="AE591" s="3">
        <f t="shared" si="88"/>
        <v>0</v>
      </c>
    </row>
    <row r="592" spans="1:31" hidden="1">
      <c r="A592" s="17" t="s">
        <v>881</v>
      </c>
      <c r="B592" s="17"/>
      <c r="C592" s="17" t="s">
        <v>69</v>
      </c>
      <c r="D592" s="17"/>
      <c r="E592" s="13">
        <v>50468</v>
      </c>
      <c r="G592" s="1">
        <f t="shared" si="86"/>
        <v>0</v>
      </c>
      <c r="M592" s="1">
        <f t="shared" si="87"/>
        <v>0</v>
      </c>
      <c r="W592" s="1">
        <f t="shared" si="92"/>
        <v>0</v>
      </c>
      <c r="AC592" s="1">
        <f t="shared" si="89"/>
        <v>0</v>
      </c>
      <c r="AE592" s="3">
        <f t="shared" si="88"/>
        <v>0</v>
      </c>
    </row>
    <row r="593" spans="1:31" hidden="1">
      <c r="A593" s="17" t="s">
        <v>746</v>
      </c>
      <c r="B593" s="17"/>
      <c r="C593" s="17" t="s">
        <v>523</v>
      </c>
      <c r="D593" s="17"/>
      <c r="E593" s="13">
        <v>49031</v>
      </c>
      <c r="G593" s="1">
        <f t="shared" si="86"/>
        <v>0</v>
      </c>
      <c r="M593" s="1">
        <f t="shared" si="87"/>
        <v>0</v>
      </c>
      <c r="W593" s="1">
        <f t="shared" si="92"/>
        <v>0</v>
      </c>
      <c r="AC593" s="1">
        <f t="shared" si="89"/>
        <v>0</v>
      </c>
      <c r="AE593" s="3">
        <f t="shared" si="88"/>
        <v>0</v>
      </c>
    </row>
    <row r="594" spans="1:31" hidden="1">
      <c r="A594" s="17" t="s">
        <v>789</v>
      </c>
      <c r="B594" s="17"/>
      <c r="C594" s="17" t="s">
        <v>14</v>
      </c>
      <c r="D594" s="17"/>
      <c r="E594" s="13">
        <v>45971</v>
      </c>
      <c r="G594" s="1">
        <f t="shared" si="86"/>
        <v>0</v>
      </c>
      <c r="M594" s="1">
        <f t="shared" si="87"/>
        <v>0</v>
      </c>
      <c r="W594" s="1">
        <f t="shared" si="92"/>
        <v>0</v>
      </c>
      <c r="AC594" s="1">
        <f t="shared" si="89"/>
        <v>0</v>
      </c>
      <c r="AE594" s="3">
        <f t="shared" si="88"/>
        <v>0</v>
      </c>
    </row>
    <row r="595" spans="1:31">
      <c r="A595" s="17"/>
      <c r="B595" s="17"/>
      <c r="C595" s="17"/>
      <c r="D595" s="17"/>
      <c r="E595" s="13"/>
    </row>
    <row r="596" spans="1:31">
      <c r="A596" s="17"/>
      <c r="B596" s="17"/>
      <c r="C596" s="17"/>
      <c r="D596" s="17"/>
      <c r="E596" s="13"/>
      <c r="AA596" s="20" t="s">
        <v>709</v>
      </c>
    </row>
    <row r="597" spans="1:31">
      <c r="A597" s="17"/>
      <c r="B597" s="17"/>
      <c r="C597" s="17"/>
      <c r="D597" s="17"/>
      <c r="E597" s="13"/>
    </row>
    <row r="598" spans="1:31">
      <c r="A598" s="17" t="s">
        <v>617</v>
      </c>
      <c r="B598" s="17"/>
      <c r="C598" s="17" t="s">
        <v>64</v>
      </c>
      <c r="D598" s="17"/>
      <c r="E598" s="13">
        <v>50252</v>
      </c>
      <c r="G598" s="16">
        <f t="shared" si="86"/>
        <v>5374823</v>
      </c>
      <c r="H598" s="16"/>
      <c r="I598" s="16">
        <v>4177800</v>
      </c>
      <c r="J598" s="16"/>
      <c r="K598" s="16">
        <v>9552623</v>
      </c>
      <c r="L598" s="16"/>
      <c r="M598" s="16">
        <f t="shared" si="87"/>
        <v>3626247</v>
      </c>
      <c r="N598" s="16"/>
      <c r="O598" s="16">
        <v>364864</v>
      </c>
      <c r="P598" s="16"/>
      <c r="Q598" s="16">
        <v>2549183</v>
      </c>
      <c r="R598" s="16"/>
      <c r="S598" s="16">
        <v>6540294</v>
      </c>
      <c r="T598" s="16"/>
      <c r="U598" s="16">
        <v>1890257</v>
      </c>
      <c r="V598" s="16"/>
      <c r="W598" s="16">
        <f t="shared" si="92"/>
        <v>504608</v>
      </c>
      <c r="X598" s="16"/>
      <c r="Y598" s="16">
        <v>617464</v>
      </c>
      <c r="Z598" s="16"/>
      <c r="AA598" s="16">
        <v>3012329</v>
      </c>
      <c r="AC598" s="1">
        <f t="shared" si="89"/>
        <v>0</v>
      </c>
      <c r="AE598" s="3">
        <f t="shared" si="88"/>
        <v>0</v>
      </c>
    </row>
    <row r="599" spans="1:31">
      <c r="A599" s="17" t="s">
        <v>448</v>
      </c>
      <c r="B599" s="17"/>
      <c r="C599" s="17" t="s">
        <v>44</v>
      </c>
      <c r="D599" s="17"/>
      <c r="E599" s="13">
        <v>45658</v>
      </c>
      <c r="G599" s="1">
        <f t="shared" si="86"/>
        <v>10311607</v>
      </c>
      <c r="I599" s="1">
        <v>4249673</v>
      </c>
      <c r="K599" s="1">
        <v>14561280</v>
      </c>
      <c r="M599" s="1">
        <f t="shared" si="87"/>
        <v>4972774</v>
      </c>
      <c r="O599" s="1">
        <v>300333</v>
      </c>
      <c r="Q599" s="1">
        <v>726371</v>
      </c>
      <c r="S599" s="1">
        <v>5999478</v>
      </c>
      <c r="U599" s="1">
        <v>4249673</v>
      </c>
      <c r="W599" s="1">
        <f t="shared" si="92"/>
        <v>1396952</v>
      </c>
      <c r="Y599" s="1">
        <v>2915177</v>
      </c>
      <c r="AA599" s="1">
        <v>8561802</v>
      </c>
      <c r="AC599" s="1">
        <f t="shared" si="89"/>
        <v>0</v>
      </c>
      <c r="AE599" s="3">
        <f t="shared" si="88"/>
        <v>0</v>
      </c>
    </row>
    <row r="600" spans="1:31">
      <c r="A600" s="17" t="s">
        <v>409</v>
      </c>
      <c r="B600" s="17"/>
      <c r="C600" s="17" t="s">
        <v>38</v>
      </c>
      <c r="D600" s="17"/>
      <c r="E600" s="13">
        <v>45021</v>
      </c>
      <c r="G600" s="1">
        <f t="shared" si="86"/>
        <v>13907226</v>
      </c>
      <c r="I600" s="1">
        <f>4716008+31840191</f>
        <v>36556199</v>
      </c>
      <c r="K600" s="1">
        <v>50463425</v>
      </c>
      <c r="M600" s="1">
        <f t="shared" si="87"/>
        <v>4852872</v>
      </c>
      <c r="O600" s="1">
        <v>232957</v>
      </c>
      <c r="Q600" s="1">
        <v>2952003</v>
      </c>
      <c r="S600" s="1">
        <v>8037832</v>
      </c>
      <c r="U600" s="1">
        <v>34056199</v>
      </c>
      <c r="W600" s="1">
        <f t="shared" si="92"/>
        <v>2510023</v>
      </c>
      <c r="Y600" s="1">
        <v>5859371</v>
      </c>
      <c r="AA600" s="1">
        <v>42425593</v>
      </c>
      <c r="AC600" s="1">
        <f t="shared" si="89"/>
        <v>0</v>
      </c>
      <c r="AE600" s="3">
        <f t="shared" si="88"/>
        <v>0</v>
      </c>
    </row>
    <row r="601" spans="1:31">
      <c r="A601" s="17" t="s">
        <v>271</v>
      </c>
      <c r="B601" s="17"/>
      <c r="C601" s="17" t="s">
        <v>114</v>
      </c>
      <c r="D601" s="17"/>
      <c r="E601" s="13">
        <v>45039</v>
      </c>
      <c r="G601" s="1">
        <f t="shared" si="86"/>
        <v>6005185</v>
      </c>
      <c r="I601" s="1">
        <v>6752564</v>
      </c>
      <c r="K601" s="1">
        <v>12757749</v>
      </c>
      <c r="M601" s="1">
        <f t="shared" si="87"/>
        <v>2112277</v>
      </c>
      <c r="O601" s="1">
        <v>205710</v>
      </c>
      <c r="Q601" s="1">
        <v>1623173</v>
      </c>
      <c r="S601" s="1">
        <v>3941160</v>
      </c>
      <c r="U601" s="1">
        <v>5463700</v>
      </c>
      <c r="W601" s="1">
        <f t="shared" si="92"/>
        <v>2089769</v>
      </c>
      <c r="Y601" s="1">
        <v>1263120</v>
      </c>
      <c r="AA601" s="1">
        <v>8816589</v>
      </c>
      <c r="AC601" s="1">
        <f t="shared" si="89"/>
        <v>0</v>
      </c>
      <c r="AE601" s="3">
        <f t="shared" si="88"/>
        <v>0</v>
      </c>
    </row>
    <row r="602" spans="1:31">
      <c r="A602" s="17" t="s">
        <v>471</v>
      </c>
      <c r="B602" s="17"/>
      <c r="C602" s="17" t="s">
        <v>45</v>
      </c>
      <c r="D602" s="17"/>
      <c r="E602" s="13">
        <v>48389</v>
      </c>
      <c r="G602" s="1">
        <f t="shared" si="86"/>
        <v>12492600</v>
      </c>
      <c r="I602" s="1">
        <f>643930+42003642</f>
        <v>42647572</v>
      </c>
      <c r="K602" s="1">
        <v>55140172</v>
      </c>
      <c r="M602" s="1">
        <f t="shared" si="87"/>
        <v>7706907</v>
      </c>
      <c r="O602" s="1">
        <v>551018</v>
      </c>
      <c r="Q602" s="1">
        <v>7129415</v>
      </c>
      <c r="S602" s="1">
        <v>15387340</v>
      </c>
      <c r="U602" s="1">
        <v>36292514</v>
      </c>
      <c r="W602" s="1">
        <f t="shared" si="92"/>
        <v>2156253</v>
      </c>
      <c r="Y602" s="1">
        <v>1304065</v>
      </c>
      <c r="AA602" s="1">
        <v>39752832</v>
      </c>
      <c r="AC602" s="1">
        <f t="shared" si="89"/>
        <v>0</v>
      </c>
      <c r="AE602" s="3">
        <f t="shared" si="88"/>
        <v>0</v>
      </c>
    </row>
    <row r="603" spans="1:31">
      <c r="A603" s="17" t="s">
        <v>880</v>
      </c>
      <c r="B603" s="17"/>
      <c r="C603" s="17" t="s">
        <v>50</v>
      </c>
      <c r="D603" s="17"/>
      <c r="E603" s="13"/>
      <c r="G603" s="1">
        <f t="shared" si="86"/>
        <v>37987445</v>
      </c>
      <c r="I603" s="1">
        <v>17011286</v>
      </c>
      <c r="K603" s="1">
        <v>54998731</v>
      </c>
      <c r="M603" s="1">
        <f t="shared" si="87"/>
        <v>22185371</v>
      </c>
      <c r="O603" s="1">
        <v>728105</v>
      </c>
      <c r="Q603" s="1">
        <v>5208506</v>
      </c>
      <c r="S603" s="1">
        <v>28121982</v>
      </c>
      <c r="U603" s="1">
        <v>13305150</v>
      </c>
      <c r="W603" s="1">
        <f t="shared" si="92"/>
        <v>828299</v>
      </c>
      <c r="Y603" s="1">
        <v>12743300</v>
      </c>
      <c r="AA603" s="1">
        <v>26876749</v>
      </c>
      <c r="AC603" s="1">
        <f t="shared" si="89"/>
        <v>0</v>
      </c>
      <c r="AE603" s="3">
        <f t="shared" si="88"/>
        <v>0</v>
      </c>
    </row>
    <row r="604" spans="1:31">
      <c r="A604" s="17" t="s">
        <v>257</v>
      </c>
      <c r="B604" s="17"/>
      <c r="C604" s="17" t="s">
        <v>115</v>
      </c>
      <c r="D604" s="17"/>
      <c r="E604" s="13">
        <v>46359</v>
      </c>
      <c r="G604" s="1">
        <f>+K604-I604</f>
        <v>65804534</v>
      </c>
      <c r="I604" s="1">
        <f>30499141+16572872</f>
        <v>47072013</v>
      </c>
      <c r="K604" s="1">
        <v>112876547</v>
      </c>
      <c r="M604" s="1">
        <f>+S604-O604-Q604</f>
        <v>47751019</v>
      </c>
      <c r="O604" s="1">
        <v>3944107</v>
      </c>
      <c r="Q604" s="1">
        <v>41003975</v>
      </c>
      <c r="S604" s="1">
        <v>92699101</v>
      </c>
      <c r="U604" s="1">
        <v>11263801</v>
      </c>
      <c r="W604" s="1">
        <f>AA604-Y604-U604</f>
        <v>9161167</v>
      </c>
      <c r="Y604" s="1">
        <v>-247522</v>
      </c>
      <c r="AA604" s="1">
        <v>20177446</v>
      </c>
      <c r="AC604" s="1">
        <f t="shared" si="89"/>
        <v>0</v>
      </c>
      <c r="AE604" s="3">
        <f t="shared" si="88"/>
        <v>0</v>
      </c>
    </row>
    <row r="605" spans="1:31">
      <c r="A605" s="17" t="s">
        <v>356</v>
      </c>
      <c r="B605" s="17"/>
      <c r="C605" s="17" t="s">
        <v>30</v>
      </c>
      <c r="D605" s="17"/>
      <c r="E605" s="13">
        <v>47225</v>
      </c>
      <c r="G605" s="1">
        <f>+K605-I605</f>
        <v>26841849</v>
      </c>
      <c r="I605" s="1">
        <v>16999273</v>
      </c>
      <c r="K605" s="1">
        <v>43841122</v>
      </c>
      <c r="M605" s="1">
        <f>+S605-O605-Q605</f>
        <v>20270841</v>
      </c>
      <c r="O605" s="1">
        <v>2317544</v>
      </c>
      <c r="Q605" s="1">
        <v>6818394</v>
      </c>
      <c r="S605" s="1">
        <v>29406779</v>
      </c>
      <c r="U605" s="1">
        <v>9559472</v>
      </c>
      <c r="W605" s="1">
        <f>AA605-Y605-U605</f>
        <v>1756668</v>
      </c>
      <c r="Y605" s="1">
        <v>3118203</v>
      </c>
      <c r="AA605" s="1">
        <v>14434343</v>
      </c>
      <c r="AC605" s="1">
        <f t="shared" si="89"/>
        <v>0</v>
      </c>
      <c r="AE605" s="3">
        <f t="shared" si="88"/>
        <v>0</v>
      </c>
    </row>
    <row r="606" spans="1:31">
      <c r="A606" s="17" t="s">
        <v>402</v>
      </c>
      <c r="B606" s="17"/>
      <c r="C606" s="17" t="s">
        <v>36</v>
      </c>
      <c r="D606" s="17"/>
      <c r="E606" s="13">
        <v>47696</v>
      </c>
      <c r="G606" s="1">
        <f>+K606-I606</f>
        <v>25208193</v>
      </c>
      <c r="I606" s="1">
        <f>643088+21761936</f>
        <v>22405024</v>
      </c>
      <c r="K606" s="1">
        <v>47613217</v>
      </c>
      <c r="M606" s="1">
        <f>+S606-O606-Q606</f>
        <v>12576269</v>
      </c>
      <c r="O606" s="1">
        <v>30826</v>
      </c>
      <c r="Q606" s="1">
        <v>13992254</v>
      </c>
      <c r="S606" s="1">
        <v>26599349</v>
      </c>
      <c r="U606" s="1">
        <v>1094186</v>
      </c>
      <c r="W606" s="1">
        <f>AA606-Y606-U606</f>
        <v>12072897</v>
      </c>
      <c r="Y606" s="1">
        <v>7846785</v>
      </c>
      <c r="AA606" s="1">
        <v>21013868</v>
      </c>
      <c r="AC606" s="1">
        <f t="shared" si="89"/>
        <v>0</v>
      </c>
      <c r="AE606" s="3">
        <f t="shared" si="88"/>
        <v>0</v>
      </c>
    </row>
    <row r="607" spans="1:31">
      <c r="A607" s="17" t="s">
        <v>244</v>
      </c>
      <c r="B607" s="17"/>
      <c r="C607" s="17" t="s">
        <v>240</v>
      </c>
      <c r="D607" s="17"/>
      <c r="E607" s="13">
        <v>46219</v>
      </c>
      <c r="G607" s="1">
        <f>+K607-I607</f>
        <v>5896063</v>
      </c>
      <c r="I607" s="1">
        <v>4500636</v>
      </c>
      <c r="K607" s="1">
        <v>10396699</v>
      </c>
      <c r="M607" s="1">
        <f>+S607-O607-Q607</f>
        <v>3563907</v>
      </c>
      <c r="O607" s="1">
        <v>244905</v>
      </c>
      <c r="Q607" s="1">
        <v>628157</v>
      </c>
      <c r="S607" s="1">
        <v>4436969</v>
      </c>
      <c r="U607" s="1">
        <v>4413785</v>
      </c>
      <c r="W607" s="1">
        <f>AA607-Y607-U607</f>
        <v>763275</v>
      </c>
      <c r="Y607" s="1">
        <v>782670</v>
      </c>
      <c r="AA607" s="1">
        <v>5959730</v>
      </c>
      <c r="AC607" s="1">
        <f t="shared" si="89"/>
        <v>0</v>
      </c>
      <c r="AE607" s="3">
        <f t="shared" si="88"/>
        <v>0</v>
      </c>
    </row>
    <row r="608" spans="1:31">
      <c r="A608" s="17" t="s">
        <v>515</v>
      </c>
      <c r="B608" s="17"/>
      <c r="C608" s="17" t="s">
        <v>51</v>
      </c>
      <c r="D608" s="17"/>
      <c r="E608" s="13">
        <v>48884</v>
      </c>
      <c r="G608" s="1">
        <f>+K608-I608</f>
        <v>14157501</v>
      </c>
      <c r="I608" s="1">
        <f>654259+22880171</f>
        <v>23534430</v>
      </c>
      <c r="K608" s="1">
        <v>37691931</v>
      </c>
      <c r="M608" s="1">
        <f>+S608-O608-Q608</f>
        <v>8742049</v>
      </c>
      <c r="O608" s="1">
        <v>550708</v>
      </c>
      <c r="Q608" s="1">
        <v>23040763</v>
      </c>
      <c r="S608" s="1">
        <v>32333520</v>
      </c>
      <c r="U608" s="1">
        <v>1279436</v>
      </c>
      <c r="W608" s="1">
        <f>AA608-Y608-U608</f>
        <v>3722998</v>
      </c>
      <c r="Y608" s="1">
        <v>355977</v>
      </c>
      <c r="AA608" s="1">
        <v>5358411</v>
      </c>
      <c r="AC608" s="1">
        <f t="shared" si="89"/>
        <v>0</v>
      </c>
      <c r="AE608" s="3">
        <f t="shared" si="88"/>
        <v>0</v>
      </c>
    </row>
    <row r="609" spans="1:31">
      <c r="A609" s="12" t="s">
        <v>225</v>
      </c>
      <c r="B609" s="12"/>
      <c r="C609" s="12" t="s">
        <v>77</v>
      </c>
      <c r="D609" s="12"/>
      <c r="E609" s="12">
        <v>46060</v>
      </c>
      <c r="G609" s="1">
        <f t="shared" ref="G609:G635" si="93">+K609-I609</f>
        <v>12558811</v>
      </c>
      <c r="I609" s="1">
        <f>2524314+112029+47226794</f>
        <v>49863137</v>
      </c>
      <c r="K609" s="1">
        <v>62421948</v>
      </c>
      <c r="M609" s="1">
        <f t="shared" ref="M609:M635" si="94">+S609-O609-Q609</f>
        <v>7595328</v>
      </c>
      <c r="O609" s="1">
        <v>591617</v>
      </c>
      <c r="Q609" s="1">
        <v>6734688</v>
      </c>
      <c r="S609" s="1">
        <v>14921633</v>
      </c>
      <c r="U609" s="1">
        <v>44130697</v>
      </c>
      <c r="W609" s="1">
        <f t="shared" ref="W609:W635" si="95">AA609-Y609-U609</f>
        <v>5422444</v>
      </c>
      <c r="Y609" s="1">
        <v>-2052826</v>
      </c>
      <c r="AA609" s="1">
        <v>47500315</v>
      </c>
      <c r="AC609" s="1">
        <f t="shared" si="89"/>
        <v>0</v>
      </c>
      <c r="AE609" s="3">
        <f t="shared" si="88"/>
        <v>0</v>
      </c>
    </row>
    <row r="610" spans="1:31">
      <c r="A610" s="17" t="s">
        <v>531</v>
      </c>
      <c r="B610" s="17"/>
      <c r="C610" s="17" t="s">
        <v>55</v>
      </c>
      <c r="D610" s="17"/>
      <c r="E610" s="13">
        <v>49155</v>
      </c>
      <c r="G610" s="1">
        <f t="shared" si="93"/>
        <v>8004677</v>
      </c>
      <c r="I610" s="1">
        <f>777084+16750101</f>
        <v>17527185</v>
      </c>
      <c r="K610" s="1">
        <v>25531862</v>
      </c>
      <c r="M610" s="1">
        <f t="shared" si="94"/>
        <v>1667592</v>
      </c>
      <c r="O610" s="1">
        <v>100144</v>
      </c>
      <c r="Q610" s="1">
        <v>1264943</v>
      </c>
      <c r="S610" s="1">
        <v>3032679</v>
      </c>
      <c r="U610" s="1">
        <v>16526876</v>
      </c>
      <c r="W610" s="1">
        <f t="shared" si="95"/>
        <v>1957204</v>
      </c>
      <c r="Y610" s="1">
        <v>4015103</v>
      </c>
      <c r="AA610" s="1">
        <v>22499183</v>
      </c>
      <c r="AC610" s="1">
        <f>+K610-S610-AA610</f>
        <v>0</v>
      </c>
      <c r="AE610" s="3">
        <f t="shared" si="88"/>
        <v>0</v>
      </c>
    </row>
    <row r="611" spans="1:31">
      <c r="A611" s="17" t="s">
        <v>407</v>
      </c>
      <c r="B611" s="17"/>
      <c r="C611" s="17" t="s">
        <v>37</v>
      </c>
      <c r="D611" s="17"/>
      <c r="E611" s="13">
        <v>47746</v>
      </c>
      <c r="G611" s="1">
        <f t="shared" si="93"/>
        <v>4892827</v>
      </c>
      <c r="I611" s="1">
        <v>16960658</v>
      </c>
      <c r="K611" s="1">
        <v>21853485</v>
      </c>
      <c r="M611" s="1">
        <f t="shared" si="94"/>
        <v>3269383</v>
      </c>
      <c r="O611" s="1">
        <v>193115</v>
      </c>
      <c r="Q611" s="1">
        <v>3231689</v>
      </c>
      <c r="S611" s="1">
        <v>6694187</v>
      </c>
      <c r="U611" s="1">
        <v>14300642</v>
      </c>
      <c r="W611" s="1">
        <f t="shared" si="95"/>
        <v>702003</v>
      </c>
      <c r="Y611" s="1">
        <v>156653</v>
      </c>
      <c r="AA611" s="1">
        <v>15159298</v>
      </c>
      <c r="AC611" s="1">
        <f t="shared" si="89"/>
        <v>0</v>
      </c>
      <c r="AE611" s="3">
        <f t="shared" si="88"/>
        <v>0</v>
      </c>
    </row>
    <row r="612" spans="1:31">
      <c r="A612" s="17" t="s">
        <v>407</v>
      </c>
      <c r="B612" s="17"/>
      <c r="C612" s="17" t="s">
        <v>45</v>
      </c>
      <c r="D612" s="17"/>
      <c r="E612" s="13">
        <v>48397</v>
      </c>
      <c r="G612" s="1">
        <f t="shared" si="93"/>
        <v>27983339</v>
      </c>
      <c r="I612" s="1">
        <f>6314589+2648046</f>
        <v>8962635</v>
      </c>
      <c r="K612" s="1">
        <v>36945974</v>
      </c>
      <c r="M612" s="1">
        <f t="shared" si="94"/>
        <v>8303207</v>
      </c>
      <c r="O612" s="1">
        <v>248358</v>
      </c>
      <c r="Q612" s="1">
        <v>11497463</v>
      </c>
      <c r="S612" s="1">
        <v>20049028</v>
      </c>
      <c r="U612" s="1">
        <v>2382117</v>
      </c>
      <c r="W612" s="1">
        <f t="shared" si="95"/>
        <v>14004212</v>
      </c>
      <c r="Y612" s="1">
        <v>510617</v>
      </c>
      <c r="AA612" s="1">
        <v>16896946</v>
      </c>
      <c r="AC612" s="1">
        <f t="shared" si="89"/>
        <v>0</v>
      </c>
      <c r="AE612" s="3">
        <f t="shared" si="88"/>
        <v>0</v>
      </c>
    </row>
    <row r="613" spans="1:31">
      <c r="A613" s="17" t="s">
        <v>342</v>
      </c>
      <c r="B613" s="17"/>
      <c r="C613" s="17" t="s">
        <v>27</v>
      </c>
      <c r="D613" s="17"/>
      <c r="E613" s="13">
        <v>45047</v>
      </c>
      <c r="G613" s="1">
        <f t="shared" si="93"/>
        <v>177015854</v>
      </c>
      <c r="I613" s="1">
        <f>5813922+139175390</f>
        <v>144989312</v>
      </c>
      <c r="K613" s="1">
        <v>322005166</v>
      </c>
      <c r="M613" s="1">
        <f t="shared" si="94"/>
        <v>107993153</v>
      </c>
      <c r="O613" s="1">
        <v>6048508</v>
      </c>
      <c r="Q613" s="1">
        <v>129879992</v>
      </c>
      <c r="S613" s="1">
        <v>243921653</v>
      </c>
      <c r="U613" s="1">
        <v>50782100</v>
      </c>
      <c r="W613" s="1">
        <f t="shared" si="95"/>
        <v>12336610</v>
      </c>
      <c r="Y613" s="1">
        <v>14964803</v>
      </c>
      <c r="AA613" s="1">
        <v>78083513</v>
      </c>
      <c r="AC613" s="1">
        <f t="shared" si="89"/>
        <v>0</v>
      </c>
      <c r="AE613" s="3">
        <f t="shared" si="88"/>
        <v>0</v>
      </c>
    </row>
    <row r="614" spans="1:31">
      <c r="A614" s="17" t="s">
        <v>528</v>
      </c>
      <c r="B614" s="17"/>
      <c r="C614" s="17" t="s">
        <v>54</v>
      </c>
      <c r="D614" s="17"/>
      <c r="E614" s="13">
        <v>49106</v>
      </c>
      <c r="G614" s="1">
        <f t="shared" si="93"/>
        <v>10023974</v>
      </c>
      <c r="I614" s="1">
        <f>105604+10906638</f>
        <v>11012242</v>
      </c>
      <c r="K614" s="1">
        <v>21036216</v>
      </c>
      <c r="M614" s="1">
        <f t="shared" si="94"/>
        <v>5638086</v>
      </c>
      <c r="O614" s="1">
        <v>469654</v>
      </c>
      <c r="Q614" s="1">
        <v>6228654</v>
      </c>
      <c r="S614" s="1">
        <v>12336394</v>
      </c>
      <c r="U614" s="1">
        <v>5600701</v>
      </c>
      <c r="W614" s="1">
        <f t="shared" si="95"/>
        <v>3113334</v>
      </c>
      <c r="Y614" s="1">
        <v>-14213</v>
      </c>
      <c r="AA614" s="1">
        <v>8699822</v>
      </c>
      <c r="AC614" s="1">
        <f t="shared" si="89"/>
        <v>0</v>
      </c>
      <c r="AE614" s="3">
        <f t="shared" si="88"/>
        <v>0</v>
      </c>
    </row>
    <row r="615" spans="1:31">
      <c r="A615" s="17" t="s">
        <v>308</v>
      </c>
      <c r="B615" s="17"/>
      <c r="C615" s="17" t="s">
        <v>20</v>
      </c>
      <c r="D615" s="17"/>
      <c r="E615" s="13">
        <v>45062</v>
      </c>
      <c r="G615" s="1">
        <f t="shared" si="93"/>
        <v>75477710</v>
      </c>
      <c r="I615" s="1">
        <f>2556632+41708833</f>
        <v>44265465</v>
      </c>
      <c r="K615" s="1">
        <v>119743175</v>
      </c>
      <c r="M615" s="1">
        <f t="shared" si="94"/>
        <v>45096110</v>
      </c>
      <c r="O615" s="1">
        <v>2841224</v>
      </c>
      <c r="Q615" s="1">
        <v>23705400</v>
      </c>
      <c r="S615" s="1">
        <v>71642734</v>
      </c>
      <c r="U615" s="1">
        <v>27100371</v>
      </c>
      <c r="W615" s="1">
        <f t="shared" si="95"/>
        <v>4966633</v>
      </c>
      <c r="Y615" s="1">
        <v>16033437</v>
      </c>
      <c r="AA615" s="1">
        <v>48100441</v>
      </c>
      <c r="AC615" s="1">
        <f t="shared" si="89"/>
        <v>0</v>
      </c>
      <c r="AE615" s="3">
        <f t="shared" si="88"/>
        <v>0</v>
      </c>
    </row>
    <row r="616" spans="1:31" s="16" customFormat="1">
      <c r="A616" s="14" t="s">
        <v>566</v>
      </c>
      <c r="B616" s="14"/>
      <c r="C616" s="14" t="s">
        <v>59</v>
      </c>
      <c r="D616" s="14"/>
      <c r="E616" s="13">
        <v>49668</v>
      </c>
      <c r="G616" s="1">
        <f t="shared" si="93"/>
        <v>8547104</v>
      </c>
      <c r="H616" s="1"/>
      <c r="I616" s="1">
        <f>931568+36279640</f>
        <v>37211208</v>
      </c>
      <c r="J616" s="1"/>
      <c r="K616" s="1">
        <v>45758312</v>
      </c>
      <c r="L616" s="1"/>
      <c r="M616" s="1">
        <f t="shared" si="94"/>
        <v>4599531</v>
      </c>
      <c r="N616" s="1"/>
      <c r="O616" s="1">
        <v>341704</v>
      </c>
      <c r="P616" s="1"/>
      <c r="Q616" s="1">
        <v>10069421</v>
      </c>
      <c r="R616" s="1"/>
      <c r="S616" s="1">
        <v>15010656</v>
      </c>
      <c r="T616" s="1"/>
      <c r="U616" s="1">
        <v>28284092</v>
      </c>
      <c r="V616" s="1"/>
      <c r="W616" s="1">
        <f t="shared" si="95"/>
        <v>1742938</v>
      </c>
      <c r="X616" s="1"/>
      <c r="Y616" s="1">
        <v>720626</v>
      </c>
      <c r="Z616" s="1"/>
      <c r="AA616" s="1">
        <v>30747656</v>
      </c>
      <c r="AC616" s="1">
        <f t="shared" si="89"/>
        <v>0</v>
      </c>
      <c r="AD616" s="1"/>
      <c r="AE616" s="3">
        <f t="shared" si="88"/>
        <v>0</v>
      </c>
    </row>
    <row r="617" spans="1:31">
      <c r="A617" s="17" t="s">
        <v>343</v>
      </c>
      <c r="B617" s="17"/>
      <c r="C617" s="17" t="s">
        <v>27</v>
      </c>
      <c r="D617" s="17"/>
      <c r="E617" s="13">
        <v>45070</v>
      </c>
      <c r="G617" s="1">
        <f t="shared" si="93"/>
        <v>111698255</v>
      </c>
      <c r="I617" s="1">
        <f>3461078+6930982</f>
        <v>10392060</v>
      </c>
      <c r="K617" s="1">
        <v>122090315</v>
      </c>
      <c r="M617" s="1">
        <f t="shared" si="94"/>
        <v>11133170</v>
      </c>
      <c r="O617" s="1">
        <v>2020506</v>
      </c>
      <c r="Q617" s="1">
        <v>30966580</v>
      </c>
      <c r="S617" s="1">
        <v>44120256</v>
      </c>
      <c r="U617" s="1">
        <v>9985766</v>
      </c>
      <c r="W617" s="1">
        <f t="shared" si="95"/>
        <v>49611878</v>
      </c>
      <c r="Y617" s="1">
        <v>18372415</v>
      </c>
      <c r="AA617" s="1">
        <v>77970059</v>
      </c>
      <c r="AC617" s="1">
        <f t="shared" si="89"/>
        <v>0</v>
      </c>
      <c r="AE617" s="3">
        <f t="shared" si="88"/>
        <v>0</v>
      </c>
    </row>
    <row r="618" spans="1:31" hidden="1">
      <c r="A618" s="17" t="s">
        <v>744</v>
      </c>
      <c r="B618" s="17"/>
      <c r="C618" s="17" t="s">
        <v>41</v>
      </c>
      <c r="D618" s="17"/>
      <c r="E618" s="13">
        <v>45088</v>
      </c>
      <c r="G618" s="1">
        <f t="shared" si="93"/>
        <v>0</v>
      </c>
      <c r="M618" s="1">
        <f t="shared" si="94"/>
        <v>0</v>
      </c>
      <c r="W618" s="1">
        <f t="shared" si="95"/>
        <v>0</v>
      </c>
      <c r="AC618" s="1">
        <f t="shared" si="89"/>
        <v>0</v>
      </c>
      <c r="AE618" s="3">
        <f t="shared" si="88"/>
        <v>0</v>
      </c>
    </row>
    <row r="619" spans="1:31">
      <c r="A619" s="17" t="s">
        <v>408</v>
      </c>
      <c r="B619" s="17"/>
      <c r="C619" s="17" t="s">
        <v>37</v>
      </c>
      <c r="D619" s="17"/>
      <c r="E619" s="13">
        <v>45096</v>
      </c>
      <c r="G619" s="1">
        <f t="shared" si="93"/>
        <v>9786858</v>
      </c>
      <c r="I619" s="1">
        <f>174448+5030710</f>
        <v>5205158</v>
      </c>
      <c r="K619" s="1">
        <v>14992016</v>
      </c>
      <c r="M619" s="1">
        <f t="shared" si="94"/>
        <v>6861799</v>
      </c>
      <c r="O619" s="1">
        <v>296339</v>
      </c>
      <c r="Q619" s="1">
        <v>3503452</v>
      </c>
      <c r="S619" s="1">
        <v>10661590</v>
      </c>
      <c r="U619" s="1">
        <v>2585354</v>
      </c>
      <c r="W619" s="1">
        <f t="shared" si="95"/>
        <v>1697909</v>
      </c>
      <c r="Y619" s="1">
        <v>47163</v>
      </c>
      <c r="AA619" s="1">
        <v>4330426</v>
      </c>
      <c r="AC619" s="1">
        <f t="shared" si="89"/>
        <v>0</v>
      </c>
      <c r="AE619" s="3">
        <f t="shared" si="88"/>
        <v>0</v>
      </c>
    </row>
    <row r="620" spans="1:31">
      <c r="A620" s="17" t="s">
        <v>258</v>
      </c>
      <c r="B620" s="17"/>
      <c r="C620" s="17" t="s">
        <v>115</v>
      </c>
      <c r="D620" s="17"/>
      <c r="E620" s="13">
        <v>46367</v>
      </c>
      <c r="G620" s="1">
        <f t="shared" si="93"/>
        <v>7209203</v>
      </c>
      <c r="I620" s="1">
        <f>196442+9491186</f>
        <v>9687628</v>
      </c>
      <c r="K620" s="1">
        <v>16896831</v>
      </c>
      <c r="M620" s="1">
        <f t="shared" si="94"/>
        <v>4398544</v>
      </c>
      <c r="O620" s="1">
        <v>307919</v>
      </c>
      <c r="Q620" s="1">
        <v>3181504</v>
      </c>
      <c r="S620" s="1">
        <v>7887967</v>
      </c>
      <c r="U620" s="1">
        <v>6965894</v>
      </c>
      <c r="W620" s="1">
        <f t="shared" si="95"/>
        <v>1268968</v>
      </c>
      <c r="Y620" s="1">
        <v>774002</v>
      </c>
      <c r="AA620" s="1">
        <v>9008864</v>
      </c>
      <c r="AC620" s="1">
        <f t="shared" si="89"/>
        <v>0</v>
      </c>
      <c r="AE620" s="3">
        <f t="shared" si="88"/>
        <v>0</v>
      </c>
    </row>
    <row r="621" spans="1:31">
      <c r="A621" s="17" t="s">
        <v>418</v>
      </c>
      <c r="B621" s="17"/>
      <c r="C621" s="17" t="s">
        <v>41</v>
      </c>
      <c r="D621" s="17"/>
      <c r="E621" s="13">
        <v>45104</v>
      </c>
      <c r="G621" s="1">
        <f t="shared" si="93"/>
        <v>85401416</v>
      </c>
      <c r="I621" s="1">
        <f>14929505+560374</f>
        <v>15489879</v>
      </c>
      <c r="K621" s="1">
        <v>100891295</v>
      </c>
      <c r="M621" s="1">
        <f t="shared" si="94"/>
        <v>66039623</v>
      </c>
      <c r="O621" s="1">
        <v>2312798</v>
      </c>
      <c r="Q621" s="1">
        <v>11695234</v>
      </c>
      <c r="S621" s="1">
        <v>80047655</v>
      </c>
      <c r="U621" s="1">
        <v>15489879</v>
      </c>
      <c r="W621" s="1">
        <f t="shared" si="95"/>
        <v>4461882</v>
      </c>
      <c r="Y621" s="1">
        <v>891879</v>
      </c>
      <c r="AA621" s="1">
        <v>20843640</v>
      </c>
      <c r="AC621" s="1">
        <f t="shared" si="89"/>
        <v>0</v>
      </c>
      <c r="AE621" s="3">
        <f t="shared" si="88"/>
        <v>0</v>
      </c>
    </row>
    <row r="622" spans="1:31">
      <c r="A622" s="17" t="s">
        <v>262</v>
      </c>
      <c r="B622" s="17"/>
      <c r="C622" s="17" t="s">
        <v>18</v>
      </c>
      <c r="D622" s="17"/>
      <c r="E622" s="13">
        <v>45112</v>
      </c>
      <c r="G622" s="1">
        <f t="shared" si="93"/>
        <v>27483591</v>
      </c>
      <c r="I622" s="1">
        <f>624927+16993678</f>
        <v>17618605</v>
      </c>
      <c r="K622" s="1">
        <v>45102196</v>
      </c>
      <c r="M622" s="1">
        <f t="shared" si="94"/>
        <v>17764943</v>
      </c>
      <c r="O622" s="1">
        <v>1669172</v>
      </c>
      <c r="Q622" s="1">
        <v>7642581</v>
      </c>
      <c r="S622" s="1">
        <v>27076696</v>
      </c>
      <c r="U622" s="1">
        <v>9488284</v>
      </c>
      <c r="W622" s="1">
        <f t="shared" si="95"/>
        <v>3796940</v>
      </c>
      <c r="Y622" s="1">
        <v>4740276</v>
      </c>
      <c r="AA622" s="1">
        <v>18025500</v>
      </c>
      <c r="AC622" s="1">
        <f t="shared" si="89"/>
        <v>0</v>
      </c>
      <c r="AE622" s="3">
        <f t="shared" si="88"/>
        <v>0</v>
      </c>
    </row>
    <row r="623" spans="1:31">
      <c r="A623" s="17" t="s">
        <v>540</v>
      </c>
      <c r="B623" s="17"/>
      <c r="C623" s="17" t="s">
        <v>56</v>
      </c>
      <c r="D623" s="17"/>
      <c r="E623" s="13">
        <v>45666</v>
      </c>
      <c r="G623" s="1">
        <f t="shared" si="93"/>
        <v>3843914</v>
      </c>
      <c r="I623" s="1">
        <v>17599601</v>
      </c>
      <c r="K623" s="1">
        <v>21443515</v>
      </c>
      <c r="M623" s="1">
        <f t="shared" si="94"/>
        <v>2283974</v>
      </c>
      <c r="O623" s="1">
        <v>141023</v>
      </c>
      <c r="Q623" s="1">
        <v>1140368</v>
      </c>
      <c r="S623" s="1">
        <v>3565365</v>
      </c>
      <c r="U623" s="1">
        <v>16898117</v>
      </c>
      <c r="W623" s="1">
        <f t="shared" si="95"/>
        <v>718826</v>
      </c>
      <c r="Y623" s="1">
        <v>261207</v>
      </c>
      <c r="AA623" s="1">
        <v>17878150</v>
      </c>
      <c r="AC623" s="1">
        <f t="shared" si="89"/>
        <v>0</v>
      </c>
      <c r="AE623" s="3">
        <f t="shared" si="88"/>
        <v>0</v>
      </c>
    </row>
    <row r="624" spans="1:31">
      <c r="A624" s="17" t="s">
        <v>376</v>
      </c>
      <c r="B624" s="17"/>
      <c r="C624" s="17" t="s">
        <v>32</v>
      </c>
      <c r="D624" s="17"/>
      <c r="E624" s="13">
        <v>44081</v>
      </c>
      <c r="G624" s="1">
        <f t="shared" si="93"/>
        <v>31266591</v>
      </c>
      <c r="I624" s="1">
        <f>880000+7476176</f>
        <v>8356176</v>
      </c>
      <c r="K624" s="1">
        <v>39622767</v>
      </c>
      <c r="M624" s="1">
        <f t="shared" si="94"/>
        <v>19513311</v>
      </c>
      <c r="O624" s="1">
        <v>1379303</v>
      </c>
      <c r="Q624" s="1">
        <v>5810675</v>
      </c>
      <c r="S624" s="1">
        <v>26703289</v>
      </c>
      <c r="U624" s="1">
        <v>4326265</v>
      </c>
      <c r="W624" s="1">
        <f t="shared" si="95"/>
        <v>1326981</v>
      </c>
      <c r="Y624" s="1">
        <v>7266232</v>
      </c>
      <c r="AA624" s="1">
        <v>12919478</v>
      </c>
      <c r="AC624" s="1">
        <f t="shared" si="89"/>
        <v>0</v>
      </c>
      <c r="AE624" s="3">
        <f t="shared" ref="AE624:AE634" si="96">+G624+I624+-M624-O624-U624-W624-Y624-Q624</f>
        <v>0</v>
      </c>
    </row>
    <row r="625" spans="1:31">
      <c r="A625" s="17" t="s">
        <v>639</v>
      </c>
      <c r="B625" s="17"/>
      <c r="C625" s="17" t="s">
        <v>70</v>
      </c>
      <c r="D625" s="17"/>
      <c r="E625" s="13">
        <v>50518</v>
      </c>
      <c r="G625" s="1">
        <f t="shared" si="93"/>
        <v>13370034</v>
      </c>
      <c r="I625" s="1">
        <f>19171+7787889</f>
        <v>7807060</v>
      </c>
      <c r="K625" s="1">
        <v>21177094</v>
      </c>
      <c r="M625" s="1">
        <f t="shared" si="94"/>
        <v>5601422</v>
      </c>
      <c r="O625" s="1">
        <v>171096</v>
      </c>
      <c r="Q625" s="1">
        <v>6468314</v>
      </c>
      <c r="S625" s="1">
        <v>12240832</v>
      </c>
      <c r="U625" s="1">
        <v>2269214</v>
      </c>
      <c r="W625" s="1">
        <f t="shared" si="95"/>
        <v>1104656</v>
      </c>
      <c r="Y625" s="1">
        <v>5562392</v>
      </c>
      <c r="AA625" s="1">
        <v>8936262</v>
      </c>
      <c r="AC625" s="1">
        <f t="shared" si="89"/>
        <v>0</v>
      </c>
      <c r="AE625" s="3">
        <f t="shared" si="96"/>
        <v>0</v>
      </c>
    </row>
    <row r="626" spans="1:31">
      <c r="A626" s="17" t="s">
        <v>558</v>
      </c>
      <c r="B626" s="17"/>
      <c r="C626" s="17" t="s">
        <v>79</v>
      </c>
      <c r="D626" s="17"/>
      <c r="E626" s="13">
        <v>49577</v>
      </c>
      <c r="G626" s="1">
        <f t="shared" si="93"/>
        <v>6098310</v>
      </c>
      <c r="I626" s="1">
        <f>174516+5294368</f>
        <v>5468884</v>
      </c>
      <c r="K626" s="1">
        <v>11567194</v>
      </c>
      <c r="M626" s="1">
        <f t="shared" si="94"/>
        <v>4177990</v>
      </c>
      <c r="O626" s="1">
        <v>127357</v>
      </c>
      <c r="Q626" s="1">
        <v>802061</v>
      </c>
      <c r="S626" s="1">
        <v>5107408</v>
      </c>
      <c r="U626" s="1">
        <v>5420092</v>
      </c>
      <c r="W626" s="1">
        <f t="shared" si="95"/>
        <v>941521</v>
      </c>
      <c r="Y626" s="1">
        <v>98173</v>
      </c>
      <c r="AA626" s="1">
        <v>6459786</v>
      </c>
      <c r="AC626" s="1">
        <f t="shared" si="89"/>
        <v>0</v>
      </c>
      <c r="AE626" s="3">
        <f t="shared" si="96"/>
        <v>0</v>
      </c>
    </row>
    <row r="627" spans="1:31">
      <c r="A627" s="17" t="s">
        <v>598</v>
      </c>
      <c r="B627" s="17"/>
      <c r="C627" s="17" t="s">
        <v>63</v>
      </c>
      <c r="D627" s="17"/>
      <c r="E627" s="13">
        <v>49973</v>
      </c>
      <c r="G627" s="1">
        <f t="shared" si="93"/>
        <v>26540180</v>
      </c>
      <c r="I627" s="1">
        <f>839759+15573958</f>
        <v>16413717</v>
      </c>
      <c r="K627" s="1">
        <v>42953897</v>
      </c>
      <c r="M627" s="1">
        <f t="shared" si="94"/>
        <v>17153379</v>
      </c>
      <c r="O627" s="1">
        <v>1349761</v>
      </c>
      <c r="Q627" s="1">
        <v>11945229</v>
      </c>
      <c r="S627" s="1">
        <v>30448369</v>
      </c>
      <c r="U627" s="1">
        <v>4106111</v>
      </c>
      <c r="W627" s="1">
        <f t="shared" si="95"/>
        <v>948914</v>
      </c>
      <c r="Y627" s="1">
        <v>7450503</v>
      </c>
      <c r="AA627" s="1">
        <v>12505528</v>
      </c>
      <c r="AC627" s="1">
        <f t="shared" ref="AC627:AC634" si="97">+K627-S627-AA627</f>
        <v>0</v>
      </c>
      <c r="AE627" s="3">
        <f t="shared" si="96"/>
        <v>0</v>
      </c>
    </row>
    <row r="628" spans="1:31">
      <c r="A628" s="17" t="s">
        <v>745</v>
      </c>
      <c r="B628" s="17"/>
      <c r="C628" s="17" t="s">
        <v>71</v>
      </c>
      <c r="D628" s="17"/>
      <c r="E628" s="13">
        <v>45138</v>
      </c>
      <c r="G628" s="1">
        <f t="shared" si="93"/>
        <v>49040226</v>
      </c>
      <c r="I628" s="1">
        <f>2676543+35512698</f>
        <v>38189241</v>
      </c>
      <c r="K628" s="1">
        <v>87229467</v>
      </c>
      <c r="M628" s="1">
        <f t="shared" si="94"/>
        <v>27675482</v>
      </c>
      <c r="O628" s="1">
        <v>3161165</v>
      </c>
      <c r="Q628" s="1">
        <v>24458465</v>
      </c>
      <c r="S628" s="1">
        <v>55295112</v>
      </c>
      <c r="U628" s="1">
        <v>23098115</v>
      </c>
      <c r="W628" s="1">
        <f t="shared" si="95"/>
        <v>3965052</v>
      </c>
      <c r="Y628" s="1">
        <v>4871188</v>
      </c>
      <c r="AA628" s="1">
        <v>31934355</v>
      </c>
      <c r="AC628" s="1">
        <f t="shared" si="97"/>
        <v>0</v>
      </c>
      <c r="AE628" s="3">
        <f t="shared" si="96"/>
        <v>0</v>
      </c>
    </row>
    <row r="629" spans="1:31">
      <c r="A629" s="17" t="s">
        <v>344</v>
      </c>
      <c r="B629" s="17"/>
      <c r="C629" s="17" t="s">
        <v>27</v>
      </c>
      <c r="D629" s="17"/>
      <c r="E629" s="13">
        <v>46524</v>
      </c>
      <c r="G629" s="1">
        <f t="shared" si="93"/>
        <v>142124624</v>
      </c>
      <c r="I629" s="1">
        <f>10205386+58157888</f>
        <v>68363274</v>
      </c>
      <c r="K629" s="1">
        <v>210487898</v>
      </c>
      <c r="M629" s="1">
        <f t="shared" si="94"/>
        <v>65062951</v>
      </c>
      <c r="O629" s="1">
        <v>7109214</v>
      </c>
      <c r="Q629" s="1">
        <v>58552856</v>
      </c>
      <c r="S629" s="1">
        <v>130725021</v>
      </c>
      <c r="U629" s="1">
        <v>21216857</v>
      </c>
      <c r="W629" s="1">
        <f t="shared" si="95"/>
        <v>6752719</v>
      </c>
      <c r="Y629" s="1">
        <v>51793301</v>
      </c>
      <c r="AA629" s="1">
        <v>79762877</v>
      </c>
      <c r="AC629" s="1">
        <f t="shared" si="97"/>
        <v>0</v>
      </c>
      <c r="AE629" s="3">
        <f t="shared" si="96"/>
        <v>0</v>
      </c>
    </row>
    <row r="630" spans="1:31">
      <c r="A630" s="17" t="s">
        <v>279</v>
      </c>
      <c r="B630" s="17"/>
      <c r="C630" s="17" t="s">
        <v>113</v>
      </c>
      <c r="D630" s="17"/>
      <c r="E630" s="13">
        <v>45146</v>
      </c>
      <c r="G630" s="1">
        <f t="shared" si="93"/>
        <v>6381334</v>
      </c>
      <c r="I630" s="1">
        <v>7914297</v>
      </c>
      <c r="K630" s="1">
        <v>14295631</v>
      </c>
      <c r="M630" s="1">
        <f t="shared" si="94"/>
        <v>3946049</v>
      </c>
      <c r="O630" s="1">
        <v>342492</v>
      </c>
      <c r="Q630" s="1">
        <v>6103477</v>
      </c>
      <c r="S630" s="1">
        <v>10392018</v>
      </c>
      <c r="U630" s="1">
        <v>2112437</v>
      </c>
      <c r="W630" s="1">
        <f t="shared" si="95"/>
        <v>936972</v>
      </c>
      <c r="Y630" s="1">
        <v>854204</v>
      </c>
      <c r="AA630" s="1">
        <v>3903613</v>
      </c>
      <c r="AC630" s="1">
        <f t="shared" si="97"/>
        <v>0</v>
      </c>
      <c r="AE630" s="3">
        <f t="shared" si="96"/>
        <v>0</v>
      </c>
    </row>
    <row r="631" spans="1:31">
      <c r="A631" s="17" t="s">
        <v>377</v>
      </c>
      <c r="B631" s="17"/>
      <c r="C631" s="17" t="s">
        <v>32</v>
      </c>
      <c r="D631" s="17"/>
      <c r="E631" s="13">
        <v>45153</v>
      </c>
      <c r="G631" s="1">
        <f t="shared" si="93"/>
        <v>26291840</v>
      </c>
      <c r="I631" s="1">
        <f>1979731+20452774</f>
        <v>22432505</v>
      </c>
      <c r="K631" s="1">
        <v>48724345</v>
      </c>
      <c r="M631" s="1">
        <f t="shared" si="94"/>
        <v>9135848</v>
      </c>
      <c r="O631" s="1">
        <v>1435401</v>
      </c>
      <c r="Q631" s="1">
        <v>22395425</v>
      </c>
      <c r="S631" s="1">
        <v>32966674</v>
      </c>
      <c r="U631" s="1">
        <v>933025</v>
      </c>
      <c r="W631" s="1">
        <f t="shared" si="95"/>
        <v>2735000</v>
      </c>
      <c r="Y631" s="1">
        <v>12089646</v>
      </c>
      <c r="AA631" s="1">
        <v>15757671</v>
      </c>
      <c r="AC631" s="1">
        <f t="shared" si="97"/>
        <v>0</v>
      </c>
      <c r="AE631" s="3">
        <f t="shared" si="96"/>
        <v>0</v>
      </c>
    </row>
    <row r="632" spans="1:31">
      <c r="A632" s="17" t="s">
        <v>359</v>
      </c>
      <c r="B632" s="17"/>
      <c r="C632" s="17" t="s">
        <v>116</v>
      </c>
      <c r="D632" s="17"/>
      <c r="E632" s="13">
        <v>45674</v>
      </c>
      <c r="G632" s="1">
        <f t="shared" si="93"/>
        <v>6527679</v>
      </c>
      <c r="I632" s="1">
        <f>1699838+4266722</f>
        <v>5966560</v>
      </c>
      <c r="K632" s="1">
        <v>12494239</v>
      </c>
      <c r="M632" s="1">
        <f>+S632-O632-Q632</f>
        <v>3708862</v>
      </c>
      <c r="O632" s="1">
        <v>150000</v>
      </c>
      <c r="Q632" s="1">
        <v>4082441</v>
      </c>
      <c r="S632" s="1">
        <v>7941303</v>
      </c>
      <c r="U632" s="1">
        <v>2451560</v>
      </c>
      <c r="W632" s="1">
        <f t="shared" si="95"/>
        <v>484386</v>
      </c>
      <c r="Y632" s="1">
        <v>1616990</v>
      </c>
      <c r="AA632" s="1">
        <v>4552936</v>
      </c>
      <c r="AC632" s="1">
        <f t="shared" si="97"/>
        <v>0</v>
      </c>
      <c r="AE632" s="3">
        <f t="shared" si="96"/>
        <v>0</v>
      </c>
    </row>
    <row r="633" spans="1:31">
      <c r="A633" s="17" t="s">
        <v>472</v>
      </c>
      <c r="B633" s="17"/>
      <c r="C633" s="17" t="s">
        <v>45</v>
      </c>
      <c r="D633" s="17"/>
      <c r="E633" s="13">
        <v>45161</v>
      </c>
      <c r="G633" s="1">
        <f t="shared" si="93"/>
        <v>69012621</v>
      </c>
      <c r="I633" s="1">
        <f>12360453+152044114</f>
        <v>164404567</v>
      </c>
      <c r="K633" s="1">
        <v>233417188</v>
      </c>
      <c r="M633" s="1">
        <f t="shared" si="94"/>
        <v>38528003</v>
      </c>
      <c r="O633" s="1">
        <v>1789778</v>
      </c>
      <c r="Q633" s="1">
        <v>44619249</v>
      </c>
      <c r="S633" s="1">
        <v>84937030</v>
      </c>
      <c r="U633" s="1">
        <v>129847116</v>
      </c>
      <c r="W633" s="1">
        <f t="shared" si="95"/>
        <v>38522504</v>
      </c>
      <c r="Y633" s="1">
        <v>-19889462</v>
      </c>
      <c r="AA633" s="1">
        <v>148480158</v>
      </c>
      <c r="AC633" s="1">
        <f t="shared" si="97"/>
        <v>0</v>
      </c>
      <c r="AE633" s="3">
        <f t="shared" si="96"/>
        <v>0</v>
      </c>
    </row>
    <row r="634" spans="1:31">
      <c r="A634" s="17" t="s">
        <v>554</v>
      </c>
      <c r="B634" s="17"/>
      <c r="C634" s="17" t="s">
        <v>58</v>
      </c>
      <c r="D634" s="17"/>
      <c r="E634" s="13">
        <v>49544</v>
      </c>
      <c r="G634" s="1">
        <f t="shared" si="93"/>
        <v>11491687</v>
      </c>
      <c r="I634" s="1">
        <f>137750+15351246</f>
        <v>15488996</v>
      </c>
      <c r="K634" s="1">
        <v>26980683</v>
      </c>
      <c r="M634" s="1">
        <f>+S634-O634-Q634</f>
        <v>5428236</v>
      </c>
      <c r="O634" s="1">
        <v>404419</v>
      </c>
      <c r="Q634" s="1">
        <v>6099277</v>
      </c>
      <c r="S634" s="1">
        <v>11931932</v>
      </c>
      <c r="U634" s="1">
        <v>9648670</v>
      </c>
      <c r="W634" s="1">
        <f t="shared" si="95"/>
        <v>1886470</v>
      </c>
      <c r="Y634" s="1">
        <v>3513611</v>
      </c>
      <c r="AA634" s="1">
        <v>15048751</v>
      </c>
      <c r="AC634" s="1">
        <f t="shared" si="97"/>
        <v>0</v>
      </c>
      <c r="AE634" s="3">
        <f t="shared" si="96"/>
        <v>0</v>
      </c>
    </row>
    <row r="635" spans="1:31">
      <c r="A635" s="17" t="s">
        <v>516</v>
      </c>
      <c r="B635" s="17"/>
      <c r="C635" s="17" t="s">
        <v>51</v>
      </c>
      <c r="D635" s="17"/>
      <c r="E635" s="13">
        <v>45179</v>
      </c>
      <c r="G635" s="1">
        <f t="shared" si="93"/>
        <v>44325241</v>
      </c>
      <c r="I635" s="1">
        <f>50830495+30811411</f>
        <v>81641906</v>
      </c>
      <c r="K635" s="1">
        <v>125967147</v>
      </c>
      <c r="M635" s="1">
        <f t="shared" si="94"/>
        <v>19753317</v>
      </c>
      <c r="O635" s="1">
        <v>1119794</v>
      </c>
      <c r="Q635" s="1">
        <v>32508408</v>
      </c>
      <c r="S635" s="1">
        <v>53381519</v>
      </c>
      <c r="U635" s="1">
        <v>48679338</v>
      </c>
      <c r="W635" s="1">
        <f t="shared" si="95"/>
        <v>21864974</v>
      </c>
      <c r="Y635" s="1">
        <v>2041316</v>
      </c>
      <c r="AA635" s="1">
        <v>72585628</v>
      </c>
      <c r="AC635" s="1">
        <f>+K635-S635-AA635</f>
        <v>0</v>
      </c>
      <c r="AE635" s="3">
        <f>+G635+I635+-M635-O635-U635-W635-Y635-Q635</f>
        <v>0</v>
      </c>
    </row>
  </sheetData>
  <mergeCells count="4">
    <mergeCell ref="A1:I1"/>
    <mergeCell ref="U7:Y7"/>
    <mergeCell ref="O7:Q7"/>
    <mergeCell ref="G7:I7"/>
  </mergeCells>
  <phoneticPr fontId="3" type="noConversion"/>
  <pageMargins left="0.9" right="0.75" top="0.5" bottom="0.5" header="0.25" footer="0.25"/>
  <pageSetup scale="77" firstPageNumber="6" pageOrder="overThenDown" orientation="portrait" useFirstPageNumber="1" r:id="rId1"/>
  <headerFooter scaleWithDoc="0" alignWithMargins="0">
    <oddFooter>&amp;C&amp;"Times New Roman,Regular"&amp;11&amp;P</oddFooter>
  </headerFooter>
  <colBreaks count="1" manualBreakCount="1">
    <brk id="14" max="63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G636"/>
  <sheetViews>
    <sheetView zoomScaleNormal="100" zoomScaleSheetLayoutView="10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G10" sqref="G10"/>
    </sheetView>
  </sheetViews>
  <sheetFormatPr defaultColWidth="9.140625" defaultRowHeight="12"/>
  <cols>
    <col min="1" max="1" width="33.28515625" style="1" customWidth="1"/>
    <col min="2" max="2" width="1.7109375" style="1" customWidth="1"/>
    <col min="3" max="3" width="12.85546875" style="1" customWidth="1"/>
    <col min="4" max="4" width="1.7109375" style="1" hidden="1" customWidth="1"/>
    <col min="5" max="5" width="1.28515625" style="3" hidden="1" customWidth="1"/>
    <col min="6" max="6" width="1.7109375" style="1" customWidth="1"/>
    <col min="7" max="7" width="14.7109375" style="1" customWidth="1"/>
    <col min="8" max="8" width="1.7109375" style="1" customWidth="1"/>
    <col min="9" max="9" width="14.7109375" style="1" customWidth="1"/>
    <col min="10" max="10" width="1.7109375" style="1" customWidth="1"/>
    <col min="11" max="11" width="14.7109375" style="1" customWidth="1"/>
    <col min="12" max="12" width="1.7109375" style="1" customWidth="1"/>
    <col min="13" max="13" width="14.7109375" style="1" customWidth="1"/>
    <col min="14" max="14" width="1.7109375" style="1" customWidth="1"/>
    <col min="15" max="15" width="14.7109375" style="1" customWidth="1"/>
    <col min="16" max="16" width="1.7109375" style="1" customWidth="1"/>
    <col min="17" max="17" width="14.7109375" style="1" customWidth="1"/>
    <col min="18" max="18" width="1.7109375" style="1" customWidth="1"/>
    <col min="19" max="19" width="14.7109375" style="1" customWidth="1"/>
    <col min="20" max="20" width="1.7109375" style="1" customWidth="1"/>
    <col min="21" max="21" width="14.7109375" style="1" customWidth="1"/>
    <col min="22" max="22" width="1.7109375" style="1" hidden="1" customWidth="1"/>
    <col min="23" max="23" width="7" style="1" hidden="1" customWidth="1"/>
    <col min="24" max="24" width="13.7109375" style="1" customWidth="1"/>
    <col min="25" max="25" width="1.7109375" style="1" customWidth="1"/>
    <col min="26" max="16384" width="9.140625" style="1"/>
  </cols>
  <sheetData>
    <row r="1" spans="1:24" s="2" customFormat="1">
      <c r="A1" s="55" t="s">
        <v>80</v>
      </c>
      <c r="B1" s="55"/>
      <c r="C1" s="55"/>
      <c r="D1" s="55"/>
      <c r="E1" s="63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4" s="2" customFormat="1">
      <c r="A2" s="55" t="s">
        <v>918</v>
      </c>
      <c r="B2" s="55"/>
      <c r="C2" s="55"/>
      <c r="D2" s="55"/>
      <c r="E2" s="63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spans="1:24" s="2" customFormat="1">
      <c r="A3" s="55"/>
      <c r="B3" s="35"/>
      <c r="C3" s="35"/>
      <c r="D3" s="35"/>
      <c r="E3" s="36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</row>
    <row r="4" spans="1:24">
      <c r="A4" s="2" t="s">
        <v>171</v>
      </c>
    </row>
    <row r="5" spans="1:24" s="2" customFormat="1">
      <c r="A5" s="35"/>
      <c r="B5" s="8"/>
      <c r="C5" s="8"/>
      <c r="D5" s="8"/>
      <c r="E5" s="66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4">
      <c r="B6" s="56"/>
      <c r="C6" s="56"/>
      <c r="D6" s="56"/>
      <c r="E6" s="57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X6" s="103" t="s">
        <v>662</v>
      </c>
    </row>
    <row r="7" spans="1:24">
      <c r="A7" s="102"/>
      <c r="B7" s="102"/>
      <c r="C7" s="102"/>
      <c r="D7" s="102"/>
      <c r="E7" s="26"/>
      <c r="F7" s="102"/>
      <c r="G7" s="102" t="s">
        <v>81</v>
      </c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 t="s">
        <v>660</v>
      </c>
      <c r="X7" s="103" t="s">
        <v>663</v>
      </c>
    </row>
    <row r="8" spans="1:24">
      <c r="A8" s="102"/>
      <c r="B8" s="102"/>
      <c r="C8" s="102"/>
      <c r="D8" s="102"/>
      <c r="E8" s="26"/>
      <c r="F8" s="102"/>
      <c r="G8" s="102" t="s">
        <v>83</v>
      </c>
      <c r="H8" s="102"/>
      <c r="I8" s="102"/>
      <c r="J8" s="102"/>
      <c r="K8" s="102" t="s">
        <v>96</v>
      </c>
      <c r="L8" s="102"/>
      <c r="M8" s="102" t="s">
        <v>73</v>
      </c>
      <c r="N8" s="102"/>
      <c r="O8" s="102" t="s">
        <v>95</v>
      </c>
      <c r="P8" s="102"/>
      <c r="Q8" s="102" t="s">
        <v>129</v>
      </c>
      <c r="R8" s="102"/>
      <c r="S8" s="102" t="s">
        <v>961</v>
      </c>
      <c r="T8" s="102"/>
      <c r="U8" s="103" t="s">
        <v>661</v>
      </c>
      <c r="W8" s="1" t="s">
        <v>3</v>
      </c>
      <c r="X8" s="103" t="s">
        <v>664</v>
      </c>
    </row>
    <row r="9" spans="1:24">
      <c r="A9" s="101" t="s">
        <v>202</v>
      </c>
      <c r="B9" s="103"/>
      <c r="C9" s="101" t="s">
        <v>4</v>
      </c>
      <c r="D9" s="103"/>
      <c r="E9" s="11" t="s">
        <v>201</v>
      </c>
      <c r="F9" s="102"/>
      <c r="G9" s="101" t="s">
        <v>84</v>
      </c>
      <c r="H9" s="102"/>
      <c r="I9" s="101" t="s">
        <v>85</v>
      </c>
      <c r="J9" s="102"/>
      <c r="K9" s="101" t="s">
        <v>99</v>
      </c>
      <c r="L9" s="102"/>
      <c r="M9" s="101" t="s">
        <v>97</v>
      </c>
      <c r="N9" s="102"/>
      <c r="O9" s="101" t="s">
        <v>98</v>
      </c>
      <c r="P9" s="102"/>
      <c r="Q9" s="101" t="s">
        <v>86</v>
      </c>
      <c r="R9" s="102"/>
      <c r="S9" s="101" t="s">
        <v>86</v>
      </c>
      <c r="T9" s="102"/>
      <c r="U9" s="101" t="s">
        <v>118</v>
      </c>
      <c r="V9" s="8"/>
      <c r="W9" s="8" t="s">
        <v>100</v>
      </c>
      <c r="X9" s="103" t="s">
        <v>102</v>
      </c>
    </row>
    <row r="10" spans="1:24">
      <c r="A10" s="12"/>
      <c r="B10" s="12"/>
      <c r="C10" s="12"/>
      <c r="D10" s="12"/>
      <c r="E10" s="13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96">
        <f>S10+G10+M10+K10</f>
        <v>0</v>
      </c>
    </row>
    <row r="11" spans="1:24" s="16" customFormat="1">
      <c r="A11" s="14" t="s">
        <v>920</v>
      </c>
      <c r="B11" s="14"/>
      <c r="C11" s="14" t="s">
        <v>203</v>
      </c>
      <c r="D11" s="14"/>
      <c r="E11" s="13">
        <v>61903</v>
      </c>
      <c r="G11" s="16">
        <v>34013099</v>
      </c>
      <c r="I11" s="16">
        <v>0</v>
      </c>
      <c r="K11" s="16">
        <v>0</v>
      </c>
      <c r="M11" s="16">
        <v>0</v>
      </c>
      <c r="O11" s="16">
        <v>2493086</v>
      </c>
      <c r="Q11" s="16">
        <v>0</v>
      </c>
      <c r="S11" s="72">
        <f>SUM(G11:R11)</f>
        <v>36506185</v>
      </c>
      <c r="U11" s="16">
        <v>1702933</v>
      </c>
      <c r="X11" s="16">
        <f>+'St of Net Assets - GA'!O11-'LT _Lia - GA'!U11</f>
        <v>0</v>
      </c>
    </row>
    <row r="12" spans="1:24">
      <c r="A12" s="12" t="s">
        <v>549</v>
      </c>
      <c r="B12" s="12"/>
      <c r="C12" s="12" t="s">
        <v>58</v>
      </c>
      <c r="D12" s="12"/>
      <c r="E12" s="13">
        <v>49494</v>
      </c>
      <c r="G12" s="1">
        <f>775000+1085000+28461</f>
        <v>1888461</v>
      </c>
      <c r="I12" s="1">
        <v>0</v>
      </c>
      <c r="K12" s="1">
        <v>0</v>
      </c>
      <c r="M12" s="1">
        <v>35138</v>
      </c>
      <c r="O12" s="1">
        <v>631474</v>
      </c>
      <c r="Q12" s="1">
        <v>0</v>
      </c>
      <c r="S12" s="20">
        <f t="shared" ref="S12:S68" si="0">SUM(G12:R12)</f>
        <v>2555073</v>
      </c>
      <c r="U12" s="1">
        <v>173766</v>
      </c>
      <c r="X12" s="1">
        <f>+'St of Net Assets - GA'!O12-'LT _Lia - GA'!U12</f>
        <v>0</v>
      </c>
    </row>
    <row r="13" spans="1:24">
      <c r="A13" s="12" t="s">
        <v>586</v>
      </c>
      <c r="B13" s="12"/>
      <c r="C13" s="12" t="s">
        <v>63</v>
      </c>
      <c r="D13" s="12"/>
      <c r="E13" s="13">
        <v>43489</v>
      </c>
      <c r="G13" s="1">
        <v>0</v>
      </c>
      <c r="I13" s="1">
        <v>0</v>
      </c>
      <c r="K13" s="1">
        <v>0</v>
      </c>
      <c r="M13" s="1">
        <v>0</v>
      </c>
      <c r="O13" s="1">
        <v>25651164</v>
      </c>
      <c r="Q13" s="1">
        <v>0</v>
      </c>
      <c r="S13" s="20">
        <f t="shared" si="0"/>
        <v>25651164</v>
      </c>
      <c r="U13" s="1">
        <v>1682139</v>
      </c>
      <c r="X13" s="1">
        <f>+'St of Net Assets - GA'!O13-'LT _Lia - GA'!U13</f>
        <v>0</v>
      </c>
    </row>
    <row r="14" spans="1:24" hidden="1">
      <c r="A14" s="12" t="s">
        <v>738</v>
      </c>
      <c r="B14" s="12"/>
      <c r="C14" s="12" t="s">
        <v>13</v>
      </c>
      <c r="D14" s="12"/>
      <c r="E14" s="13">
        <v>45906</v>
      </c>
      <c r="S14" s="20">
        <f t="shared" si="0"/>
        <v>0</v>
      </c>
      <c r="X14" s="1">
        <f>+'St of Net Assets - GA'!O14-'LT _Lia - GA'!U14</f>
        <v>0</v>
      </c>
    </row>
    <row r="15" spans="1:24">
      <c r="A15" s="12" t="s">
        <v>572</v>
      </c>
      <c r="B15" s="12"/>
      <c r="C15" s="12" t="s">
        <v>62</v>
      </c>
      <c r="D15" s="12"/>
      <c r="E15" s="13">
        <v>43497</v>
      </c>
      <c r="G15" s="1">
        <f>12314263-3445544</f>
        <v>8868719</v>
      </c>
      <c r="I15" s="1">
        <v>0</v>
      </c>
      <c r="K15" s="1">
        <v>0</v>
      </c>
      <c r="M15" s="1">
        <v>0</v>
      </c>
      <c r="O15" s="1">
        <v>3445544</v>
      </c>
      <c r="Q15" s="1">
        <v>0</v>
      </c>
      <c r="S15" s="20">
        <f t="shared" si="0"/>
        <v>12314263</v>
      </c>
      <c r="U15" s="1">
        <v>566780</v>
      </c>
      <c r="X15" s="1">
        <f>+'St of Net Assets - GA'!O15-'LT _Lia - GA'!U15</f>
        <v>0</v>
      </c>
    </row>
    <row r="16" spans="1:24">
      <c r="A16" s="12" t="s">
        <v>321</v>
      </c>
      <c r="B16" s="12"/>
      <c r="C16" s="12" t="s">
        <v>25</v>
      </c>
      <c r="D16" s="12"/>
      <c r="E16" s="13">
        <v>46847</v>
      </c>
      <c r="G16" s="1">
        <f>950000+2119998+314638</f>
        <v>3384636</v>
      </c>
      <c r="I16" s="1">
        <v>0</v>
      </c>
      <c r="K16" s="1">
        <v>0</v>
      </c>
      <c r="M16" s="1">
        <v>128597</v>
      </c>
      <c r="O16" s="1">
        <v>558974</v>
      </c>
      <c r="Q16" s="1">
        <v>0</v>
      </c>
      <c r="S16" s="20">
        <f t="shared" si="0"/>
        <v>4072207</v>
      </c>
      <c r="U16" s="1">
        <v>299030</v>
      </c>
      <c r="X16" s="1">
        <f>+'St of Net Assets - GA'!O16-'LT _Lia - GA'!U16</f>
        <v>0</v>
      </c>
    </row>
    <row r="17" spans="1:27">
      <c r="A17" s="12" t="s">
        <v>685</v>
      </c>
      <c r="B17" s="12"/>
      <c r="C17" s="12" t="s">
        <v>44</v>
      </c>
      <c r="D17" s="12"/>
      <c r="E17" s="13">
        <v>45195</v>
      </c>
      <c r="G17" s="1">
        <f>2325000+15635000+203915+869953+874738</f>
        <v>19908606</v>
      </c>
      <c r="I17" s="1">
        <v>0</v>
      </c>
      <c r="K17" s="1">
        <v>700000</v>
      </c>
      <c r="M17" s="1">
        <v>0</v>
      </c>
      <c r="O17" s="1">
        <v>3485034</v>
      </c>
      <c r="Q17" s="1">
        <v>0</v>
      </c>
      <c r="S17" s="20">
        <f>SUM(G17:R17)</f>
        <v>24093640</v>
      </c>
      <c r="U17" s="1">
        <v>1481481</v>
      </c>
      <c r="X17" s="1">
        <f>+'St of Net Assets - GA'!O17-'LT _Lia - GA'!U17</f>
        <v>0</v>
      </c>
    </row>
    <row r="18" spans="1:27" hidden="1">
      <c r="A18" s="12" t="s">
        <v>921</v>
      </c>
      <c r="B18" s="12"/>
      <c r="C18" s="12" t="s">
        <v>61</v>
      </c>
      <c r="D18" s="12"/>
      <c r="E18" s="13">
        <v>49759</v>
      </c>
      <c r="S18" s="20">
        <f t="shared" si="0"/>
        <v>0</v>
      </c>
      <c r="X18" s="1">
        <f>+'St of Net Assets - GA'!O18-'LT _Lia - GA'!U18</f>
        <v>0</v>
      </c>
    </row>
    <row r="19" spans="1:27" hidden="1">
      <c r="A19" s="12" t="s">
        <v>860</v>
      </c>
      <c r="B19" s="12"/>
      <c r="C19" s="12" t="s">
        <v>718</v>
      </c>
      <c r="D19" s="12"/>
      <c r="E19" s="13"/>
      <c r="S19" s="20">
        <f t="shared" si="0"/>
        <v>0</v>
      </c>
      <c r="X19" s="1">
        <f>+'St of Net Assets - GA'!O19-'LT _Lia - GA'!U19</f>
        <v>0</v>
      </c>
    </row>
    <row r="20" spans="1:27">
      <c r="A20" s="12" t="s">
        <v>449</v>
      </c>
      <c r="B20" s="12"/>
      <c r="C20" s="12" t="s">
        <v>117</v>
      </c>
      <c r="D20" s="12"/>
      <c r="E20" s="13">
        <v>48207</v>
      </c>
      <c r="G20" s="1">
        <v>23669931</v>
      </c>
      <c r="I20" s="1">
        <v>0</v>
      </c>
      <c r="K20" s="1">
        <v>700000</v>
      </c>
      <c r="M20" s="1">
        <v>0</v>
      </c>
      <c r="O20" s="1">
        <v>1697731</v>
      </c>
      <c r="Q20" s="1">
        <v>0</v>
      </c>
      <c r="S20" s="20">
        <f t="shared" si="0"/>
        <v>26067662</v>
      </c>
      <c r="U20" s="1">
        <v>2144986</v>
      </c>
      <c r="X20" s="1">
        <f>+'St of Net Assets - GA'!O20-'LT _Lia - GA'!U20</f>
        <v>0</v>
      </c>
    </row>
    <row r="21" spans="1:27">
      <c r="A21" s="12" t="s">
        <v>378</v>
      </c>
      <c r="B21" s="12"/>
      <c r="C21" s="12" t="s">
        <v>33</v>
      </c>
      <c r="D21" s="12"/>
      <c r="E21" s="13">
        <v>47415</v>
      </c>
      <c r="G21" s="1">
        <v>0</v>
      </c>
      <c r="I21" s="1">
        <v>0</v>
      </c>
      <c r="K21" s="1">
        <v>0</v>
      </c>
      <c r="M21" s="1">
        <v>0</v>
      </c>
      <c r="O21" s="1">
        <v>410539</v>
      </c>
      <c r="Q21" s="1">
        <v>0</v>
      </c>
      <c r="S21" s="20">
        <f t="shared" si="0"/>
        <v>410539</v>
      </c>
      <c r="U21" s="1">
        <v>12491</v>
      </c>
      <c r="X21" s="1">
        <f>+'St of Net Assets - GA'!O21-'LT _Lia - GA'!U21</f>
        <v>0</v>
      </c>
    </row>
    <row r="22" spans="1:27" hidden="1">
      <c r="A22" s="12" t="s">
        <v>823</v>
      </c>
      <c r="B22" s="12"/>
      <c r="C22" s="12" t="s">
        <v>718</v>
      </c>
      <c r="D22" s="12"/>
      <c r="E22" s="13">
        <v>46631</v>
      </c>
      <c r="S22" s="20">
        <f t="shared" si="0"/>
        <v>0</v>
      </c>
      <c r="X22" s="1">
        <f>+'St of Net Assets - GA'!O22-'LT _Lia - GA'!U22</f>
        <v>0</v>
      </c>
    </row>
    <row r="23" spans="1:27">
      <c r="A23" s="12" t="s">
        <v>922</v>
      </c>
      <c r="B23" s="12"/>
      <c r="C23" s="12" t="s">
        <v>28</v>
      </c>
      <c r="D23" s="12"/>
      <c r="E23" s="13">
        <v>47043</v>
      </c>
      <c r="G23" s="1">
        <v>11320201</v>
      </c>
      <c r="I23" s="1">
        <v>0</v>
      </c>
      <c r="K23" s="1">
        <v>0</v>
      </c>
      <c r="M23" s="1">
        <v>0</v>
      </c>
      <c r="O23" s="1">
        <v>914493</v>
      </c>
      <c r="Q23" s="1">
        <v>0</v>
      </c>
      <c r="S23" s="20">
        <f t="shared" si="0"/>
        <v>12234694</v>
      </c>
      <c r="U23" s="1">
        <v>1270811</v>
      </c>
      <c r="X23" s="1">
        <f>+'St of Net Assets - GA'!O23-'LT _Lia - GA'!U23</f>
        <v>0</v>
      </c>
    </row>
    <row r="24" spans="1:27">
      <c r="A24" s="12" t="s">
        <v>379</v>
      </c>
      <c r="B24" s="12"/>
      <c r="C24" s="12" t="s">
        <v>33</v>
      </c>
      <c r="D24" s="12"/>
      <c r="E24" s="13">
        <v>47423</v>
      </c>
      <c r="G24" s="1">
        <v>995000</v>
      </c>
      <c r="I24" s="1">
        <v>0</v>
      </c>
      <c r="K24" s="1">
        <v>0</v>
      </c>
      <c r="M24" s="1">
        <v>0</v>
      </c>
      <c r="O24" s="1">
        <v>568491</v>
      </c>
      <c r="Q24" s="1">
        <v>0</v>
      </c>
      <c r="S24" s="20">
        <f t="shared" si="0"/>
        <v>1563491</v>
      </c>
      <c r="U24" s="1">
        <v>130704</v>
      </c>
      <c r="X24" s="1">
        <f>+'St of Net Assets - GA'!O24-'LT _Lia - GA'!U24</f>
        <v>0</v>
      </c>
    </row>
    <row r="25" spans="1:27">
      <c r="A25" s="12" t="s">
        <v>206</v>
      </c>
      <c r="B25" s="12"/>
      <c r="C25" s="12" t="s">
        <v>11</v>
      </c>
      <c r="D25" s="12"/>
      <c r="E25" s="13">
        <v>43505</v>
      </c>
      <c r="G25" s="1">
        <v>3603969</v>
      </c>
      <c r="I25" s="1">
        <v>98000</v>
      </c>
      <c r="K25" s="1">
        <v>0</v>
      </c>
      <c r="M25" s="1">
        <v>0</v>
      </c>
      <c r="O25" s="1">
        <v>2492428</v>
      </c>
      <c r="Q25" s="1">
        <v>0</v>
      </c>
      <c r="S25" s="20">
        <f t="shared" si="0"/>
        <v>6194397</v>
      </c>
      <c r="U25" s="1">
        <v>484543</v>
      </c>
      <c r="X25" s="1">
        <f>+'St of Net Assets - GA'!O25-'LT _Lia - GA'!U25</f>
        <v>0</v>
      </c>
    </row>
    <row r="26" spans="1:27">
      <c r="A26" s="12" t="s">
        <v>672</v>
      </c>
      <c r="B26" s="12"/>
      <c r="C26" s="12" t="s">
        <v>12</v>
      </c>
      <c r="D26" s="12"/>
      <c r="E26" s="13">
        <v>43513</v>
      </c>
      <c r="G26" s="1">
        <f>36995000+208699+227377+353434</f>
        <v>37784510</v>
      </c>
      <c r="I26" s="1">
        <v>0</v>
      </c>
      <c r="K26" s="1">
        <v>0</v>
      </c>
      <c r="M26" s="1">
        <v>0</v>
      </c>
      <c r="O26" s="1">
        <v>3123069</v>
      </c>
      <c r="Q26" s="1">
        <v>0</v>
      </c>
      <c r="S26" s="20">
        <f t="shared" si="0"/>
        <v>40907579</v>
      </c>
      <c r="U26" s="1">
        <v>2394859</v>
      </c>
      <c r="X26" s="1">
        <f>+'St of Net Assets - GA'!O26-'LT _Lia - GA'!U26</f>
        <v>0</v>
      </c>
    </row>
    <row r="27" spans="1:27">
      <c r="A27" s="12" t="s">
        <v>214</v>
      </c>
      <c r="B27" s="12"/>
      <c r="C27" s="12" t="s">
        <v>13</v>
      </c>
      <c r="D27" s="12"/>
      <c r="E27" s="13">
        <v>43521</v>
      </c>
      <c r="G27" s="1">
        <f>3360000+8545000+140000+370018+913104</f>
        <v>13328122</v>
      </c>
      <c r="I27" s="1">
        <v>0</v>
      </c>
      <c r="K27" s="1">
        <v>0</v>
      </c>
      <c r="M27" s="1">
        <v>0</v>
      </c>
      <c r="O27" s="1">
        <v>1595603</v>
      </c>
      <c r="Q27" s="1">
        <v>0</v>
      </c>
      <c r="S27" s="20">
        <f t="shared" si="0"/>
        <v>14923725</v>
      </c>
      <c r="U27" s="1">
        <v>964635</v>
      </c>
      <c r="X27" s="1">
        <f>+'St of Net Assets - GA'!O27-'LT _Lia - GA'!U27</f>
        <v>0</v>
      </c>
    </row>
    <row r="28" spans="1:27">
      <c r="A28" s="12" t="s">
        <v>532</v>
      </c>
      <c r="B28" s="12"/>
      <c r="C28" s="12" t="s">
        <v>56</v>
      </c>
      <c r="D28" s="12"/>
      <c r="E28" s="13">
        <v>49171</v>
      </c>
      <c r="G28" s="1">
        <v>25464857</v>
      </c>
      <c r="I28" s="1">
        <v>9671026</v>
      </c>
      <c r="K28" s="1">
        <v>0</v>
      </c>
      <c r="M28" s="1">
        <v>0</v>
      </c>
      <c r="O28" s="1">
        <v>1777636</v>
      </c>
      <c r="Q28" s="1">
        <v>0</v>
      </c>
      <c r="S28" s="20">
        <f t="shared" si="0"/>
        <v>36913519</v>
      </c>
      <c r="U28" s="1">
        <v>1912843</v>
      </c>
      <c r="X28" s="1">
        <f>+'St of Net Assets - GA'!O28-'LT _Lia - GA'!U28</f>
        <v>0</v>
      </c>
    </row>
    <row r="29" spans="1:27">
      <c r="A29" s="12" t="s">
        <v>461</v>
      </c>
      <c r="B29" s="12"/>
      <c r="C29" s="12" t="s">
        <v>45</v>
      </c>
      <c r="D29" s="12"/>
      <c r="E29" s="13">
        <v>48298</v>
      </c>
      <c r="G29" s="1">
        <v>23639958</v>
      </c>
      <c r="I29" s="1">
        <v>342413</v>
      </c>
      <c r="K29" s="1">
        <v>0</v>
      </c>
      <c r="M29" s="1">
        <v>0</v>
      </c>
      <c r="O29" s="1">
        <f>3219975+224000+1250</f>
        <v>3445225</v>
      </c>
      <c r="Q29" s="1">
        <v>0</v>
      </c>
      <c r="S29" s="20">
        <f t="shared" si="0"/>
        <v>27427596</v>
      </c>
      <c r="U29" s="1">
        <f>1076585+1250</f>
        <v>1077835</v>
      </c>
      <c r="X29" s="1">
        <f>+'St of Net Assets - GA'!O29-'LT _Lia - GA'!U29</f>
        <v>0</v>
      </c>
    </row>
    <row r="30" spans="1:27">
      <c r="A30" s="12" t="s">
        <v>436</v>
      </c>
      <c r="B30" s="12"/>
      <c r="C30" s="12" t="s">
        <v>44</v>
      </c>
      <c r="D30" s="12"/>
      <c r="E30" s="13">
        <v>48124</v>
      </c>
      <c r="G30" s="1">
        <v>39301164</v>
      </c>
      <c r="I30" s="1">
        <v>0</v>
      </c>
      <c r="K30" s="1">
        <f>15000000+430000</f>
        <v>15430000</v>
      </c>
      <c r="M30" s="1">
        <v>378216</v>
      </c>
      <c r="O30" s="1">
        <v>3814995</v>
      </c>
      <c r="Q30" s="1">
        <v>0</v>
      </c>
      <c r="S30" s="20">
        <f t="shared" si="0"/>
        <v>58924375</v>
      </c>
      <c r="U30" s="1">
        <v>17027940</v>
      </c>
      <c r="X30" s="1">
        <f>+'St of Net Assets - GA'!O30-'LT _Lia - GA'!U30</f>
        <v>0</v>
      </c>
      <c r="AA30" s="1" t="s">
        <v>131</v>
      </c>
    </row>
    <row r="31" spans="1:27">
      <c r="A31" s="12" t="s">
        <v>437</v>
      </c>
      <c r="B31" s="12"/>
      <c r="C31" s="12" t="s">
        <v>44</v>
      </c>
      <c r="D31" s="12"/>
      <c r="E31" s="13">
        <v>48116</v>
      </c>
      <c r="G31" s="1">
        <f>35480000+1099964+1000230</f>
        <v>37580194</v>
      </c>
      <c r="I31" s="1">
        <v>0</v>
      </c>
      <c r="K31" s="1">
        <v>160000</v>
      </c>
      <c r="M31" s="1">
        <v>0</v>
      </c>
      <c r="O31" s="1">
        <v>2655073</v>
      </c>
      <c r="Q31" s="1">
        <v>0</v>
      </c>
      <c r="S31" s="20">
        <f t="shared" si="0"/>
        <v>40395267</v>
      </c>
      <c r="U31" s="1">
        <v>3152597</v>
      </c>
      <c r="X31" s="1">
        <f>+'St of Net Assets - GA'!O31-'LT _Lia - GA'!U31</f>
        <v>0</v>
      </c>
    </row>
    <row r="32" spans="1:27">
      <c r="A32" s="12" t="s">
        <v>310</v>
      </c>
      <c r="B32" s="12"/>
      <c r="C32" s="12" t="s">
        <v>22</v>
      </c>
      <c r="D32" s="12"/>
      <c r="E32" s="13">
        <v>46706</v>
      </c>
      <c r="G32" s="1">
        <v>0</v>
      </c>
      <c r="I32" s="1">
        <v>0</v>
      </c>
      <c r="K32" s="1">
        <v>0</v>
      </c>
      <c r="M32" s="1">
        <f>47521+37434</f>
        <v>84955</v>
      </c>
      <c r="O32" s="1">
        <v>682481</v>
      </c>
      <c r="Q32" s="1">
        <v>0</v>
      </c>
      <c r="S32" s="20">
        <f t="shared" si="0"/>
        <v>767436</v>
      </c>
      <c r="U32" s="1">
        <v>156381</v>
      </c>
      <c r="X32" s="1">
        <f>+'St of Net Assets - GA'!O32-'LT _Lia - GA'!U32</f>
        <v>0</v>
      </c>
    </row>
    <row r="33" spans="1:24">
      <c r="A33" s="12" t="s">
        <v>587</v>
      </c>
      <c r="B33" s="12"/>
      <c r="C33" s="12" t="s">
        <v>63</v>
      </c>
      <c r="D33" s="12"/>
      <c r="E33" s="13">
        <v>43539</v>
      </c>
      <c r="G33" s="1">
        <v>55715591</v>
      </c>
      <c r="I33" s="1">
        <v>0</v>
      </c>
      <c r="K33" s="1">
        <v>290000</v>
      </c>
      <c r="M33" s="1">
        <v>0</v>
      </c>
      <c r="O33" s="1">
        <v>2049809</v>
      </c>
      <c r="Q33" s="1">
        <v>0</v>
      </c>
      <c r="S33" s="20">
        <f t="shared" si="0"/>
        <v>58055400</v>
      </c>
      <c r="U33" s="1">
        <v>2454620</v>
      </c>
      <c r="X33" s="1">
        <f>+'St of Net Assets - GA'!O33-'LT _Lia - GA'!U33</f>
        <v>0</v>
      </c>
    </row>
    <row r="34" spans="1:24">
      <c r="A34" s="12" t="s">
        <v>719</v>
      </c>
      <c r="B34" s="12"/>
      <c r="C34" s="12" t="s">
        <v>15</v>
      </c>
      <c r="D34" s="12"/>
      <c r="E34" s="13"/>
      <c r="G34" s="1">
        <f>865000+1500000+94999+144196+59709-96270+714719</f>
        <v>3282353</v>
      </c>
      <c r="I34" s="1">
        <v>0</v>
      </c>
      <c r="K34" s="1">
        <v>0</v>
      </c>
      <c r="M34" s="1">
        <v>47306</v>
      </c>
      <c r="O34" s="1">
        <v>714300</v>
      </c>
      <c r="Q34" s="1">
        <v>0</v>
      </c>
      <c r="S34" s="20">
        <f t="shared" ref="S34" si="1">SUM(G34:R34)</f>
        <v>4043959</v>
      </c>
      <c r="U34" s="1">
        <v>274138</v>
      </c>
      <c r="X34" s="1">
        <f>+'St of Net Assets - GA'!O34-'LT _Lia - GA'!U34</f>
        <v>0</v>
      </c>
    </row>
    <row r="35" spans="1:24">
      <c r="A35" s="12" t="s">
        <v>251</v>
      </c>
      <c r="B35" s="12"/>
      <c r="C35" s="12" t="s">
        <v>115</v>
      </c>
      <c r="D35" s="12"/>
      <c r="E35" s="13">
        <v>46300</v>
      </c>
      <c r="G35" s="1">
        <f>5429383+783167</f>
        <v>6212550</v>
      </c>
      <c r="I35" s="1">
        <v>0</v>
      </c>
      <c r="K35" s="1">
        <v>0</v>
      </c>
      <c r="M35" s="1">
        <v>540000</v>
      </c>
      <c r="O35" s="1">
        <f>618154+7757</f>
        <v>625911</v>
      </c>
      <c r="Q35" s="1">
        <v>0</v>
      </c>
      <c r="S35" s="20">
        <f t="shared" si="0"/>
        <v>7378461</v>
      </c>
      <c r="U35" s="1">
        <f>574654+726</f>
        <v>575380</v>
      </c>
      <c r="X35" s="1">
        <f>+'St of Net Assets - GA'!O35-'LT _Lia - GA'!U35</f>
        <v>0</v>
      </c>
    </row>
    <row r="36" spans="1:24" hidden="1">
      <c r="A36" s="12" t="s">
        <v>824</v>
      </c>
      <c r="B36" s="12"/>
      <c r="C36" s="12" t="s">
        <v>10</v>
      </c>
      <c r="D36" s="12"/>
      <c r="E36" s="13">
        <v>45765</v>
      </c>
      <c r="S36" s="20">
        <f t="shared" ref="S36" si="2">SUM(G36:R36)</f>
        <v>0</v>
      </c>
      <c r="X36" s="1">
        <f>+'St of Net Assets - GA'!O36-'LT _Lia - GA'!U36</f>
        <v>0</v>
      </c>
    </row>
    <row r="37" spans="1:24">
      <c r="A37" s="12" t="s">
        <v>280</v>
      </c>
      <c r="B37" s="12"/>
      <c r="C37" s="12" t="s">
        <v>20</v>
      </c>
      <c r="D37" s="12"/>
      <c r="E37" s="13">
        <v>43547</v>
      </c>
      <c r="G37" s="1">
        <v>14960716</v>
      </c>
      <c r="I37" s="1">
        <v>1935000</v>
      </c>
      <c r="K37" s="1">
        <v>0</v>
      </c>
      <c r="M37" s="1">
        <v>0</v>
      </c>
      <c r="O37" s="1">
        <v>3548206</v>
      </c>
      <c r="Q37" s="1">
        <v>0</v>
      </c>
      <c r="S37" s="20">
        <f t="shared" si="0"/>
        <v>20443922</v>
      </c>
      <c r="U37" s="1">
        <v>1055286</v>
      </c>
      <c r="X37" s="1">
        <f>+'St of Net Assets - GA'!O37-'LT _Lia - GA'!U37</f>
        <v>0</v>
      </c>
    </row>
    <row r="38" spans="1:24">
      <c r="A38" s="12" t="s">
        <v>281</v>
      </c>
      <c r="B38" s="12"/>
      <c r="C38" s="12" t="s">
        <v>20</v>
      </c>
      <c r="D38" s="12"/>
      <c r="E38" s="13">
        <v>43554</v>
      </c>
      <c r="G38" s="1">
        <v>12114041</v>
      </c>
      <c r="I38" s="1">
        <v>0</v>
      </c>
      <c r="K38" s="1">
        <v>6410000</v>
      </c>
      <c r="M38" s="1">
        <v>41053</v>
      </c>
      <c r="O38" s="1">
        <v>2599383</v>
      </c>
      <c r="Q38" s="1">
        <v>0</v>
      </c>
      <c r="S38" s="20">
        <f t="shared" si="0"/>
        <v>21164477</v>
      </c>
      <c r="U38" s="1">
        <v>2173652</v>
      </c>
      <c r="X38" s="1">
        <f>+'St of Net Assets - GA'!O38-'LT _Lia - GA'!U38</f>
        <v>0</v>
      </c>
    </row>
    <row r="39" spans="1:24">
      <c r="A39" s="12" t="s">
        <v>263</v>
      </c>
      <c r="B39" s="12"/>
      <c r="C39" s="12" t="s">
        <v>114</v>
      </c>
      <c r="D39" s="12"/>
      <c r="E39" s="13">
        <v>46425</v>
      </c>
      <c r="G39" s="1">
        <v>0</v>
      </c>
      <c r="I39" s="1">
        <f>168512+889000</f>
        <v>1057512</v>
      </c>
      <c r="K39" s="1">
        <v>0</v>
      </c>
      <c r="M39" s="1">
        <v>74653</v>
      </c>
      <c r="O39" s="1">
        <v>1176694</v>
      </c>
      <c r="Q39" s="1">
        <v>0</v>
      </c>
      <c r="S39" s="20">
        <f t="shared" si="0"/>
        <v>2308859</v>
      </c>
      <c r="U39" s="1">
        <v>77792</v>
      </c>
      <c r="X39" s="1">
        <f>+'St of Net Assets - GA'!O39-'LT _Lia - GA'!U39</f>
        <v>0</v>
      </c>
    </row>
    <row r="40" spans="1:24">
      <c r="A40" s="12" t="s">
        <v>357</v>
      </c>
      <c r="B40" s="12"/>
      <c r="C40" s="12" t="s">
        <v>116</v>
      </c>
      <c r="D40" s="12"/>
      <c r="E40" s="13">
        <v>47241</v>
      </c>
      <c r="G40" s="1">
        <f>82115000+18400000+7760000</f>
        <v>108275000</v>
      </c>
      <c r="I40" s="1">
        <v>0</v>
      </c>
      <c r="K40" s="1">
        <v>0</v>
      </c>
      <c r="M40" s="1">
        <v>3375000</v>
      </c>
      <c r="O40" s="1">
        <v>5355178</v>
      </c>
      <c r="Q40" s="1">
        <v>0</v>
      </c>
      <c r="S40" s="20">
        <f t="shared" si="0"/>
        <v>117005178</v>
      </c>
      <c r="U40" s="1">
        <v>4110337</v>
      </c>
      <c r="X40" s="1">
        <f>+'St of Net Assets - GA'!O40-'LT _Lia - GA'!U40</f>
        <v>0</v>
      </c>
    </row>
    <row r="41" spans="1:24">
      <c r="A41" s="12" t="s">
        <v>282</v>
      </c>
      <c r="B41" s="12"/>
      <c r="C41" s="12" t="s">
        <v>20</v>
      </c>
      <c r="D41" s="12"/>
      <c r="E41" s="13">
        <v>43562</v>
      </c>
      <c r="G41" s="1">
        <v>6452208</v>
      </c>
      <c r="I41" s="1">
        <v>210000</v>
      </c>
      <c r="K41" s="1">
        <v>0</v>
      </c>
      <c r="M41" s="1">
        <v>96000</v>
      </c>
      <c r="O41" s="1">
        <v>3039687</v>
      </c>
      <c r="Q41" s="1">
        <v>0</v>
      </c>
      <c r="S41" s="20">
        <f t="shared" si="0"/>
        <v>9797895</v>
      </c>
      <c r="U41" s="1">
        <v>2540097</v>
      </c>
      <c r="X41" s="1">
        <f>+'St of Net Assets - GA'!O41-'LT _Lia - GA'!U41</f>
        <v>0</v>
      </c>
    </row>
    <row r="42" spans="1:24">
      <c r="A42" s="12" t="s">
        <v>219</v>
      </c>
      <c r="B42" s="12"/>
      <c r="C42" s="12" t="s">
        <v>15</v>
      </c>
      <c r="D42" s="12"/>
      <c r="E42" s="13">
        <v>43570</v>
      </c>
      <c r="G42" s="1">
        <v>2926818</v>
      </c>
      <c r="I42" s="1">
        <v>0</v>
      </c>
      <c r="K42" s="1">
        <v>0</v>
      </c>
      <c r="M42" s="1">
        <v>89723</v>
      </c>
      <c r="O42" s="1">
        <v>1804655</v>
      </c>
      <c r="Q42" s="1">
        <v>0</v>
      </c>
      <c r="S42" s="20">
        <f t="shared" si="0"/>
        <v>4821196</v>
      </c>
      <c r="U42" s="1">
        <v>600918</v>
      </c>
      <c r="X42" s="1">
        <f>+'St of Net Assets - GA'!O42-'LT _Lia - GA'!U42</f>
        <v>0</v>
      </c>
    </row>
    <row r="43" spans="1:24">
      <c r="A43" s="17" t="s">
        <v>951</v>
      </c>
      <c r="B43" s="12"/>
      <c r="C43" s="12" t="s">
        <v>116</v>
      </c>
      <c r="D43" s="12"/>
      <c r="E43" s="13">
        <v>47274</v>
      </c>
      <c r="G43" s="1">
        <v>43129053</v>
      </c>
      <c r="I43" s="1">
        <v>0</v>
      </c>
      <c r="K43" s="1">
        <v>0</v>
      </c>
      <c r="M43" s="1">
        <v>4710870</v>
      </c>
      <c r="O43" s="1">
        <v>1355416</v>
      </c>
      <c r="Q43" s="1">
        <v>0</v>
      </c>
      <c r="S43" s="20">
        <f t="shared" ref="S43" si="3">SUM(G43:R43)</f>
        <v>49195339</v>
      </c>
      <c r="U43" s="1">
        <v>1725863</v>
      </c>
      <c r="X43" s="1">
        <f>+'St of Net Assets - GA'!O43-'LT _Lia - GA'!U43</f>
        <v>0</v>
      </c>
    </row>
    <row r="44" spans="1:24">
      <c r="A44" s="12" t="s">
        <v>403</v>
      </c>
      <c r="B44" s="12"/>
      <c r="C44" s="12" t="s">
        <v>37</v>
      </c>
      <c r="D44" s="12"/>
      <c r="E44" s="13">
        <v>43596</v>
      </c>
      <c r="G44" s="1">
        <f>1200000+9400000+14015428</f>
        <v>24615428</v>
      </c>
      <c r="I44" s="1">
        <v>0</v>
      </c>
      <c r="K44" s="1">
        <v>0</v>
      </c>
      <c r="M44" s="1">
        <v>211229</v>
      </c>
      <c r="O44" s="1">
        <v>1814877</v>
      </c>
      <c r="Q44" s="1">
        <v>0</v>
      </c>
      <c r="S44" s="20">
        <f t="shared" si="0"/>
        <v>26641534</v>
      </c>
      <c r="U44" s="1">
        <v>766861</v>
      </c>
      <c r="X44" s="1">
        <f>+'St of Net Assets - GA'!O44-'LT _Lia - GA'!U44</f>
        <v>0</v>
      </c>
    </row>
    <row r="45" spans="1:24">
      <c r="A45" s="12" t="s">
        <v>636</v>
      </c>
      <c r="B45" s="12"/>
      <c r="C45" s="12" t="s">
        <v>70</v>
      </c>
      <c r="D45" s="12"/>
      <c r="E45" s="13">
        <v>43604</v>
      </c>
      <c r="G45" s="1">
        <v>0</v>
      </c>
      <c r="I45" s="1">
        <v>34000</v>
      </c>
      <c r="K45" s="1">
        <v>0</v>
      </c>
      <c r="M45" s="1">
        <v>0</v>
      </c>
      <c r="O45" s="1">
        <f>517690+8605</f>
        <v>526295</v>
      </c>
      <c r="Q45" s="1">
        <v>0</v>
      </c>
      <c r="S45" s="20">
        <f t="shared" si="0"/>
        <v>560295</v>
      </c>
      <c r="U45" s="1">
        <v>34020</v>
      </c>
      <c r="X45" s="1">
        <f>+'St of Net Assets - GA'!O45-'LT _Lia - GA'!U45</f>
        <v>0</v>
      </c>
    </row>
    <row r="46" spans="1:24">
      <c r="A46" s="12" t="s">
        <v>519</v>
      </c>
      <c r="B46" s="12"/>
      <c r="C46" s="12" t="s">
        <v>53</v>
      </c>
      <c r="D46" s="12"/>
      <c r="E46" s="13">
        <v>48926</v>
      </c>
      <c r="G46" s="1">
        <v>0</v>
      </c>
      <c r="I46" s="1">
        <v>0</v>
      </c>
      <c r="K46" s="1">
        <v>0</v>
      </c>
      <c r="M46" s="1">
        <v>0</v>
      </c>
      <c r="O46" s="1">
        <v>1642250</v>
      </c>
      <c r="Q46" s="1">
        <v>0</v>
      </c>
      <c r="S46" s="20">
        <f t="shared" si="0"/>
        <v>1642250</v>
      </c>
      <c r="U46" s="1">
        <v>174307</v>
      </c>
      <c r="X46" s="1">
        <f>+'St of Net Assets - GA'!O46-'LT _Lia - GA'!U46</f>
        <v>0</v>
      </c>
    </row>
    <row r="47" spans="1:24">
      <c r="A47" s="12" t="s">
        <v>283</v>
      </c>
      <c r="B47" s="12"/>
      <c r="C47" s="12" t="s">
        <v>20</v>
      </c>
      <c r="D47" s="12"/>
      <c r="E47" s="13">
        <v>43612</v>
      </c>
      <c r="G47" s="1">
        <v>13473142</v>
      </c>
      <c r="I47" s="1">
        <v>25729543</v>
      </c>
      <c r="K47" s="1">
        <v>0</v>
      </c>
      <c r="M47" s="1">
        <v>0</v>
      </c>
      <c r="O47" s="1">
        <v>3373828</v>
      </c>
      <c r="Q47" s="1">
        <v>0</v>
      </c>
      <c r="S47" s="20">
        <f t="shared" si="0"/>
        <v>42576513</v>
      </c>
      <c r="U47" s="1">
        <v>1962913</v>
      </c>
      <c r="X47" s="1">
        <f>+'St of Net Assets - GA'!O47-'LT _Lia - GA'!U47</f>
        <v>0</v>
      </c>
    </row>
    <row r="48" spans="1:24">
      <c r="A48" s="12" t="s">
        <v>351</v>
      </c>
      <c r="B48" s="12"/>
      <c r="C48" s="12" t="s">
        <v>30</v>
      </c>
      <c r="D48" s="12"/>
      <c r="E48" s="13">
        <v>47167</v>
      </c>
      <c r="G48" s="1">
        <v>0</v>
      </c>
      <c r="I48" s="1">
        <v>0</v>
      </c>
      <c r="K48" s="1">
        <v>0</v>
      </c>
      <c r="M48" s="1">
        <v>0</v>
      </c>
      <c r="O48" s="1">
        <v>874939</v>
      </c>
      <c r="Q48" s="1">
        <v>0</v>
      </c>
      <c r="S48" s="20">
        <f t="shared" si="0"/>
        <v>874939</v>
      </c>
      <c r="U48" s="1">
        <v>182726</v>
      </c>
      <c r="X48" s="1">
        <f>+'St of Net Assets - GA'!O48-'LT _Lia - GA'!U48</f>
        <v>0</v>
      </c>
    </row>
    <row r="49" spans="1:24">
      <c r="A49" s="12" t="s">
        <v>314</v>
      </c>
      <c r="B49" s="12"/>
      <c r="C49" s="12" t="s">
        <v>24</v>
      </c>
      <c r="D49" s="12"/>
      <c r="E49" s="13">
        <v>46789</v>
      </c>
      <c r="G49" s="1">
        <v>0</v>
      </c>
      <c r="I49" s="1">
        <v>0</v>
      </c>
      <c r="K49" s="1">
        <v>0</v>
      </c>
      <c r="M49" s="1">
        <v>0</v>
      </c>
      <c r="O49" s="1">
        <v>768446</v>
      </c>
      <c r="Q49" s="1">
        <v>0</v>
      </c>
      <c r="S49" s="20">
        <f t="shared" si="0"/>
        <v>768446</v>
      </c>
      <c r="U49" s="1">
        <v>54796</v>
      </c>
      <c r="X49" s="1">
        <f>+'St of Net Assets - GA'!O49-'LT _Lia - GA'!U49</f>
        <v>0</v>
      </c>
    </row>
    <row r="50" spans="1:24">
      <c r="A50" s="12" t="s">
        <v>322</v>
      </c>
      <c r="B50" s="12"/>
      <c r="C50" s="12" t="s">
        <v>25</v>
      </c>
      <c r="D50" s="12"/>
      <c r="E50" s="13">
        <v>46854</v>
      </c>
      <c r="G50" s="1">
        <f>1710000+84245</f>
        <v>1794245</v>
      </c>
      <c r="I50" s="1">
        <v>830299</v>
      </c>
      <c r="K50" s="1">
        <v>0</v>
      </c>
      <c r="M50" s="1">
        <v>160105</v>
      </c>
      <c r="O50" s="1">
        <v>413963</v>
      </c>
      <c r="Q50" s="1">
        <v>0</v>
      </c>
      <c r="S50" s="20">
        <f t="shared" si="0"/>
        <v>3198612</v>
      </c>
      <c r="U50" s="1">
        <v>554025</v>
      </c>
      <c r="X50" s="1">
        <f>+'St of Net Assets - GA'!O50-'LT _Lia - GA'!U50</f>
        <v>0</v>
      </c>
    </row>
    <row r="51" spans="1:24">
      <c r="A51" s="12" t="s">
        <v>487</v>
      </c>
      <c r="B51" s="12"/>
      <c r="C51" s="12" t="s">
        <v>48</v>
      </c>
      <c r="D51" s="12"/>
      <c r="E51" s="13">
        <v>48611</v>
      </c>
      <c r="G51" s="1">
        <v>0</v>
      </c>
      <c r="I51" s="1">
        <v>0</v>
      </c>
      <c r="K51" s="1">
        <v>118000</v>
      </c>
      <c r="M51" s="1">
        <v>871000</v>
      </c>
      <c r="O51" s="1">
        <v>374464</v>
      </c>
      <c r="Q51" s="1">
        <v>0</v>
      </c>
      <c r="S51" s="20">
        <f t="shared" si="0"/>
        <v>1363464</v>
      </c>
      <c r="U51" s="1">
        <v>80000</v>
      </c>
      <c r="X51" s="1">
        <f>+'St of Net Assets - GA'!O51-'LT _Lia - GA'!U51</f>
        <v>0</v>
      </c>
    </row>
    <row r="52" spans="1:24">
      <c r="A52" s="12" t="s">
        <v>252</v>
      </c>
      <c r="B52" s="12"/>
      <c r="C52" s="12" t="s">
        <v>115</v>
      </c>
      <c r="D52" s="12"/>
      <c r="E52" s="13">
        <v>46318</v>
      </c>
      <c r="G52" s="1">
        <v>4417709</v>
      </c>
      <c r="I52" s="1">
        <v>2300000</v>
      </c>
      <c r="K52" s="1">
        <v>0</v>
      </c>
      <c r="M52" s="1">
        <v>254668</v>
      </c>
      <c r="O52" s="1">
        <v>1000375</v>
      </c>
      <c r="Q52" s="1">
        <v>0</v>
      </c>
      <c r="S52" s="20">
        <f t="shared" si="0"/>
        <v>7972752</v>
      </c>
      <c r="U52" s="1">
        <v>411157</v>
      </c>
      <c r="X52" s="1">
        <f>+'St of Net Assets - GA'!O52-'LT _Lia - GA'!U52</f>
        <v>0</v>
      </c>
    </row>
    <row r="53" spans="1:24" hidden="1">
      <c r="A53" s="12" t="s">
        <v>825</v>
      </c>
      <c r="B53" s="12"/>
      <c r="C53" s="12" t="s">
        <v>60</v>
      </c>
      <c r="D53" s="12"/>
      <c r="E53" s="13">
        <v>49692</v>
      </c>
      <c r="S53" s="20">
        <f t="shared" ref="S53" si="4">SUM(G53:R53)</f>
        <v>0</v>
      </c>
      <c r="X53" s="1">
        <f>+'St of Net Assets - GA'!O53-'LT _Lia - GA'!U53</f>
        <v>0</v>
      </c>
    </row>
    <row r="54" spans="1:24">
      <c r="A54" s="12" t="s">
        <v>329</v>
      </c>
      <c r="B54" s="12"/>
      <c r="C54" s="12" t="s">
        <v>27</v>
      </c>
      <c r="D54" s="12"/>
      <c r="E54" s="13">
        <v>43620</v>
      </c>
      <c r="G54" s="1">
        <v>26909996</v>
      </c>
      <c r="I54" s="1">
        <v>0</v>
      </c>
      <c r="K54" s="1">
        <v>0</v>
      </c>
      <c r="M54" s="1">
        <v>0</v>
      </c>
      <c r="O54" s="1">
        <v>2124867</v>
      </c>
      <c r="Q54" s="1">
        <v>0</v>
      </c>
      <c r="S54" s="20">
        <f t="shared" si="0"/>
        <v>29034863</v>
      </c>
      <c r="U54" s="1">
        <v>2175000</v>
      </c>
      <c r="X54" s="1">
        <f>+'St of Net Assets - GA'!O54-'LT _Lia - GA'!U54</f>
        <v>0</v>
      </c>
    </row>
    <row r="55" spans="1:24">
      <c r="A55" s="12" t="s">
        <v>311</v>
      </c>
      <c r="B55" s="12"/>
      <c r="C55" s="12" t="s">
        <v>23</v>
      </c>
      <c r="D55" s="12"/>
      <c r="E55" s="13">
        <v>46748</v>
      </c>
      <c r="G55" s="1">
        <v>47123545</v>
      </c>
      <c r="I55" s="1">
        <v>0</v>
      </c>
      <c r="K55" s="1">
        <v>0</v>
      </c>
      <c r="M55" s="1">
        <v>55030</v>
      </c>
      <c r="O55" s="1">
        <v>1525899</v>
      </c>
      <c r="Q55" s="1">
        <v>0</v>
      </c>
      <c r="S55" s="20">
        <f t="shared" si="0"/>
        <v>48704474</v>
      </c>
      <c r="U55" s="1">
        <v>1499178</v>
      </c>
      <c r="X55" s="1">
        <f>+'St of Net Assets - GA'!O55-'LT _Lia - GA'!U55</f>
        <v>0</v>
      </c>
    </row>
    <row r="56" spans="1:24">
      <c r="A56" s="12" t="s">
        <v>478</v>
      </c>
      <c r="B56" s="12"/>
      <c r="C56" s="12" t="s">
        <v>47</v>
      </c>
      <c r="D56" s="12"/>
      <c r="E56" s="13">
        <v>48462</v>
      </c>
      <c r="G56" s="1">
        <f>3130000+35000+255000</f>
        <v>3420000</v>
      </c>
      <c r="I56" s="1">
        <v>0</v>
      </c>
      <c r="K56" s="1">
        <v>0</v>
      </c>
      <c r="M56" s="1">
        <v>82146</v>
      </c>
      <c r="O56" s="1">
        <v>688628</v>
      </c>
      <c r="Q56" s="1">
        <v>0</v>
      </c>
      <c r="S56" s="20">
        <f t="shared" si="0"/>
        <v>4190774</v>
      </c>
      <c r="U56" s="1">
        <v>417576</v>
      </c>
      <c r="X56" s="1">
        <f>+'St of Net Assets - GA'!O56-'LT _Lia - GA'!U56</f>
        <v>0</v>
      </c>
    </row>
    <row r="57" spans="1:24">
      <c r="A57" s="12" t="s">
        <v>259</v>
      </c>
      <c r="B57" s="12"/>
      <c r="C57" s="12" t="s">
        <v>18</v>
      </c>
      <c r="D57" s="12"/>
      <c r="E57" s="13">
        <v>46383</v>
      </c>
      <c r="G57" s="1">
        <v>3164406</v>
      </c>
      <c r="I57" s="1">
        <v>0</v>
      </c>
      <c r="K57" s="1">
        <v>0</v>
      </c>
      <c r="M57" s="1">
        <v>0</v>
      </c>
      <c r="O57" s="1">
        <v>372686</v>
      </c>
      <c r="Q57" s="1">
        <v>0</v>
      </c>
      <c r="S57" s="20">
        <f t="shared" si="0"/>
        <v>3537092</v>
      </c>
      <c r="U57" s="1">
        <v>271132</v>
      </c>
      <c r="X57" s="1">
        <f>+'St of Net Assets - GA'!O57-'LT _Lia - GA'!U57</f>
        <v>0</v>
      </c>
    </row>
    <row r="58" spans="1:24">
      <c r="A58" s="12" t="s">
        <v>323</v>
      </c>
      <c r="B58" s="12"/>
      <c r="C58" s="12" t="s">
        <v>25</v>
      </c>
      <c r="D58" s="12"/>
      <c r="E58" s="13">
        <v>46862</v>
      </c>
      <c r="G58" s="1">
        <f>26500000+201694</f>
        <v>26701694</v>
      </c>
      <c r="I58" s="1">
        <v>0</v>
      </c>
      <c r="K58" s="1">
        <v>0</v>
      </c>
      <c r="M58" s="1">
        <v>0</v>
      </c>
      <c r="O58" s="1">
        <v>725723</v>
      </c>
      <c r="Q58" s="1">
        <v>0</v>
      </c>
      <c r="S58" s="20">
        <f t="shared" si="0"/>
        <v>27427417</v>
      </c>
      <c r="U58" s="1">
        <v>1083989</v>
      </c>
      <c r="X58" s="1">
        <f>+'St of Net Assets - GA'!O58-'LT _Lia - GA'!U58</f>
        <v>0</v>
      </c>
    </row>
    <row r="59" spans="1:24">
      <c r="A59" s="12" t="s">
        <v>599</v>
      </c>
      <c r="B59" s="12"/>
      <c r="C59" s="12" t="s">
        <v>64</v>
      </c>
      <c r="D59" s="12"/>
      <c r="E59" s="13">
        <v>50096</v>
      </c>
      <c r="G59" s="1">
        <v>0</v>
      </c>
      <c r="I59" s="1">
        <v>0</v>
      </c>
      <c r="K59" s="1">
        <v>291574</v>
      </c>
      <c r="M59" s="1">
        <v>25213</v>
      </c>
      <c r="O59" s="1">
        <v>237626</v>
      </c>
      <c r="Q59" s="1">
        <v>0</v>
      </c>
      <c r="S59" s="20">
        <f t="shared" si="0"/>
        <v>554413</v>
      </c>
      <c r="U59" s="1">
        <v>89427</v>
      </c>
      <c r="X59" s="1">
        <f>+'St of Net Assets - GA'!O59-'LT _Lia - GA'!U59</f>
        <v>0</v>
      </c>
    </row>
    <row r="60" spans="1:24">
      <c r="A60" s="12" t="s">
        <v>559</v>
      </c>
      <c r="B60" s="12"/>
      <c r="C60" s="12" t="s">
        <v>59</v>
      </c>
      <c r="D60" s="12"/>
      <c r="E60" s="13">
        <v>49593</v>
      </c>
      <c r="G60" s="1">
        <v>550000</v>
      </c>
      <c r="I60" s="1">
        <v>0</v>
      </c>
      <c r="K60" s="1">
        <v>0</v>
      </c>
      <c r="M60" s="1">
        <v>0</v>
      </c>
      <c r="O60" s="1">
        <v>513017</v>
      </c>
      <c r="Q60" s="1">
        <v>0</v>
      </c>
      <c r="S60" s="20">
        <f>SUM(G60:R60)</f>
        <v>1063017</v>
      </c>
      <c r="U60" s="1">
        <v>96451</v>
      </c>
      <c r="X60" s="1">
        <f>+'St of Net Assets - GA'!O60-'LT _Lia - GA'!U60</f>
        <v>0</v>
      </c>
    </row>
    <row r="61" spans="1:24" hidden="1">
      <c r="A61" s="12" t="s">
        <v>791</v>
      </c>
      <c r="B61" s="12"/>
      <c r="C61" s="12" t="s">
        <v>10</v>
      </c>
      <c r="D61" s="12"/>
      <c r="E61" s="13">
        <v>49593</v>
      </c>
      <c r="S61" s="20">
        <f t="shared" si="0"/>
        <v>0</v>
      </c>
      <c r="X61" s="1">
        <f>+'St of Net Assets - GA'!O61-'LT _Lia - GA'!U61</f>
        <v>0</v>
      </c>
    </row>
    <row r="62" spans="1:24">
      <c r="A62" s="12" t="s">
        <v>462</v>
      </c>
      <c r="B62" s="12"/>
      <c r="C62" s="12" t="s">
        <v>45</v>
      </c>
      <c r="D62" s="12"/>
      <c r="E62" s="13">
        <v>48306</v>
      </c>
      <c r="G62" s="1">
        <v>0</v>
      </c>
      <c r="I62" s="1">
        <v>0</v>
      </c>
      <c r="K62" s="1">
        <f>281162+3376483</f>
        <v>3657645</v>
      </c>
      <c r="M62" s="1">
        <v>6579000</v>
      </c>
      <c r="O62" s="1">
        <f>3289281</f>
        <v>3289281</v>
      </c>
      <c r="Q62" s="1">
        <v>0</v>
      </c>
      <c r="S62" s="20">
        <f t="shared" si="0"/>
        <v>13525926</v>
      </c>
      <c r="U62" s="1">
        <v>1182470</v>
      </c>
      <c r="X62" s="1">
        <f>+'St of Net Assets - GA'!O62-'LT _Lia - GA'!U62</f>
        <v>0</v>
      </c>
    </row>
    <row r="63" spans="1:24" hidden="1">
      <c r="A63" s="12" t="s">
        <v>923</v>
      </c>
      <c r="B63" s="12"/>
      <c r="C63" s="12" t="s">
        <v>61</v>
      </c>
      <c r="D63" s="12"/>
      <c r="E63" s="13">
        <v>49767</v>
      </c>
      <c r="S63" s="20">
        <f t="shared" si="0"/>
        <v>0</v>
      </c>
      <c r="X63" s="1">
        <f>+'St of Net Assets - GA'!O63-'LT _Lia - GA'!U63</f>
        <v>0</v>
      </c>
    </row>
    <row r="64" spans="1:24">
      <c r="A64" s="12" t="s">
        <v>646</v>
      </c>
      <c r="B64" s="12"/>
      <c r="C64" s="12" t="s">
        <v>72</v>
      </c>
      <c r="D64" s="12"/>
      <c r="E64" s="13">
        <v>43638</v>
      </c>
      <c r="G64" s="1">
        <f>26760000+1299866</f>
        <v>28059866</v>
      </c>
      <c r="I64" s="1">
        <v>0</v>
      </c>
      <c r="K64" s="1">
        <v>0</v>
      </c>
      <c r="M64" s="1">
        <v>0</v>
      </c>
      <c r="O64" s="1">
        <f>2780938+264679</f>
        <v>3045617</v>
      </c>
      <c r="Q64" s="1">
        <v>0</v>
      </c>
      <c r="S64" s="20">
        <f t="shared" si="0"/>
        <v>31105483</v>
      </c>
      <c r="U64" s="1">
        <v>1292592</v>
      </c>
      <c r="X64" s="1">
        <f>+'St of Net Assets - GA'!O64-'LT _Lia - GA'!U64</f>
        <v>0</v>
      </c>
    </row>
    <row r="65" spans="1:33" hidden="1">
      <c r="A65" s="12" t="s">
        <v>832</v>
      </c>
      <c r="B65" s="12"/>
      <c r="C65" s="12" t="s">
        <v>48</v>
      </c>
      <c r="D65" s="12"/>
      <c r="E65" s="13">
        <v>43646</v>
      </c>
      <c r="S65" s="20">
        <f t="shared" ref="S65" si="5">SUM(G65:R65)</f>
        <v>0</v>
      </c>
      <c r="X65" s="1">
        <f>+'St of Net Assets - GA'!O65-'LT _Lia - GA'!U65</f>
        <v>0</v>
      </c>
      <c r="AG65" s="1" t="s">
        <v>774</v>
      </c>
    </row>
    <row r="66" spans="1:33">
      <c r="A66" s="12" t="s">
        <v>772</v>
      </c>
      <c r="B66" s="12"/>
      <c r="C66" s="12" t="s">
        <v>20</v>
      </c>
      <c r="D66" s="12"/>
      <c r="E66" s="13">
        <v>43646</v>
      </c>
      <c r="G66" s="1">
        <f>14093300+9223078</f>
        <v>23316378</v>
      </c>
      <c r="I66" s="1">
        <v>0</v>
      </c>
      <c r="K66" s="1">
        <v>0</v>
      </c>
      <c r="M66" s="1">
        <v>244735</v>
      </c>
      <c r="O66" s="1">
        <v>4818958</v>
      </c>
      <c r="Q66" s="1">
        <v>0</v>
      </c>
      <c r="S66" s="20">
        <f t="shared" si="0"/>
        <v>28380071</v>
      </c>
      <c r="U66" s="1">
        <v>1969117</v>
      </c>
      <c r="X66" s="1">
        <f>+'St of Net Assets - GA'!O66-'LT _Lia - GA'!U66</f>
        <v>0</v>
      </c>
    </row>
    <row r="67" spans="1:33">
      <c r="A67" s="17" t="s">
        <v>220</v>
      </c>
      <c r="B67" s="12"/>
      <c r="C67" s="12" t="s">
        <v>15</v>
      </c>
      <c r="D67" s="12"/>
      <c r="E67" s="13">
        <v>45237</v>
      </c>
      <c r="G67" s="1">
        <f>645000+3710000</f>
        <v>4355000</v>
      </c>
      <c r="I67" s="1">
        <v>0</v>
      </c>
      <c r="K67" s="1">
        <v>100000</v>
      </c>
      <c r="M67" s="1">
        <v>21827</v>
      </c>
      <c r="O67" s="1">
        <f>411964+112969</f>
        <v>524933</v>
      </c>
      <c r="Q67" s="1">
        <v>0</v>
      </c>
      <c r="S67" s="20">
        <f t="shared" si="0"/>
        <v>5001760</v>
      </c>
      <c r="U67" s="1">
        <v>314434</v>
      </c>
      <c r="X67" s="1">
        <f>+'St of Net Assets - GA'!O67-'LT _Lia - GA'!U67</f>
        <v>0</v>
      </c>
    </row>
    <row r="68" spans="1:33">
      <c r="A68" s="12" t="s">
        <v>394</v>
      </c>
      <c r="B68" s="12"/>
      <c r="C68" s="12" t="s">
        <v>395</v>
      </c>
      <c r="D68" s="12"/>
      <c r="E68" s="13">
        <v>47613</v>
      </c>
      <c r="G68" s="1">
        <v>540269</v>
      </c>
      <c r="I68" s="1">
        <v>0</v>
      </c>
      <c r="K68" s="1">
        <v>0</v>
      </c>
      <c r="M68" s="1">
        <v>0</v>
      </c>
      <c r="O68" s="1">
        <v>205228</v>
      </c>
      <c r="Q68" s="1">
        <v>0</v>
      </c>
      <c r="S68" s="20">
        <f t="shared" si="0"/>
        <v>745497</v>
      </c>
      <c r="U68" s="1">
        <v>108635</v>
      </c>
      <c r="X68" s="1">
        <f>+'St of Net Assets - GA'!O68-'LT _Lia - GA'!U68</f>
        <v>0</v>
      </c>
    </row>
    <row r="69" spans="1:33">
      <c r="A69" s="12" t="s">
        <v>600</v>
      </c>
      <c r="B69" s="12"/>
      <c r="C69" s="12" t="s">
        <v>64</v>
      </c>
      <c r="D69" s="12"/>
      <c r="E69" s="13">
        <v>50112</v>
      </c>
      <c r="G69" s="1">
        <v>1530000</v>
      </c>
      <c r="I69" s="1">
        <v>27597</v>
      </c>
      <c r="K69" s="1">
        <v>0</v>
      </c>
      <c r="M69" s="1">
        <v>0</v>
      </c>
      <c r="O69" s="1">
        <v>639347</v>
      </c>
      <c r="Q69" s="1">
        <v>0</v>
      </c>
      <c r="S69" s="20">
        <f>SUM(G69:R69)</f>
        <v>2196944</v>
      </c>
      <c r="U69" s="1">
        <v>284119</v>
      </c>
      <c r="X69" s="1">
        <f>+'St of Net Assets - GA'!O69-'LT _Lia - GA'!U69</f>
        <v>0</v>
      </c>
    </row>
    <row r="70" spans="1:33">
      <c r="A70" s="12" t="s">
        <v>601</v>
      </c>
      <c r="B70" s="12"/>
      <c r="C70" s="12" t="s">
        <v>64</v>
      </c>
      <c r="D70" s="12"/>
      <c r="E70" s="13">
        <v>50120</v>
      </c>
      <c r="G70" s="1">
        <f>14065000+215729+19667</f>
        <v>14300396</v>
      </c>
      <c r="I70" s="1">
        <v>0</v>
      </c>
      <c r="K70" s="1">
        <v>0</v>
      </c>
      <c r="M70" s="1">
        <v>71553</v>
      </c>
      <c r="O70" s="1">
        <f>956342+67500</f>
        <v>1023842</v>
      </c>
      <c r="Q70" s="1">
        <v>389348</v>
      </c>
      <c r="S70" s="20">
        <f t="shared" ref="S70:S82" si="6">SUM(G70:R70)</f>
        <v>15785139</v>
      </c>
      <c r="U70" s="1">
        <v>474698</v>
      </c>
      <c r="X70" s="1">
        <f>+'St of Net Assets - GA'!O70-'LT _Lia - GA'!U70</f>
        <v>0</v>
      </c>
    </row>
    <row r="71" spans="1:33">
      <c r="A71" s="12" t="s">
        <v>284</v>
      </c>
      <c r="B71" s="12"/>
      <c r="C71" s="12" t="s">
        <v>20</v>
      </c>
      <c r="D71" s="12"/>
      <c r="E71" s="13">
        <v>43653</v>
      </c>
      <c r="G71" s="1">
        <v>0</v>
      </c>
      <c r="I71" s="1">
        <v>0</v>
      </c>
      <c r="K71" s="1">
        <v>0</v>
      </c>
      <c r="M71" s="1">
        <v>0</v>
      </c>
      <c r="O71" s="1">
        <v>1155955</v>
      </c>
      <c r="Q71" s="1">
        <v>0</v>
      </c>
      <c r="S71" s="20">
        <f t="shared" si="6"/>
        <v>1155955</v>
      </c>
      <c r="U71" s="1">
        <v>162713</v>
      </c>
      <c r="X71" s="1">
        <f>+'St of Net Assets - GA'!O71-'LT _Lia - GA'!U71</f>
        <v>0</v>
      </c>
    </row>
    <row r="72" spans="1:33">
      <c r="A72" s="12" t="s">
        <v>828</v>
      </c>
      <c r="B72" s="12"/>
      <c r="C72" s="12" t="s">
        <v>50</v>
      </c>
      <c r="D72" s="12"/>
      <c r="E72" s="13">
        <v>48678</v>
      </c>
      <c r="G72" s="1">
        <v>21447921</v>
      </c>
      <c r="I72" s="1">
        <v>0</v>
      </c>
      <c r="K72" s="1">
        <v>0</v>
      </c>
      <c r="M72" s="1">
        <v>0</v>
      </c>
      <c r="O72" s="1">
        <v>923675</v>
      </c>
      <c r="Q72" s="1">
        <v>0</v>
      </c>
      <c r="S72" s="20">
        <f t="shared" si="6"/>
        <v>22371596</v>
      </c>
      <c r="U72" s="1">
        <v>704954</v>
      </c>
      <c r="X72" s="1">
        <f>+'St of Net Assets - GA'!O72-'LT _Lia - GA'!U72</f>
        <v>0</v>
      </c>
    </row>
    <row r="73" spans="1:33">
      <c r="A73" s="12" t="s">
        <v>237</v>
      </c>
      <c r="B73" s="12"/>
      <c r="C73" s="12" t="s">
        <v>16</v>
      </c>
      <c r="D73" s="12"/>
      <c r="E73" s="13">
        <v>46177</v>
      </c>
      <c r="G73" s="1">
        <v>0</v>
      </c>
      <c r="I73" s="1">
        <v>0</v>
      </c>
      <c r="K73" s="1">
        <v>0</v>
      </c>
      <c r="M73" s="1">
        <v>55288</v>
      </c>
      <c r="O73" s="1">
        <v>375608</v>
      </c>
      <c r="Q73" s="1">
        <v>0</v>
      </c>
      <c r="S73" s="20">
        <f t="shared" si="6"/>
        <v>430896</v>
      </c>
      <c r="U73" s="1">
        <v>69736</v>
      </c>
      <c r="X73" s="1">
        <f>+'St of Net Assets - GA'!O73-'LT _Lia - GA'!U73</f>
        <v>0</v>
      </c>
    </row>
    <row r="74" spans="1:33">
      <c r="A74" s="12" t="s">
        <v>479</v>
      </c>
      <c r="B74" s="12"/>
      <c r="C74" s="12" t="s">
        <v>47</v>
      </c>
      <c r="D74" s="12"/>
      <c r="E74" s="13">
        <v>43661</v>
      </c>
      <c r="G74" s="1">
        <v>15791894</v>
      </c>
      <c r="I74" s="1">
        <v>0</v>
      </c>
      <c r="K74" s="1">
        <v>0</v>
      </c>
      <c r="M74" s="1">
        <v>632612</v>
      </c>
      <c r="O74" s="1">
        <v>6282320</v>
      </c>
      <c r="Q74" s="1">
        <v>0</v>
      </c>
      <c r="S74" s="20">
        <f t="shared" si="6"/>
        <v>22706826</v>
      </c>
      <c r="U74" s="1">
        <v>1554643</v>
      </c>
      <c r="X74" s="1">
        <f>+'St of Net Assets - GA'!O74-'LT _Lia - GA'!U74</f>
        <v>0</v>
      </c>
    </row>
    <row r="75" spans="1:33" hidden="1">
      <c r="A75" s="12" t="s">
        <v>829</v>
      </c>
      <c r="B75" s="12"/>
      <c r="C75" s="12" t="s">
        <v>643</v>
      </c>
      <c r="D75" s="12"/>
      <c r="E75" s="13">
        <v>43679</v>
      </c>
      <c r="K75" s="1">
        <v>0</v>
      </c>
      <c r="Q75" s="1">
        <v>0</v>
      </c>
      <c r="S75" s="20">
        <f t="shared" si="6"/>
        <v>0</v>
      </c>
      <c r="X75" s="1">
        <f>+'St of Net Assets - GA'!O75-'LT _Lia - GA'!U75</f>
        <v>0</v>
      </c>
    </row>
    <row r="76" spans="1:33">
      <c r="A76" s="12" t="s">
        <v>275</v>
      </c>
      <c r="B76" s="12"/>
      <c r="C76" s="12" t="s">
        <v>113</v>
      </c>
      <c r="D76" s="12"/>
      <c r="E76" s="13">
        <v>46508</v>
      </c>
      <c r="G76" s="1">
        <v>8321589</v>
      </c>
      <c r="I76" s="1">
        <v>433880</v>
      </c>
      <c r="K76" s="1">
        <v>0</v>
      </c>
      <c r="M76" s="1">
        <v>97462</v>
      </c>
      <c r="O76" s="1">
        <v>419858</v>
      </c>
      <c r="Q76" s="1">
        <v>0</v>
      </c>
      <c r="S76" s="20">
        <f t="shared" si="6"/>
        <v>9272789</v>
      </c>
      <c r="U76" s="1">
        <v>353103</v>
      </c>
      <c r="X76" s="1">
        <f>+'St of Net Assets - GA'!O76-'LT _Lia - GA'!U76</f>
        <v>0</v>
      </c>
    </row>
    <row r="77" spans="1:33">
      <c r="A77" s="12" t="s">
        <v>209</v>
      </c>
      <c r="B77" s="12"/>
      <c r="C77" s="12" t="s">
        <v>12</v>
      </c>
      <c r="D77" s="12"/>
      <c r="E77" s="13">
        <v>45856</v>
      </c>
      <c r="G77" s="1">
        <v>110000</v>
      </c>
      <c r="I77" s="1">
        <v>0</v>
      </c>
      <c r="K77" s="1">
        <v>0</v>
      </c>
      <c r="M77" s="1">
        <v>186231</v>
      </c>
      <c r="O77" s="1">
        <v>1117323</v>
      </c>
      <c r="Q77" s="1">
        <v>0</v>
      </c>
      <c r="S77" s="20">
        <f t="shared" si="6"/>
        <v>1413554</v>
      </c>
      <c r="U77" s="1">
        <v>189773</v>
      </c>
      <c r="X77" s="1">
        <f>+'St of Net Assets - GA'!O77-'LT _Lia - GA'!U77</f>
        <v>0</v>
      </c>
    </row>
    <row r="78" spans="1:33">
      <c r="A78" s="12" t="s">
        <v>209</v>
      </c>
      <c r="B78" s="12"/>
      <c r="C78" s="12" t="s">
        <v>39</v>
      </c>
      <c r="D78" s="12"/>
      <c r="E78" s="13">
        <v>47787</v>
      </c>
      <c r="G78" s="1">
        <v>1596977</v>
      </c>
      <c r="I78" s="1">
        <v>0</v>
      </c>
      <c r="K78" s="1">
        <v>0</v>
      </c>
      <c r="M78" s="1">
        <v>0</v>
      </c>
      <c r="O78" s="1">
        <v>1344576</v>
      </c>
      <c r="Q78" s="1">
        <v>0</v>
      </c>
      <c r="S78" s="20">
        <f t="shared" si="6"/>
        <v>2941553</v>
      </c>
      <c r="U78" s="1">
        <v>966968</v>
      </c>
      <c r="X78" s="1">
        <f>+'St of Net Assets - GA'!O78-'LT _Lia - GA'!U78</f>
        <v>0</v>
      </c>
    </row>
    <row r="79" spans="1:33">
      <c r="A79" s="12" t="s">
        <v>209</v>
      </c>
      <c r="B79" s="12"/>
      <c r="C79" s="12" t="s">
        <v>47</v>
      </c>
      <c r="D79" s="12"/>
      <c r="E79" s="13">
        <v>48470</v>
      </c>
      <c r="G79" s="1">
        <v>18861927</v>
      </c>
      <c r="I79" s="1">
        <v>0</v>
      </c>
      <c r="K79" s="1">
        <v>0</v>
      </c>
      <c r="M79" s="1">
        <v>3500000</v>
      </c>
      <c r="O79" s="1">
        <v>400092</v>
      </c>
      <c r="Q79" s="1">
        <v>0</v>
      </c>
      <c r="S79" s="20">
        <f t="shared" si="6"/>
        <v>22762019</v>
      </c>
      <c r="U79" s="1">
        <v>1234830</v>
      </c>
      <c r="X79" s="1">
        <f>+'St of Net Assets - GA'!O79-'LT _Lia - GA'!U79</f>
        <v>0</v>
      </c>
    </row>
    <row r="80" spans="1:33">
      <c r="A80" s="1" t="s">
        <v>775</v>
      </c>
      <c r="B80" s="12"/>
      <c r="C80" s="12" t="s">
        <v>114</v>
      </c>
      <c r="D80" s="12"/>
      <c r="E80" s="13">
        <v>46755</v>
      </c>
      <c r="G80" s="1">
        <v>0</v>
      </c>
      <c r="I80" s="1">
        <v>15949</v>
      </c>
      <c r="K80" s="1">
        <v>1017105</v>
      </c>
      <c r="M80" s="1">
        <v>0</v>
      </c>
      <c r="O80" s="1">
        <v>0</v>
      </c>
      <c r="Q80" s="1">
        <v>0</v>
      </c>
      <c r="S80" s="20">
        <f>SUM(G80:R80)</f>
        <v>1033054</v>
      </c>
      <c r="U80" s="1">
        <v>109013</v>
      </c>
      <c r="X80" s="1">
        <f>+'St of Net Assets - GA'!O80-'LT _Lia - GA'!U80</f>
        <v>0</v>
      </c>
    </row>
    <row r="81" spans="1:24">
      <c r="A81" s="12" t="s">
        <v>312</v>
      </c>
      <c r="B81" s="12"/>
      <c r="C81" s="12" t="s">
        <v>23</v>
      </c>
      <c r="D81" s="12"/>
      <c r="E81" s="13">
        <v>46755</v>
      </c>
      <c r="G81" s="1">
        <v>23981523</v>
      </c>
      <c r="I81" s="1">
        <v>0</v>
      </c>
      <c r="K81" s="1">
        <v>0</v>
      </c>
      <c r="M81" s="1">
        <v>53561</v>
      </c>
      <c r="O81" s="1">
        <v>1675411</v>
      </c>
      <c r="Q81" s="1">
        <v>0</v>
      </c>
      <c r="S81" s="20">
        <f t="shared" si="6"/>
        <v>25710495</v>
      </c>
      <c r="U81" s="1">
        <v>1255333</v>
      </c>
      <c r="X81" s="1">
        <f>+'St of Net Assets - GA'!O81-'LT _Lia - GA'!U81</f>
        <v>0</v>
      </c>
    </row>
    <row r="82" spans="1:24">
      <c r="A82" s="12" t="s">
        <v>276</v>
      </c>
      <c r="B82" s="12"/>
      <c r="C82" s="12" t="s">
        <v>113</v>
      </c>
      <c r="D82" s="12"/>
      <c r="E82" s="13">
        <v>43687</v>
      </c>
      <c r="G82" s="1">
        <v>13043032</v>
      </c>
      <c r="I82" s="1">
        <v>0</v>
      </c>
      <c r="K82" s="1">
        <v>0</v>
      </c>
      <c r="M82" s="1">
        <v>0</v>
      </c>
      <c r="O82" s="1">
        <v>1351914</v>
      </c>
      <c r="Q82" s="1">
        <v>0</v>
      </c>
      <c r="S82" s="20">
        <f t="shared" si="6"/>
        <v>14394946</v>
      </c>
      <c r="U82" s="1">
        <v>367780</v>
      </c>
      <c r="X82" s="1">
        <f>+'St of Net Assets - GA'!O82-'LT _Lia - GA'!U82</f>
        <v>0</v>
      </c>
    </row>
    <row r="83" spans="1:24">
      <c r="A83" s="12" t="s">
        <v>517</v>
      </c>
      <c r="B83" s="12"/>
      <c r="C83" s="12" t="s">
        <v>52</v>
      </c>
      <c r="D83" s="12"/>
      <c r="E83" s="13">
        <v>45252</v>
      </c>
      <c r="G83" s="1">
        <v>0</v>
      </c>
      <c r="I83" s="1">
        <v>0</v>
      </c>
      <c r="K83" s="1">
        <v>0</v>
      </c>
      <c r="M83" s="1">
        <v>0</v>
      </c>
      <c r="O83" s="1">
        <v>367861</v>
      </c>
      <c r="Q83" s="1">
        <v>0</v>
      </c>
      <c r="S83" s="20">
        <f t="shared" ref="S83:S139" si="7">SUM(G83:R83)</f>
        <v>367861</v>
      </c>
      <c r="U83" s="1">
        <v>32183</v>
      </c>
      <c r="X83" s="1">
        <f>+'St of Net Assets - GA'!O83-'LT _Lia - GA'!U83</f>
        <v>0</v>
      </c>
    </row>
    <row r="84" spans="1:24">
      <c r="A84" s="12" t="s">
        <v>360</v>
      </c>
      <c r="B84" s="12"/>
      <c r="C84" s="12" t="s">
        <v>31</v>
      </c>
      <c r="D84" s="12"/>
      <c r="E84" s="13">
        <v>43695</v>
      </c>
      <c r="G84" s="1">
        <v>5915755</v>
      </c>
      <c r="I84" s="1">
        <v>0</v>
      </c>
      <c r="K84" s="1">
        <v>0</v>
      </c>
      <c r="M84" s="1">
        <v>35487</v>
      </c>
      <c r="O84" s="1">
        <v>1376302</v>
      </c>
      <c r="Q84" s="1">
        <v>0</v>
      </c>
      <c r="S84" s="20">
        <f t="shared" si="7"/>
        <v>7327544</v>
      </c>
      <c r="U84" s="1">
        <v>527283</v>
      </c>
      <c r="X84" s="1">
        <f>+'St of Net Assets - GA'!O84-'LT _Lia - GA'!U84</f>
        <v>0</v>
      </c>
    </row>
    <row r="85" spans="1:24">
      <c r="A85" s="12" t="s">
        <v>463</v>
      </c>
      <c r="B85" s="12"/>
      <c r="C85" s="12" t="s">
        <v>45</v>
      </c>
      <c r="D85" s="12"/>
      <c r="E85" s="13">
        <v>43703</v>
      </c>
      <c r="G85" s="1">
        <v>2155716</v>
      </c>
      <c r="I85" s="1">
        <v>0</v>
      </c>
      <c r="K85" s="1">
        <v>0</v>
      </c>
      <c r="M85" s="1">
        <v>2203000</v>
      </c>
      <c r="O85" s="1">
        <v>702186</v>
      </c>
      <c r="Q85" s="1">
        <v>0</v>
      </c>
      <c r="S85" s="20">
        <f t="shared" si="7"/>
        <v>5060902</v>
      </c>
      <c r="U85" s="1">
        <v>355381</v>
      </c>
      <c r="X85" s="1">
        <f>+'St of Net Assets - GA'!O85-'LT _Lia - GA'!U85</f>
        <v>0</v>
      </c>
    </row>
    <row r="86" spans="1:24">
      <c r="A86" s="12" t="s">
        <v>330</v>
      </c>
      <c r="B86" s="12"/>
      <c r="C86" s="12" t="s">
        <v>27</v>
      </c>
      <c r="D86" s="12"/>
      <c r="E86" s="13">
        <v>46946</v>
      </c>
      <c r="G86" s="1">
        <v>60852378</v>
      </c>
      <c r="I86" s="1">
        <v>0</v>
      </c>
      <c r="K86" s="1">
        <v>2870000</v>
      </c>
      <c r="M86" s="1">
        <f>1121330+161397</f>
        <v>1282727</v>
      </c>
      <c r="O86" s="1">
        <v>547686</v>
      </c>
      <c r="Q86" s="1">
        <v>0</v>
      </c>
      <c r="S86" s="20">
        <f t="shared" si="7"/>
        <v>65552791</v>
      </c>
      <c r="U86" s="1">
        <v>4165446</v>
      </c>
      <c r="X86" s="1">
        <f>+'St of Net Assets - GA'!O86-'LT _Lia - GA'!U86</f>
        <v>0</v>
      </c>
    </row>
    <row r="87" spans="1:24">
      <c r="A87" s="12"/>
      <c r="B87" s="12"/>
      <c r="C87" s="12"/>
      <c r="D87" s="12"/>
      <c r="E87" s="13"/>
      <c r="S87" s="20"/>
    </row>
    <row r="88" spans="1:24">
      <c r="A88" s="12"/>
      <c r="B88" s="12"/>
      <c r="C88" s="12"/>
      <c r="D88" s="12"/>
      <c r="E88" s="13"/>
      <c r="S88" s="20"/>
      <c r="U88" s="41" t="s">
        <v>709</v>
      </c>
    </row>
    <row r="89" spans="1:24">
      <c r="A89" s="12"/>
      <c r="B89" s="12"/>
      <c r="C89" s="12"/>
      <c r="D89" s="12"/>
      <c r="E89" s="13"/>
      <c r="S89" s="20"/>
    </row>
    <row r="90" spans="1:24">
      <c r="A90" s="12" t="s">
        <v>464</v>
      </c>
      <c r="B90" s="12"/>
      <c r="C90" s="12" t="s">
        <v>45</v>
      </c>
      <c r="D90" s="12"/>
      <c r="E90" s="13">
        <v>48314</v>
      </c>
      <c r="G90" s="16">
        <f>72000+32200+120000+4214</f>
        <v>228414</v>
      </c>
      <c r="H90" s="16"/>
      <c r="I90" s="16">
        <f>3480000+257917</f>
        <v>3737917</v>
      </c>
      <c r="J90" s="16"/>
      <c r="K90" s="16">
        <v>0</v>
      </c>
      <c r="L90" s="16"/>
      <c r="M90" s="16">
        <v>0</v>
      </c>
      <c r="N90" s="16"/>
      <c r="O90" s="16">
        <v>3030246</v>
      </c>
      <c r="P90" s="16"/>
      <c r="Q90" s="16">
        <v>0</v>
      </c>
      <c r="R90" s="16"/>
      <c r="S90" s="72">
        <f t="shared" si="7"/>
        <v>6996577</v>
      </c>
      <c r="T90" s="16"/>
      <c r="U90" s="16">
        <v>282090</v>
      </c>
      <c r="X90" s="1">
        <f>+'St of Net Assets - GA'!O90-'LT _Lia - GA'!U90</f>
        <v>0</v>
      </c>
    </row>
    <row r="91" spans="1:24">
      <c r="A91" s="12" t="s">
        <v>574</v>
      </c>
      <c r="B91" s="12"/>
      <c r="C91" s="12" t="s">
        <v>62</v>
      </c>
      <c r="D91" s="12"/>
      <c r="E91" s="13">
        <v>43711</v>
      </c>
      <c r="G91" s="1">
        <v>0</v>
      </c>
      <c r="I91" s="1">
        <v>90451</v>
      </c>
      <c r="K91" s="1">
        <f>752274+30000</f>
        <v>782274</v>
      </c>
      <c r="M91" s="1">
        <v>342329</v>
      </c>
      <c r="O91" s="1">
        <f>2625882+48369</f>
        <v>2674251</v>
      </c>
      <c r="Q91" s="1">
        <v>0</v>
      </c>
      <c r="S91" s="20">
        <f t="shared" si="7"/>
        <v>3889305</v>
      </c>
      <c r="U91" s="1">
        <v>704114</v>
      </c>
      <c r="X91" s="1">
        <f>+'St of Net Assets - GA'!O91-'LT _Lia - GA'!U91</f>
        <v>0</v>
      </c>
    </row>
    <row r="92" spans="1:24">
      <c r="A92" s="12" t="s">
        <v>573</v>
      </c>
      <c r="B92" s="12"/>
      <c r="C92" s="12" t="s">
        <v>62</v>
      </c>
      <c r="D92" s="12"/>
      <c r="E92" s="13">
        <v>49833</v>
      </c>
      <c r="G92" s="1">
        <f>44431000-1663000+1966000</f>
        <v>44734000</v>
      </c>
      <c r="I92" s="1">
        <v>0</v>
      </c>
      <c r="K92" s="1">
        <v>2105000</v>
      </c>
      <c r="M92" s="1">
        <v>883000</v>
      </c>
      <c r="O92" s="1">
        <v>5161000</v>
      </c>
      <c r="Q92" s="1">
        <v>5446000</v>
      </c>
      <c r="S92" s="20">
        <f t="shared" si="7"/>
        <v>58329000</v>
      </c>
      <c r="U92" s="1">
        <v>3221000</v>
      </c>
      <c r="X92" s="1">
        <f>+'St of Net Assets - GA'!O92-'LT _Lia - GA'!U92</f>
        <v>0</v>
      </c>
    </row>
    <row r="93" spans="1:24">
      <c r="A93" s="12" t="s">
        <v>352</v>
      </c>
      <c r="B93" s="12"/>
      <c r="C93" s="12" t="s">
        <v>30</v>
      </c>
      <c r="D93" s="12"/>
      <c r="E93" s="13">
        <v>47175</v>
      </c>
      <c r="G93" s="1">
        <v>10127903</v>
      </c>
      <c r="I93" s="1">
        <v>1068252</v>
      </c>
      <c r="K93" s="1">
        <v>0</v>
      </c>
      <c r="M93" s="1">
        <v>0</v>
      </c>
      <c r="O93" s="1">
        <v>989623</v>
      </c>
      <c r="Q93" s="1">
        <v>0</v>
      </c>
      <c r="S93" s="20">
        <f t="shared" si="7"/>
        <v>12185778</v>
      </c>
      <c r="U93" s="1">
        <v>1074790</v>
      </c>
      <c r="X93" s="1">
        <f>+'St of Net Assets - GA'!O93-'LT _Lia - GA'!U93</f>
        <v>0</v>
      </c>
    </row>
    <row r="94" spans="1:24">
      <c r="A94" s="12" t="s">
        <v>924</v>
      </c>
      <c r="B94" s="12"/>
      <c r="C94" s="12" t="s">
        <v>78</v>
      </c>
      <c r="D94" s="12"/>
      <c r="E94" s="13">
        <v>48793</v>
      </c>
      <c r="G94" s="1">
        <v>4796458</v>
      </c>
      <c r="I94" s="1">
        <v>0</v>
      </c>
      <c r="K94" s="1">
        <v>0</v>
      </c>
      <c r="M94" s="1">
        <v>0</v>
      </c>
      <c r="O94" s="1">
        <v>696650</v>
      </c>
      <c r="Q94" s="1">
        <v>0</v>
      </c>
      <c r="S94" s="20">
        <f>SUM(G94:R94)</f>
        <v>5493108</v>
      </c>
      <c r="U94" s="1">
        <v>424459</v>
      </c>
      <c r="X94" s="1">
        <f>+'St of Net Assets - GA'!O94-'LT _Lia - GA'!U94</f>
        <v>0</v>
      </c>
    </row>
    <row r="95" spans="1:24" hidden="1">
      <c r="A95" s="12" t="s">
        <v>739</v>
      </c>
      <c r="B95" s="12"/>
      <c r="C95" s="12" t="s">
        <v>653</v>
      </c>
      <c r="D95" s="12"/>
      <c r="E95" s="13">
        <v>45260</v>
      </c>
      <c r="S95" s="20">
        <f t="shared" si="7"/>
        <v>0</v>
      </c>
      <c r="X95" s="1">
        <f>+'St of Net Assets - GA'!O95-'LT _Lia - GA'!U95</f>
        <v>0</v>
      </c>
    </row>
    <row r="96" spans="1:24">
      <c r="A96" s="12" t="s">
        <v>631</v>
      </c>
      <c r="B96" s="12"/>
      <c r="C96" s="12" t="s">
        <v>69</v>
      </c>
      <c r="D96" s="12"/>
      <c r="E96" s="13">
        <v>50419</v>
      </c>
      <c r="G96" s="1">
        <v>0</v>
      </c>
      <c r="I96" s="1">
        <v>244179</v>
      </c>
      <c r="K96" s="1">
        <v>0</v>
      </c>
      <c r="M96" s="1">
        <v>26419</v>
      </c>
      <c r="O96" s="1">
        <v>897646</v>
      </c>
      <c r="Q96" s="1">
        <v>0</v>
      </c>
      <c r="S96" s="20">
        <f t="shared" si="7"/>
        <v>1168244</v>
      </c>
      <c r="U96" s="1">
        <v>148236</v>
      </c>
      <c r="X96" s="1">
        <f>+'St of Net Assets - GA'!O96-'LT _Lia - GA'!U96</f>
        <v>0</v>
      </c>
    </row>
    <row r="97" spans="1:24" s="16" customFormat="1">
      <c r="A97" s="14" t="s">
        <v>238</v>
      </c>
      <c r="B97" s="14"/>
      <c r="C97" s="14" t="s">
        <v>16</v>
      </c>
      <c r="D97" s="14"/>
      <c r="E97" s="13">
        <v>45278</v>
      </c>
      <c r="G97" s="1">
        <v>0</v>
      </c>
      <c r="H97" s="1"/>
      <c r="I97" s="1">
        <v>0</v>
      </c>
      <c r="J97" s="1"/>
      <c r="K97" s="1">
        <v>0</v>
      </c>
      <c r="L97" s="1"/>
      <c r="M97" s="1">
        <v>16570</v>
      </c>
      <c r="N97" s="1"/>
      <c r="O97" s="1">
        <v>1408952</v>
      </c>
      <c r="P97" s="1"/>
      <c r="Q97" s="1">
        <v>0</v>
      </c>
      <c r="R97" s="1"/>
      <c r="S97" s="20">
        <f t="shared" si="7"/>
        <v>1425522</v>
      </c>
      <c r="T97" s="1"/>
      <c r="U97" s="1">
        <v>157057</v>
      </c>
      <c r="X97" s="16">
        <f>+'St of Net Assets - GA'!O97-'LT _Lia - GA'!U97</f>
        <v>0</v>
      </c>
    </row>
    <row r="98" spans="1:24" hidden="1">
      <c r="A98" s="12" t="s">
        <v>925</v>
      </c>
      <c r="B98" s="12"/>
      <c r="C98" s="12" t="s">
        <v>116</v>
      </c>
      <c r="D98" s="12"/>
      <c r="E98" s="13">
        <v>47258</v>
      </c>
      <c r="S98" s="20">
        <f t="shared" si="7"/>
        <v>0</v>
      </c>
      <c r="X98" s="1">
        <f>+'St of Net Assets - GA'!O98-'LT _Lia - GA'!U98</f>
        <v>0</v>
      </c>
    </row>
    <row r="99" spans="1:24" hidden="1">
      <c r="A99" s="12" t="s">
        <v>740</v>
      </c>
      <c r="B99" s="12"/>
      <c r="C99" s="12" t="s">
        <v>486</v>
      </c>
      <c r="D99" s="12"/>
      <c r="E99" s="13">
        <v>43729</v>
      </c>
      <c r="S99" s="20">
        <f t="shared" ref="S99" si="8">SUM(G99:R99)</f>
        <v>0</v>
      </c>
      <c r="X99" s="1">
        <f>+'St of Net Assets - GA'!O99-'LT _Lia - GA'!U99</f>
        <v>0</v>
      </c>
    </row>
    <row r="100" spans="1:24">
      <c r="A100" s="12" t="s">
        <v>794</v>
      </c>
      <c r="B100" s="12"/>
      <c r="C100" s="12" t="s">
        <v>40</v>
      </c>
      <c r="D100" s="12"/>
      <c r="E100" s="13">
        <v>47829</v>
      </c>
      <c r="G100" s="1">
        <v>5284422</v>
      </c>
      <c r="I100" s="1">
        <v>0</v>
      </c>
      <c r="K100" s="1">
        <v>0</v>
      </c>
      <c r="M100" s="1">
        <v>0</v>
      </c>
      <c r="O100" s="1">
        <v>499400</v>
      </c>
      <c r="Q100" s="1">
        <v>0</v>
      </c>
      <c r="S100" s="20">
        <f t="shared" si="7"/>
        <v>5783822</v>
      </c>
      <c r="U100" s="1">
        <v>321680</v>
      </c>
      <c r="X100" s="1">
        <f>+'St of Net Assets - GA'!O100-'LT _Lia - GA'!U100</f>
        <v>0</v>
      </c>
    </row>
    <row r="101" spans="1:24">
      <c r="A101" s="14" t="s">
        <v>795</v>
      </c>
      <c r="B101" s="12"/>
      <c r="C101" s="12" t="s">
        <v>50</v>
      </c>
      <c r="D101" s="12"/>
      <c r="E101" s="13">
        <v>43737</v>
      </c>
      <c r="G101" s="1">
        <v>67516574</v>
      </c>
      <c r="I101" s="1">
        <v>0</v>
      </c>
      <c r="K101" s="1">
        <v>0</v>
      </c>
      <c r="M101" s="1">
        <v>0</v>
      </c>
      <c r="O101" s="1">
        <v>2598176</v>
      </c>
      <c r="Q101" s="1">
        <v>0</v>
      </c>
      <c r="S101" s="20">
        <f t="shared" si="7"/>
        <v>70114750</v>
      </c>
      <c r="U101" s="1">
        <v>4226508</v>
      </c>
      <c r="X101" s="1">
        <f>+'St of Net Assets - GA'!O101-'LT _Lia - GA'!U101</f>
        <v>0</v>
      </c>
    </row>
    <row r="102" spans="1:24" hidden="1">
      <c r="A102" s="12" t="s">
        <v>926</v>
      </c>
      <c r="B102" s="12"/>
      <c r="C102" s="12" t="s">
        <v>22</v>
      </c>
      <c r="D102" s="12"/>
      <c r="E102" s="13">
        <v>46714</v>
      </c>
      <c r="S102" s="20">
        <f t="shared" si="7"/>
        <v>0</v>
      </c>
      <c r="X102" s="1">
        <f>+'St of Net Assets - GA'!O102-'LT _Lia - GA'!U102</f>
        <v>0</v>
      </c>
    </row>
    <row r="103" spans="1:24">
      <c r="A103" s="12" t="s">
        <v>285</v>
      </c>
      <c r="B103" s="12"/>
      <c r="C103" s="12" t="s">
        <v>20</v>
      </c>
      <c r="D103" s="12"/>
      <c r="E103" s="13">
        <v>45286</v>
      </c>
      <c r="G103" s="1">
        <v>26821211</v>
      </c>
      <c r="I103" s="1">
        <v>0</v>
      </c>
      <c r="K103" s="1">
        <v>0</v>
      </c>
      <c r="M103" s="1">
        <v>0</v>
      </c>
      <c r="O103" s="1">
        <f>1406151+29367</f>
        <v>1435518</v>
      </c>
      <c r="Q103" s="1">
        <v>0</v>
      </c>
      <c r="S103" s="20">
        <f t="shared" si="7"/>
        <v>28256729</v>
      </c>
      <c r="U103" s="1">
        <v>1801609</v>
      </c>
      <c r="X103" s="1">
        <f>+'St of Net Assets - GA'!O103-'LT _Lia - GA'!U103</f>
        <v>0</v>
      </c>
    </row>
    <row r="104" spans="1:24">
      <c r="A104" s="12" t="s">
        <v>602</v>
      </c>
      <c r="B104" s="12"/>
      <c r="C104" s="12" t="s">
        <v>64</v>
      </c>
      <c r="D104" s="12"/>
      <c r="E104" s="13">
        <v>50138</v>
      </c>
      <c r="G104" s="1">
        <v>567762</v>
      </c>
      <c r="I104" s="1">
        <v>0</v>
      </c>
      <c r="K104" s="1">
        <v>67326</v>
      </c>
      <c r="M104" s="1">
        <v>1025383</v>
      </c>
      <c r="O104" s="1">
        <v>805323</v>
      </c>
      <c r="Q104" s="1">
        <v>0</v>
      </c>
      <c r="S104" s="20">
        <f t="shared" si="7"/>
        <v>2465794</v>
      </c>
      <c r="U104" s="1">
        <v>335299</v>
      </c>
      <c r="X104" s="1">
        <f>+'St of Net Assets - GA'!O104-'LT _Lia - GA'!U104</f>
        <v>0</v>
      </c>
    </row>
    <row r="105" spans="1:24" hidden="1">
      <c r="A105" s="12" t="s">
        <v>927</v>
      </c>
      <c r="B105" s="12"/>
      <c r="C105" s="12" t="s">
        <v>30</v>
      </c>
      <c r="D105" s="12"/>
      <c r="E105" s="13">
        <v>47183</v>
      </c>
      <c r="S105" s="20">
        <f t="shared" si="7"/>
        <v>0</v>
      </c>
      <c r="X105" s="1">
        <f>+'St of Net Assets - GA'!O105-'LT _Lia - GA'!U105</f>
        <v>0</v>
      </c>
    </row>
    <row r="106" spans="1:24">
      <c r="A106" s="12" t="s">
        <v>419</v>
      </c>
      <c r="B106" s="12"/>
      <c r="C106" s="12" t="s">
        <v>420</v>
      </c>
      <c r="D106" s="12"/>
      <c r="E106" s="13">
        <v>45294</v>
      </c>
      <c r="G106" s="1">
        <v>1668638</v>
      </c>
      <c r="I106" s="1">
        <v>0</v>
      </c>
      <c r="K106" s="1">
        <v>0</v>
      </c>
      <c r="M106" s="1">
        <v>47120</v>
      </c>
      <c r="O106" s="1">
        <v>670509</v>
      </c>
      <c r="Q106" s="1">
        <v>0</v>
      </c>
      <c r="S106" s="20">
        <f t="shared" si="7"/>
        <v>2386267</v>
      </c>
      <c r="U106" s="1">
        <v>178839</v>
      </c>
      <c r="X106" s="1">
        <f>+'St of Net Assets - GA'!O106-'LT _Lia - GA'!U106</f>
        <v>0</v>
      </c>
    </row>
    <row r="107" spans="1:24">
      <c r="A107" s="12" t="s">
        <v>550</v>
      </c>
      <c r="B107" s="12"/>
      <c r="C107" s="12" t="s">
        <v>58</v>
      </c>
      <c r="D107" s="12"/>
      <c r="E107" s="13">
        <v>43745</v>
      </c>
      <c r="G107" s="1">
        <v>33564739</v>
      </c>
      <c r="I107" s="1">
        <v>0</v>
      </c>
      <c r="K107" s="1">
        <v>615000</v>
      </c>
      <c r="M107" s="1">
        <v>0</v>
      </c>
      <c r="O107" s="1">
        <v>2430848</v>
      </c>
      <c r="Q107" s="1">
        <v>0</v>
      </c>
      <c r="S107" s="20">
        <f t="shared" si="7"/>
        <v>36610587</v>
      </c>
      <c r="U107" s="1">
        <v>1352979</v>
      </c>
      <c r="X107" s="1">
        <f>+'St of Net Assets - GA'!O107-'LT _Lia - GA'!U107</f>
        <v>0</v>
      </c>
    </row>
    <row r="108" spans="1:24">
      <c r="A108" s="12" t="s">
        <v>833</v>
      </c>
      <c r="B108" s="12"/>
      <c r="C108" s="12" t="s">
        <v>71</v>
      </c>
      <c r="D108" s="12"/>
      <c r="E108" s="13">
        <v>50534</v>
      </c>
      <c r="G108" s="1">
        <v>0</v>
      </c>
      <c r="I108" s="1">
        <v>0</v>
      </c>
      <c r="K108" s="1">
        <v>0</v>
      </c>
      <c r="M108" s="1">
        <v>0</v>
      </c>
      <c r="O108" s="1">
        <v>599003</v>
      </c>
      <c r="Q108" s="1">
        <v>0</v>
      </c>
      <c r="S108" s="20">
        <f t="shared" si="7"/>
        <v>599003</v>
      </c>
      <c r="U108" s="1">
        <v>109894</v>
      </c>
      <c r="X108" s="1">
        <f>+'St of Net Assets - GA'!O108-'LT _Lia - GA'!U108</f>
        <v>0</v>
      </c>
    </row>
    <row r="109" spans="1:24">
      <c r="A109" s="12" t="s">
        <v>928</v>
      </c>
      <c r="B109" s="12"/>
      <c r="C109" s="12" t="s">
        <v>32</v>
      </c>
      <c r="D109" s="12"/>
      <c r="E109" s="13">
        <v>43752</v>
      </c>
      <c r="G109" s="1">
        <v>640782247</v>
      </c>
      <c r="I109" s="1">
        <v>0</v>
      </c>
      <c r="K109" s="1">
        <v>0</v>
      </c>
      <c r="M109" s="1">
        <v>122866118</v>
      </c>
      <c r="O109" s="1">
        <v>54660041</v>
      </c>
      <c r="Q109" s="1">
        <v>0</v>
      </c>
      <c r="S109" s="20">
        <f t="shared" si="7"/>
        <v>818308406</v>
      </c>
      <c r="U109" s="1">
        <v>33533610</v>
      </c>
      <c r="X109" s="1">
        <f>+'St of Net Assets - GA'!O109-'LT _Lia - GA'!U109</f>
        <v>0</v>
      </c>
    </row>
    <row r="110" spans="1:24">
      <c r="A110" s="12" t="s">
        <v>525</v>
      </c>
      <c r="B110" s="12"/>
      <c r="C110" s="12" t="s">
        <v>54</v>
      </c>
      <c r="D110" s="12"/>
      <c r="E110" s="13">
        <v>43760</v>
      </c>
      <c r="G110" s="1">
        <v>0</v>
      </c>
      <c r="I110" s="1">
        <v>0</v>
      </c>
      <c r="K110" s="1">
        <v>318000</v>
      </c>
      <c r="M110" s="1">
        <v>484805</v>
      </c>
      <c r="O110" s="1">
        <v>1529856</v>
      </c>
      <c r="Q110" s="1">
        <v>0</v>
      </c>
      <c r="S110" s="20">
        <f t="shared" si="7"/>
        <v>2332661</v>
      </c>
      <c r="U110" s="1">
        <v>480729</v>
      </c>
      <c r="X110" s="1">
        <f>+'St of Net Assets - GA'!O110-'LT _Lia - GA'!U110</f>
        <v>0</v>
      </c>
    </row>
    <row r="111" spans="1:24">
      <c r="A111" s="12" t="s">
        <v>245</v>
      </c>
      <c r="B111" s="12"/>
      <c r="C111" s="12" t="s">
        <v>17</v>
      </c>
      <c r="D111" s="12"/>
      <c r="E111" s="13">
        <v>46284</v>
      </c>
      <c r="G111" s="1">
        <v>0</v>
      </c>
      <c r="I111" s="1">
        <v>0</v>
      </c>
      <c r="K111" s="1">
        <v>0</v>
      </c>
      <c r="M111" s="1">
        <v>49257</v>
      </c>
      <c r="O111" s="1">
        <v>1414913</v>
      </c>
      <c r="Q111" s="1">
        <v>0</v>
      </c>
      <c r="S111" s="20">
        <f t="shared" si="7"/>
        <v>1464170</v>
      </c>
      <c r="U111" s="1">
        <v>159150</v>
      </c>
      <c r="X111" s="1">
        <f>+'St of Net Assets - GA'!O111-'LT _Lia - GA'!U111</f>
        <v>0</v>
      </c>
    </row>
    <row r="112" spans="1:24">
      <c r="A112" s="12" t="s">
        <v>560</v>
      </c>
      <c r="B112" s="12"/>
      <c r="C112" s="12" t="s">
        <v>59</v>
      </c>
      <c r="D112" s="12"/>
      <c r="E112" s="13">
        <v>49601</v>
      </c>
      <c r="G112" s="1">
        <f>285000+4800000+130000+57629+209831</f>
        <v>5482460</v>
      </c>
      <c r="I112" s="1">
        <v>0</v>
      </c>
      <c r="K112" s="1">
        <v>0</v>
      </c>
      <c r="M112" s="1">
        <v>124000</v>
      </c>
      <c r="O112" s="1">
        <v>402512</v>
      </c>
      <c r="Q112" s="1">
        <v>0</v>
      </c>
      <c r="S112" s="20">
        <f t="shared" si="7"/>
        <v>6008972</v>
      </c>
      <c r="U112" s="1">
        <v>134284</v>
      </c>
      <c r="X112" s="1">
        <f>+'St of Net Assets - GA'!O112-'LT _Lia - GA'!U112</f>
        <v>0</v>
      </c>
    </row>
    <row r="113" spans="1:27">
      <c r="A113" s="12" t="s">
        <v>618</v>
      </c>
      <c r="B113" s="12"/>
      <c r="C113" s="12" t="s">
        <v>65</v>
      </c>
      <c r="D113" s="12"/>
      <c r="E113" s="13">
        <v>43778</v>
      </c>
      <c r="G113" s="1">
        <v>3346643</v>
      </c>
      <c r="I113" s="1">
        <v>0</v>
      </c>
      <c r="K113" s="1">
        <v>0</v>
      </c>
      <c r="M113" s="1">
        <v>56279</v>
      </c>
      <c r="O113" s="1">
        <v>1143504</v>
      </c>
      <c r="Q113" s="1">
        <v>0</v>
      </c>
      <c r="S113" s="20">
        <f t="shared" si="7"/>
        <v>4546426</v>
      </c>
      <c r="U113" s="1">
        <v>467798</v>
      </c>
      <c r="X113" s="1">
        <f>+'St of Net Assets - GA'!O113-'LT _Lia - GA'!U113</f>
        <v>0</v>
      </c>
    </row>
    <row r="114" spans="1:27">
      <c r="A114" s="12" t="s">
        <v>543</v>
      </c>
      <c r="B114" s="12"/>
      <c r="C114" s="12" t="s">
        <v>112</v>
      </c>
      <c r="D114" s="12"/>
      <c r="E114" s="13">
        <v>49411</v>
      </c>
      <c r="G114" s="1">
        <v>6785501</v>
      </c>
      <c r="I114" s="1">
        <v>0</v>
      </c>
      <c r="K114" s="1">
        <v>0</v>
      </c>
      <c r="M114" s="1">
        <v>0</v>
      </c>
      <c r="O114" s="1">
        <v>674698</v>
      </c>
      <c r="Q114" s="1">
        <v>0</v>
      </c>
      <c r="S114" s="20">
        <f t="shared" si="7"/>
        <v>7460199</v>
      </c>
      <c r="U114" s="1">
        <v>451907</v>
      </c>
      <c r="X114" s="1">
        <f>+'St of Net Assets - GA'!O114-'LT _Lia - GA'!U114</f>
        <v>0</v>
      </c>
    </row>
    <row r="115" spans="1:27">
      <c r="A115" s="12" t="s">
        <v>438</v>
      </c>
      <c r="B115" s="12"/>
      <c r="C115" s="12" t="s">
        <v>44</v>
      </c>
      <c r="D115" s="12"/>
      <c r="E115" s="13">
        <v>48132</v>
      </c>
      <c r="G115" s="1">
        <v>4625000</v>
      </c>
      <c r="I115" s="1">
        <v>91000</v>
      </c>
      <c r="K115" s="1">
        <v>0</v>
      </c>
      <c r="M115" s="1">
        <v>79569</v>
      </c>
      <c r="O115" s="1">
        <v>1273321</v>
      </c>
      <c r="Q115" s="1">
        <v>0</v>
      </c>
      <c r="S115" s="20">
        <f t="shared" si="7"/>
        <v>6068890</v>
      </c>
      <c r="U115" s="1">
        <v>410241</v>
      </c>
      <c r="X115" s="1">
        <f>+'St of Net Assets - GA'!O115-'LT _Lia - GA'!U115</f>
        <v>0</v>
      </c>
    </row>
    <row r="116" spans="1:27">
      <c r="A116" s="12" t="s">
        <v>797</v>
      </c>
      <c r="B116" s="12"/>
      <c r="C116" s="12" t="s">
        <v>115</v>
      </c>
      <c r="D116" s="12"/>
      <c r="E116" s="13"/>
      <c r="G116" s="1">
        <v>1195000</v>
      </c>
      <c r="I116" s="1">
        <v>0</v>
      </c>
      <c r="K116" s="1">
        <v>0</v>
      </c>
      <c r="M116" s="1">
        <v>0</v>
      </c>
      <c r="O116" s="1">
        <v>1094332</v>
      </c>
      <c r="Q116" s="1">
        <v>0</v>
      </c>
      <c r="S116" s="20">
        <f t="shared" si="7"/>
        <v>2289332</v>
      </c>
      <c r="U116" s="1">
        <v>726853</v>
      </c>
      <c r="X116" s="1">
        <f>+'St of Net Assets - GA'!O116-'LT _Lia - GA'!U116</f>
        <v>0</v>
      </c>
    </row>
    <row r="117" spans="1:27">
      <c r="A117" s="12" t="s">
        <v>796</v>
      </c>
      <c r="B117" s="12"/>
      <c r="C117" s="12" t="s">
        <v>20</v>
      </c>
      <c r="D117" s="12"/>
      <c r="E117" s="13">
        <v>43794</v>
      </c>
      <c r="G117" s="1">
        <f>2505000+7790000+5500000</f>
        <v>15795000</v>
      </c>
      <c r="I117" s="1">
        <v>0</v>
      </c>
      <c r="K117" s="1">
        <v>0</v>
      </c>
      <c r="M117" s="1">
        <v>2058402</v>
      </c>
      <c r="O117" s="1">
        <f>216000+6092348+12000+303218</f>
        <v>6623566</v>
      </c>
      <c r="Q117" s="1">
        <v>0</v>
      </c>
      <c r="S117" s="20">
        <f t="shared" si="7"/>
        <v>24476968</v>
      </c>
      <c r="U117" s="1">
        <f>2117935+48957</f>
        <v>2166892</v>
      </c>
      <c r="X117" s="1">
        <f>+'St of Net Assets - GA'!O117-'LT _Lia - GA'!U117</f>
        <v>0</v>
      </c>
    </row>
    <row r="118" spans="1:27">
      <c r="A118" s="12" t="s">
        <v>286</v>
      </c>
      <c r="B118" s="12"/>
      <c r="C118" s="12" t="s">
        <v>20</v>
      </c>
      <c r="D118" s="12"/>
      <c r="E118" s="13">
        <v>43786</v>
      </c>
      <c r="G118" s="1">
        <f>158165510+21250000</f>
        <v>179415510</v>
      </c>
      <c r="I118" s="1">
        <v>0</v>
      </c>
      <c r="K118" s="1">
        <v>0</v>
      </c>
      <c r="M118" s="1">
        <v>595487</v>
      </c>
      <c r="O118" s="1">
        <v>51087401</v>
      </c>
      <c r="Q118" s="1">
        <v>8020519</v>
      </c>
      <c r="S118" s="20">
        <f t="shared" si="7"/>
        <v>239118917</v>
      </c>
      <c r="U118" s="1">
        <v>19334663</v>
      </c>
      <c r="X118" s="1">
        <f>+'St of Net Assets - GA'!O118-'LT _Lia - GA'!U118</f>
        <v>0</v>
      </c>
    </row>
    <row r="119" spans="1:27">
      <c r="A119" s="12" t="s">
        <v>260</v>
      </c>
      <c r="B119" s="12"/>
      <c r="C119" s="12" t="s">
        <v>18</v>
      </c>
      <c r="D119" s="12"/>
      <c r="E119" s="13">
        <v>46391</v>
      </c>
      <c r="G119" s="1">
        <f>174122+7865000+480000</f>
        <v>8519122</v>
      </c>
      <c r="I119" s="1">
        <v>0</v>
      </c>
      <c r="K119" s="1">
        <v>0</v>
      </c>
      <c r="M119" s="1">
        <v>176609</v>
      </c>
      <c r="O119" s="1">
        <v>782053</v>
      </c>
      <c r="Q119" s="1">
        <v>0</v>
      </c>
      <c r="S119" s="20">
        <f t="shared" si="7"/>
        <v>9477784</v>
      </c>
      <c r="U119" s="1">
        <v>667014</v>
      </c>
      <c r="X119" s="1">
        <f>+'St of Net Assets - GA'!O119-'LT _Lia - GA'!U119</f>
        <v>0</v>
      </c>
    </row>
    <row r="120" spans="1:27">
      <c r="A120" s="12" t="s">
        <v>480</v>
      </c>
      <c r="B120" s="12"/>
      <c r="C120" s="12" t="s">
        <v>47</v>
      </c>
      <c r="D120" s="12"/>
      <c r="E120" s="13">
        <v>48488</v>
      </c>
      <c r="G120" s="1">
        <v>0</v>
      </c>
      <c r="I120" s="1">
        <v>0</v>
      </c>
      <c r="K120" s="1">
        <v>0</v>
      </c>
      <c r="M120" s="1">
        <f>25660000-666905</f>
        <v>24993095</v>
      </c>
      <c r="O120" s="1">
        <v>2622161</v>
      </c>
      <c r="Q120" s="1">
        <v>0</v>
      </c>
      <c r="S120" s="20">
        <f t="shared" si="7"/>
        <v>27615256</v>
      </c>
      <c r="U120" s="1">
        <v>333298</v>
      </c>
      <c r="X120" s="1">
        <f>+'St of Net Assets - GA'!O120-'LT _Lia - GA'!U120</f>
        <v>0</v>
      </c>
    </row>
    <row r="121" spans="1:27">
      <c r="A121" s="12" t="s">
        <v>555</v>
      </c>
      <c r="B121" s="12"/>
      <c r="C121" s="12" t="s">
        <v>79</v>
      </c>
      <c r="D121" s="12"/>
      <c r="E121" s="13">
        <v>45302</v>
      </c>
      <c r="G121" s="1">
        <v>25391689</v>
      </c>
      <c r="I121" s="1">
        <v>0</v>
      </c>
      <c r="K121" s="1">
        <v>0</v>
      </c>
      <c r="M121" s="1">
        <v>2214263</v>
      </c>
      <c r="O121" s="1">
        <v>1924677</v>
      </c>
      <c r="Q121" s="1">
        <v>0</v>
      </c>
      <c r="S121" s="20">
        <f t="shared" si="7"/>
        <v>29530629</v>
      </c>
      <c r="U121" s="1">
        <v>1185964</v>
      </c>
      <c r="X121" s="1">
        <f>+'St of Net Assets - GA'!O121-'LT _Lia - GA'!U121</f>
        <v>0</v>
      </c>
    </row>
    <row r="122" spans="1:27" hidden="1">
      <c r="A122" s="12" t="s">
        <v>798</v>
      </c>
      <c r="B122" s="12"/>
      <c r="C122" s="12" t="s">
        <v>486</v>
      </c>
      <c r="D122" s="12"/>
      <c r="E122" s="13"/>
      <c r="S122" s="20">
        <f t="shared" si="7"/>
        <v>0</v>
      </c>
      <c r="X122" s="1">
        <f>+'St of Net Assets - GA'!O122-'LT _Lia - GA'!U122</f>
        <v>0</v>
      </c>
    </row>
    <row r="123" spans="1:27" hidden="1">
      <c r="A123" s="12" t="s">
        <v>929</v>
      </c>
      <c r="B123" s="12"/>
      <c r="C123" s="12" t="s">
        <v>57</v>
      </c>
      <c r="D123" s="12"/>
      <c r="E123" s="13">
        <v>64964</v>
      </c>
      <c r="S123" s="20">
        <f>SUM(G123:R123)</f>
        <v>0</v>
      </c>
      <c r="X123" s="1">
        <f>+'St of Net Assets - GA'!O123-'LT _Lia - GA'!U123</f>
        <v>0</v>
      </c>
    </row>
    <row r="124" spans="1:27">
      <c r="A124" s="12" t="s">
        <v>277</v>
      </c>
      <c r="B124" s="12"/>
      <c r="C124" s="12" t="s">
        <v>113</v>
      </c>
      <c r="D124" s="12"/>
      <c r="E124" s="13">
        <v>46516</v>
      </c>
      <c r="G124" s="1">
        <v>13564346</v>
      </c>
      <c r="I124" s="1">
        <v>119071</v>
      </c>
      <c r="K124" s="1">
        <v>0</v>
      </c>
      <c r="M124" s="1">
        <v>0</v>
      </c>
      <c r="O124" s="1">
        <v>486209</v>
      </c>
      <c r="Q124" s="1">
        <v>0</v>
      </c>
      <c r="S124" s="20">
        <f t="shared" si="7"/>
        <v>14169626</v>
      </c>
      <c r="U124" s="1">
        <v>456434</v>
      </c>
      <c r="X124" s="1">
        <f>+'St of Net Assets - GA'!O124-'LT _Lia - GA'!U124</f>
        <v>0</v>
      </c>
      <c r="AA124" s="1" t="s">
        <v>675</v>
      </c>
    </row>
    <row r="125" spans="1:27">
      <c r="A125" s="12" t="s">
        <v>439</v>
      </c>
      <c r="B125" s="12"/>
      <c r="C125" s="12" t="s">
        <v>44</v>
      </c>
      <c r="D125" s="12"/>
      <c r="E125" s="13">
        <v>48140</v>
      </c>
      <c r="G125" s="1">
        <v>0</v>
      </c>
      <c r="I125" s="1">
        <v>0</v>
      </c>
      <c r="K125" s="1">
        <v>0</v>
      </c>
      <c r="M125" s="1">
        <v>48298</v>
      </c>
      <c r="O125" s="1">
        <v>889386</v>
      </c>
      <c r="Q125" s="1">
        <v>0</v>
      </c>
      <c r="S125" s="20">
        <f t="shared" si="7"/>
        <v>937684</v>
      </c>
      <c r="U125" s="1">
        <v>137525</v>
      </c>
      <c r="X125" s="1">
        <f>+'St of Net Assets - GA'!O125-'LT _Lia - GA'!U125</f>
        <v>0</v>
      </c>
    </row>
    <row r="126" spans="1:27">
      <c r="A126" s="12" t="s">
        <v>264</v>
      </c>
      <c r="B126" s="12"/>
      <c r="C126" s="12" t="s">
        <v>114</v>
      </c>
      <c r="D126" s="12"/>
      <c r="E126" s="13">
        <v>45328</v>
      </c>
      <c r="G126" s="1">
        <v>140000</v>
      </c>
      <c r="I126" s="1">
        <f>8009526+172775</f>
        <v>8182301</v>
      </c>
      <c r="K126" s="1">
        <v>0</v>
      </c>
      <c r="M126" s="1">
        <v>50970</v>
      </c>
      <c r="O126" s="1">
        <v>652368</v>
      </c>
      <c r="Q126" s="1">
        <v>0</v>
      </c>
      <c r="S126" s="20">
        <f t="shared" si="7"/>
        <v>9025639</v>
      </c>
      <c r="U126" s="1">
        <v>743329</v>
      </c>
      <c r="X126" s="1">
        <f>+'St of Net Assets - GA'!O126-'LT _Lia - GA'!U126</f>
        <v>0</v>
      </c>
    </row>
    <row r="127" spans="1:27">
      <c r="A127" s="12" t="s">
        <v>331</v>
      </c>
      <c r="B127" s="12"/>
      <c r="C127" s="12" t="s">
        <v>27</v>
      </c>
      <c r="D127" s="12"/>
      <c r="E127" s="13">
        <v>43802</v>
      </c>
      <c r="G127" s="1">
        <f>593986881-62145960-17555871</f>
        <v>514285050</v>
      </c>
      <c r="I127" s="1">
        <v>0</v>
      </c>
      <c r="K127" s="1">
        <v>0</v>
      </c>
      <c r="M127" s="1">
        <v>0</v>
      </c>
      <c r="O127" s="1">
        <v>62145960</v>
      </c>
      <c r="Q127" s="1">
        <v>17555871</v>
      </c>
      <c r="S127" s="20">
        <f t="shared" si="7"/>
        <v>593986881</v>
      </c>
      <c r="U127" s="1">
        <v>27265559</v>
      </c>
      <c r="X127" s="1">
        <f>+'St of Net Assets - GA'!O127-'LT _Lia - GA'!U127</f>
        <v>0</v>
      </c>
    </row>
    <row r="128" spans="1:27" hidden="1">
      <c r="A128" s="12" t="s">
        <v>731</v>
      </c>
      <c r="B128" s="12"/>
      <c r="C128" s="12" t="s">
        <v>542</v>
      </c>
      <c r="D128" s="12"/>
      <c r="E128" s="13">
        <v>49312</v>
      </c>
      <c r="S128" s="20">
        <f t="shared" ref="S128" si="9">SUM(G128:R128)</f>
        <v>0</v>
      </c>
      <c r="X128" s="1">
        <f>+'St of Net Assets - GA'!O128-'LT _Lia - GA'!U128</f>
        <v>0</v>
      </c>
    </row>
    <row r="129" spans="1:24">
      <c r="A129" s="12" t="s">
        <v>210</v>
      </c>
      <c r="B129" s="12"/>
      <c r="C129" s="12" t="s">
        <v>12</v>
      </c>
      <c r="D129" s="12"/>
      <c r="E129" s="13">
        <v>43810</v>
      </c>
      <c r="G129" s="1">
        <v>4895000</v>
      </c>
      <c r="I129" s="1">
        <v>0</v>
      </c>
      <c r="K129" s="1">
        <v>0</v>
      </c>
      <c r="M129" s="1">
        <v>0</v>
      </c>
      <c r="O129" s="1">
        <v>952208</v>
      </c>
      <c r="Q129" s="1">
        <v>0</v>
      </c>
      <c r="S129" s="20">
        <f t="shared" si="7"/>
        <v>5847208</v>
      </c>
      <c r="U129" s="1">
        <v>305940</v>
      </c>
      <c r="X129" s="1">
        <f>+'St of Net Assets - GA'!O129-'LT _Lia - GA'!U129</f>
        <v>0</v>
      </c>
    </row>
    <row r="130" spans="1:24">
      <c r="A130" s="12" t="s">
        <v>387</v>
      </c>
      <c r="B130" s="12"/>
      <c r="C130" s="12" t="s">
        <v>388</v>
      </c>
      <c r="D130" s="12"/>
      <c r="E130" s="13">
        <v>47548</v>
      </c>
      <c r="G130" s="1">
        <v>0</v>
      </c>
      <c r="I130" s="1">
        <v>0</v>
      </c>
      <c r="K130" s="1">
        <v>0</v>
      </c>
      <c r="M130" s="1">
        <v>16037</v>
      </c>
      <c r="O130" s="1">
        <v>248737</v>
      </c>
      <c r="Q130" s="1">
        <v>0</v>
      </c>
      <c r="S130" s="20">
        <f t="shared" si="7"/>
        <v>264774</v>
      </c>
      <c r="U130" s="1">
        <v>28035</v>
      </c>
      <c r="X130" s="1">
        <f>+'St of Net Assets - GA'!O130-'LT _Lia - GA'!U130</f>
        <v>0</v>
      </c>
    </row>
    <row r="131" spans="1:24" hidden="1">
      <c r="A131" s="12" t="s">
        <v>831</v>
      </c>
      <c r="B131" s="12"/>
      <c r="C131" s="12" t="s">
        <v>542</v>
      </c>
      <c r="D131" s="12"/>
      <c r="E131" s="13">
        <v>49320</v>
      </c>
      <c r="S131" s="20">
        <f t="shared" si="7"/>
        <v>0</v>
      </c>
      <c r="X131" s="1">
        <f>+'St of Net Assets - GA'!O131-'LT _Lia - GA'!U131</f>
        <v>0</v>
      </c>
    </row>
    <row r="132" spans="1:24">
      <c r="A132" s="12" t="s">
        <v>588</v>
      </c>
      <c r="B132" s="12"/>
      <c r="C132" s="12" t="s">
        <v>63</v>
      </c>
      <c r="D132" s="12"/>
      <c r="E132" s="13">
        <v>49981</v>
      </c>
      <c r="G132" s="1">
        <v>3336048</v>
      </c>
      <c r="I132" s="1">
        <v>0</v>
      </c>
      <c r="K132" s="1">
        <v>2458162</v>
      </c>
      <c r="M132" s="1">
        <v>0</v>
      </c>
      <c r="O132" s="1">
        <v>1805791</v>
      </c>
      <c r="Q132" s="1">
        <v>0</v>
      </c>
      <c r="S132" s="20">
        <f t="shared" si="7"/>
        <v>7600001</v>
      </c>
      <c r="U132" s="1">
        <v>1743647</v>
      </c>
      <c r="X132" s="1">
        <f>+'St of Net Assets - GA'!O132-'LT _Lia - GA'!U132</f>
        <v>0</v>
      </c>
    </row>
    <row r="133" spans="1:24">
      <c r="A133" s="12" t="s">
        <v>930</v>
      </c>
      <c r="B133" s="12"/>
      <c r="C133" s="12" t="s">
        <v>33</v>
      </c>
      <c r="D133" s="12"/>
      <c r="E133" s="13">
        <v>47431</v>
      </c>
      <c r="G133" s="1">
        <v>6416962</v>
      </c>
      <c r="I133" s="1">
        <v>1393</v>
      </c>
      <c r="K133" s="1">
        <v>0</v>
      </c>
      <c r="M133" s="1">
        <v>0</v>
      </c>
      <c r="O133" s="1">
        <v>551096</v>
      </c>
      <c r="Q133" s="1">
        <v>0</v>
      </c>
      <c r="S133" s="20">
        <f t="shared" si="7"/>
        <v>6969451</v>
      </c>
      <c r="U133" s="1">
        <v>119162</v>
      </c>
      <c r="X133" s="1">
        <f>+'St of Net Assets - GA'!O133-'LT _Lia - GA'!U133</f>
        <v>0</v>
      </c>
    </row>
    <row r="134" spans="1:24">
      <c r="A134" s="12" t="s">
        <v>272</v>
      </c>
      <c r="B134" s="12"/>
      <c r="C134" s="12" t="s">
        <v>19</v>
      </c>
      <c r="D134" s="12"/>
      <c r="E134" s="13">
        <v>43828</v>
      </c>
      <c r="G134" s="1">
        <v>0</v>
      </c>
      <c r="I134" s="1">
        <v>0</v>
      </c>
      <c r="K134" s="1">
        <v>0</v>
      </c>
      <c r="M134" s="1">
        <v>171831</v>
      </c>
      <c r="O134" s="1">
        <v>1613328</v>
      </c>
      <c r="Q134" s="1">
        <v>0</v>
      </c>
      <c r="S134" s="20">
        <f t="shared" si="7"/>
        <v>1785159</v>
      </c>
      <c r="U134" s="1">
        <v>93782</v>
      </c>
      <c r="X134" s="1">
        <f>+'St of Net Assets - GA'!O134-'LT _Lia - GA'!U134</f>
        <v>0</v>
      </c>
    </row>
    <row r="135" spans="1:24">
      <c r="A135" s="12" t="s">
        <v>720</v>
      </c>
      <c r="B135" s="12"/>
      <c r="C135" s="12" t="s">
        <v>63</v>
      </c>
      <c r="D135" s="12"/>
      <c r="E135" s="13"/>
      <c r="G135" s="1">
        <v>1170000</v>
      </c>
      <c r="I135" s="1">
        <v>1299177</v>
      </c>
      <c r="K135" s="1">
        <v>0</v>
      </c>
      <c r="M135" s="1">
        <v>1425000</v>
      </c>
      <c r="O135" s="1">
        <f>1134455+513600</f>
        <v>1648055</v>
      </c>
      <c r="Q135" s="1">
        <v>0</v>
      </c>
      <c r="S135" s="20">
        <f t="shared" si="7"/>
        <v>5542232</v>
      </c>
      <c r="U135" s="1">
        <v>747487</v>
      </c>
      <c r="X135" s="1">
        <f>+'St of Net Assets - GA'!O135-'LT _Lia - GA'!U135</f>
        <v>0</v>
      </c>
    </row>
    <row r="136" spans="1:24">
      <c r="A136" s="12" t="s">
        <v>799</v>
      </c>
      <c r="B136" s="12"/>
      <c r="C136" s="12" t="s">
        <v>48</v>
      </c>
      <c r="D136" s="12"/>
      <c r="E136" s="13">
        <v>45336</v>
      </c>
      <c r="G136" s="1">
        <v>0</v>
      </c>
      <c r="I136" s="1">
        <v>0</v>
      </c>
      <c r="K136" s="1">
        <v>0</v>
      </c>
      <c r="M136" s="1">
        <v>107552</v>
      </c>
      <c r="O136" s="1">
        <v>649539</v>
      </c>
      <c r="Q136" s="1">
        <v>0</v>
      </c>
      <c r="S136" s="20">
        <f t="shared" si="7"/>
        <v>757091</v>
      </c>
      <c r="U136" s="1">
        <v>121358</v>
      </c>
      <c r="X136" s="1">
        <f>+'St of Net Assets - GA'!O136-'LT _Lia - GA'!U136</f>
        <v>0</v>
      </c>
    </row>
    <row r="137" spans="1:24">
      <c r="A137" s="12" t="s">
        <v>800</v>
      </c>
      <c r="B137" s="12"/>
      <c r="C137" s="12" t="s">
        <v>113</v>
      </c>
      <c r="D137" s="12"/>
      <c r="E137" s="13">
        <v>45344</v>
      </c>
      <c r="G137" s="1">
        <v>9913151</v>
      </c>
      <c r="I137" s="1">
        <v>0</v>
      </c>
      <c r="K137" s="1">
        <v>0</v>
      </c>
      <c r="M137" s="1">
        <v>4575000</v>
      </c>
      <c r="O137" s="1">
        <v>470902</v>
      </c>
      <c r="Q137" s="1">
        <v>0</v>
      </c>
      <c r="S137" s="20">
        <f t="shared" si="7"/>
        <v>14959053</v>
      </c>
      <c r="U137" s="1">
        <v>157172</v>
      </c>
      <c r="X137" s="1">
        <f>+'St of Net Assets - GA'!O137-'LT _Lia - GA'!U137</f>
        <v>0</v>
      </c>
    </row>
    <row r="138" spans="1:24">
      <c r="A138" s="12" t="s">
        <v>265</v>
      </c>
      <c r="B138" s="12"/>
      <c r="C138" s="12" t="s">
        <v>114</v>
      </c>
      <c r="D138" s="12"/>
      <c r="E138" s="13">
        <v>46433</v>
      </c>
      <c r="G138" s="1">
        <v>1150341</v>
      </c>
      <c r="I138" s="1">
        <v>0</v>
      </c>
      <c r="K138" s="1">
        <v>0</v>
      </c>
      <c r="M138" s="1">
        <v>328000</v>
      </c>
      <c r="O138" s="1">
        <v>451770</v>
      </c>
      <c r="Q138" s="1">
        <v>0</v>
      </c>
      <c r="S138" s="20">
        <f t="shared" si="7"/>
        <v>1930111</v>
      </c>
      <c r="U138" s="1">
        <v>374644</v>
      </c>
      <c r="X138" s="1">
        <f>+'St of Net Assets - GA'!O138-'LT _Lia - GA'!U138</f>
        <v>0</v>
      </c>
    </row>
    <row r="139" spans="1:24">
      <c r="A139" s="12" t="s">
        <v>265</v>
      </c>
      <c r="B139" s="12"/>
      <c r="C139" s="12" t="s">
        <v>112</v>
      </c>
      <c r="D139" s="12"/>
      <c r="E139" s="13">
        <v>49429</v>
      </c>
      <c r="G139" s="1">
        <v>3745116</v>
      </c>
      <c r="I139" s="1">
        <v>0</v>
      </c>
      <c r="K139" s="1">
        <v>0</v>
      </c>
      <c r="M139" s="1">
        <v>0</v>
      </c>
      <c r="O139" s="1">
        <v>462781</v>
      </c>
      <c r="Q139" s="1">
        <v>0</v>
      </c>
      <c r="S139" s="20">
        <f t="shared" si="7"/>
        <v>4207897</v>
      </c>
      <c r="U139" s="1">
        <v>396403</v>
      </c>
      <c r="X139" s="1">
        <f>+'St of Net Assets - GA'!O139-'LT _Lia - GA'!U139</f>
        <v>0</v>
      </c>
    </row>
    <row r="140" spans="1:24" hidden="1">
      <c r="A140" s="12" t="s">
        <v>801</v>
      </c>
      <c r="B140" s="12"/>
      <c r="C140" s="12" t="s">
        <v>67</v>
      </c>
      <c r="D140" s="12"/>
      <c r="E140" s="13"/>
      <c r="S140" s="20">
        <f t="shared" ref="S140:S145" si="10">SUM(G140:R140)</f>
        <v>0</v>
      </c>
      <c r="X140" s="1">
        <f>+'St of Net Assets - GA'!O140-'LT _Lia - GA'!U140</f>
        <v>0</v>
      </c>
    </row>
    <row r="141" spans="1:24">
      <c r="A141" s="12" t="s">
        <v>533</v>
      </c>
      <c r="B141" s="12"/>
      <c r="C141" s="12" t="s">
        <v>56</v>
      </c>
      <c r="D141" s="12"/>
      <c r="E141" s="13">
        <v>49189</v>
      </c>
      <c r="G141" s="1">
        <v>6489449</v>
      </c>
      <c r="I141" s="1">
        <v>20706</v>
      </c>
      <c r="K141" s="1">
        <v>0</v>
      </c>
      <c r="M141" s="1">
        <v>0</v>
      </c>
      <c r="O141" s="1">
        <v>1382216</v>
      </c>
      <c r="Q141" s="1">
        <v>630000</v>
      </c>
      <c r="S141" s="20">
        <f t="shared" si="10"/>
        <v>8522371</v>
      </c>
      <c r="U141" s="1">
        <v>671787</v>
      </c>
      <c r="X141" s="1">
        <f>+'St of Net Assets - GA'!O141-'LT _Lia - GA'!U141</f>
        <v>0</v>
      </c>
    </row>
    <row r="142" spans="1:24">
      <c r="A142" s="12" t="s">
        <v>721</v>
      </c>
      <c r="B142" s="12"/>
      <c r="C142" s="12" t="s">
        <v>524</v>
      </c>
      <c r="D142" s="12"/>
      <c r="E142" s="13"/>
      <c r="G142" s="1">
        <v>1086000</v>
      </c>
      <c r="I142" s="1">
        <v>0</v>
      </c>
      <c r="K142" s="1">
        <v>0</v>
      </c>
      <c r="M142" s="1">
        <v>0</v>
      </c>
      <c r="O142" s="1">
        <v>454249</v>
      </c>
      <c r="Q142" s="1">
        <v>0</v>
      </c>
      <c r="S142" s="20">
        <f t="shared" si="10"/>
        <v>1540249</v>
      </c>
      <c r="U142" s="1">
        <v>237558</v>
      </c>
      <c r="X142" s="1">
        <f>+'St of Net Assets - GA'!O142-'LT _Lia - GA'!U142</f>
        <v>0</v>
      </c>
    </row>
    <row r="143" spans="1:24">
      <c r="A143" s="12" t="s">
        <v>589</v>
      </c>
      <c r="B143" s="12"/>
      <c r="C143" s="12" t="s">
        <v>63</v>
      </c>
      <c r="D143" s="12"/>
      <c r="E143" s="13">
        <v>43836</v>
      </c>
      <c r="G143" s="1">
        <v>4415000</v>
      </c>
      <c r="I143" s="1">
        <v>65906</v>
      </c>
      <c r="K143" s="1">
        <v>0</v>
      </c>
      <c r="M143" s="1">
        <v>225405</v>
      </c>
      <c r="O143" s="1">
        <v>2426442</v>
      </c>
      <c r="Q143" s="1">
        <v>0</v>
      </c>
      <c r="S143" s="20">
        <f t="shared" si="10"/>
        <v>7132753</v>
      </c>
      <c r="U143" s="1">
        <v>873003</v>
      </c>
      <c r="X143" s="1">
        <f>+'St of Net Assets - GA'!O143-'LT _Lia - GA'!U143</f>
        <v>0</v>
      </c>
    </row>
    <row r="144" spans="1:24">
      <c r="A144" s="12" t="s">
        <v>890</v>
      </c>
      <c r="B144" s="12"/>
      <c r="C144" s="12" t="s">
        <v>20</v>
      </c>
      <c r="D144" s="12"/>
      <c r="E144" s="13">
        <v>46557</v>
      </c>
      <c r="G144" s="1">
        <v>1001648</v>
      </c>
      <c r="I144" s="1">
        <v>0</v>
      </c>
      <c r="K144" s="1">
        <v>0</v>
      </c>
      <c r="M144" s="1">
        <v>1902629</v>
      </c>
      <c r="O144" s="1">
        <v>1225294</v>
      </c>
      <c r="Q144" s="1">
        <v>0</v>
      </c>
      <c r="S144" s="20">
        <f t="shared" si="10"/>
        <v>4129571</v>
      </c>
      <c r="U144" s="1">
        <v>644189</v>
      </c>
      <c r="X144" s="1">
        <f>+'St of Net Assets - GA'!O144-'LT _Lia - GA'!U144</f>
        <v>0</v>
      </c>
    </row>
    <row r="145" spans="1:24">
      <c r="A145" s="12" t="s">
        <v>730</v>
      </c>
      <c r="B145" s="12"/>
      <c r="C145" s="12" t="s">
        <v>71</v>
      </c>
      <c r="D145" s="12"/>
      <c r="E145" s="12">
        <v>48934</v>
      </c>
      <c r="G145" s="1">
        <v>0</v>
      </c>
      <c r="I145" s="1">
        <v>0</v>
      </c>
      <c r="K145" s="1">
        <v>0</v>
      </c>
      <c r="M145" s="1">
        <v>40563</v>
      </c>
      <c r="O145" s="1">
        <v>747332</v>
      </c>
      <c r="Q145" s="1">
        <v>62475</v>
      </c>
      <c r="S145" s="20">
        <f t="shared" si="10"/>
        <v>850370</v>
      </c>
      <c r="U145" s="1">
        <v>189747</v>
      </c>
      <c r="X145" s="1">
        <f>+'St of Net Assets - GA'!O145-'LT _Lia - GA'!U145</f>
        <v>0</v>
      </c>
    </row>
    <row r="146" spans="1:24">
      <c r="A146" s="12" t="s">
        <v>520</v>
      </c>
      <c r="B146" s="12"/>
      <c r="C146" s="12" t="s">
        <v>53</v>
      </c>
      <c r="D146" s="12"/>
      <c r="E146" s="13">
        <v>48934</v>
      </c>
      <c r="G146" s="1">
        <v>1005931</v>
      </c>
      <c r="I146" s="1">
        <v>0</v>
      </c>
      <c r="K146" s="1">
        <v>0</v>
      </c>
      <c r="M146" s="1">
        <v>1000000</v>
      </c>
      <c r="O146" s="1">
        <v>491409</v>
      </c>
      <c r="Q146" s="1">
        <v>0</v>
      </c>
      <c r="S146" s="20">
        <f t="shared" ref="S146:S157" si="11">SUM(G146:R146)</f>
        <v>2497340</v>
      </c>
      <c r="U146" s="1">
        <v>143335</v>
      </c>
      <c r="X146" s="1">
        <f>+'St of Net Assets - GA'!O146-'LT _Lia - GA'!U146</f>
        <v>0</v>
      </c>
    </row>
    <row r="147" spans="1:24" hidden="1">
      <c r="A147" s="12" t="s">
        <v>803</v>
      </c>
      <c r="B147" s="12"/>
      <c r="C147" s="12" t="s">
        <v>40</v>
      </c>
      <c r="D147" s="12"/>
      <c r="E147" s="13">
        <v>47837</v>
      </c>
      <c r="S147" s="20">
        <f t="shared" si="11"/>
        <v>0</v>
      </c>
      <c r="U147" s="1">
        <v>0</v>
      </c>
      <c r="X147" s="1">
        <f>+'St of Net Assets - GA'!O147-'LT _Lia - GA'!U147</f>
        <v>0</v>
      </c>
    </row>
    <row r="148" spans="1:24">
      <c r="A148" s="12" t="s">
        <v>421</v>
      </c>
      <c r="B148" s="12"/>
      <c r="C148" s="12" t="s">
        <v>420</v>
      </c>
      <c r="D148" s="12"/>
      <c r="E148" s="13">
        <v>47928</v>
      </c>
      <c r="G148" s="1">
        <v>1276085</v>
      </c>
      <c r="I148" s="1">
        <v>0</v>
      </c>
      <c r="K148" s="1">
        <v>0</v>
      </c>
      <c r="M148" s="1">
        <v>0</v>
      </c>
      <c r="O148" s="1">
        <v>359513</v>
      </c>
      <c r="Q148" s="1">
        <v>0</v>
      </c>
      <c r="S148" s="20">
        <f t="shared" si="11"/>
        <v>1635598</v>
      </c>
      <c r="U148" s="1">
        <v>187409</v>
      </c>
      <c r="X148" s="1">
        <f>+'St of Net Assets - GA'!O148-'LT _Lia - GA'!U148</f>
        <v>0</v>
      </c>
    </row>
    <row r="149" spans="1:24">
      <c r="A149" s="12" t="s">
        <v>496</v>
      </c>
      <c r="B149" s="12"/>
      <c r="C149" s="12" t="s">
        <v>50</v>
      </c>
      <c r="D149" s="12"/>
      <c r="E149" s="13">
        <v>43844</v>
      </c>
      <c r="G149" s="1">
        <v>221745305</v>
      </c>
      <c r="I149" s="1">
        <v>0</v>
      </c>
      <c r="K149" s="1">
        <v>1750000</v>
      </c>
      <c r="M149" s="1">
        <v>2705157</v>
      </c>
      <c r="O149" s="1">
        <v>6040817</v>
      </c>
      <c r="Q149" s="1">
        <f>10000+17634841+15070000+4824057</f>
        <v>37538898</v>
      </c>
      <c r="S149" s="20">
        <f t="shared" si="11"/>
        <v>269780177</v>
      </c>
      <c r="U149" s="1">
        <v>9606895</v>
      </c>
      <c r="X149" s="1">
        <f>+'St of Net Assets - GA'!O149-'LT _Lia - GA'!U149</f>
        <v>0</v>
      </c>
    </row>
    <row r="150" spans="1:24">
      <c r="A150" s="12" t="s">
        <v>804</v>
      </c>
      <c r="B150" s="12"/>
      <c r="C150" s="12" t="s">
        <v>32</v>
      </c>
      <c r="D150" s="12"/>
      <c r="E150" s="13">
        <v>43851</v>
      </c>
      <c r="G150" s="1">
        <v>0</v>
      </c>
      <c r="I150" s="1">
        <v>0</v>
      </c>
      <c r="K150" s="1">
        <v>0</v>
      </c>
      <c r="M150" s="1">
        <v>540535</v>
      </c>
      <c r="O150" s="1">
        <v>918750</v>
      </c>
      <c r="Q150" s="1">
        <v>0</v>
      </c>
      <c r="S150" s="20">
        <f t="shared" si="11"/>
        <v>1459285</v>
      </c>
      <c r="U150" s="1">
        <v>279544</v>
      </c>
      <c r="X150" s="1">
        <f>+'St of Net Assets - GA'!O150-'LT _Lia - GA'!U150</f>
        <v>0</v>
      </c>
    </row>
    <row r="151" spans="1:24" hidden="1">
      <c r="A151" s="12" t="s">
        <v>805</v>
      </c>
      <c r="B151" s="12"/>
      <c r="C151" s="12" t="s">
        <v>22</v>
      </c>
      <c r="D151" s="12"/>
      <c r="E151" s="13">
        <v>43869</v>
      </c>
      <c r="S151" s="20">
        <f t="shared" si="11"/>
        <v>0</v>
      </c>
      <c r="X151" s="1">
        <f>+'St of Net Assets - GA'!O151-'LT _Lia - GA'!U151</f>
        <v>0</v>
      </c>
    </row>
    <row r="152" spans="1:24">
      <c r="A152" s="12" t="s">
        <v>806</v>
      </c>
      <c r="B152" s="12"/>
      <c r="C152" s="12" t="s">
        <v>23</v>
      </c>
      <c r="D152" s="12"/>
      <c r="E152" s="13"/>
      <c r="G152" s="1">
        <v>33316987</v>
      </c>
      <c r="I152" s="1">
        <v>0</v>
      </c>
      <c r="K152" s="1">
        <v>0</v>
      </c>
      <c r="M152" s="1">
        <v>125606</v>
      </c>
      <c r="O152" s="1">
        <v>1569317</v>
      </c>
      <c r="Q152" s="1">
        <v>0</v>
      </c>
      <c r="S152" s="20">
        <f t="shared" si="11"/>
        <v>35011910</v>
      </c>
      <c r="U152" s="1">
        <v>2589953</v>
      </c>
      <c r="X152" s="1">
        <f>+'St of Net Assets - GA'!O152-'LT _Lia - GA'!U152</f>
        <v>0</v>
      </c>
    </row>
    <row r="153" spans="1:24">
      <c r="A153" s="12" t="s">
        <v>204</v>
      </c>
      <c r="B153" s="12"/>
      <c r="C153" s="12" t="s">
        <v>10</v>
      </c>
      <c r="D153" s="12"/>
      <c r="E153" s="13">
        <v>43885</v>
      </c>
      <c r="G153" s="1">
        <v>0</v>
      </c>
      <c r="I153" s="1">
        <v>0</v>
      </c>
      <c r="K153" s="1">
        <v>0</v>
      </c>
      <c r="M153" s="1">
        <v>0</v>
      </c>
      <c r="O153" s="1">
        <v>556592</v>
      </c>
      <c r="Q153" s="1">
        <v>0</v>
      </c>
      <c r="S153" s="20">
        <f t="shared" si="11"/>
        <v>556592</v>
      </c>
      <c r="U153" s="1">
        <v>35139</v>
      </c>
      <c r="X153" s="1">
        <f>+'St of Net Assets - GA'!O153-'LT _Lia - GA'!U153</f>
        <v>0</v>
      </c>
    </row>
    <row r="154" spans="1:24">
      <c r="A154" s="12" t="s">
        <v>619</v>
      </c>
      <c r="B154" s="12"/>
      <c r="C154" s="12" t="s">
        <v>65</v>
      </c>
      <c r="D154" s="12"/>
      <c r="E154" s="13">
        <v>43893</v>
      </c>
      <c r="G154" s="1">
        <v>4158625</v>
      </c>
      <c r="I154" s="1">
        <v>0</v>
      </c>
      <c r="K154" s="1">
        <v>0</v>
      </c>
      <c r="M154" s="1">
        <v>109886</v>
      </c>
      <c r="O154" s="1">
        <v>1729916</v>
      </c>
      <c r="Q154" s="1">
        <v>0</v>
      </c>
      <c r="S154" s="20">
        <f t="shared" si="11"/>
        <v>5998427</v>
      </c>
      <c r="U154" s="1">
        <v>700741</v>
      </c>
      <c r="X154" s="1">
        <f>+'St of Net Assets - GA'!O154-'LT _Lia - GA'!U154</f>
        <v>0</v>
      </c>
    </row>
    <row r="155" spans="1:24">
      <c r="A155" s="12" t="s">
        <v>332</v>
      </c>
      <c r="B155" s="12"/>
      <c r="C155" s="12" t="s">
        <v>27</v>
      </c>
      <c r="D155" s="12"/>
      <c r="E155" s="13">
        <v>47027</v>
      </c>
      <c r="G155" s="1">
        <v>146196000</v>
      </c>
      <c r="I155" s="1">
        <v>0</v>
      </c>
      <c r="K155" s="1">
        <f>44597733+5336199+18000000</f>
        <v>67933932</v>
      </c>
      <c r="M155" s="1">
        <v>141247</v>
      </c>
      <c r="O155" s="1">
        <v>11499397</v>
      </c>
      <c r="Q155" s="1">
        <v>0</v>
      </c>
      <c r="S155" s="20">
        <f t="shared" si="11"/>
        <v>225770576</v>
      </c>
      <c r="U155" s="1">
        <v>35360248</v>
      </c>
      <c r="X155" s="1">
        <f>+'St of Net Assets - GA'!O155-'LT _Lia - GA'!U155</f>
        <v>0</v>
      </c>
    </row>
    <row r="156" spans="1:24">
      <c r="A156" s="12" t="s">
        <v>288</v>
      </c>
      <c r="B156" s="12"/>
      <c r="C156" s="12" t="s">
        <v>20</v>
      </c>
      <c r="D156" s="12"/>
      <c r="E156" s="13">
        <v>43901</v>
      </c>
      <c r="G156" s="1">
        <v>6748182</v>
      </c>
      <c r="I156" s="1">
        <v>0</v>
      </c>
      <c r="K156" s="1">
        <v>0</v>
      </c>
      <c r="M156" s="1">
        <v>0</v>
      </c>
      <c r="O156" s="1">
        <v>5423884</v>
      </c>
      <c r="Q156" s="1">
        <v>0</v>
      </c>
      <c r="S156" s="20">
        <f t="shared" si="11"/>
        <v>12172066</v>
      </c>
      <c r="U156" s="1">
        <v>1804498</v>
      </c>
      <c r="X156" s="1">
        <f>+'St of Net Assets - GA'!O156-'LT _Lia - GA'!U156</f>
        <v>0</v>
      </c>
    </row>
    <row r="157" spans="1:24">
      <c r="A157" s="12" t="s">
        <v>261</v>
      </c>
      <c r="B157" s="12"/>
      <c r="C157" s="12" t="s">
        <v>18</v>
      </c>
      <c r="D157" s="12"/>
      <c r="E157" s="13">
        <v>46409</v>
      </c>
      <c r="G157" s="1">
        <f>2797613-366804</f>
        <v>2430809</v>
      </c>
      <c r="I157" s="1">
        <v>0</v>
      </c>
      <c r="K157" s="1">
        <v>0</v>
      </c>
      <c r="M157" s="1">
        <v>0</v>
      </c>
      <c r="O157" s="1">
        <v>366804</v>
      </c>
      <c r="Q157" s="1">
        <v>0</v>
      </c>
      <c r="S157" s="20">
        <f t="shared" si="11"/>
        <v>2797613</v>
      </c>
      <c r="U157" s="1">
        <v>360861</v>
      </c>
      <c r="X157" s="1">
        <f>+'St of Net Assets - GA'!O157-'LT _Lia - GA'!U157</f>
        <v>0</v>
      </c>
    </row>
    <row r="158" spans="1:24">
      <c r="A158" s="12" t="s">
        <v>361</v>
      </c>
      <c r="B158" s="12"/>
      <c r="C158" s="12" t="s">
        <v>31</v>
      </c>
      <c r="D158" s="12"/>
      <c r="E158" s="13">
        <v>69682</v>
      </c>
      <c r="G158" s="1">
        <v>3571547</v>
      </c>
      <c r="I158" s="1">
        <v>0</v>
      </c>
      <c r="K158" s="1">
        <v>0</v>
      </c>
      <c r="M158" s="1">
        <v>117843</v>
      </c>
      <c r="O158" s="1">
        <v>677513</v>
      </c>
      <c r="Q158" s="1">
        <v>0</v>
      </c>
      <c r="S158" s="20">
        <f t="shared" ref="S158:S219" si="12">SUM(G158:R158)</f>
        <v>4366903</v>
      </c>
      <c r="U158" s="1">
        <v>274341</v>
      </c>
      <c r="X158" s="1">
        <f>+'St of Net Assets - GA'!O158-'LT _Lia - GA'!U158</f>
        <v>0</v>
      </c>
    </row>
    <row r="159" spans="1:24">
      <c r="A159" s="12" t="s">
        <v>401</v>
      </c>
      <c r="B159" s="12"/>
      <c r="C159" s="12" t="s">
        <v>36</v>
      </c>
      <c r="D159" s="12"/>
      <c r="E159" s="13">
        <v>47688</v>
      </c>
      <c r="G159" s="1">
        <f>3332583-1253572</f>
        <v>2079011</v>
      </c>
      <c r="I159" s="1">
        <v>0</v>
      </c>
      <c r="K159" s="1">
        <v>0</v>
      </c>
      <c r="M159" s="1">
        <v>0</v>
      </c>
      <c r="O159" s="1">
        <v>1253572</v>
      </c>
      <c r="Q159" s="1">
        <v>0</v>
      </c>
      <c r="S159" s="20">
        <f t="shared" si="12"/>
        <v>3332583</v>
      </c>
      <c r="U159" s="1">
        <v>267148</v>
      </c>
      <c r="X159" s="1">
        <f>+'St of Net Assets - GA'!O159-'LT _Lia - GA'!U159</f>
        <v>0</v>
      </c>
    </row>
    <row r="160" spans="1:24" hidden="1">
      <c r="A160" s="12" t="s">
        <v>807</v>
      </c>
      <c r="B160" s="12"/>
      <c r="C160" s="12" t="s">
        <v>40</v>
      </c>
      <c r="D160" s="12"/>
      <c r="E160" s="13"/>
      <c r="S160" s="20">
        <f t="shared" si="12"/>
        <v>0</v>
      </c>
      <c r="X160" s="1">
        <f>+'St of Net Assets - GA'!O160-'LT _Lia - GA'!U160</f>
        <v>0</v>
      </c>
    </row>
    <row r="161" spans="1:24">
      <c r="A161" s="12" t="s">
        <v>266</v>
      </c>
      <c r="B161" s="12"/>
      <c r="C161" s="12" t="s">
        <v>114</v>
      </c>
      <c r="D161" s="12"/>
      <c r="E161" s="13">
        <v>43919</v>
      </c>
      <c r="G161" s="1">
        <v>7900000</v>
      </c>
      <c r="I161" s="1">
        <v>0</v>
      </c>
      <c r="K161" s="1">
        <v>0</v>
      </c>
      <c r="M161" s="1">
        <v>373262</v>
      </c>
      <c r="O161" s="1">
        <v>1233572</v>
      </c>
      <c r="Q161" s="1">
        <v>600000</v>
      </c>
      <c r="S161" s="20">
        <f t="shared" si="12"/>
        <v>10106834</v>
      </c>
      <c r="U161" s="1">
        <v>526053</v>
      </c>
      <c r="X161" s="1">
        <f>+'St of Net Assets - GA'!O161-'LT _Lia - GA'!U161</f>
        <v>0</v>
      </c>
    </row>
    <row r="162" spans="1:24">
      <c r="A162" s="12" t="s">
        <v>511</v>
      </c>
      <c r="B162" s="12"/>
      <c r="C162" s="12" t="s">
        <v>51</v>
      </c>
      <c r="D162" s="12"/>
      <c r="E162" s="13">
        <v>48835</v>
      </c>
      <c r="G162" s="1">
        <v>5561445</v>
      </c>
      <c r="I162" s="1">
        <v>0</v>
      </c>
      <c r="K162" s="1">
        <v>385128</v>
      </c>
      <c r="M162" s="1">
        <v>63505</v>
      </c>
      <c r="O162" s="1">
        <v>596085</v>
      </c>
      <c r="Q162" s="1">
        <v>1166972</v>
      </c>
      <c r="S162" s="20">
        <f t="shared" si="12"/>
        <v>7773135</v>
      </c>
      <c r="U162" s="1">
        <v>500560</v>
      </c>
      <c r="X162" s="1">
        <f>+'St of Net Assets - GA'!O162-'LT _Lia - GA'!U162</f>
        <v>0</v>
      </c>
    </row>
    <row r="163" spans="1:24">
      <c r="A163" s="12" t="s">
        <v>267</v>
      </c>
      <c r="B163" s="12"/>
      <c r="C163" s="12" t="s">
        <v>114</v>
      </c>
      <c r="D163" s="12"/>
      <c r="E163" s="13">
        <v>43927</v>
      </c>
      <c r="G163" s="1">
        <v>0</v>
      </c>
      <c r="I163" s="1">
        <v>0</v>
      </c>
      <c r="K163" s="1">
        <v>133000</v>
      </c>
      <c r="M163" s="1">
        <v>2087266</v>
      </c>
      <c r="O163" s="1">
        <v>573795</v>
      </c>
      <c r="Q163" s="1">
        <v>0</v>
      </c>
      <c r="S163" s="20">
        <f t="shared" si="12"/>
        <v>2794061</v>
      </c>
      <c r="U163" s="1">
        <v>448988</v>
      </c>
      <c r="X163" s="1">
        <f>+'St of Net Assets - GA'!O163-'LT _Lia - GA'!U163</f>
        <v>0</v>
      </c>
    </row>
    <row r="164" spans="1:24">
      <c r="A164" s="12" t="s">
        <v>223</v>
      </c>
      <c r="B164" s="12"/>
      <c r="C164" s="12" t="s">
        <v>77</v>
      </c>
      <c r="D164" s="12"/>
      <c r="E164" s="13">
        <v>46037</v>
      </c>
      <c r="G164" s="1">
        <f>9596711-73569-718607</f>
        <v>8804535</v>
      </c>
      <c r="I164" s="1">
        <v>0</v>
      </c>
      <c r="K164" s="1">
        <v>0</v>
      </c>
      <c r="M164" s="1">
        <v>0</v>
      </c>
      <c r="O164" s="1">
        <v>718607</v>
      </c>
      <c r="Q164" s="1">
        <v>73569</v>
      </c>
      <c r="S164" s="20">
        <f t="shared" si="12"/>
        <v>9596711</v>
      </c>
      <c r="U164" s="1">
        <v>467126</v>
      </c>
      <c r="X164" s="1">
        <f>+'St of Net Assets - GA'!O164-'LT _Lia - GA'!U164</f>
        <v>0</v>
      </c>
    </row>
    <row r="165" spans="1:24">
      <c r="A165" s="17" t="s">
        <v>223</v>
      </c>
      <c r="B165" s="17"/>
      <c r="C165" s="17" t="s">
        <v>484</v>
      </c>
      <c r="D165" s="17"/>
      <c r="E165" s="13">
        <v>48512</v>
      </c>
      <c r="G165" s="1">
        <f>925000+62086</f>
        <v>987086</v>
      </c>
      <c r="I165" s="1">
        <v>0</v>
      </c>
      <c r="K165" s="1">
        <v>0</v>
      </c>
      <c r="M165" s="1">
        <v>0</v>
      </c>
      <c r="O165" s="1">
        <v>197880</v>
      </c>
      <c r="Q165" s="1">
        <v>0</v>
      </c>
      <c r="S165" s="20">
        <f t="shared" si="12"/>
        <v>1184966</v>
      </c>
      <c r="U165" s="1">
        <v>113343</v>
      </c>
      <c r="X165" s="1">
        <f>+'St of Net Assets - GA'!O165-'LT _Lia - GA'!U165</f>
        <v>0</v>
      </c>
    </row>
    <row r="166" spans="1:24" hidden="1">
      <c r="A166" s="12" t="s">
        <v>808</v>
      </c>
      <c r="B166" s="12"/>
      <c r="C166" s="12" t="s">
        <v>55</v>
      </c>
      <c r="D166" s="12"/>
      <c r="E166" s="13">
        <v>49122</v>
      </c>
      <c r="S166" s="20">
        <f t="shared" ref="S166:S167" si="13">SUM(G166:R166)</f>
        <v>0</v>
      </c>
      <c r="X166" s="1">
        <f>+'St of Net Assets - GA'!O166-'LT _Lia - GA'!U166</f>
        <v>0</v>
      </c>
    </row>
    <row r="167" spans="1:24">
      <c r="A167" s="12" t="s">
        <v>647</v>
      </c>
      <c r="B167" s="12"/>
      <c r="C167" s="12" t="s">
        <v>72</v>
      </c>
      <c r="D167" s="12"/>
      <c r="E167" s="13">
        <v>50674</v>
      </c>
      <c r="G167" s="1">
        <v>3171923</v>
      </c>
      <c r="I167" s="1">
        <v>0</v>
      </c>
      <c r="K167" s="1">
        <v>738127</v>
      </c>
      <c r="M167" s="1">
        <v>16186</v>
      </c>
      <c r="O167" s="1">
        <v>956334</v>
      </c>
      <c r="Q167" s="1">
        <v>0</v>
      </c>
      <c r="S167" s="20">
        <f t="shared" si="13"/>
        <v>4882570</v>
      </c>
      <c r="U167" s="1">
        <v>501150</v>
      </c>
      <c r="X167" s="1">
        <f>+'St of Net Assets - GA'!O167-'LT _Lia - GA'!U167</f>
        <v>0</v>
      </c>
    </row>
    <row r="168" spans="1:24">
      <c r="A168" s="17" t="s">
        <v>835</v>
      </c>
      <c r="B168" s="12"/>
      <c r="C168" s="12" t="s">
        <v>57</v>
      </c>
      <c r="D168" s="12"/>
      <c r="E168" s="13">
        <v>43935</v>
      </c>
      <c r="G168" s="1">
        <v>26712644</v>
      </c>
      <c r="I168" s="1">
        <v>0</v>
      </c>
      <c r="K168" s="1">
        <v>0</v>
      </c>
      <c r="M168" s="1">
        <v>0</v>
      </c>
      <c r="O168" s="1">
        <f>1665925+45380</f>
        <v>1711305</v>
      </c>
      <c r="Q168" s="1">
        <v>1500709</v>
      </c>
      <c r="S168" s="20">
        <f t="shared" si="12"/>
        <v>29924658</v>
      </c>
      <c r="U168" s="1">
        <v>803419</v>
      </c>
      <c r="X168" s="1">
        <f>+'St of Net Assets - GA'!O168-'LT _Lia - GA'!U168</f>
        <v>0</v>
      </c>
    </row>
    <row r="169" spans="1:24" hidden="1">
      <c r="A169" s="17" t="s">
        <v>809</v>
      </c>
      <c r="B169" s="12"/>
      <c r="C169" s="12" t="s">
        <v>643</v>
      </c>
      <c r="D169" s="12"/>
      <c r="E169" s="13">
        <v>50617</v>
      </c>
      <c r="S169" s="20">
        <f t="shared" si="12"/>
        <v>0</v>
      </c>
      <c r="X169" s="1">
        <f>+'St of Net Assets - GA'!O169-'LT _Lia - GA'!U169</f>
        <v>0</v>
      </c>
    </row>
    <row r="170" spans="1:24">
      <c r="A170" s="12" t="s">
        <v>226</v>
      </c>
      <c r="B170" s="12"/>
      <c r="C170" s="12" t="s">
        <v>227</v>
      </c>
      <c r="D170" s="12"/>
      <c r="E170" s="13">
        <v>46094</v>
      </c>
      <c r="G170" s="1">
        <f>1530000+1848576+2803769+8190000+2199979+622476+1410000+21590000+731083-639849</f>
        <v>40286034</v>
      </c>
      <c r="I170" s="1">
        <v>0</v>
      </c>
      <c r="K170" s="1">
        <v>3000000</v>
      </c>
      <c r="M170" s="1">
        <f>271000+212545</f>
        <v>483545</v>
      </c>
      <c r="O170" s="1">
        <v>1242139</v>
      </c>
      <c r="Q170" s="1">
        <v>0</v>
      </c>
      <c r="S170" s="20">
        <f t="shared" si="12"/>
        <v>45011718</v>
      </c>
      <c r="U170" s="1">
        <v>1842283</v>
      </c>
      <c r="X170" s="1">
        <f>+'St of Net Assets - GA'!O170-'LT _Lia - GA'!U170</f>
        <v>0</v>
      </c>
    </row>
    <row r="171" spans="1:24">
      <c r="A171" s="12"/>
      <c r="B171" s="12"/>
      <c r="C171" s="12"/>
      <c r="D171" s="12"/>
      <c r="E171" s="13"/>
      <c r="S171" s="20"/>
    </row>
    <row r="172" spans="1:24">
      <c r="A172" s="12"/>
      <c r="B172" s="12"/>
      <c r="C172" s="12"/>
      <c r="D172" s="12"/>
      <c r="E172" s="13"/>
      <c r="S172" s="20"/>
      <c r="U172" s="41" t="s">
        <v>709</v>
      </c>
    </row>
    <row r="173" spans="1:24">
      <c r="A173" s="12"/>
      <c r="B173" s="12"/>
      <c r="C173" s="12"/>
      <c r="D173" s="12"/>
      <c r="E173" s="13"/>
      <c r="S173" s="20"/>
    </row>
    <row r="174" spans="1:24">
      <c r="A174" s="12" t="s">
        <v>410</v>
      </c>
      <c r="B174" s="12"/>
      <c r="C174" s="12" t="s">
        <v>39</v>
      </c>
      <c r="D174" s="12"/>
      <c r="E174" s="13">
        <v>47795</v>
      </c>
      <c r="G174" s="16">
        <v>243969</v>
      </c>
      <c r="H174" s="16"/>
      <c r="I174" s="16">
        <v>0</v>
      </c>
      <c r="J174" s="16"/>
      <c r="K174" s="16">
        <v>0</v>
      </c>
      <c r="L174" s="16"/>
      <c r="M174" s="16">
        <v>263363</v>
      </c>
      <c r="N174" s="16"/>
      <c r="O174" s="16">
        <v>1435234</v>
      </c>
      <c r="P174" s="16"/>
      <c r="Q174" s="16">
        <v>0</v>
      </c>
      <c r="R174" s="16"/>
      <c r="S174" s="72">
        <f t="shared" si="12"/>
        <v>1942566</v>
      </c>
      <c r="T174" s="16"/>
      <c r="U174" s="16">
        <v>501196</v>
      </c>
      <c r="X174" s="1">
        <f>+'St of Net Assets - GA'!O174-'LT _Lia - GA'!U174</f>
        <v>0</v>
      </c>
    </row>
    <row r="175" spans="1:24">
      <c r="A175" s="12" t="s">
        <v>644</v>
      </c>
      <c r="B175" s="12"/>
      <c r="C175" s="12" t="s">
        <v>643</v>
      </c>
      <c r="D175" s="12"/>
      <c r="E175" s="13">
        <v>50625</v>
      </c>
      <c r="G175" s="1">
        <v>2169178</v>
      </c>
      <c r="I175" s="1">
        <v>0</v>
      </c>
      <c r="K175" s="1">
        <v>0</v>
      </c>
      <c r="M175" s="1">
        <v>0</v>
      </c>
      <c r="O175" s="1">
        <v>510756</v>
      </c>
      <c r="Q175" s="1">
        <v>0</v>
      </c>
      <c r="S175" s="20">
        <f t="shared" si="12"/>
        <v>2679934</v>
      </c>
      <c r="U175" s="1">
        <v>270430</v>
      </c>
      <c r="X175" s="1">
        <f>+'St of Net Assets - GA'!O175-'LT _Lia - GA'!U175</f>
        <v>0</v>
      </c>
    </row>
    <row r="176" spans="1:24">
      <c r="A176" s="17" t="s">
        <v>473</v>
      </c>
      <c r="B176" s="14"/>
      <c r="C176" s="14" t="s">
        <v>46</v>
      </c>
      <c r="D176" s="14"/>
      <c r="E176" s="14">
        <v>48413</v>
      </c>
      <c r="F176" s="16"/>
      <c r="G176" s="1">
        <v>0</v>
      </c>
      <c r="I176" s="1">
        <v>0</v>
      </c>
      <c r="K176" s="1">
        <v>0</v>
      </c>
      <c r="M176" s="1">
        <v>0</v>
      </c>
      <c r="O176" s="1">
        <v>884948</v>
      </c>
      <c r="Q176" s="1">
        <v>0</v>
      </c>
      <c r="S176" s="20">
        <f t="shared" ref="S176" si="14">SUM(G176:R176)</f>
        <v>884948</v>
      </c>
      <c r="U176" s="1">
        <v>31064</v>
      </c>
      <c r="X176" s="1">
        <f>+'St of Net Assets - GA'!O176-'LT _Lia - GA'!U176</f>
        <v>0</v>
      </c>
    </row>
    <row r="177" spans="1:24" hidden="1">
      <c r="A177" s="12" t="s">
        <v>811</v>
      </c>
      <c r="B177" s="12"/>
      <c r="C177" s="12" t="s">
        <v>10</v>
      </c>
      <c r="D177" s="12"/>
      <c r="E177" s="13"/>
      <c r="S177" s="20">
        <f t="shared" ref="S177" si="15">SUM(G177:R177)</f>
        <v>0</v>
      </c>
      <c r="X177" s="1">
        <f>+'St of Net Assets - GA'!O177-'LT _Lia - GA'!U177</f>
        <v>0</v>
      </c>
    </row>
    <row r="178" spans="1:24" hidden="1">
      <c r="A178" s="17" t="s">
        <v>861</v>
      </c>
      <c r="B178" s="14"/>
      <c r="C178" s="14" t="s">
        <v>72</v>
      </c>
      <c r="D178" s="14"/>
      <c r="E178" s="14"/>
      <c r="F178" s="16"/>
      <c r="S178" s="20"/>
    </row>
    <row r="179" spans="1:24">
      <c r="A179" s="12" t="s">
        <v>440</v>
      </c>
      <c r="B179" s="12"/>
      <c r="C179" s="12" t="s">
        <v>44</v>
      </c>
      <c r="D179" s="12"/>
      <c r="E179" s="13">
        <v>43943</v>
      </c>
      <c r="G179" s="1">
        <v>45321756</v>
      </c>
      <c r="I179" s="1">
        <v>0</v>
      </c>
      <c r="K179" s="1">
        <v>0</v>
      </c>
      <c r="M179" s="1">
        <v>5290100</v>
      </c>
      <c r="O179" s="1">
        <f>6768876+55047</f>
        <v>6823923</v>
      </c>
      <c r="Q179" s="1">
        <v>0</v>
      </c>
      <c r="S179" s="20">
        <f t="shared" si="12"/>
        <v>57435779</v>
      </c>
      <c r="U179" s="1">
        <v>2715015</v>
      </c>
      <c r="X179" s="1">
        <f>+'St of Net Assets - GA'!O179-'LT _Lia - GA'!U179</f>
        <v>0</v>
      </c>
    </row>
    <row r="180" spans="1:24">
      <c r="A180" s="12" t="s">
        <v>289</v>
      </c>
      <c r="B180" s="12"/>
      <c r="C180" s="12" t="s">
        <v>20</v>
      </c>
      <c r="D180" s="12"/>
      <c r="E180" s="13">
        <v>43950</v>
      </c>
      <c r="G180" s="1">
        <v>47728164</v>
      </c>
      <c r="I180" s="1">
        <v>0</v>
      </c>
      <c r="K180" s="1">
        <v>3615000</v>
      </c>
      <c r="M180" s="1">
        <v>0</v>
      </c>
      <c r="O180" s="1">
        <f>3169433+102601</f>
        <v>3272034</v>
      </c>
      <c r="Q180" s="1">
        <f>276773+578661+1690494</f>
        <v>2545928</v>
      </c>
      <c r="S180" s="20">
        <f t="shared" si="12"/>
        <v>57161126</v>
      </c>
      <c r="U180" s="1">
        <f>6841714+6156</f>
        <v>6847870</v>
      </c>
      <c r="X180" s="1">
        <f>+'St of Net Assets - GA'!O180-'LT _Lia - GA'!U180</f>
        <v>0</v>
      </c>
    </row>
    <row r="181" spans="1:24" hidden="1">
      <c r="A181" s="12" t="s">
        <v>741</v>
      </c>
      <c r="B181" s="12"/>
      <c r="C181" s="12" t="s">
        <v>28</v>
      </c>
      <c r="D181" s="12"/>
      <c r="E181" s="13">
        <v>47050</v>
      </c>
      <c r="S181" s="20">
        <f t="shared" si="12"/>
        <v>0</v>
      </c>
      <c r="X181" s="1">
        <f>+'St of Net Assets - GA'!O181-'LT _Lia - GA'!U181</f>
        <v>0</v>
      </c>
    </row>
    <row r="182" spans="1:24">
      <c r="A182" s="12" t="s">
        <v>625</v>
      </c>
      <c r="B182" s="12"/>
      <c r="C182" s="12" t="s">
        <v>66</v>
      </c>
      <c r="D182" s="12"/>
      <c r="E182" s="12">
        <v>50328</v>
      </c>
      <c r="G182" s="1">
        <v>11026728</v>
      </c>
      <c r="I182" s="1">
        <v>0</v>
      </c>
      <c r="K182" s="1">
        <v>144000</v>
      </c>
      <c r="M182" s="1">
        <f>32918+555000</f>
        <v>587918</v>
      </c>
      <c r="O182" s="1">
        <v>370716</v>
      </c>
      <c r="Q182" s="1">
        <v>325570</v>
      </c>
      <c r="S182" s="20">
        <f t="shared" si="12"/>
        <v>12454932</v>
      </c>
      <c r="U182" s="1">
        <v>739860</v>
      </c>
      <c r="X182" s="1">
        <f>+'St of Net Assets - GA'!O182-'LT _Lia - GA'!U182</f>
        <v>0</v>
      </c>
    </row>
    <row r="183" spans="1:24">
      <c r="A183" s="12" t="s">
        <v>751</v>
      </c>
      <c r="B183" s="12"/>
      <c r="C183" s="12" t="s">
        <v>116</v>
      </c>
      <c r="D183" s="12"/>
      <c r="E183" s="12">
        <v>46102</v>
      </c>
      <c r="G183" s="1">
        <f>20683453-3331326</f>
        <v>17352127</v>
      </c>
      <c r="I183" s="1">
        <v>0</v>
      </c>
      <c r="K183" s="1">
        <v>0</v>
      </c>
      <c r="M183" s="1">
        <v>0</v>
      </c>
      <c r="O183" s="1">
        <v>3331326</v>
      </c>
      <c r="Q183" s="1">
        <v>0</v>
      </c>
      <c r="S183" s="20">
        <f>SUM(G183:R183)</f>
        <v>20683453</v>
      </c>
      <c r="U183" s="1">
        <v>1297150</v>
      </c>
      <c r="X183" s="1">
        <f>+'St of Net Assets - GA'!O183-'LT _Lia - GA'!U183</f>
        <v>0</v>
      </c>
    </row>
    <row r="184" spans="1:24">
      <c r="A184" s="12" t="s">
        <v>228</v>
      </c>
      <c r="B184" s="12"/>
      <c r="C184" s="12" t="s">
        <v>227</v>
      </c>
      <c r="D184" s="12"/>
      <c r="E184" s="13">
        <v>46102</v>
      </c>
      <c r="G184" s="1">
        <v>27635841</v>
      </c>
      <c r="I184" s="1">
        <v>0</v>
      </c>
      <c r="K184" s="1">
        <v>0</v>
      </c>
      <c r="M184" s="1">
        <v>334995</v>
      </c>
      <c r="O184" s="1">
        <v>8539434</v>
      </c>
      <c r="Q184" s="1">
        <v>0</v>
      </c>
      <c r="S184" s="20">
        <f t="shared" si="12"/>
        <v>36510270</v>
      </c>
      <c r="U184" s="1">
        <v>3206455</v>
      </c>
      <c r="X184" s="1">
        <f>+'St of Net Assets - GA'!O184-'LT _Lia - GA'!U184</f>
        <v>0</v>
      </c>
    </row>
    <row r="185" spans="1:24">
      <c r="A185" s="12" t="s">
        <v>396</v>
      </c>
      <c r="B185" s="12"/>
      <c r="C185" s="12" t="s">
        <v>395</v>
      </c>
      <c r="D185" s="12"/>
      <c r="E185" s="13">
        <v>47621</v>
      </c>
      <c r="G185" s="1">
        <f>2413822-482482</f>
        <v>1931340</v>
      </c>
      <c r="I185" s="1">
        <v>0</v>
      </c>
      <c r="K185" s="1">
        <v>0</v>
      </c>
      <c r="M185" s="1">
        <v>0</v>
      </c>
      <c r="O185" s="1">
        <v>482482</v>
      </c>
      <c r="Q185" s="1">
        <v>0</v>
      </c>
      <c r="S185" s="20">
        <f t="shared" si="12"/>
        <v>2413822</v>
      </c>
      <c r="U185" s="1">
        <v>162592</v>
      </c>
      <c r="X185" s="1">
        <f>+'St of Net Assets - GA'!O185-'LT _Lia - GA'!U185</f>
        <v>0</v>
      </c>
    </row>
    <row r="186" spans="1:24">
      <c r="A186" s="12" t="s">
        <v>324</v>
      </c>
      <c r="B186" s="12"/>
      <c r="C186" s="12" t="s">
        <v>25</v>
      </c>
      <c r="D186" s="12"/>
      <c r="E186" s="13">
        <v>46870</v>
      </c>
      <c r="G186" s="1">
        <f>28476487-1239711-387779</f>
        <v>26848997</v>
      </c>
      <c r="I186" s="1">
        <v>0</v>
      </c>
      <c r="K186" s="1">
        <v>0</v>
      </c>
      <c r="M186" s="1">
        <v>387779</v>
      </c>
      <c r="O186" s="1">
        <v>1239711</v>
      </c>
      <c r="Q186" s="1">
        <v>0</v>
      </c>
      <c r="S186" s="20">
        <f t="shared" si="12"/>
        <v>28476487</v>
      </c>
      <c r="U186" s="1">
        <v>631007</v>
      </c>
      <c r="X186" s="1">
        <f>+'St of Net Assets - GA'!O186-'LT _Lia - GA'!U186</f>
        <v>0</v>
      </c>
    </row>
    <row r="187" spans="1:24">
      <c r="A187" s="12" t="s">
        <v>422</v>
      </c>
      <c r="B187" s="12"/>
      <c r="C187" s="12" t="s">
        <v>420</v>
      </c>
      <c r="D187" s="12"/>
      <c r="E187" s="13">
        <v>47936</v>
      </c>
      <c r="G187" s="1">
        <v>2620000</v>
      </c>
      <c r="I187" s="1">
        <v>0</v>
      </c>
      <c r="K187" s="1">
        <v>0</v>
      </c>
      <c r="M187" s="1">
        <v>0</v>
      </c>
      <c r="O187" s="1">
        <v>853830</v>
      </c>
      <c r="Q187" s="1">
        <v>0</v>
      </c>
      <c r="S187" s="20">
        <f t="shared" si="12"/>
        <v>3473830</v>
      </c>
      <c r="U187" s="1">
        <v>215706</v>
      </c>
      <c r="X187" s="1">
        <f>+'St of Net Assets - GA'!O187-'LT _Lia - GA'!U187</f>
        <v>0</v>
      </c>
    </row>
    <row r="188" spans="1:24" hidden="1">
      <c r="A188" s="17" t="s">
        <v>742</v>
      </c>
      <c r="B188" s="12"/>
      <c r="C188" s="12" t="s">
        <v>61</v>
      </c>
      <c r="D188" s="12"/>
      <c r="E188" s="13">
        <v>49775</v>
      </c>
      <c r="S188" s="20">
        <f t="shared" si="12"/>
        <v>0</v>
      </c>
      <c r="X188" s="1">
        <f>+'St of Net Assets - GA'!O188-'LT _Lia - GA'!U188</f>
        <v>0</v>
      </c>
    </row>
    <row r="189" spans="1:24">
      <c r="A189" s="12" t="s">
        <v>575</v>
      </c>
      <c r="B189" s="12"/>
      <c r="C189" s="12" t="s">
        <v>62</v>
      </c>
      <c r="D189" s="12"/>
      <c r="E189" s="13">
        <v>49841</v>
      </c>
      <c r="G189" s="1">
        <v>13034449</v>
      </c>
      <c r="I189" s="1">
        <v>0</v>
      </c>
      <c r="K189" s="1">
        <v>0</v>
      </c>
      <c r="M189" s="1">
        <v>0</v>
      </c>
      <c r="O189" s="1">
        <v>638671</v>
      </c>
      <c r="Q189" s="1">
        <v>0</v>
      </c>
      <c r="S189" s="20">
        <f t="shared" si="12"/>
        <v>13673120</v>
      </c>
      <c r="U189" s="1">
        <v>435222</v>
      </c>
      <c r="X189" s="1">
        <f>+'St of Net Assets - GA'!O189-'LT _Lia - GA'!U189</f>
        <v>0</v>
      </c>
    </row>
    <row r="190" spans="1:24" hidden="1">
      <c r="A190" s="17" t="s">
        <v>834</v>
      </c>
      <c r="B190" s="12"/>
      <c r="C190" s="12" t="s">
        <v>41</v>
      </c>
      <c r="D190" s="12"/>
      <c r="E190" s="13">
        <v>45369</v>
      </c>
      <c r="S190" s="20">
        <f t="shared" si="12"/>
        <v>0</v>
      </c>
      <c r="X190" s="1">
        <f>+'St of Net Assets - GA'!O190-'LT _Lia - GA'!U190</f>
        <v>0</v>
      </c>
    </row>
    <row r="191" spans="1:24">
      <c r="A191" s="12" t="s">
        <v>290</v>
      </c>
      <c r="B191" s="12"/>
      <c r="C191" s="12" t="s">
        <v>20</v>
      </c>
      <c r="D191" s="12"/>
      <c r="E191" s="13">
        <v>43976</v>
      </c>
      <c r="G191" s="1">
        <f>28906910+851528</f>
        <v>29758438</v>
      </c>
      <c r="I191" s="1">
        <v>0</v>
      </c>
      <c r="K191" s="1">
        <v>0</v>
      </c>
      <c r="M191" s="1">
        <v>0</v>
      </c>
      <c r="O191" s="1">
        <f>1250720+63605</f>
        <v>1314325</v>
      </c>
      <c r="Q191" s="1">
        <v>101814</v>
      </c>
      <c r="S191" s="20">
        <f t="shared" si="12"/>
        <v>31174577</v>
      </c>
      <c r="U191" s="1">
        <v>1561375</v>
      </c>
      <c r="X191" s="1">
        <f>+'St of Net Assets - GA'!O191-'LT _Lia - GA'!U191</f>
        <v>0</v>
      </c>
    </row>
    <row r="192" spans="1:24">
      <c r="A192" s="17" t="s">
        <v>812</v>
      </c>
      <c r="B192" s="17"/>
      <c r="C192" s="17" t="s">
        <v>28</v>
      </c>
      <c r="D192" s="12"/>
      <c r="E192" s="13"/>
      <c r="G192" s="1">
        <v>5062319</v>
      </c>
      <c r="I192" s="1">
        <v>0</v>
      </c>
      <c r="K192" s="1">
        <v>0</v>
      </c>
      <c r="M192" s="1">
        <v>56804</v>
      </c>
      <c r="O192" s="1">
        <v>163560</v>
      </c>
      <c r="Q192" s="1">
        <v>0</v>
      </c>
      <c r="S192" s="20">
        <f t="shared" si="12"/>
        <v>5282683</v>
      </c>
      <c r="U192" s="1">
        <v>173101</v>
      </c>
      <c r="X192" s="1">
        <f>+'St of Net Assets - GA'!O192-'LT _Lia - GA'!U192</f>
        <v>0</v>
      </c>
    </row>
    <row r="193" spans="1:24">
      <c r="A193" s="12" t="s">
        <v>224</v>
      </c>
      <c r="B193" s="12"/>
      <c r="C193" s="12" t="s">
        <v>77</v>
      </c>
      <c r="D193" s="12"/>
      <c r="E193" s="13">
        <v>46045</v>
      </c>
      <c r="G193" s="1">
        <f>8095000+110448-88668</f>
        <v>8116780</v>
      </c>
      <c r="I193" s="1">
        <v>0</v>
      </c>
      <c r="K193" s="1">
        <v>0</v>
      </c>
      <c r="M193" s="1">
        <v>0</v>
      </c>
      <c r="O193" s="1">
        <v>373259</v>
      </c>
      <c r="Q193" s="1">
        <v>0</v>
      </c>
      <c r="S193" s="20">
        <f t="shared" si="12"/>
        <v>8490039</v>
      </c>
      <c r="U193" s="1">
        <v>378650</v>
      </c>
      <c r="X193" s="1">
        <f>+'St of Net Assets - GA'!O193-'LT _Lia - GA'!U193</f>
        <v>0</v>
      </c>
    </row>
    <row r="194" spans="1:24">
      <c r="A194" s="12" t="s">
        <v>813</v>
      </c>
      <c r="B194" s="12"/>
      <c r="C194" s="12" t="s">
        <v>13</v>
      </c>
      <c r="D194" s="12"/>
      <c r="E194" s="13"/>
      <c r="G194" s="1">
        <v>739597</v>
      </c>
      <c r="I194" s="1">
        <v>0</v>
      </c>
      <c r="K194" s="1">
        <v>0</v>
      </c>
      <c r="M194" s="1">
        <v>0</v>
      </c>
      <c r="O194" s="1">
        <v>672106</v>
      </c>
      <c r="Q194" s="1">
        <v>0</v>
      </c>
      <c r="S194" s="20">
        <f t="shared" si="12"/>
        <v>1411703</v>
      </c>
      <c r="U194" s="1">
        <v>275060</v>
      </c>
      <c r="X194" s="1">
        <f>+'St of Net Assets - GA'!O194-'LT _Lia - GA'!U194</f>
        <v>0</v>
      </c>
    </row>
    <row r="195" spans="1:24">
      <c r="A195" s="12" t="s">
        <v>253</v>
      </c>
      <c r="B195" s="12"/>
      <c r="C195" s="12" t="s">
        <v>115</v>
      </c>
      <c r="D195" s="12"/>
      <c r="E195" s="13">
        <v>46334</v>
      </c>
      <c r="G195" s="1">
        <v>2150000</v>
      </c>
      <c r="I195" s="1">
        <v>0</v>
      </c>
      <c r="K195" s="1">
        <v>0</v>
      </c>
      <c r="M195" s="1">
        <v>171438</v>
      </c>
      <c r="O195" s="1">
        <v>550994</v>
      </c>
      <c r="Q195" s="1">
        <v>0</v>
      </c>
      <c r="S195" s="20">
        <f t="shared" si="12"/>
        <v>2872432</v>
      </c>
      <c r="U195" s="1">
        <v>252381</v>
      </c>
      <c r="X195" s="1">
        <f>+'St of Net Assets - GA'!O195-'LT _Lia - GA'!U195</f>
        <v>0</v>
      </c>
    </row>
    <row r="196" spans="1:24">
      <c r="A196" s="17" t="s">
        <v>891</v>
      </c>
      <c r="B196" s="12"/>
      <c r="C196" s="12" t="s">
        <v>56</v>
      </c>
      <c r="D196" s="12"/>
      <c r="E196" s="13">
        <v>49197</v>
      </c>
      <c r="G196" s="1">
        <f>24090000+398540</f>
        <v>24488540</v>
      </c>
      <c r="I196" s="1">
        <v>45912</v>
      </c>
      <c r="K196" s="1">
        <v>0</v>
      </c>
      <c r="M196" s="1">
        <f>13477+278632</f>
        <v>292109</v>
      </c>
      <c r="O196" s="1">
        <f>981369+13721</f>
        <v>995090</v>
      </c>
      <c r="Q196" s="1">
        <v>113747</v>
      </c>
      <c r="S196" s="20">
        <f t="shared" si="12"/>
        <v>25935398</v>
      </c>
      <c r="U196" s="1">
        <f>465316+11465</f>
        <v>476781</v>
      </c>
      <c r="X196" s="1">
        <f>+'St of Net Assets - GA'!O196-'LT _Lia - GA'!U196</f>
        <v>0</v>
      </c>
    </row>
    <row r="197" spans="1:24">
      <c r="A197" s="12" t="s">
        <v>380</v>
      </c>
      <c r="B197" s="12"/>
      <c r="C197" s="12" t="s">
        <v>33</v>
      </c>
      <c r="D197" s="12"/>
      <c r="E197" s="13">
        <v>43984</v>
      </c>
      <c r="G197" s="1">
        <f>54207641+501798</f>
        <v>54709439</v>
      </c>
      <c r="I197" s="1">
        <v>203415</v>
      </c>
      <c r="K197" s="1">
        <v>0</v>
      </c>
      <c r="M197" s="1">
        <v>1325610</v>
      </c>
      <c r="O197" s="1">
        <v>3723080</v>
      </c>
      <c r="Q197" s="1">
        <v>0</v>
      </c>
      <c r="S197" s="20">
        <f t="shared" si="12"/>
        <v>59961544</v>
      </c>
      <c r="U197" s="1">
        <v>2249035</v>
      </c>
      <c r="X197" s="1">
        <f>+'St of Net Assets - GA'!O197-'LT _Lia - GA'!U197</f>
        <v>0</v>
      </c>
    </row>
    <row r="198" spans="1:24">
      <c r="A198" s="12" t="s">
        <v>363</v>
      </c>
      <c r="B198" s="12"/>
      <c r="C198" s="12" t="s">
        <v>32</v>
      </c>
      <c r="D198" s="12"/>
      <c r="E198" s="13">
        <v>47332</v>
      </c>
      <c r="G198" s="1">
        <v>6355000</v>
      </c>
      <c r="I198" s="1">
        <v>0</v>
      </c>
      <c r="K198" s="1">
        <v>0</v>
      </c>
      <c r="M198" s="1">
        <v>513000</v>
      </c>
      <c r="O198" s="1">
        <v>1385866</v>
      </c>
      <c r="Q198" s="1">
        <v>0</v>
      </c>
      <c r="S198" s="20">
        <f t="shared" si="12"/>
        <v>8253866</v>
      </c>
      <c r="U198" s="1">
        <v>484124</v>
      </c>
      <c r="X198" s="1">
        <f>+'St of Net Assets - GA'!O198-'LT _Lia - GA'!U198</f>
        <v>0</v>
      </c>
    </row>
    <row r="199" spans="1:24">
      <c r="A199" s="12" t="s">
        <v>441</v>
      </c>
      <c r="B199" s="12"/>
      <c r="C199" s="12" t="s">
        <v>44</v>
      </c>
      <c r="D199" s="12"/>
      <c r="E199" s="13">
        <v>48157</v>
      </c>
      <c r="G199" s="1">
        <v>0</v>
      </c>
      <c r="I199" s="1">
        <v>0</v>
      </c>
      <c r="K199" s="1">
        <v>0</v>
      </c>
      <c r="M199" s="1">
        <v>38750</v>
      </c>
      <c r="O199" s="1">
        <v>1107895</v>
      </c>
      <c r="Q199" s="1">
        <v>0</v>
      </c>
      <c r="S199" s="20">
        <f t="shared" si="12"/>
        <v>1146645</v>
      </c>
      <c r="U199" s="1">
        <v>186669</v>
      </c>
      <c r="X199" s="1">
        <f>+'St of Net Assets - GA'!O199-'LT _Lia - GA'!U199</f>
        <v>0</v>
      </c>
    </row>
    <row r="200" spans="1:24">
      <c r="A200" s="12" t="s">
        <v>364</v>
      </c>
      <c r="B200" s="12"/>
      <c r="C200" s="12" t="s">
        <v>32</v>
      </c>
      <c r="D200" s="12"/>
      <c r="E200" s="13">
        <v>47340</v>
      </c>
      <c r="G200" s="1">
        <f>12880000+107757</f>
        <v>12987757</v>
      </c>
      <c r="I200" s="1">
        <v>0</v>
      </c>
      <c r="K200" s="1">
        <v>0</v>
      </c>
      <c r="M200" s="1">
        <v>0</v>
      </c>
      <c r="O200" s="1">
        <v>3285048</v>
      </c>
      <c r="Q200" s="1">
        <v>0</v>
      </c>
      <c r="S200" s="20">
        <f t="shared" si="12"/>
        <v>16272805</v>
      </c>
      <c r="U200" s="1">
        <v>3232053</v>
      </c>
      <c r="X200" s="1">
        <f>+'St of Net Assets - GA'!O200-'LT _Lia - GA'!U200</f>
        <v>0</v>
      </c>
    </row>
    <row r="201" spans="1:24" hidden="1">
      <c r="A201" s="12" t="s">
        <v>737</v>
      </c>
      <c r="B201" s="12"/>
      <c r="C201" s="12" t="s">
        <v>70</v>
      </c>
      <c r="D201" s="12"/>
      <c r="E201" s="13">
        <v>50484</v>
      </c>
      <c r="S201" s="20">
        <f t="shared" si="12"/>
        <v>0</v>
      </c>
      <c r="X201" s="1">
        <f>+'St of Net Assets - GA'!O201-'LT _Lia - GA'!U201</f>
        <v>0</v>
      </c>
    </row>
    <row r="202" spans="1:24">
      <c r="A202" s="12" t="s">
        <v>569</v>
      </c>
      <c r="B202" s="12"/>
      <c r="C202" s="12" t="s">
        <v>61</v>
      </c>
      <c r="D202" s="12"/>
      <c r="E202" s="13">
        <v>49783</v>
      </c>
      <c r="G202" s="1">
        <v>10003285</v>
      </c>
      <c r="I202" s="1">
        <v>0</v>
      </c>
      <c r="K202" s="1">
        <v>1380000</v>
      </c>
      <c r="M202" s="1">
        <v>0</v>
      </c>
      <c r="O202" s="1">
        <v>390578</v>
      </c>
      <c r="Q202" s="1">
        <v>0</v>
      </c>
      <c r="S202" s="20">
        <f t="shared" si="12"/>
        <v>11773863</v>
      </c>
      <c r="U202" s="1">
        <v>449773</v>
      </c>
      <c r="X202" s="1">
        <f>+'St of Net Assets - GA'!O202-'LT _Lia - GA'!U202</f>
        <v>0</v>
      </c>
    </row>
    <row r="203" spans="1:24" hidden="1">
      <c r="A203" s="12" t="s">
        <v>814</v>
      </c>
      <c r="B203" s="12"/>
      <c r="C203" s="12" t="s">
        <v>486</v>
      </c>
      <c r="D203" s="12"/>
      <c r="E203" s="13"/>
      <c r="S203" s="20">
        <f t="shared" si="12"/>
        <v>0</v>
      </c>
      <c r="X203" s="1">
        <f>+'St of Net Assets - GA'!O203-'LT _Lia - GA'!U203</f>
        <v>0</v>
      </c>
    </row>
    <row r="204" spans="1:24" hidden="1">
      <c r="A204" s="12" t="s">
        <v>950</v>
      </c>
      <c r="B204" s="12"/>
      <c r="C204" s="12" t="s">
        <v>60</v>
      </c>
      <c r="D204" s="12"/>
      <c r="E204" s="13">
        <v>43992</v>
      </c>
      <c r="S204" s="20">
        <f t="shared" si="12"/>
        <v>0</v>
      </c>
      <c r="X204" s="1">
        <f>+'St of Net Assets - GA'!O204-'LT _Lia - GA'!U204</f>
        <v>0</v>
      </c>
    </row>
    <row r="205" spans="1:24">
      <c r="A205" s="12" t="s">
        <v>632</v>
      </c>
      <c r="B205" s="12"/>
      <c r="C205" s="12" t="s">
        <v>69</v>
      </c>
      <c r="D205" s="12"/>
      <c r="E205" s="13">
        <v>44008</v>
      </c>
      <c r="G205" s="1">
        <v>3058738</v>
      </c>
      <c r="I205" s="1">
        <v>0</v>
      </c>
      <c r="K205" s="1">
        <v>0</v>
      </c>
      <c r="M205" s="1">
        <v>0</v>
      </c>
      <c r="O205" s="1">
        <v>1929539</v>
      </c>
      <c r="Q205" s="1">
        <v>0</v>
      </c>
      <c r="S205" s="20">
        <f t="shared" si="12"/>
        <v>4988277</v>
      </c>
      <c r="U205" s="1">
        <v>370055</v>
      </c>
      <c r="X205" s="1">
        <f>+'St of Net Assets - GA'!O205-'LT _Lia - GA'!U205</f>
        <v>0</v>
      </c>
    </row>
    <row r="206" spans="1:24">
      <c r="A206" s="12" t="s">
        <v>512</v>
      </c>
      <c r="B206" s="12"/>
      <c r="C206" s="12" t="s">
        <v>51</v>
      </c>
      <c r="D206" s="12"/>
      <c r="E206" s="13">
        <v>48843</v>
      </c>
      <c r="G206" s="1">
        <v>5820379</v>
      </c>
      <c r="I206" s="1">
        <v>0</v>
      </c>
      <c r="K206" s="1">
        <v>0</v>
      </c>
      <c r="M206" s="1">
        <v>102892</v>
      </c>
      <c r="O206" s="1">
        <v>1876978</v>
      </c>
      <c r="Q206" s="1">
        <v>0</v>
      </c>
      <c r="S206" s="20">
        <f t="shared" si="12"/>
        <v>7800249</v>
      </c>
      <c r="U206" s="1">
        <v>607094</v>
      </c>
      <c r="X206" s="1">
        <f>+'St of Net Assets - GA'!O206-'LT _Lia - GA'!U206</f>
        <v>0</v>
      </c>
    </row>
    <row r="207" spans="1:24" hidden="1">
      <c r="A207" s="17" t="s">
        <v>736</v>
      </c>
      <c r="B207" s="12"/>
      <c r="C207" s="12" t="s">
        <v>21</v>
      </c>
      <c r="D207" s="12"/>
      <c r="E207" s="13">
        <v>46649</v>
      </c>
      <c r="S207" s="20">
        <f t="shared" si="12"/>
        <v>0</v>
      </c>
      <c r="X207" s="1">
        <f>+'St of Net Assets - GA'!O207-'LT _Lia - GA'!U207</f>
        <v>0</v>
      </c>
    </row>
    <row r="208" spans="1:24" hidden="1">
      <c r="A208" s="17" t="s">
        <v>815</v>
      </c>
      <c r="B208" s="12"/>
      <c r="C208" s="12" t="s">
        <v>40</v>
      </c>
      <c r="D208" s="12"/>
      <c r="E208" s="13">
        <v>47852</v>
      </c>
      <c r="S208" s="20">
        <f t="shared" si="12"/>
        <v>0</v>
      </c>
      <c r="X208" s="1">
        <f>+'St of Net Assets - GA'!O208-'LT _Lia - GA'!U208</f>
        <v>0</v>
      </c>
    </row>
    <row r="209" spans="1:24">
      <c r="A209" s="12" t="s">
        <v>556</v>
      </c>
      <c r="B209" s="12"/>
      <c r="C209" s="12" t="s">
        <v>79</v>
      </c>
      <c r="D209" s="12"/>
      <c r="E209" s="13">
        <v>44016</v>
      </c>
      <c r="G209" s="1">
        <v>9560861</v>
      </c>
      <c r="I209" s="1">
        <v>0</v>
      </c>
      <c r="K209" s="1">
        <v>9500000</v>
      </c>
      <c r="M209" s="1">
        <v>0</v>
      </c>
      <c r="O209" s="1">
        <v>4276575</v>
      </c>
      <c r="Q209" s="1">
        <v>0</v>
      </c>
      <c r="S209" s="20">
        <f t="shared" si="12"/>
        <v>23337436</v>
      </c>
      <c r="U209" s="1">
        <v>10310755</v>
      </c>
      <c r="X209" s="1">
        <f>+'St of Net Assets - GA'!O209-'LT _Lia - GA'!U209</f>
        <v>0</v>
      </c>
    </row>
    <row r="210" spans="1:24">
      <c r="A210" s="12" t="s">
        <v>637</v>
      </c>
      <c r="B210" s="12"/>
      <c r="C210" s="12" t="s">
        <v>70</v>
      </c>
      <c r="D210" s="12"/>
      <c r="E210" s="13">
        <v>50492</v>
      </c>
      <c r="G210" s="1">
        <v>1615000</v>
      </c>
      <c r="I210" s="1">
        <v>0</v>
      </c>
      <c r="K210" s="1">
        <v>131000</v>
      </c>
      <c r="M210" s="1">
        <v>45177</v>
      </c>
      <c r="O210" s="1">
        <v>725691</v>
      </c>
      <c r="Q210" s="1">
        <v>85552</v>
      </c>
      <c r="S210" s="20">
        <f t="shared" si="12"/>
        <v>2602420</v>
      </c>
      <c r="U210" s="1">
        <v>203637</v>
      </c>
      <c r="X210" s="1">
        <f>+'St of Net Assets - GA'!O210-'LT _Lia - GA'!U210</f>
        <v>0</v>
      </c>
    </row>
    <row r="211" spans="1:24">
      <c r="A211" s="12" t="s">
        <v>333</v>
      </c>
      <c r="B211" s="12"/>
      <c r="C211" s="12" t="s">
        <v>27</v>
      </c>
      <c r="D211" s="12"/>
      <c r="E211" s="13">
        <v>46961</v>
      </c>
      <c r="G211" s="1">
        <v>32737172</v>
      </c>
      <c r="I211" s="1">
        <v>0</v>
      </c>
      <c r="K211" s="1">
        <v>0</v>
      </c>
      <c r="M211" s="1">
        <v>246833</v>
      </c>
      <c r="O211" s="1">
        <f>6400312+383110</f>
        <v>6783422</v>
      </c>
      <c r="Q211" s="1">
        <v>6565000</v>
      </c>
      <c r="S211" s="20">
        <f t="shared" si="12"/>
        <v>46332427</v>
      </c>
      <c r="U211" s="1">
        <v>3627049</v>
      </c>
      <c r="X211" s="1">
        <f>+'St of Net Assets - GA'!O211-'LT _Lia - GA'!U211</f>
        <v>0</v>
      </c>
    </row>
    <row r="212" spans="1:24">
      <c r="A212" s="12" t="s">
        <v>278</v>
      </c>
      <c r="B212" s="12"/>
      <c r="C212" s="12" t="s">
        <v>113</v>
      </c>
      <c r="D212" s="12"/>
      <c r="E212" s="13">
        <v>44024</v>
      </c>
      <c r="G212" s="1">
        <v>17929300</v>
      </c>
      <c r="I212" s="1">
        <v>0</v>
      </c>
      <c r="K212" s="1">
        <v>0</v>
      </c>
      <c r="M212" s="1">
        <v>74333</v>
      </c>
      <c r="O212" s="1">
        <v>1406601</v>
      </c>
      <c r="Q212" s="1">
        <v>0</v>
      </c>
      <c r="S212" s="20">
        <f t="shared" si="12"/>
        <v>19410234</v>
      </c>
      <c r="U212" s="1">
        <v>479360</v>
      </c>
      <c r="X212" s="1">
        <f>+'St of Net Assets - GA'!O212-'LT _Lia - GA'!U212</f>
        <v>0</v>
      </c>
    </row>
    <row r="213" spans="1:24">
      <c r="A213" s="12" t="s">
        <v>349</v>
      </c>
      <c r="B213" s="12"/>
      <c r="C213" s="12" t="s">
        <v>29</v>
      </c>
      <c r="D213" s="12"/>
      <c r="E213" s="13">
        <v>65680</v>
      </c>
      <c r="G213" s="1">
        <v>42149288</v>
      </c>
      <c r="I213" s="1">
        <v>0</v>
      </c>
      <c r="K213" s="1">
        <v>0</v>
      </c>
      <c r="M213" s="1">
        <v>0</v>
      </c>
      <c r="O213" s="1">
        <v>1559260</v>
      </c>
      <c r="Q213" s="1">
        <v>0</v>
      </c>
      <c r="S213" s="20">
        <f t="shared" si="12"/>
        <v>43708548</v>
      </c>
      <c r="U213" s="1">
        <v>695884</v>
      </c>
      <c r="X213" s="1">
        <f>+'St of Net Assets - GA'!O213-'LT _Lia - GA'!U213</f>
        <v>0</v>
      </c>
    </row>
    <row r="214" spans="1:24">
      <c r="A214" s="12" t="s">
        <v>350</v>
      </c>
      <c r="B214" s="12"/>
      <c r="C214" s="12" t="s">
        <v>29</v>
      </c>
      <c r="D214" s="12"/>
      <c r="E214" s="13">
        <v>44032</v>
      </c>
      <c r="G214" s="1">
        <v>23190000</v>
      </c>
      <c r="I214" s="1">
        <v>0</v>
      </c>
      <c r="K214" s="1">
        <v>0</v>
      </c>
      <c r="M214" s="1">
        <v>0</v>
      </c>
      <c r="O214" s="1">
        <v>1576380</v>
      </c>
      <c r="Q214" s="1">
        <v>0</v>
      </c>
      <c r="S214" s="20">
        <f t="shared" si="12"/>
        <v>24766380</v>
      </c>
      <c r="U214" s="1">
        <v>642216</v>
      </c>
      <c r="X214" s="1">
        <f>+'St of Net Assets - GA'!O214-'LT _Lia - GA'!U214</f>
        <v>0</v>
      </c>
    </row>
    <row r="215" spans="1:24">
      <c r="A215" s="12" t="s">
        <v>620</v>
      </c>
      <c r="B215" s="12"/>
      <c r="C215" s="12" t="s">
        <v>65</v>
      </c>
      <c r="D215" s="12"/>
      <c r="E215" s="13">
        <v>50278</v>
      </c>
      <c r="G215" s="1">
        <v>755000</v>
      </c>
      <c r="I215" s="1">
        <v>0</v>
      </c>
      <c r="K215" s="1">
        <v>205240</v>
      </c>
      <c r="M215" s="1">
        <v>0</v>
      </c>
      <c r="O215" s="1">
        <v>902710</v>
      </c>
      <c r="Q215" s="1">
        <v>0</v>
      </c>
      <c r="S215" s="20">
        <f t="shared" si="12"/>
        <v>1862950</v>
      </c>
      <c r="U215" s="1">
        <v>292089</v>
      </c>
      <c r="X215" s="1">
        <f>+'St of Net Assets - GA'!O215-'LT _Lia - GA'!U215</f>
        <v>0</v>
      </c>
    </row>
    <row r="216" spans="1:24">
      <c r="A216" s="17" t="s">
        <v>837</v>
      </c>
      <c r="B216" s="12"/>
      <c r="C216" s="12" t="s">
        <v>20</v>
      </c>
      <c r="D216" s="12"/>
      <c r="E216" s="13">
        <v>44040</v>
      </c>
      <c r="G216" s="1">
        <v>1720000</v>
      </c>
      <c r="I216" s="1">
        <v>0</v>
      </c>
      <c r="K216" s="1">
        <v>0</v>
      </c>
      <c r="M216" s="1">
        <v>535866</v>
      </c>
      <c r="O216" s="1">
        <v>306002</v>
      </c>
      <c r="Q216" s="1">
        <v>11667</v>
      </c>
      <c r="S216" s="20">
        <f t="shared" si="12"/>
        <v>2573535</v>
      </c>
      <c r="U216" s="1">
        <v>2573535</v>
      </c>
      <c r="X216" s="1">
        <f>+'St of Net Assets - GA'!O216-'LT _Lia - GA'!U216</f>
        <v>0</v>
      </c>
    </row>
    <row r="217" spans="1:24">
      <c r="A217" s="17" t="s">
        <v>786</v>
      </c>
      <c r="B217" s="12"/>
      <c r="C217" s="12" t="s">
        <v>12</v>
      </c>
      <c r="D217" s="12"/>
      <c r="E217" s="13">
        <v>44057</v>
      </c>
      <c r="G217" s="1">
        <v>19273014</v>
      </c>
      <c r="I217" s="1">
        <v>0</v>
      </c>
      <c r="K217" s="1">
        <v>0</v>
      </c>
      <c r="M217" s="1">
        <v>0</v>
      </c>
      <c r="O217" s="1">
        <v>1863856</v>
      </c>
      <c r="Q217" s="1">
        <v>0</v>
      </c>
      <c r="S217" s="20">
        <f t="shared" si="12"/>
        <v>21136870</v>
      </c>
      <c r="U217" s="1">
        <v>1381282</v>
      </c>
      <c r="X217" s="1">
        <f>+'St of Net Assets - GA'!O217-'LT _Lia - GA'!U217</f>
        <v>0</v>
      </c>
    </row>
    <row r="218" spans="1:24">
      <c r="A218" s="12" t="s">
        <v>521</v>
      </c>
      <c r="B218" s="12"/>
      <c r="C218" s="12" t="s">
        <v>53</v>
      </c>
      <c r="D218" s="12"/>
      <c r="E218" s="13">
        <v>48942</v>
      </c>
      <c r="G218" s="1">
        <f>2830000+34999+96343+5045000+94797+14262+110000</f>
        <v>8225401</v>
      </c>
      <c r="I218" s="1">
        <v>0</v>
      </c>
      <c r="K218" s="1">
        <v>0</v>
      </c>
      <c r="M218" s="1">
        <v>885438</v>
      </c>
      <c r="O218" s="1">
        <v>938916</v>
      </c>
      <c r="Q218" s="1">
        <v>0</v>
      </c>
      <c r="S218" s="20">
        <f t="shared" si="12"/>
        <v>10049755</v>
      </c>
      <c r="U218" s="1">
        <v>667509</v>
      </c>
      <c r="X218" s="1">
        <f>+'St of Net Assets - GA'!O218-'LT _Lia - GA'!U218</f>
        <v>0</v>
      </c>
    </row>
    <row r="219" spans="1:24" hidden="1">
      <c r="A219" s="17" t="s">
        <v>816</v>
      </c>
      <c r="B219" s="12"/>
      <c r="C219" s="12" t="s">
        <v>77</v>
      </c>
      <c r="D219" s="12"/>
      <c r="E219" s="13">
        <v>45377</v>
      </c>
      <c r="S219" s="20">
        <f t="shared" si="12"/>
        <v>0</v>
      </c>
      <c r="X219" s="1">
        <f>+'St of Net Assets - GA'!O219-'LT _Lia - GA'!U219</f>
        <v>0</v>
      </c>
    </row>
    <row r="220" spans="1:24">
      <c r="A220" s="12" t="s">
        <v>557</v>
      </c>
      <c r="B220" s="12"/>
      <c r="C220" s="12" t="s">
        <v>79</v>
      </c>
      <c r="D220" s="12"/>
      <c r="E220" s="13">
        <v>45385</v>
      </c>
      <c r="G220" s="1">
        <v>4178208</v>
      </c>
      <c r="I220" s="1">
        <v>0</v>
      </c>
      <c r="K220" s="1">
        <v>197000</v>
      </c>
      <c r="M220" s="1">
        <v>40238</v>
      </c>
      <c r="O220" s="1">
        <v>582259</v>
      </c>
      <c r="Q220" s="1">
        <v>0</v>
      </c>
      <c r="S220" s="20">
        <f t="shared" ref="S220:S225" si="16">SUM(G220:R220)</f>
        <v>4997705</v>
      </c>
      <c r="U220" s="1">
        <v>533191</v>
      </c>
      <c r="X220" s="1">
        <f>+'St of Net Assets - GA'!O220-'LT _Lia - GA'!U220</f>
        <v>0</v>
      </c>
    </row>
    <row r="221" spans="1:24">
      <c r="A221" s="12" t="s">
        <v>603</v>
      </c>
      <c r="B221" s="12"/>
      <c r="C221" s="12" t="s">
        <v>64</v>
      </c>
      <c r="D221" s="12"/>
      <c r="E221" s="13">
        <v>44065</v>
      </c>
      <c r="G221" s="1">
        <v>11843804</v>
      </c>
      <c r="I221" s="1">
        <v>0</v>
      </c>
      <c r="K221" s="1">
        <v>0</v>
      </c>
      <c r="M221" s="1">
        <v>800000</v>
      </c>
      <c r="O221" s="1">
        <v>1113709</v>
      </c>
      <c r="Q221" s="1">
        <v>0</v>
      </c>
      <c r="S221" s="20">
        <f t="shared" si="16"/>
        <v>13757513</v>
      </c>
      <c r="U221" s="1">
        <v>662076</v>
      </c>
      <c r="X221" s="1">
        <f>+'St of Net Assets - GA'!O221-'LT _Lia - GA'!U221</f>
        <v>0</v>
      </c>
    </row>
    <row r="222" spans="1:24" hidden="1">
      <c r="A222" s="17" t="s">
        <v>869</v>
      </c>
      <c r="B222" s="12"/>
      <c r="C222" s="12" t="s">
        <v>28</v>
      </c>
      <c r="D222" s="12"/>
      <c r="E222" s="13">
        <v>47068</v>
      </c>
      <c r="S222" s="20">
        <f t="shared" si="16"/>
        <v>0</v>
      </c>
      <c r="X222" s="1">
        <f>+'St of Net Assets - GA'!O222-'LT _Lia - GA'!U222</f>
        <v>0</v>
      </c>
    </row>
    <row r="223" spans="1:24">
      <c r="A223" s="12" t="s">
        <v>254</v>
      </c>
      <c r="B223" s="12"/>
      <c r="C223" s="12" t="s">
        <v>115</v>
      </c>
      <c r="D223" s="12"/>
      <c r="E223" s="13">
        <v>46342</v>
      </c>
      <c r="G223" s="1">
        <f>1805000+2080000+200000+217048-165074+266571+5150000-137364+2550</f>
        <v>9418731</v>
      </c>
      <c r="I223" s="1">
        <v>0</v>
      </c>
      <c r="K223" s="1">
        <v>0</v>
      </c>
      <c r="M223" s="1">
        <v>607235</v>
      </c>
      <c r="O223" s="1">
        <v>1441221</v>
      </c>
      <c r="Q223" s="1">
        <v>0</v>
      </c>
      <c r="S223" s="20">
        <f t="shared" si="16"/>
        <v>11467187</v>
      </c>
      <c r="U223" s="1">
        <v>740944</v>
      </c>
      <c r="X223" s="1">
        <f>+'St of Net Assets - GA'!O223-'LT _Lia - GA'!U223</f>
        <v>0</v>
      </c>
    </row>
    <row r="224" spans="1:24">
      <c r="A224" s="12" t="s">
        <v>239</v>
      </c>
      <c r="B224" s="12"/>
      <c r="C224" s="12" t="s">
        <v>240</v>
      </c>
      <c r="D224" s="12"/>
      <c r="E224" s="13">
        <v>46193</v>
      </c>
      <c r="G224" s="1">
        <f>380000+677502+16720000+487557+542631-46905</f>
        <v>18760785</v>
      </c>
      <c r="I224" s="1">
        <v>0</v>
      </c>
      <c r="K224" s="1">
        <v>0</v>
      </c>
      <c r="M224" s="1">
        <v>632000</v>
      </c>
      <c r="O224" s="1">
        <v>1294301</v>
      </c>
      <c r="Q224" s="1">
        <v>0</v>
      </c>
      <c r="S224" s="20">
        <f t="shared" si="16"/>
        <v>20687086</v>
      </c>
      <c r="U224" s="1">
        <v>694483</v>
      </c>
      <c r="X224" s="1">
        <f>+'St of Net Assets - GA'!O224-'LT _Lia - GA'!U224</f>
        <v>0</v>
      </c>
    </row>
    <row r="225" spans="1:24">
      <c r="A225" s="12" t="s">
        <v>211</v>
      </c>
      <c r="B225" s="12"/>
      <c r="C225" s="12" t="s">
        <v>12</v>
      </c>
      <c r="D225" s="12"/>
      <c r="E225" s="12">
        <v>45864</v>
      </c>
      <c r="G225" s="1">
        <v>10210000</v>
      </c>
      <c r="I225" s="1">
        <v>0</v>
      </c>
      <c r="K225" s="1">
        <v>0</v>
      </c>
      <c r="M225" s="1">
        <v>1264000</v>
      </c>
      <c r="O225" s="1">
        <v>629850</v>
      </c>
      <c r="Q225" s="1">
        <v>0</v>
      </c>
      <c r="S225" s="20">
        <f t="shared" si="16"/>
        <v>12103850</v>
      </c>
      <c r="U225" s="1">
        <v>620618</v>
      </c>
      <c r="X225" s="1">
        <f>+'St of Net Assets - GA'!O225-'LT _Lia - GA'!U225</f>
        <v>0</v>
      </c>
    </row>
    <row r="226" spans="1:24">
      <c r="A226" s="12" t="s">
        <v>334</v>
      </c>
      <c r="B226" s="12"/>
      <c r="C226" s="12" t="s">
        <v>27</v>
      </c>
      <c r="D226" s="12"/>
      <c r="E226" s="13">
        <v>44073</v>
      </c>
      <c r="G226" s="1">
        <v>5749989</v>
      </c>
      <c r="I226" s="1">
        <v>0</v>
      </c>
      <c r="K226" s="1">
        <v>122500</v>
      </c>
      <c r="M226" s="1">
        <f>23550+88147</f>
        <v>111697</v>
      </c>
      <c r="O226" s="1">
        <v>1170555</v>
      </c>
      <c r="Q226" s="1">
        <v>0</v>
      </c>
      <c r="S226" s="20">
        <f t="shared" ref="S226:S294" si="17">SUM(G226:R226)</f>
        <v>7154741</v>
      </c>
      <c r="U226" s="1">
        <v>982723</v>
      </c>
      <c r="X226" s="1">
        <f>+'St of Net Assets - GA'!O226-'LT _Lia - GA'!U226</f>
        <v>0</v>
      </c>
    </row>
    <row r="227" spans="1:24">
      <c r="A227" s="17" t="s">
        <v>817</v>
      </c>
      <c r="B227" s="12"/>
      <c r="C227" s="12" t="s">
        <v>42</v>
      </c>
      <c r="D227" s="12"/>
      <c r="E227" s="13">
        <v>45393</v>
      </c>
      <c r="G227" s="1">
        <v>33012982</v>
      </c>
      <c r="I227" s="1">
        <v>0</v>
      </c>
      <c r="K227" s="1">
        <v>1652123</v>
      </c>
      <c r="M227" s="1">
        <v>35726</v>
      </c>
      <c r="O227" s="1">
        <v>1143458</v>
      </c>
      <c r="Q227" s="1">
        <v>0</v>
      </c>
      <c r="S227" s="20">
        <f t="shared" si="17"/>
        <v>35844289</v>
      </c>
      <c r="U227" s="1">
        <v>1880237</v>
      </c>
      <c r="X227" s="1">
        <f>+'St of Net Assets - GA'!O227-'LT _Lia - GA'!U227</f>
        <v>0</v>
      </c>
    </row>
    <row r="228" spans="1:24">
      <c r="A228" s="12" t="s">
        <v>561</v>
      </c>
      <c r="B228" s="12"/>
      <c r="C228" s="12" t="s">
        <v>59</v>
      </c>
      <c r="D228" s="12"/>
      <c r="E228" s="13">
        <v>49619</v>
      </c>
      <c r="G228" s="1">
        <v>0</v>
      </c>
      <c r="I228" s="1">
        <v>0</v>
      </c>
      <c r="K228" s="1">
        <v>0</v>
      </c>
      <c r="M228" s="1">
        <v>141026</v>
      </c>
      <c r="O228" s="1">
        <v>371826</v>
      </c>
      <c r="Q228" s="1">
        <v>0</v>
      </c>
      <c r="S228" s="20">
        <f t="shared" si="17"/>
        <v>512852</v>
      </c>
      <c r="U228" s="1">
        <v>65443</v>
      </c>
      <c r="X228" s="1">
        <f>+'St of Net Assets - GA'!O228-'LT _Lia - GA'!U228</f>
        <v>0</v>
      </c>
    </row>
    <row r="229" spans="1:24">
      <c r="A229" s="12" t="s">
        <v>561</v>
      </c>
      <c r="B229" s="12"/>
      <c r="C229" s="12" t="s">
        <v>63</v>
      </c>
      <c r="D229" s="12"/>
      <c r="E229" s="13">
        <v>50013</v>
      </c>
      <c r="G229" s="1">
        <v>13571254</v>
      </c>
      <c r="I229" s="1">
        <v>8497223</v>
      </c>
      <c r="K229" s="1">
        <v>0</v>
      </c>
      <c r="M229" s="1">
        <v>510184</v>
      </c>
      <c r="O229" s="1">
        <v>1632613</v>
      </c>
      <c r="Q229" s="1">
        <v>759316</v>
      </c>
      <c r="S229" s="20">
        <f t="shared" si="17"/>
        <v>24970590</v>
      </c>
      <c r="U229" s="1">
        <f>2479024-371580</f>
        <v>2107444</v>
      </c>
      <c r="X229" s="1">
        <f>+'St of Net Assets - GA'!O229-'LT _Lia - GA'!U229</f>
        <v>0</v>
      </c>
    </row>
    <row r="230" spans="1:24" hidden="1">
      <c r="A230" s="17" t="s">
        <v>934</v>
      </c>
      <c r="B230" s="12"/>
      <c r="C230" s="12" t="s">
        <v>71</v>
      </c>
      <c r="D230" s="12"/>
      <c r="E230" s="13">
        <v>50559</v>
      </c>
      <c r="S230" s="20">
        <f t="shared" si="17"/>
        <v>0</v>
      </c>
      <c r="X230" s="1">
        <f>+'St of Net Assets - GA'!O230-'LT _Lia - GA'!U230</f>
        <v>0</v>
      </c>
    </row>
    <row r="231" spans="1:24">
      <c r="A231" s="12" t="s">
        <v>358</v>
      </c>
      <c r="B231" s="12"/>
      <c r="C231" s="12" t="s">
        <v>116</v>
      </c>
      <c r="D231" s="12"/>
      <c r="E231" s="13">
        <v>47266</v>
      </c>
      <c r="G231" s="1">
        <v>7156719</v>
      </c>
      <c r="I231" s="1">
        <v>0</v>
      </c>
      <c r="K231" s="1">
        <v>0</v>
      </c>
      <c r="M231" s="1">
        <v>0</v>
      </c>
      <c r="O231" s="1">
        <v>807750</v>
      </c>
      <c r="Q231" s="1">
        <v>0</v>
      </c>
      <c r="S231" s="20">
        <f t="shared" si="17"/>
        <v>7964469</v>
      </c>
      <c r="U231" s="1">
        <v>445016</v>
      </c>
      <c r="X231" s="1">
        <f>+'St of Net Assets - GA'!O231-'LT _Lia - GA'!U231</f>
        <v>0</v>
      </c>
    </row>
    <row r="232" spans="1:24">
      <c r="A232" s="12" t="s">
        <v>397</v>
      </c>
      <c r="B232" s="12"/>
      <c r="C232" s="12" t="s">
        <v>395</v>
      </c>
      <c r="D232" s="12"/>
      <c r="E232" s="13">
        <v>45401</v>
      </c>
      <c r="G232" s="1">
        <f>925000+1110000+73408-20224+354998+1240</f>
        <v>2444422</v>
      </c>
      <c r="I232" s="1">
        <v>0</v>
      </c>
      <c r="K232" s="1">
        <v>0</v>
      </c>
      <c r="M232" s="1">
        <v>51742</v>
      </c>
      <c r="O232" s="1">
        <v>1624590</v>
      </c>
      <c r="Q232" s="1">
        <v>0</v>
      </c>
      <c r="S232" s="20">
        <f t="shared" si="17"/>
        <v>4120754</v>
      </c>
      <c r="U232" s="1">
        <v>270874</v>
      </c>
      <c r="X232" s="1">
        <f>+'St of Net Assets - GA'!O232-'LT _Lia - GA'!U232</f>
        <v>0</v>
      </c>
    </row>
    <row r="233" spans="1:24">
      <c r="A233" s="12" t="s">
        <v>246</v>
      </c>
      <c r="B233" s="12"/>
      <c r="C233" s="12" t="s">
        <v>17</v>
      </c>
      <c r="D233" s="12"/>
      <c r="E233" s="13">
        <v>46235</v>
      </c>
      <c r="G233" s="1">
        <v>0</v>
      </c>
      <c r="I233" s="1">
        <v>23290</v>
      </c>
      <c r="K233" s="1">
        <v>0</v>
      </c>
      <c r="M233" s="1">
        <v>0</v>
      </c>
      <c r="O233" s="1">
        <v>96897</v>
      </c>
      <c r="Q233" s="1">
        <v>55040</v>
      </c>
      <c r="S233" s="20">
        <f t="shared" si="17"/>
        <v>175227</v>
      </c>
      <c r="U233" s="1">
        <v>175227</v>
      </c>
      <c r="X233" s="1">
        <f>+'St of Net Assets - GA'!O233-'LT _Lia - GA'!U233</f>
        <v>0</v>
      </c>
    </row>
    <row r="234" spans="1:24">
      <c r="A234" s="12" t="s">
        <v>309</v>
      </c>
      <c r="B234" s="12"/>
      <c r="C234" s="12" t="s">
        <v>21</v>
      </c>
      <c r="D234" s="12"/>
      <c r="E234" s="13">
        <v>44099</v>
      </c>
      <c r="G234" s="1">
        <v>0</v>
      </c>
      <c r="I234" s="1">
        <v>0</v>
      </c>
      <c r="K234" s="1">
        <v>0</v>
      </c>
      <c r="M234" s="1">
        <v>0</v>
      </c>
      <c r="O234" s="1">
        <v>946195</v>
      </c>
      <c r="Q234" s="1">
        <v>0</v>
      </c>
      <c r="S234" s="20">
        <f t="shared" si="17"/>
        <v>946195</v>
      </c>
      <c r="U234" s="1">
        <v>183901</v>
      </c>
      <c r="X234" s="1">
        <f>+'St of Net Assets - GA'!O234-'LT _Lia - GA'!U234</f>
        <v>0</v>
      </c>
    </row>
    <row r="235" spans="1:24">
      <c r="A235" s="12" t="s">
        <v>335</v>
      </c>
      <c r="B235" s="12"/>
      <c r="C235" s="12" t="s">
        <v>27</v>
      </c>
      <c r="D235" s="12"/>
      <c r="E235" s="13">
        <v>46979</v>
      </c>
      <c r="G235" s="1">
        <v>0</v>
      </c>
      <c r="I235" s="1">
        <v>0</v>
      </c>
      <c r="K235" s="1">
        <v>310000</v>
      </c>
      <c r="M235" s="1">
        <v>0</v>
      </c>
      <c r="O235" s="1">
        <v>3702167</v>
      </c>
      <c r="Q235" s="1">
        <v>0</v>
      </c>
      <c r="S235" s="20">
        <f t="shared" si="17"/>
        <v>4012167</v>
      </c>
      <c r="U235" s="1">
        <v>846314</v>
      </c>
      <c r="X235" s="1">
        <f>+'St of Net Assets - GA'!O235-'LT _Lia - GA'!U235</f>
        <v>0</v>
      </c>
    </row>
    <row r="236" spans="1:24">
      <c r="A236" s="12" t="s">
        <v>229</v>
      </c>
      <c r="B236" s="12"/>
      <c r="C236" s="12" t="s">
        <v>227</v>
      </c>
      <c r="D236" s="12"/>
      <c r="E236" s="13">
        <v>44107</v>
      </c>
      <c r="G236" s="1">
        <v>102610000</v>
      </c>
      <c r="I236" s="1">
        <v>0</v>
      </c>
      <c r="K236" s="1">
        <v>0</v>
      </c>
      <c r="M236" s="1">
        <v>188625</v>
      </c>
      <c r="O236" s="1">
        <v>6862179</v>
      </c>
      <c r="Q236" s="1">
        <v>4011440</v>
      </c>
      <c r="S236" s="20">
        <f t="shared" si="17"/>
        <v>113672244</v>
      </c>
      <c r="U236" s="1">
        <v>3689083</v>
      </c>
      <c r="X236" s="1">
        <f>+'St of Net Assets - GA'!O236-'LT _Lia - GA'!U236</f>
        <v>0</v>
      </c>
    </row>
    <row r="237" spans="1:24">
      <c r="A237" s="17" t="s">
        <v>935</v>
      </c>
      <c r="B237" s="12"/>
      <c r="C237" s="12" t="s">
        <v>27</v>
      </c>
      <c r="D237" s="12"/>
      <c r="E237" s="13">
        <v>46953</v>
      </c>
      <c r="G237" s="1">
        <v>25765707</v>
      </c>
      <c r="I237" s="1">
        <v>0</v>
      </c>
      <c r="K237" s="1">
        <v>0</v>
      </c>
      <c r="M237" s="1">
        <v>136759</v>
      </c>
      <c r="O237" s="1">
        <v>646073</v>
      </c>
      <c r="Q237" s="1">
        <v>0</v>
      </c>
      <c r="S237" s="20">
        <f t="shared" si="17"/>
        <v>26548539</v>
      </c>
      <c r="U237" s="1">
        <v>897258</v>
      </c>
      <c r="X237" s="1">
        <f>+'St of Net Assets - GA'!O237-'LT _Lia - GA'!U237</f>
        <v>0</v>
      </c>
    </row>
    <row r="238" spans="1:24">
      <c r="A238" s="12" t="s">
        <v>384</v>
      </c>
      <c r="B238" s="12"/>
      <c r="C238" s="12" t="s">
        <v>383</v>
      </c>
      <c r="D238" s="12"/>
      <c r="E238" s="13">
        <v>47498</v>
      </c>
      <c r="G238" s="1">
        <v>3470000</v>
      </c>
      <c r="I238" s="1">
        <v>0</v>
      </c>
      <c r="K238" s="1">
        <v>0</v>
      </c>
      <c r="M238" s="1">
        <v>923180</v>
      </c>
      <c r="O238" s="1">
        <v>119645</v>
      </c>
      <c r="Q238" s="1">
        <v>0</v>
      </c>
      <c r="S238" s="20">
        <f t="shared" si="17"/>
        <v>4512825</v>
      </c>
      <c r="U238" s="1">
        <v>91172</v>
      </c>
      <c r="X238" s="1">
        <f>+'St of Net Assets - GA'!O238-'LT _Lia - GA'!U238</f>
        <v>0</v>
      </c>
    </row>
    <row r="239" spans="1:24" hidden="1">
      <c r="A239" s="17" t="s">
        <v>936</v>
      </c>
      <c r="B239" s="12"/>
      <c r="C239" s="12" t="s">
        <v>61</v>
      </c>
      <c r="D239" s="12"/>
      <c r="E239" s="13">
        <v>49791</v>
      </c>
      <c r="S239" s="20">
        <f t="shared" si="17"/>
        <v>0</v>
      </c>
      <c r="X239" s="1">
        <f>+'St of Net Assets - GA'!O239-'LT _Lia - GA'!U239</f>
        <v>0</v>
      </c>
    </row>
    <row r="240" spans="1:24">
      <c r="A240" s="12" t="s">
        <v>389</v>
      </c>
      <c r="B240" s="12"/>
      <c r="C240" s="12" t="s">
        <v>388</v>
      </c>
      <c r="D240" s="12"/>
      <c r="E240" s="13">
        <v>45245</v>
      </c>
      <c r="G240" s="1">
        <v>0</v>
      </c>
      <c r="I240" s="1">
        <v>0</v>
      </c>
      <c r="K240" s="1">
        <v>0</v>
      </c>
      <c r="M240" s="1">
        <v>0</v>
      </c>
      <c r="O240" s="1">
        <v>917053</v>
      </c>
      <c r="Q240" s="1">
        <v>0</v>
      </c>
      <c r="S240" s="20">
        <f t="shared" si="17"/>
        <v>917053</v>
      </c>
      <c r="U240" s="1">
        <v>174893</v>
      </c>
      <c r="X240" s="1">
        <f>+'St of Net Assets - GA'!O240-'LT _Lia - GA'!U240</f>
        <v>0</v>
      </c>
    </row>
    <row r="241" spans="1:24">
      <c r="A241" s="12" t="s">
        <v>427</v>
      </c>
      <c r="B241" s="12"/>
      <c r="C241" s="12" t="s">
        <v>42</v>
      </c>
      <c r="D241" s="12"/>
      <c r="E241" s="13">
        <v>44115</v>
      </c>
      <c r="G241" s="1">
        <v>15402557</v>
      </c>
      <c r="I241" s="1">
        <v>0</v>
      </c>
      <c r="K241" s="1">
        <v>0</v>
      </c>
      <c r="M241" s="1">
        <v>169535</v>
      </c>
      <c r="O241" s="1">
        <v>1331680</v>
      </c>
      <c r="Q241" s="1">
        <v>0</v>
      </c>
      <c r="S241" s="20">
        <f t="shared" si="17"/>
        <v>16903772</v>
      </c>
      <c r="U241" s="1">
        <v>948377</v>
      </c>
      <c r="X241" s="1">
        <f>+'St of Net Assets - GA'!O241-'LT _Lia - GA'!U241</f>
        <v>0</v>
      </c>
    </row>
    <row r="242" spans="1:24" hidden="1">
      <c r="A242" s="17" t="s">
        <v>819</v>
      </c>
      <c r="B242" s="12"/>
      <c r="C242" s="12" t="s">
        <v>22</v>
      </c>
      <c r="D242" s="12"/>
      <c r="E242" s="13">
        <v>45419</v>
      </c>
      <c r="S242" s="20">
        <f t="shared" si="17"/>
        <v>0</v>
      </c>
      <c r="X242" s="1">
        <f>+'St of Net Assets - GA'!O242-'LT _Lia - GA'!U242</f>
        <v>0</v>
      </c>
    </row>
    <row r="243" spans="1:24">
      <c r="A243" s="12" t="s">
        <v>481</v>
      </c>
      <c r="B243" s="12"/>
      <c r="C243" s="12" t="s">
        <v>47</v>
      </c>
      <c r="D243" s="12"/>
      <c r="E243" s="13">
        <v>48496</v>
      </c>
      <c r="G243" s="1">
        <v>33538239</v>
      </c>
      <c r="I243" s="1">
        <v>0</v>
      </c>
      <c r="K243" s="1">
        <v>0</v>
      </c>
      <c r="M243" s="1">
        <v>88077</v>
      </c>
      <c r="O243" s="1">
        <v>1456149</v>
      </c>
      <c r="Q243" s="1">
        <v>0</v>
      </c>
      <c r="S243" s="20">
        <f t="shared" si="17"/>
        <v>35082465</v>
      </c>
      <c r="U243" s="1">
        <v>2140369</v>
      </c>
      <c r="X243" s="1">
        <f>+'St of Net Assets - GA'!O243-'LT _Lia - GA'!U243</f>
        <v>0</v>
      </c>
    </row>
    <row r="244" spans="1:24">
      <c r="A244" s="12" t="s">
        <v>481</v>
      </c>
      <c r="B244" s="12"/>
      <c r="C244" s="12" t="s">
        <v>78</v>
      </c>
      <c r="D244" s="12"/>
      <c r="E244" s="13">
        <v>48801</v>
      </c>
      <c r="G244" s="1">
        <v>15373185</v>
      </c>
      <c r="I244" s="1">
        <v>0</v>
      </c>
      <c r="K244" s="1">
        <v>0</v>
      </c>
      <c r="M244" s="1">
        <v>50358</v>
      </c>
      <c r="O244" s="1">
        <v>866984</v>
      </c>
      <c r="Q244" s="1">
        <v>0</v>
      </c>
      <c r="S244" s="20">
        <f t="shared" si="17"/>
        <v>16290527</v>
      </c>
      <c r="U244" s="1">
        <v>146773</v>
      </c>
      <c r="X244" s="1">
        <f>+'St of Net Assets - GA'!O244-'LT _Lia - GA'!U244</f>
        <v>0</v>
      </c>
    </row>
    <row r="245" spans="1:24">
      <c r="A245" s="12" t="s">
        <v>337</v>
      </c>
      <c r="B245" s="12"/>
      <c r="C245" s="12" t="s">
        <v>27</v>
      </c>
      <c r="D245" s="12"/>
      <c r="E245" s="13">
        <v>47019</v>
      </c>
      <c r="G245" s="1">
        <v>184696156</v>
      </c>
      <c r="I245" s="1">
        <v>0</v>
      </c>
      <c r="K245" s="1">
        <f>320000+7315000+3693</f>
        <v>7638693</v>
      </c>
      <c r="M245" s="1">
        <v>37401</v>
      </c>
      <c r="O245" s="1">
        <v>11075907</v>
      </c>
      <c r="Q245" s="1">
        <v>0</v>
      </c>
      <c r="S245" s="20">
        <f t="shared" si="17"/>
        <v>203448157</v>
      </c>
      <c r="U245" s="1">
        <v>13473184</v>
      </c>
      <c r="X245" s="1">
        <f>+'St of Net Assets - GA'!O245-'LT _Lia - GA'!U245</f>
        <v>0</v>
      </c>
    </row>
    <row r="246" spans="1:24" hidden="1">
      <c r="A246" s="12" t="s">
        <v>398</v>
      </c>
      <c r="B246" s="12"/>
      <c r="C246" s="12" t="s">
        <v>395</v>
      </c>
      <c r="D246" s="12"/>
      <c r="E246" s="13">
        <v>44123</v>
      </c>
      <c r="S246" s="20">
        <f t="shared" si="17"/>
        <v>0</v>
      </c>
      <c r="X246" s="1">
        <f>+'St of Net Assets - GA'!O246-'LT _Lia - GA'!U246</f>
        <v>0</v>
      </c>
    </row>
    <row r="247" spans="1:24">
      <c r="A247" s="12" t="s">
        <v>207</v>
      </c>
      <c r="B247" s="12"/>
      <c r="C247" s="12" t="s">
        <v>11</v>
      </c>
      <c r="D247" s="12"/>
      <c r="E247" s="13">
        <v>45823</v>
      </c>
      <c r="G247" s="1">
        <v>0</v>
      </c>
      <c r="I247" s="1">
        <v>249820</v>
      </c>
      <c r="K247" s="1">
        <v>132850</v>
      </c>
      <c r="M247" s="1">
        <v>0</v>
      </c>
      <c r="O247" s="1">
        <v>940491</v>
      </c>
      <c r="Q247" s="1">
        <v>0</v>
      </c>
      <c r="S247" s="20">
        <f t="shared" si="17"/>
        <v>1323161</v>
      </c>
      <c r="U247" s="1">
        <v>167654</v>
      </c>
      <c r="X247" s="1">
        <f>+'St of Net Assets - GA'!O247-'LT _Lia - GA'!U247</f>
        <v>0</v>
      </c>
    </row>
    <row r="248" spans="1:24">
      <c r="A248" s="12" t="s">
        <v>390</v>
      </c>
      <c r="B248" s="12"/>
      <c r="C248" s="12" t="s">
        <v>34</v>
      </c>
      <c r="D248" s="12"/>
      <c r="E248" s="13">
        <v>47571</v>
      </c>
      <c r="G248" s="1">
        <v>2460000</v>
      </c>
      <c r="I248" s="1">
        <v>1772884</v>
      </c>
      <c r="K248" s="1">
        <v>0</v>
      </c>
      <c r="M248" s="1">
        <v>0</v>
      </c>
      <c r="O248" s="1">
        <v>273261</v>
      </c>
      <c r="Q248" s="1">
        <v>0</v>
      </c>
      <c r="S248" s="20">
        <f t="shared" si="17"/>
        <v>4506145</v>
      </c>
      <c r="U248" s="1">
        <v>167909</v>
      </c>
      <c r="X248" s="1">
        <f>+'St of Net Assets - GA'!O248-'LT _Lia - GA'!U248</f>
        <v>0</v>
      </c>
    </row>
    <row r="249" spans="1:24">
      <c r="A249" s="12" t="s">
        <v>604</v>
      </c>
      <c r="B249" s="12"/>
      <c r="C249" s="12" t="s">
        <v>64</v>
      </c>
      <c r="D249" s="12"/>
      <c r="E249" s="13">
        <v>50161</v>
      </c>
      <c r="G249" s="1">
        <v>0</v>
      </c>
      <c r="I249" s="1">
        <v>0</v>
      </c>
      <c r="K249" s="1">
        <v>0</v>
      </c>
      <c r="M249" s="1">
        <v>0</v>
      </c>
      <c r="O249" s="1">
        <v>3046433</v>
      </c>
      <c r="Q249" s="1">
        <v>0</v>
      </c>
      <c r="S249" s="20">
        <f t="shared" si="17"/>
        <v>3046433</v>
      </c>
      <c r="U249" s="1">
        <v>340931</v>
      </c>
      <c r="X249" s="1">
        <f>+'St of Net Assets - GA'!O249-'LT _Lia - GA'!U249</f>
        <v>0</v>
      </c>
    </row>
    <row r="250" spans="1:24">
      <c r="A250" s="12" t="s">
        <v>605</v>
      </c>
      <c r="B250" s="12"/>
      <c r="C250" s="12" t="s">
        <v>64</v>
      </c>
      <c r="D250" s="12"/>
      <c r="E250" s="13">
        <v>45427</v>
      </c>
      <c r="G250" s="1">
        <v>18177957</v>
      </c>
      <c r="I250" s="1">
        <v>0</v>
      </c>
      <c r="K250" s="1">
        <v>0</v>
      </c>
      <c r="M250" s="1">
        <v>136000</v>
      </c>
      <c r="O250" s="1">
        <v>1062832</v>
      </c>
      <c r="Q250" s="1">
        <v>0</v>
      </c>
      <c r="S250" s="20">
        <f t="shared" si="17"/>
        <v>19376789</v>
      </c>
      <c r="U250" s="1">
        <v>946707</v>
      </c>
      <c r="X250" s="1">
        <f>+'St of Net Assets - GA'!O250-'LT _Lia - GA'!U250</f>
        <v>0</v>
      </c>
    </row>
    <row r="251" spans="1:24">
      <c r="A251" s="12" t="s">
        <v>497</v>
      </c>
      <c r="B251" s="12"/>
      <c r="C251" s="12" t="s">
        <v>50</v>
      </c>
      <c r="D251" s="12"/>
      <c r="E251" s="13">
        <v>48751</v>
      </c>
      <c r="G251" s="1">
        <f>151825+80015000+1700000</f>
        <v>81866825</v>
      </c>
      <c r="I251" s="1">
        <v>0</v>
      </c>
      <c r="K251" s="1">
        <v>0</v>
      </c>
      <c r="M251" s="1">
        <v>243052</v>
      </c>
      <c r="O251" s="1">
        <v>1896865</v>
      </c>
      <c r="Q251" s="1">
        <v>0</v>
      </c>
      <c r="S251" s="20">
        <f t="shared" si="17"/>
        <v>84006742</v>
      </c>
      <c r="U251" s="1">
        <v>1460158</v>
      </c>
      <c r="X251" s="1">
        <f>+'St of Net Assets - GA'!O251-'LT _Lia - GA'!U251</f>
        <v>0</v>
      </c>
    </row>
    <row r="252" spans="1:24">
      <c r="A252" s="12" t="s">
        <v>590</v>
      </c>
      <c r="B252" s="12"/>
      <c r="C252" s="12" t="s">
        <v>63</v>
      </c>
      <c r="D252" s="12"/>
      <c r="E252" s="13">
        <v>50021</v>
      </c>
      <c r="G252" s="1">
        <v>34132585</v>
      </c>
      <c r="I252" s="1">
        <v>0</v>
      </c>
      <c r="K252" s="1">
        <v>0</v>
      </c>
      <c r="M252" s="1">
        <v>0</v>
      </c>
      <c r="O252" s="1">
        <f>2787668+17800</f>
        <v>2805468</v>
      </c>
      <c r="Q252" s="1">
        <v>0</v>
      </c>
      <c r="S252" s="20">
        <f t="shared" si="17"/>
        <v>36938053</v>
      </c>
      <c r="U252" s="1">
        <f>3151746+15472</f>
        <v>3167218</v>
      </c>
      <c r="X252" s="1">
        <f>+'St of Net Assets - GA'!O252-'LT _Lia - GA'!U252</f>
        <v>0</v>
      </c>
    </row>
    <row r="253" spans="1:24">
      <c r="A253" s="12" t="s">
        <v>551</v>
      </c>
      <c r="B253" s="12"/>
      <c r="C253" s="12" t="s">
        <v>58</v>
      </c>
      <c r="D253" s="12"/>
      <c r="E253" s="13">
        <v>49502</v>
      </c>
      <c r="G253" s="1">
        <v>680000</v>
      </c>
      <c r="I253" s="1">
        <v>0</v>
      </c>
      <c r="K253" s="1">
        <v>0</v>
      </c>
      <c r="M253" s="1">
        <v>147012</v>
      </c>
      <c r="O253" s="1">
        <v>666373</v>
      </c>
      <c r="Q253" s="1">
        <v>0</v>
      </c>
      <c r="S253" s="20">
        <f t="shared" si="17"/>
        <v>1493385</v>
      </c>
      <c r="U253" s="1">
        <v>144014</v>
      </c>
      <c r="X253" s="1">
        <f>+'St of Net Assets - GA'!O253-'LT _Lia - GA'!U253</f>
        <v>0</v>
      </c>
    </row>
    <row r="254" spans="1:24">
      <c r="A254" s="12" t="s">
        <v>315</v>
      </c>
      <c r="B254" s="12"/>
      <c r="C254" s="12" t="s">
        <v>24</v>
      </c>
      <c r="D254" s="12"/>
      <c r="E254" s="13">
        <v>44131</v>
      </c>
      <c r="G254" s="1">
        <f>3411925+1525000</f>
        <v>4936925</v>
      </c>
      <c r="I254" s="1">
        <v>0</v>
      </c>
      <c r="K254" s="1">
        <v>0</v>
      </c>
      <c r="M254" s="1">
        <v>4285386</v>
      </c>
      <c r="O254" s="1">
        <v>1001099</v>
      </c>
      <c r="Q254" s="1">
        <v>0</v>
      </c>
      <c r="S254" s="20">
        <f t="shared" si="17"/>
        <v>10223410</v>
      </c>
      <c r="U254" s="1">
        <v>1117756</v>
      </c>
      <c r="X254" s="1">
        <f>+'St of Net Assets - GA'!O254-'LT _Lia - GA'!U254</f>
        <v>0</v>
      </c>
    </row>
    <row r="255" spans="1:24">
      <c r="A255" s="12" t="s">
        <v>292</v>
      </c>
      <c r="B255" s="12"/>
      <c r="C255" s="12" t="s">
        <v>20</v>
      </c>
      <c r="D255" s="12"/>
      <c r="E255" s="13">
        <v>46565</v>
      </c>
      <c r="G255" s="1">
        <v>15146442</v>
      </c>
      <c r="I255" s="1">
        <v>0</v>
      </c>
      <c r="K255" s="1">
        <v>0</v>
      </c>
      <c r="M255" s="1">
        <v>0</v>
      </c>
      <c r="O255" s="1">
        <v>1126742</v>
      </c>
      <c r="Q255" s="1">
        <v>0</v>
      </c>
      <c r="S255" s="20">
        <f t="shared" si="17"/>
        <v>16273184</v>
      </c>
      <c r="U255" s="1">
        <v>528720</v>
      </c>
      <c r="X255" s="1">
        <f>+'St of Net Assets - GA'!O255-'LT _Lia - GA'!U255</f>
        <v>0</v>
      </c>
    </row>
    <row r="256" spans="1:24">
      <c r="A256" s="12"/>
      <c r="B256" s="12"/>
      <c r="C256" s="12"/>
      <c r="D256" s="12"/>
      <c r="E256" s="13"/>
      <c r="S256" s="20"/>
    </row>
    <row r="257" spans="1:24">
      <c r="A257" s="12"/>
      <c r="B257" s="12"/>
      <c r="C257" s="12"/>
      <c r="D257" s="12"/>
      <c r="E257" s="13"/>
      <c r="S257" s="20"/>
      <c r="U257" s="41" t="s">
        <v>709</v>
      </c>
    </row>
    <row r="258" spans="1:24">
      <c r="A258" s="12"/>
      <c r="B258" s="12"/>
      <c r="C258" s="12"/>
      <c r="D258" s="12"/>
      <c r="E258" s="13"/>
      <c r="S258" s="20"/>
    </row>
    <row r="259" spans="1:24" ht="12" customHeight="1">
      <c r="A259" s="12" t="s">
        <v>411</v>
      </c>
      <c r="B259" s="12"/>
      <c r="C259" s="12" t="s">
        <v>39</v>
      </c>
      <c r="D259" s="12"/>
      <c r="E259" s="13">
        <v>47803</v>
      </c>
      <c r="G259" s="16">
        <v>12069739</v>
      </c>
      <c r="H259" s="16"/>
      <c r="I259" s="16">
        <v>6525</v>
      </c>
      <c r="J259" s="16"/>
      <c r="K259" s="16">
        <v>0</v>
      </c>
      <c r="L259" s="16"/>
      <c r="M259" s="16">
        <v>190523</v>
      </c>
      <c r="N259" s="16"/>
      <c r="O259" s="16">
        <v>1284970</v>
      </c>
      <c r="P259" s="16"/>
      <c r="Q259" s="16">
        <v>0</v>
      </c>
      <c r="R259" s="16"/>
      <c r="S259" s="72">
        <f t="shared" si="17"/>
        <v>13551757</v>
      </c>
      <c r="T259" s="16"/>
      <c r="U259" s="16">
        <v>546703</v>
      </c>
      <c r="X259" s="1">
        <f>+'St of Net Assets - GA'!O259-'LT _Lia - GA'!U259</f>
        <v>0</v>
      </c>
    </row>
    <row r="260" spans="1:24" ht="12" customHeight="1">
      <c r="A260" s="12" t="s">
        <v>365</v>
      </c>
      <c r="B260" s="12"/>
      <c r="C260" s="12" t="s">
        <v>32</v>
      </c>
      <c r="D260" s="12"/>
      <c r="E260" s="13">
        <v>45435</v>
      </c>
      <c r="G260" s="1">
        <v>36633873</v>
      </c>
      <c r="I260" s="1">
        <v>0</v>
      </c>
      <c r="K260" s="1">
        <v>0</v>
      </c>
      <c r="M260" s="1">
        <v>678000</v>
      </c>
      <c r="O260" s="1">
        <v>1799779</v>
      </c>
      <c r="Q260" s="1">
        <v>0</v>
      </c>
      <c r="S260" s="20">
        <f t="shared" si="17"/>
        <v>39111652</v>
      </c>
      <c r="U260" s="1">
        <v>2481231</v>
      </c>
      <c r="X260" s="1">
        <f>+'St of Net Assets - GA'!O260-'LT _Lia - GA'!U260</f>
        <v>0</v>
      </c>
    </row>
    <row r="261" spans="1:24" ht="12" hidden="1" customHeight="1">
      <c r="A261" s="17" t="s">
        <v>937</v>
      </c>
      <c r="B261" s="17"/>
      <c r="C261" s="17" t="s">
        <v>43</v>
      </c>
      <c r="D261" s="12"/>
      <c r="E261" s="13"/>
      <c r="S261" s="20">
        <v>0</v>
      </c>
      <c r="X261" s="1">
        <f>+'St of Net Assets - GA'!O261-'LT _Lia - GA'!U261</f>
        <v>0</v>
      </c>
    </row>
    <row r="262" spans="1:24" s="16" customFormat="1" ht="12" customHeight="1">
      <c r="A262" s="14" t="s">
        <v>621</v>
      </c>
      <c r="B262" s="14"/>
      <c r="C262" s="14" t="s">
        <v>65</v>
      </c>
      <c r="D262" s="14"/>
      <c r="E262" s="14">
        <v>50286</v>
      </c>
      <c r="G262" s="1">
        <f>7445000+87994+165220+232693+3115000+1059989+419860+209703-148787+25000</f>
        <v>12611672</v>
      </c>
      <c r="H262" s="1"/>
      <c r="I262" s="1">
        <v>0</v>
      </c>
      <c r="J262" s="1"/>
      <c r="K262" s="1">
        <v>0</v>
      </c>
      <c r="L262" s="1"/>
      <c r="M262" s="1">
        <v>151485</v>
      </c>
      <c r="N262" s="1"/>
      <c r="O262" s="1">
        <v>1528253</v>
      </c>
      <c r="P262" s="1"/>
      <c r="Q262" s="1">
        <v>0</v>
      </c>
      <c r="R262" s="1"/>
      <c r="S262" s="20">
        <f t="shared" si="17"/>
        <v>14291410</v>
      </c>
      <c r="T262" s="1"/>
      <c r="U262" s="1">
        <v>779932</v>
      </c>
      <c r="X262" s="1">
        <f>+'St of Net Assets - GA'!O262-'LT _Lia - GA'!U262</f>
        <v>0</v>
      </c>
    </row>
    <row r="263" spans="1:24" ht="12" customHeight="1">
      <c r="A263" s="12" t="s">
        <v>423</v>
      </c>
      <c r="B263" s="12"/>
      <c r="C263" s="12" t="s">
        <v>420</v>
      </c>
      <c r="D263" s="12"/>
      <c r="E263" s="13">
        <v>44149</v>
      </c>
      <c r="G263" s="1">
        <v>17839200</v>
      </c>
      <c r="I263" s="1">
        <v>0</v>
      </c>
      <c r="K263" s="1">
        <v>0</v>
      </c>
      <c r="M263" s="1">
        <v>0</v>
      </c>
      <c r="O263" s="1">
        <v>1033823</v>
      </c>
      <c r="Q263" s="1">
        <v>0</v>
      </c>
      <c r="S263" s="20">
        <f t="shared" si="17"/>
        <v>18873023</v>
      </c>
      <c r="U263" s="1">
        <v>321046</v>
      </c>
      <c r="X263" s="1">
        <f>+'St of Net Assets - GA'!O263-'LT _Lia - GA'!U263</f>
        <v>0</v>
      </c>
    </row>
    <row r="264" spans="1:24" ht="12" hidden="1" customHeight="1">
      <c r="A264" s="17" t="s">
        <v>820</v>
      </c>
      <c r="B264" s="12"/>
      <c r="C264" s="12" t="s">
        <v>61</v>
      </c>
      <c r="D264" s="12"/>
      <c r="E264" s="13">
        <v>49809</v>
      </c>
      <c r="S264" s="20">
        <f t="shared" si="17"/>
        <v>0</v>
      </c>
      <c r="X264" s="1">
        <f>+'St of Net Assets - GA'!O264-'LT _Lia - GA'!U264</f>
        <v>0</v>
      </c>
    </row>
    <row r="265" spans="1:24" ht="12" hidden="1" customHeight="1">
      <c r="A265" s="17" t="s">
        <v>838</v>
      </c>
      <c r="B265" s="12"/>
      <c r="C265" s="12" t="s">
        <v>38</v>
      </c>
      <c r="D265" s="12"/>
      <c r="E265" s="13"/>
      <c r="S265" s="20">
        <f t="shared" si="17"/>
        <v>0</v>
      </c>
      <c r="X265" s="1">
        <f>+'St of Net Assets - GA'!O265-'LT _Lia - GA'!U265</f>
        <v>0</v>
      </c>
    </row>
    <row r="266" spans="1:24" ht="12" customHeight="1">
      <c r="A266" s="12" t="s">
        <v>576</v>
      </c>
      <c r="B266" s="12"/>
      <c r="C266" s="12" t="s">
        <v>62</v>
      </c>
      <c r="D266" s="12"/>
      <c r="E266" s="13">
        <v>49858</v>
      </c>
      <c r="G266" s="1">
        <v>68694377</v>
      </c>
      <c r="I266" s="1">
        <v>0</v>
      </c>
      <c r="K266" s="1">
        <v>0</v>
      </c>
      <c r="M266" s="1">
        <v>185251</v>
      </c>
      <c r="O266" s="1">
        <v>4307542</v>
      </c>
      <c r="Q266" s="1">
        <v>0</v>
      </c>
      <c r="S266" s="20">
        <f t="shared" si="17"/>
        <v>73187170</v>
      </c>
      <c r="U266" s="1">
        <v>4930811</v>
      </c>
      <c r="X266" s="1">
        <f>+'St of Net Assets - GA'!O266-'LT _Lia - GA'!U266</f>
        <v>0</v>
      </c>
    </row>
    <row r="267" spans="1:24" ht="12" customHeight="1">
      <c r="A267" s="12" t="s">
        <v>465</v>
      </c>
      <c r="B267" s="12"/>
      <c r="C267" s="12" t="s">
        <v>45</v>
      </c>
      <c r="D267" s="12"/>
      <c r="E267" s="13">
        <v>48322</v>
      </c>
      <c r="G267" s="1">
        <v>0</v>
      </c>
      <c r="I267" s="1">
        <v>0</v>
      </c>
      <c r="K267" s="1">
        <v>80004</v>
      </c>
      <c r="M267" s="1">
        <v>15160000</v>
      </c>
      <c r="O267" s="1">
        <v>579722</v>
      </c>
      <c r="Q267" s="1">
        <v>0</v>
      </c>
      <c r="S267" s="20">
        <f t="shared" si="17"/>
        <v>15819726</v>
      </c>
      <c r="U267" s="1">
        <v>371316</v>
      </c>
      <c r="X267" s="1">
        <f>+'St of Net Assets - GA'!O267-'LT _Lia - GA'!U267</f>
        <v>0</v>
      </c>
    </row>
    <row r="268" spans="1:24" ht="12" customHeight="1">
      <c r="A268" s="12" t="s">
        <v>755</v>
      </c>
      <c r="B268" s="12"/>
      <c r="C268" s="12" t="s">
        <v>56</v>
      </c>
      <c r="D268" s="12"/>
      <c r="E268" s="13">
        <v>49205</v>
      </c>
      <c r="G268" s="1">
        <v>5180647</v>
      </c>
      <c r="I268" s="1">
        <v>0</v>
      </c>
      <c r="K268" s="1">
        <v>0</v>
      </c>
      <c r="M268" s="1">
        <v>40292</v>
      </c>
      <c r="O268" s="1">
        <v>737143</v>
      </c>
      <c r="Q268" s="1">
        <v>0</v>
      </c>
      <c r="S268" s="20">
        <f t="shared" si="17"/>
        <v>5958082</v>
      </c>
      <c r="U268" s="1">
        <v>370095</v>
      </c>
      <c r="X268" s="1">
        <f>+'St of Net Assets - GA'!O268-'LT _Lia - GA'!U268</f>
        <v>0</v>
      </c>
    </row>
    <row r="269" spans="1:24">
      <c r="A269" s="17" t="s">
        <v>212</v>
      </c>
      <c r="B269" s="12"/>
      <c r="C269" s="12" t="s">
        <v>12</v>
      </c>
      <c r="D269" s="12"/>
      <c r="E269" s="13">
        <v>45872</v>
      </c>
      <c r="G269" s="1">
        <v>19995250</v>
      </c>
      <c r="I269" s="1">
        <v>0</v>
      </c>
      <c r="K269" s="1">
        <v>155000</v>
      </c>
      <c r="M269" s="1">
        <v>0</v>
      </c>
      <c r="O269" s="1">
        <v>1335010</v>
      </c>
      <c r="Q269" s="1">
        <v>0</v>
      </c>
      <c r="S269" s="20">
        <f t="shared" si="17"/>
        <v>21485260</v>
      </c>
      <c r="U269" s="1">
        <v>587637</v>
      </c>
      <c r="X269" s="1">
        <f>+'St of Net Assets - GA'!O269-'LT _Lia - GA'!U269</f>
        <v>0</v>
      </c>
    </row>
    <row r="270" spans="1:24">
      <c r="A270" s="12" t="s">
        <v>457</v>
      </c>
      <c r="B270" s="12"/>
      <c r="C270" s="12" t="s">
        <v>458</v>
      </c>
      <c r="D270" s="12"/>
      <c r="E270" s="13">
        <v>48256</v>
      </c>
      <c r="G270" s="1">
        <f>371800+13005000+1125000</f>
        <v>14501800</v>
      </c>
      <c r="I270" s="1">
        <v>0</v>
      </c>
      <c r="K270" s="1">
        <v>0</v>
      </c>
      <c r="M270" s="1">
        <v>0</v>
      </c>
      <c r="O270" s="1">
        <v>1005082</v>
      </c>
      <c r="Q270" s="1">
        <v>0</v>
      </c>
      <c r="S270" s="20">
        <f t="shared" si="17"/>
        <v>15506882</v>
      </c>
      <c r="U270" s="1">
        <v>1695732</v>
      </c>
      <c r="X270" s="1">
        <f>+'St of Net Assets - GA'!O270-'LT _Lia - GA'!U270</f>
        <v>0</v>
      </c>
    </row>
    <row r="271" spans="1:24">
      <c r="A271" s="17" t="s">
        <v>498</v>
      </c>
      <c r="B271" s="12"/>
      <c r="C271" s="12" t="s">
        <v>50</v>
      </c>
      <c r="D271" s="12"/>
      <c r="E271" s="13">
        <v>48686</v>
      </c>
      <c r="G271" s="1">
        <v>0</v>
      </c>
      <c r="I271" s="1">
        <v>750000</v>
      </c>
      <c r="K271" s="1">
        <v>0</v>
      </c>
      <c r="M271" s="1">
        <v>618000</v>
      </c>
      <c r="O271" s="1">
        <v>294239</v>
      </c>
      <c r="Q271" s="1">
        <v>0</v>
      </c>
      <c r="S271" s="20">
        <f t="shared" si="17"/>
        <v>1662239</v>
      </c>
      <c r="U271" s="1">
        <v>808367</v>
      </c>
      <c r="X271" s="1">
        <f>+'St of Net Assets - GA'!O271-'LT _Lia - GA'!U271</f>
        <v>0</v>
      </c>
    </row>
    <row r="272" spans="1:24" hidden="1">
      <c r="A272" s="17" t="s">
        <v>938</v>
      </c>
      <c r="B272" s="17"/>
      <c r="C272" s="17" t="s">
        <v>542</v>
      </c>
      <c r="D272" s="12"/>
      <c r="E272" s="13"/>
      <c r="S272" s="20">
        <f t="shared" si="17"/>
        <v>0</v>
      </c>
      <c r="X272" s="1">
        <f>+'St of Net Assets - GA'!O272-'LT _Lia - GA'!U272</f>
        <v>0</v>
      </c>
    </row>
    <row r="273" spans="1:24">
      <c r="A273" s="12" t="s">
        <v>428</v>
      </c>
      <c r="B273" s="12"/>
      <c r="C273" s="12" t="s">
        <v>42</v>
      </c>
      <c r="D273" s="12"/>
      <c r="E273" s="13">
        <v>47985</v>
      </c>
      <c r="G273" s="1">
        <v>0</v>
      </c>
      <c r="I273" s="1">
        <v>0</v>
      </c>
      <c r="K273" s="1">
        <v>546341</v>
      </c>
      <c r="M273" s="1">
        <v>42062</v>
      </c>
      <c r="O273" s="1">
        <v>522654</v>
      </c>
      <c r="Q273" s="1">
        <v>0</v>
      </c>
      <c r="S273" s="20">
        <f t="shared" si="17"/>
        <v>1111057</v>
      </c>
      <c r="U273" s="1">
        <v>210659</v>
      </c>
      <c r="X273" s="1">
        <f>+'St of Net Assets - GA'!O273-'LT _Lia - GA'!U273</f>
        <v>0</v>
      </c>
    </row>
    <row r="274" spans="1:24">
      <c r="A274" s="12" t="s">
        <v>459</v>
      </c>
      <c r="B274" s="12"/>
      <c r="C274" s="12" t="s">
        <v>458</v>
      </c>
      <c r="D274" s="12"/>
      <c r="E274" s="12">
        <v>48264</v>
      </c>
      <c r="G274" s="1">
        <v>22527829</v>
      </c>
      <c r="I274" s="1">
        <v>0</v>
      </c>
      <c r="K274" s="1">
        <v>0</v>
      </c>
      <c r="M274" s="1">
        <v>0</v>
      </c>
      <c r="O274" s="1">
        <v>1103621</v>
      </c>
      <c r="Q274" s="1">
        <v>0</v>
      </c>
      <c r="S274" s="20">
        <f t="shared" si="17"/>
        <v>23631450</v>
      </c>
      <c r="U274" s="1">
        <v>816946</v>
      </c>
      <c r="X274" s="1">
        <f>+'St of Net Assets - GA'!O274-'LT _Lia - GA'!U274</f>
        <v>0</v>
      </c>
    </row>
    <row r="275" spans="1:24">
      <c r="A275" s="12" t="s">
        <v>606</v>
      </c>
      <c r="B275" s="12"/>
      <c r="C275" s="12" t="s">
        <v>64</v>
      </c>
      <c r="D275" s="12"/>
      <c r="E275" s="13">
        <v>50179</v>
      </c>
      <c r="G275" s="1">
        <v>8595065</v>
      </c>
      <c r="I275" s="1">
        <v>0</v>
      </c>
      <c r="K275" s="1">
        <v>0</v>
      </c>
      <c r="M275" s="1">
        <v>10483</v>
      </c>
      <c r="O275" s="1">
        <f>670144+9966</f>
        <v>680110</v>
      </c>
      <c r="Q275" s="1">
        <v>0</v>
      </c>
      <c r="S275" s="20">
        <f t="shared" si="17"/>
        <v>9285658</v>
      </c>
      <c r="U275" s="1">
        <f>658429+4558</f>
        <v>662987</v>
      </c>
      <c r="X275" s="1">
        <f>+'St of Net Assets - GA'!O275-'LT _Lia - GA'!U275</f>
        <v>0</v>
      </c>
    </row>
    <row r="276" spans="1:24" hidden="1">
      <c r="A276" s="12" t="s">
        <v>316</v>
      </c>
      <c r="B276" s="12"/>
      <c r="C276" s="12" t="s">
        <v>24</v>
      </c>
      <c r="D276" s="12"/>
      <c r="E276" s="13">
        <v>46797</v>
      </c>
      <c r="S276" s="20">
        <f t="shared" si="17"/>
        <v>0</v>
      </c>
      <c r="X276" s="1">
        <f>+'St of Net Assets - GA'!O276-'LT _Lia - GA'!U276</f>
        <v>0</v>
      </c>
    </row>
    <row r="277" spans="1:24">
      <c r="A277" s="12" t="s">
        <v>353</v>
      </c>
      <c r="B277" s="12"/>
      <c r="C277" s="12" t="s">
        <v>30</v>
      </c>
      <c r="D277" s="12"/>
      <c r="E277" s="13">
        <v>47191</v>
      </c>
      <c r="G277" s="1">
        <f>44698500+230065+148426-44727</f>
        <v>45032264</v>
      </c>
      <c r="I277" s="1">
        <v>0</v>
      </c>
      <c r="K277" s="1">
        <v>0</v>
      </c>
      <c r="M277" s="1">
        <v>275000</v>
      </c>
      <c r="O277" s="1">
        <f>2969656+30907</f>
        <v>3000563</v>
      </c>
      <c r="Q277" s="1">
        <v>0</v>
      </c>
      <c r="S277" s="20">
        <f t="shared" si="17"/>
        <v>48307827</v>
      </c>
      <c r="U277" s="1">
        <f>2619123+9453</f>
        <v>2628576</v>
      </c>
      <c r="X277" s="1">
        <f>+'St of Net Assets - GA'!O277-'LT _Lia - GA'!U277</f>
        <v>0</v>
      </c>
    </row>
    <row r="278" spans="1:24">
      <c r="A278" s="12" t="s">
        <v>535</v>
      </c>
      <c r="B278" s="12"/>
      <c r="C278" s="12" t="s">
        <v>56</v>
      </c>
      <c r="D278" s="12"/>
      <c r="E278" s="13">
        <v>44164</v>
      </c>
      <c r="G278" s="1">
        <v>25615971</v>
      </c>
      <c r="I278" s="1">
        <v>0</v>
      </c>
      <c r="K278" s="1">
        <v>0</v>
      </c>
      <c r="M278" s="1">
        <v>1316477</v>
      </c>
      <c r="O278" s="1">
        <v>2944055</v>
      </c>
      <c r="Q278" s="1">
        <v>0</v>
      </c>
      <c r="S278" s="20">
        <f t="shared" si="17"/>
        <v>29876503</v>
      </c>
      <c r="U278" s="1">
        <v>2224101</v>
      </c>
      <c r="X278" s="1">
        <f>+'St of Net Assets - GA'!O278-'LT _Lia - GA'!U278</f>
        <v>0</v>
      </c>
    </row>
    <row r="279" spans="1:24">
      <c r="A279" s="12" t="s">
        <v>385</v>
      </c>
      <c r="B279" s="12"/>
      <c r="C279" s="12" t="s">
        <v>383</v>
      </c>
      <c r="D279" s="12"/>
      <c r="E279" s="13">
        <v>44172</v>
      </c>
      <c r="G279" s="1">
        <v>0</v>
      </c>
      <c r="I279" s="1">
        <v>0</v>
      </c>
      <c r="K279" s="1">
        <v>0</v>
      </c>
      <c r="M279" s="1">
        <v>99381</v>
      </c>
      <c r="O279" s="1">
        <v>1010699</v>
      </c>
      <c r="Q279" s="1">
        <v>0</v>
      </c>
      <c r="S279" s="20">
        <f t="shared" si="17"/>
        <v>1110080</v>
      </c>
      <c r="U279" s="1">
        <v>122475</v>
      </c>
      <c r="X279" s="1">
        <f>+'St of Net Assets - GA'!O279-'LT _Lia - GA'!U279</f>
        <v>0</v>
      </c>
    </row>
    <row r="280" spans="1:24">
      <c r="A280" s="12" t="s">
        <v>499</v>
      </c>
      <c r="B280" s="12"/>
      <c r="C280" s="12" t="s">
        <v>50</v>
      </c>
      <c r="D280" s="12"/>
      <c r="E280" s="13">
        <v>44180</v>
      </c>
      <c r="G280" s="1">
        <v>98551482</v>
      </c>
      <c r="I280" s="1">
        <v>0</v>
      </c>
      <c r="K280" s="1">
        <v>0</v>
      </c>
      <c r="M280" s="1">
        <v>648868</v>
      </c>
      <c r="O280" s="1">
        <v>8261957</v>
      </c>
      <c r="Q280" s="1">
        <v>138000</v>
      </c>
      <c r="S280" s="20">
        <f t="shared" si="17"/>
        <v>107600307</v>
      </c>
      <c r="U280" s="1">
        <v>4576650</v>
      </c>
      <c r="X280" s="1">
        <f>+'St of Net Assets - GA'!O280-'LT _Lia - GA'!U280</f>
        <v>0</v>
      </c>
    </row>
    <row r="281" spans="1:24">
      <c r="A281" s="12" t="s">
        <v>442</v>
      </c>
      <c r="B281" s="12"/>
      <c r="C281" s="12" t="s">
        <v>44</v>
      </c>
      <c r="D281" s="12"/>
      <c r="E281" s="13">
        <v>48165</v>
      </c>
      <c r="G281" s="1">
        <f>14015000+275000+109488</f>
        <v>14399488</v>
      </c>
      <c r="I281" s="1">
        <v>0</v>
      </c>
      <c r="K281" s="1">
        <v>0</v>
      </c>
      <c r="M281" s="1">
        <v>846000</v>
      </c>
      <c r="O281" s="1">
        <v>847743</v>
      </c>
      <c r="Q281" s="1">
        <f>100000+29550</f>
        <v>129550</v>
      </c>
      <c r="S281" s="20">
        <f t="shared" si="17"/>
        <v>16222781</v>
      </c>
      <c r="U281" s="1">
        <v>1068122</v>
      </c>
      <c r="X281" s="1">
        <f>+'St of Net Assets - GA'!O281-'LT _Lia - GA'!U281</f>
        <v>0</v>
      </c>
    </row>
    <row r="282" spans="1:24">
      <c r="A282" s="12" t="s">
        <v>633</v>
      </c>
      <c r="B282" s="12"/>
      <c r="C282" s="12" t="s">
        <v>69</v>
      </c>
      <c r="D282" s="12"/>
      <c r="E282" s="13">
        <v>50435</v>
      </c>
      <c r="G282" s="1">
        <v>55868899</v>
      </c>
      <c r="I282" s="1">
        <v>0</v>
      </c>
      <c r="K282" s="1">
        <v>0</v>
      </c>
      <c r="M282" s="1">
        <v>2076255</v>
      </c>
      <c r="O282" s="1">
        <f>3370171+135584</f>
        <v>3505755</v>
      </c>
      <c r="Q282" s="1">
        <v>0</v>
      </c>
      <c r="S282" s="20">
        <f t="shared" si="17"/>
        <v>61450909</v>
      </c>
      <c r="U282" s="1">
        <f>1602212+28166</f>
        <v>1630378</v>
      </c>
      <c r="X282" s="1">
        <f>+'St of Net Assets - GA'!O282-'LT _Lia - GA'!U282</f>
        <v>0</v>
      </c>
    </row>
    <row r="283" spans="1:24" hidden="1">
      <c r="A283" s="17" t="s">
        <v>862</v>
      </c>
      <c r="B283" s="12"/>
      <c r="C283" s="12" t="s">
        <v>41</v>
      </c>
      <c r="D283" s="12"/>
      <c r="E283" s="13">
        <v>47878</v>
      </c>
      <c r="S283" s="20">
        <f t="shared" si="17"/>
        <v>0</v>
      </c>
      <c r="X283" s="1">
        <f>+'St of Net Assets - GA'!O283-'LT _Lia - GA'!U283</f>
        <v>0</v>
      </c>
    </row>
    <row r="284" spans="1:24">
      <c r="A284" s="12" t="s">
        <v>607</v>
      </c>
      <c r="B284" s="12"/>
      <c r="C284" s="12" t="s">
        <v>64</v>
      </c>
      <c r="D284" s="12"/>
      <c r="E284" s="13">
        <v>50245</v>
      </c>
      <c r="G284" s="1">
        <v>6637287</v>
      </c>
      <c r="I284" s="1">
        <v>0</v>
      </c>
      <c r="K284" s="1">
        <v>0</v>
      </c>
      <c r="M284" s="1">
        <v>1836000</v>
      </c>
      <c r="O284" s="1">
        <v>723012</v>
      </c>
      <c r="Q284" s="1">
        <v>41500</v>
      </c>
      <c r="S284" s="20">
        <f t="shared" si="17"/>
        <v>9237799</v>
      </c>
      <c r="U284" s="1">
        <v>536963</v>
      </c>
      <c r="X284" s="1">
        <f>+'St of Net Assets - GA'!O284-'LT _Lia - GA'!U284</f>
        <v>0</v>
      </c>
    </row>
    <row r="285" spans="1:24">
      <c r="A285" s="12" t="s">
        <v>577</v>
      </c>
      <c r="B285" s="12"/>
      <c r="C285" s="12" t="s">
        <v>62</v>
      </c>
      <c r="D285" s="12"/>
      <c r="E285" s="13">
        <v>49866</v>
      </c>
      <c r="G285" s="1">
        <v>24624789</v>
      </c>
      <c r="I285" s="1">
        <v>0</v>
      </c>
      <c r="K285" s="1">
        <v>0</v>
      </c>
      <c r="M285" s="1">
        <v>0</v>
      </c>
      <c r="O285" s="1">
        <f>1315396+9688</f>
        <v>1325084</v>
      </c>
      <c r="Q285" s="1">
        <v>0</v>
      </c>
      <c r="S285" s="20">
        <f t="shared" si="17"/>
        <v>25949873</v>
      </c>
      <c r="U285" s="1">
        <f>1327156+1064</f>
        <v>1328220</v>
      </c>
      <c r="X285" s="1">
        <f>+'St of Net Assets - GA'!O285-'LT _Lia - GA'!U285</f>
        <v>0</v>
      </c>
    </row>
    <row r="286" spans="1:24" hidden="1">
      <c r="A286" s="12" t="s">
        <v>939</v>
      </c>
      <c r="B286" s="12"/>
      <c r="C286" s="12" t="s">
        <v>72</v>
      </c>
      <c r="D286" s="12"/>
      <c r="E286" s="13">
        <v>50690</v>
      </c>
      <c r="S286" s="20">
        <f t="shared" si="17"/>
        <v>0</v>
      </c>
      <c r="X286" s="1">
        <f>+'St of Net Assets - GA'!O286-'LT _Lia - GA'!U286</f>
        <v>0</v>
      </c>
    </row>
    <row r="287" spans="1:24">
      <c r="A287" s="12" t="s">
        <v>608</v>
      </c>
      <c r="B287" s="12"/>
      <c r="C287" s="12" t="s">
        <v>64</v>
      </c>
      <c r="D287" s="12"/>
      <c r="E287" s="13">
        <v>50187</v>
      </c>
      <c r="G287" s="1">
        <v>3854602</v>
      </c>
      <c r="I287" s="1">
        <v>0</v>
      </c>
      <c r="K287" s="1">
        <v>90332</v>
      </c>
      <c r="M287" s="1">
        <v>574000</v>
      </c>
      <c r="O287" s="1">
        <v>1582635</v>
      </c>
      <c r="Q287" s="1">
        <v>0</v>
      </c>
      <c r="S287" s="20">
        <f t="shared" si="17"/>
        <v>6101569</v>
      </c>
      <c r="U287" s="1">
        <v>321909</v>
      </c>
      <c r="X287" s="1">
        <f>+'St of Net Assets - GA'!O287-'LT _Lia - GA'!U287</f>
        <v>0</v>
      </c>
    </row>
    <row r="288" spans="1:24">
      <c r="A288" s="12" t="s">
        <v>293</v>
      </c>
      <c r="B288" s="12"/>
      <c r="C288" s="12" t="s">
        <v>20</v>
      </c>
      <c r="D288" s="12"/>
      <c r="E288" s="13">
        <v>44198</v>
      </c>
      <c r="G288" s="1">
        <v>127376774</v>
      </c>
      <c r="I288" s="1">
        <v>0</v>
      </c>
      <c r="K288" s="1">
        <v>0</v>
      </c>
      <c r="M288" s="1">
        <v>1057627</v>
      </c>
      <c r="O288" s="1">
        <f>5958379+103933</f>
        <v>6062312</v>
      </c>
      <c r="Q288" s="1">
        <v>5492859</v>
      </c>
      <c r="S288" s="20">
        <f t="shared" si="17"/>
        <v>139989572</v>
      </c>
      <c r="U288" s="1">
        <f>6230901+952</f>
        <v>6231853</v>
      </c>
      <c r="X288" s="1">
        <f>+'St of Net Assets - GA'!O288-'LT _Lia - GA'!U288</f>
        <v>0</v>
      </c>
    </row>
    <row r="289" spans="1:26">
      <c r="A289" s="12" t="s">
        <v>762</v>
      </c>
      <c r="B289" s="12"/>
      <c r="C289" s="12" t="s">
        <v>42</v>
      </c>
      <c r="D289" s="12"/>
      <c r="E289" s="13">
        <v>47993</v>
      </c>
      <c r="G289" s="1">
        <v>11837649</v>
      </c>
      <c r="I289" s="1">
        <v>0</v>
      </c>
      <c r="K289" s="1">
        <v>783729</v>
      </c>
      <c r="M289" s="1">
        <v>70502</v>
      </c>
      <c r="O289" s="1">
        <f>919173+16541</f>
        <v>935714</v>
      </c>
      <c r="Q289" s="1">
        <v>0</v>
      </c>
      <c r="S289" s="20">
        <f>SUM(G289:R289)</f>
        <v>13627594</v>
      </c>
      <c r="U289" s="1">
        <v>827816</v>
      </c>
      <c r="X289" s="1">
        <f>+'St of Net Assets - GA'!O289-'LT _Lia - GA'!U289</f>
        <v>0</v>
      </c>
    </row>
    <row r="290" spans="1:26">
      <c r="A290" s="12" t="s">
        <v>230</v>
      </c>
      <c r="B290" s="12"/>
      <c r="C290" s="12" t="s">
        <v>227</v>
      </c>
      <c r="D290" s="12"/>
      <c r="E290" s="13">
        <v>46110</v>
      </c>
      <c r="G290" s="1">
        <v>173304872</v>
      </c>
      <c r="I290" s="1">
        <v>0</v>
      </c>
      <c r="K290" s="1">
        <v>0</v>
      </c>
      <c r="M290" s="1">
        <v>0</v>
      </c>
      <c r="O290" s="1">
        <f>8040164+85948</f>
        <v>8126112</v>
      </c>
      <c r="Q290" s="1">
        <v>0</v>
      </c>
      <c r="S290" s="20">
        <f t="shared" si="17"/>
        <v>181430984</v>
      </c>
      <c r="U290" s="1">
        <f>6844535+16083</f>
        <v>6860618</v>
      </c>
      <c r="X290" s="1">
        <f>+'St of Net Assets - GA'!O290-'LT _Lia - GA'!U290</f>
        <v>0</v>
      </c>
    </row>
    <row r="291" spans="1:26">
      <c r="A291" s="17" t="s">
        <v>230</v>
      </c>
      <c r="B291" s="12"/>
      <c r="C291" s="12" t="s">
        <v>79</v>
      </c>
      <c r="D291" s="12"/>
      <c r="E291" s="13">
        <v>49569</v>
      </c>
      <c r="G291" s="1">
        <v>19205546</v>
      </c>
      <c r="I291" s="1">
        <v>0</v>
      </c>
      <c r="K291" s="1">
        <v>0</v>
      </c>
      <c r="M291" s="1">
        <v>0</v>
      </c>
      <c r="O291" s="1">
        <v>705651</v>
      </c>
      <c r="Q291" s="1">
        <v>0</v>
      </c>
      <c r="S291" s="20">
        <f t="shared" si="17"/>
        <v>19911197</v>
      </c>
      <c r="U291" s="1">
        <v>670927</v>
      </c>
      <c r="X291" s="1">
        <f>+'St of Net Assets - GA'!O291-'LT _Lia - GA'!U291</f>
        <v>0</v>
      </c>
    </row>
    <row r="292" spans="1:26">
      <c r="A292" s="12" t="s">
        <v>325</v>
      </c>
      <c r="B292" s="12"/>
      <c r="C292" s="12" t="s">
        <v>25</v>
      </c>
      <c r="D292" s="12"/>
      <c r="E292" s="13">
        <v>44206</v>
      </c>
      <c r="G292" s="1">
        <v>0</v>
      </c>
      <c r="I292" s="1">
        <v>0</v>
      </c>
      <c r="K292" s="1">
        <v>0</v>
      </c>
      <c r="M292" s="1">
        <v>661973</v>
      </c>
      <c r="O292" s="1">
        <v>2943431</v>
      </c>
      <c r="Q292" s="1">
        <v>8348</v>
      </c>
      <c r="S292" s="20">
        <f t="shared" si="17"/>
        <v>3613752</v>
      </c>
      <c r="U292" s="1">
        <v>548199</v>
      </c>
      <c r="X292" s="1">
        <f>+'St of Net Assets - GA'!O292-'LT _Lia - GA'!U292</f>
        <v>0</v>
      </c>
    </row>
    <row r="293" spans="1:26" hidden="1">
      <c r="A293" s="17" t="s">
        <v>732</v>
      </c>
      <c r="B293" s="12"/>
      <c r="C293" s="12" t="s">
        <v>69</v>
      </c>
      <c r="D293" s="12"/>
      <c r="E293" s="13">
        <v>44214</v>
      </c>
      <c r="S293" s="20">
        <f t="shared" si="17"/>
        <v>0</v>
      </c>
      <c r="X293" s="1">
        <f>+'St of Net Assets - GA'!O293-'LT _Lia - GA'!U293</f>
        <v>0</v>
      </c>
    </row>
    <row r="294" spans="1:26">
      <c r="A294" s="12" t="s">
        <v>354</v>
      </c>
      <c r="B294" s="12"/>
      <c r="C294" s="12" t="s">
        <v>30</v>
      </c>
      <c r="D294" s="12"/>
      <c r="E294" s="13">
        <v>47209</v>
      </c>
      <c r="G294" s="1">
        <v>0</v>
      </c>
      <c r="I294" s="1">
        <v>0</v>
      </c>
      <c r="K294" s="1">
        <v>0</v>
      </c>
      <c r="M294" s="1">
        <v>0</v>
      </c>
      <c r="O294" s="1">
        <v>297586</v>
      </c>
      <c r="Q294" s="1">
        <v>0</v>
      </c>
      <c r="S294" s="20">
        <f t="shared" si="17"/>
        <v>297586</v>
      </c>
      <c r="U294" s="1">
        <v>65623</v>
      </c>
      <c r="X294" s="1">
        <f>+'St of Net Assets - GA'!O294-'LT _Lia - GA'!U294</f>
        <v>0</v>
      </c>
    </row>
    <row r="295" spans="1:26" hidden="1">
      <c r="A295" s="12" t="s">
        <v>941</v>
      </c>
      <c r="B295" s="12"/>
      <c r="C295" s="12" t="s">
        <v>114</v>
      </c>
      <c r="D295" s="12"/>
      <c r="E295" s="13"/>
      <c r="S295" s="20">
        <f>SUM(G295:R295)</f>
        <v>0</v>
      </c>
      <c r="X295" s="1">
        <f>+'St of Net Assets - GA'!O295-'LT _Lia - GA'!U295</f>
        <v>0</v>
      </c>
    </row>
    <row r="296" spans="1:26" hidden="1">
      <c r="A296" s="17" t="s">
        <v>843</v>
      </c>
      <c r="B296" s="12"/>
      <c r="C296" s="12" t="s">
        <v>542</v>
      </c>
      <c r="D296" s="12"/>
      <c r="E296" s="13">
        <v>49353</v>
      </c>
      <c r="S296" s="20">
        <f>SUM(G296:R296)</f>
        <v>0</v>
      </c>
      <c r="X296" s="1">
        <f>+'St of Net Assets - GA'!O296-'LT _Lia - GA'!U296</f>
        <v>0</v>
      </c>
    </row>
    <row r="297" spans="1:26" hidden="1">
      <c r="A297" s="12" t="s">
        <v>942</v>
      </c>
      <c r="B297" s="12"/>
      <c r="C297" s="12" t="s">
        <v>112</v>
      </c>
      <c r="D297" s="12"/>
      <c r="E297" s="13">
        <v>49437</v>
      </c>
      <c r="S297" s="20">
        <f>SUM(G297:R297)</f>
        <v>0</v>
      </c>
      <c r="X297" s="1">
        <f>+'St of Net Assets - GA'!O297-'LT _Lia - GA'!U297</f>
        <v>0</v>
      </c>
    </row>
    <row r="298" spans="1:26">
      <c r="A298" s="12" t="s">
        <v>391</v>
      </c>
      <c r="B298" s="12"/>
      <c r="C298" s="12" t="s">
        <v>34</v>
      </c>
      <c r="D298" s="12"/>
      <c r="E298" s="13">
        <v>47589</v>
      </c>
      <c r="G298" s="1">
        <v>1844204</v>
      </c>
      <c r="I298" s="1">
        <v>0</v>
      </c>
      <c r="K298" s="1">
        <v>873852</v>
      </c>
      <c r="M298" s="1">
        <v>0</v>
      </c>
      <c r="O298" s="1">
        <v>651126</v>
      </c>
      <c r="Q298" s="1">
        <v>0</v>
      </c>
      <c r="S298" s="20">
        <f>SUM(G298:R298)</f>
        <v>3369182</v>
      </c>
      <c r="U298" s="1">
        <v>387856</v>
      </c>
      <c r="X298" s="1">
        <f>+'St of Net Assets - GA'!O298-'LT _Lia - GA'!U298</f>
        <v>0</v>
      </c>
      <c r="Z298" s="1" t="s">
        <v>131</v>
      </c>
    </row>
    <row r="299" spans="1:26">
      <c r="A299" s="17" t="s">
        <v>609</v>
      </c>
      <c r="B299" s="12"/>
      <c r="C299" s="12" t="s">
        <v>64</v>
      </c>
      <c r="D299" s="12"/>
      <c r="E299" s="13">
        <v>50195</v>
      </c>
      <c r="G299" s="1">
        <v>7904845</v>
      </c>
      <c r="I299" s="1">
        <v>0</v>
      </c>
      <c r="K299" s="1">
        <v>0</v>
      </c>
      <c r="M299" s="1">
        <v>0</v>
      </c>
      <c r="O299" s="1">
        <v>1438046</v>
      </c>
      <c r="Q299" s="1">
        <v>56250</v>
      </c>
      <c r="S299" s="20">
        <f t="shared" ref="S299" si="18">SUM(G299:R299)</f>
        <v>9399141</v>
      </c>
      <c r="U299" s="1">
        <v>854860</v>
      </c>
      <c r="X299" s="1">
        <f>+'St of Net Assets - GA'!O299-'LT _Lia - GA'!U299</f>
        <v>0</v>
      </c>
    </row>
    <row r="300" spans="1:26">
      <c r="A300" s="12" t="s">
        <v>768</v>
      </c>
      <c r="B300" s="12"/>
      <c r="C300" s="12" t="s">
        <v>25</v>
      </c>
      <c r="D300" s="12"/>
      <c r="E300" s="12">
        <v>46888</v>
      </c>
      <c r="G300" s="1">
        <f>11903863+176636</f>
        <v>12080499</v>
      </c>
      <c r="I300" s="1">
        <v>0</v>
      </c>
      <c r="K300" s="1">
        <v>0</v>
      </c>
      <c r="M300" s="1">
        <v>54325</v>
      </c>
      <c r="O300" s="1">
        <v>1002086</v>
      </c>
      <c r="Q300" s="1">
        <v>0</v>
      </c>
      <c r="S300" s="20">
        <f>SUM(G300:R300)</f>
        <v>13136910</v>
      </c>
      <c r="U300" s="1">
        <v>710568</v>
      </c>
      <c r="X300" s="1">
        <f>+'St of Net Assets - GA'!O300-'LT _Lia - GA'!U300</f>
        <v>0</v>
      </c>
    </row>
    <row r="301" spans="1:26">
      <c r="A301" s="12" t="s">
        <v>381</v>
      </c>
      <c r="B301" s="12"/>
      <c r="C301" s="12" t="s">
        <v>33</v>
      </c>
      <c r="D301" s="12"/>
      <c r="E301" s="13">
        <v>47449</v>
      </c>
      <c r="G301" s="1">
        <v>4040305</v>
      </c>
      <c r="I301" s="1">
        <v>0</v>
      </c>
      <c r="K301" s="1">
        <v>0</v>
      </c>
      <c r="M301" s="1">
        <v>0</v>
      </c>
      <c r="O301" s="1">
        <v>729073</v>
      </c>
      <c r="Q301" s="1">
        <v>0</v>
      </c>
      <c r="S301" s="20">
        <f t="shared" ref="S301:S364" si="19">SUM(G301:R301)</f>
        <v>4769378</v>
      </c>
      <c r="U301" s="1">
        <v>125876</v>
      </c>
      <c r="X301" s="1">
        <f>+'St of Net Assets - GA'!O301-'LT _Lia - GA'!U301</f>
        <v>0</v>
      </c>
    </row>
    <row r="302" spans="1:26">
      <c r="A302" s="12" t="s">
        <v>429</v>
      </c>
      <c r="B302" s="12"/>
      <c r="C302" s="12" t="s">
        <v>42</v>
      </c>
      <c r="D302" s="12"/>
      <c r="E302" s="13">
        <v>48009</v>
      </c>
      <c r="G302" s="1">
        <f>59840393-13960-881703</f>
        <v>58944730</v>
      </c>
      <c r="I302" s="1">
        <v>0</v>
      </c>
      <c r="K302" s="1">
        <v>0</v>
      </c>
      <c r="M302" s="1">
        <v>13960</v>
      </c>
      <c r="O302" s="1">
        <v>881703</v>
      </c>
      <c r="Q302" s="1">
        <v>0</v>
      </c>
      <c r="S302" s="20">
        <f t="shared" si="19"/>
        <v>59840393</v>
      </c>
      <c r="U302" s="1">
        <v>979356</v>
      </c>
      <c r="X302" s="1">
        <f>+'St of Net Assets - GA'!O302-'LT _Lia - GA'!U302</f>
        <v>0</v>
      </c>
    </row>
    <row r="303" spans="1:26">
      <c r="A303" s="12" t="s">
        <v>430</v>
      </c>
      <c r="B303" s="12"/>
      <c r="C303" s="12" t="s">
        <v>42</v>
      </c>
      <c r="D303" s="12"/>
      <c r="E303" s="13">
        <v>48017</v>
      </c>
      <c r="G303" s="1">
        <v>14029349</v>
      </c>
      <c r="I303" s="1">
        <v>0</v>
      </c>
      <c r="K303" s="1">
        <v>0</v>
      </c>
      <c r="M303" s="1">
        <v>290295</v>
      </c>
      <c r="O303" s="1">
        <v>1071260</v>
      </c>
      <c r="Q303" s="1">
        <v>0</v>
      </c>
      <c r="S303" s="20">
        <f t="shared" si="19"/>
        <v>15390904</v>
      </c>
      <c r="U303" s="1">
        <v>1143339</v>
      </c>
      <c r="X303" s="1">
        <f>+'St of Net Assets - GA'!O303-'LT _Lia - GA'!U303</f>
        <v>0</v>
      </c>
    </row>
    <row r="304" spans="1:26" hidden="1">
      <c r="A304" s="12" t="s">
        <v>845</v>
      </c>
      <c r="B304" s="12"/>
      <c r="C304" s="12" t="s">
        <v>10</v>
      </c>
      <c r="D304" s="12"/>
      <c r="E304" s="13"/>
      <c r="S304" s="20">
        <f t="shared" si="19"/>
        <v>0</v>
      </c>
      <c r="X304" s="1">
        <f>+'St of Net Assets - GA'!O304-'LT _Lia - GA'!U304</f>
        <v>0</v>
      </c>
    </row>
    <row r="305" spans="1:24">
      <c r="A305" s="12" t="s">
        <v>628</v>
      </c>
      <c r="B305" s="12"/>
      <c r="C305" s="12" t="s">
        <v>67</v>
      </c>
      <c r="D305" s="12"/>
      <c r="E305" s="13">
        <v>50369</v>
      </c>
      <c r="G305" s="1">
        <v>11958562</v>
      </c>
      <c r="I305" s="1">
        <v>0</v>
      </c>
      <c r="K305" s="1">
        <v>0</v>
      </c>
      <c r="M305" s="1">
        <v>0</v>
      </c>
      <c r="O305" s="1">
        <v>437045</v>
      </c>
      <c r="Q305" s="1">
        <v>0</v>
      </c>
      <c r="S305" s="20">
        <f t="shared" si="19"/>
        <v>12395607</v>
      </c>
      <c r="U305" s="1">
        <v>498570</v>
      </c>
      <c r="X305" s="1">
        <f>+'St of Net Assets - GA'!O305-'LT _Lia - GA'!U305</f>
        <v>0</v>
      </c>
    </row>
    <row r="306" spans="1:24">
      <c r="A306" s="12" t="s">
        <v>268</v>
      </c>
      <c r="B306" s="12"/>
      <c r="C306" s="12" t="s">
        <v>114</v>
      </c>
      <c r="D306" s="12"/>
      <c r="E306" s="13">
        <v>45450</v>
      </c>
      <c r="G306" s="1">
        <f>1395000+147927</f>
        <v>1542927</v>
      </c>
      <c r="I306" s="1">
        <v>0</v>
      </c>
      <c r="K306" s="1">
        <v>0</v>
      </c>
      <c r="M306" s="1">
        <v>3671999</v>
      </c>
      <c r="O306" s="1">
        <v>479773</v>
      </c>
      <c r="Q306" s="1">
        <v>0</v>
      </c>
      <c r="S306" s="20">
        <f t="shared" si="19"/>
        <v>5694699</v>
      </c>
      <c r="U306" s="1">
        <v>267220</v>
      </c>
      <c r="X306" s="1">
        <f>+'St of Net Assets - GA'!O306-'LT _Lia - GA'!U306</f>
        <v>0</v>
      </c>
    </row>
    <row r="307" spans="1:24">
      <c r="A307" s="12" t="s">
        <v>634</v>
      </c>
      <c r="B307" s="12"/>
      <c r="C307" s="12" t="s">
        <v>69</v>
      </c>
      <c r="D307" s="12"/>
      <c r="E307" s="13">
        <v>50443</v>
      </c>
      <c r="G307" s="1">
        <v>71817922</v>
      </c>
      <c r="I307" s="1">
        <v>0</v>
      </c>
      <c r="K307" s="1">
        <v>0</v>
      </c>
      <c r="M307" s="1">
        <f>164516+729000+483000</f>
        <v>1376516</v>
      </c>
      <c r="O307" s="1">
        <v>1658371</v>
      </c>
      <c r="Q307" s="1">
        <v>0</v>
      </c>
      <c r="S307" s="20">
        <f t="shared" si="19"/>
        <v>74852809</v>
      </c>
      <c r="U307" s="1">
        <v>3970853</v>
      </c>
      <c r="X307" s="1">
        <f>+'St of Net Assets - GA'!O307-'LT _Lia - GA'!U307</f>
        <v>0</v>
      </c>
    </row>
    <row r="308" spans="1:24" hidden="1">
      <c r="A308" s="17" t="s">
        <v>943</v>
      </c>
      <c r="B308" s="12"/>
      <c r="C308" s="12" t="s">
        <v>32</v>
      </c>
      <c r="D308" s="12"/>
      <c r="E308" s="13">
        <v>44230</v>
      </c>
      <c r="S308" s="20">
        <f t="shared" si="19"/>
        <v>0</v>
      </c>
      <c r="X308" s="1">
        <f>+'St of Net Assets - GA'!O308-'LT _Lia - GA'!U308</f>
        <v>0</v>
      </c>
    </row>
    <row r="309" spans="1:24">
      <c r="A309" s="12" t="s">
        <v>526</v>
      </c>
      <c r="B309" s="12"/>
      <c r="C309" s="12" t="s">
        <v>54</v>
      </c>
      <c r="D309" s="12"/>
      <c r="E309" s="13">
        <v>49080</v>
      </c>
      <c r="G309" s="1">
        <v>0</v>
      </c>
      <c r="I309" s="1">
        <v>0</v>
      </c>
      <c r="K309" s="1">
        <v>0</v>
      </c>
      <c r="M309" s="1">
        <v>0</v>
      </c>
      <c r="O309" s="1">
        <v>1309093</v>
      </c>
      <c r="Q309" s="1">
        <v>0</v>
      </c>
      <c r="S309" s="20">
        <f t="shared" si="19"/>
        <v>1309093</v>
      </c>
      <c r="U309" s="1">
        <v>89190</v>
      </c>
      <c r="X309" s="1">
        <f>+'St of Net Assets - GA'!O309-'LT _Lia - GA'!U309</f>
        <v>0</v>
      </c>
    </row>
    <row r="310" spans="1:24">
      <c r="A310" s="12" t="s">
        <v>400</v>
      </c>
      <c r="B310" s="12"/>
      <c r="C310" s="12" t="s">
        <v>35</v>
      </c>
      <c r="D310" s="12"/>
      <c r="E310" s="13">
        <v>44248</v>
      </c>
      <c r="G310" s="1">
        <v>22681568</v>
      </c>
      <c r="I310" s="1">
        <v>0</v>
      </c>
      <c r="K310" s="1">
        <v>0</v>
      </c>
      <c r="M310" s="1">
        <v>3678214</v>
      </c>
      <c r="O310" s="1">
        <f>2101537+30278</f>
        <v>2131815</v>
      </c>
      <c r="Q310" s="1">
        <v>0</v>
      </c>
      <c r="S310" s="20">
        <f t="shared" si="19"/>
        <v>28491597</v>
      </c>
      <c r="U310" s="1">
        <v>2602069</v>
      </c>
      <c r="X310" s="1">
        <f>+'St of Net Assets - GA'!O310-'LT _Lia - GA'!U310</f>
        <v>0</v>
      </c>
    </row>
    <row r="311" spans="1:24">
      <c r="A311" s="12" t="s">
        <v>460</v>
      </c>
      <c r="B311" s="12"/>
      <c r="C311" s="12" t="s">
        <v>458</v>
      </c>
      <c r="D311" s="12"/>
      <c r="E311" s="13">
        <v>44255</v>
      </c>
      <c r="G311" s="1">
        <f>25410995-521849-1005349</f>
        <v>23883797</v>
      </c>
      <c r="I311" s="1">
        <v>0</v>
      </c>
      <c r="K311" s="1">
        <v>0</v>
      </c>
      <c r="M311" s="1">
        <v>521849</v>
      </c>
      <c r="O311" s="1">
        <v>1005349</v>
      </c>
      <c r="Q311" s="1">
        <v>0</v>
      </c>
      <c r="S311" s="20">
        <f t="shared" si="19"/>
        <v>25410995</v>
      </c>
      <c r="U311" s="1">
        <v>2207019</v>
      </c>
      <c r="X311" s="1">
        <f>+'St of Net Assets - GA'!O311-'LT _Lia - GA'!U311</f>
        <v>0</v>
      </c>
    </row>
    <row r="312" spans="1:24">
      <c r="A312" s="12" t="s">
        <v>443</v>
      </c>
      <c r="B312" s="12"/>
      <c r="C312" s="12" t="s">
        <v>44</v>
      </c>
      <c r="D312" s="12"/>
      <c r="E312" s="13">
        <v>44263</v>
      </c>
      <c r="G312" s="1">
        <f>2160000+5400000+34966815</f>
        <v>42526815</v>
      </c>
      <c r="I312" s="1">
        <v>0</v>
      </c>
      <c r="K312" s="1">
        <v>0</v>
      </c>
      <c r="M312" s="1">
        <v>0</v>
      </c>
      <c r="O312" s="1">
        <v>8348591</v>
      </c>
      <c r="Q312" s="1">
        <v>203925</v>
      </c>
      <c r="S312" s="20">
        <f>SUM(G312:R312)</f>
        <v>51079331</v>
      </c>
      <c r="U312" s="1">
        <v>4815510</v>
      </c>
      <c r="X312" s="1">
        <f>+'St of Net Assets - GA'!O312-'LT _Lia - GA'!U312</f>
        <v>0</v>
      </c>
    </row>
    <row r="313" spans="1:24">
      <c r="A313" s="12" t="s">
        <v>610</v>
      </c>
      <c r="B313" s="12"/>
      <c r="C313" s="12" t="s">
        <v>64</v>
      </c>
      <c r="D313" s="12"/>
      <c r="E313" s="13">
        <v>50203</v>
      </c>
      <c r="G313" s="1">
        <v>0</v>
      </c>
      <c r="I313" s="1">
        <v>0</v>
      </c>
      <c r="K313" s="1">
        <v>650590</v>
      </c>
      <c r="M313" s="1">
        <f>40000+1550264</f>
        <v>1590264</v>
      </c>
      <c r="O313" s="1">
        <v>440345</v>
      </c>
      <c r="Q313" s="1">
        <v>0</v>
      </c>
      <c r="S313" s="20">
        <f t="shared" si="19"/>
        <v>2681199</v>
      </c>
      <c r="U313" s="1">
        <v>559532</v>
      </c>
      <c r="X313" s="1">
        <f>+'St of Net Assets - GA'!O313-'LT _Lia - GA'!U313</f>
        <v>0</v>
      </c>
    </row>
    <row r="314" spans="1:24">
      <c r="A314" s="17" t="s">
        <v>846</v>
      </c>
      <c r="B314" s="12"/>
      <c r="C314" s="12" t="s">
        <v>11</v>
      </c>
      <c r="D314" s="12"/>
      <c r="E314" s="13">
        <v>45468</v>
      </c>
      <c r="G314" s="1">
        <v>0</v>
      </c>
      <c r="I314" s="1">
        <v>1127060</v>
      </c>
      <c r="K314" s="1">
        <v>0</v>
      </c>
      <c r="M314" s="1">
        <v>9129</v>
      </c>
      <c r="O314" s="1">
        <v>1606497</v>
      </c>
      <c r="Q314" s="1">
        <v>0</v>
      </c>
      <c r="S314" s="20">
        <f t="shared" si="19"/>
        <v>2742686</v>
      </c>
      <c r="U314" s="1">
        <v>283159</v>
      </c>
      <c r="X314" s="1">
        <f>+'St of Net Assets - GA'!O314-'LT _Lia - GA'!U314</f>
        <v>0</v>
      </c>
    </row>
    <row r="315" spans="1:24">
      <c r="A315" s="12" t="s">
        <v>578</v>
      </c>
      <c r="B315" s="12"/>
      <c r="C315" s="12" t="s">
        <v>62</v>
      </c>
      <c r="D315" s="12"/>
      <c r="E315" s="13">
        <v>49874</v>
      </c>
      <c r="G315" s="1">
        <f>22630000+8508815+240000</f>
        <v>31378815</v>
      </c>
      <c r="I315" s="1">
        <v>0</v>
      </c>
      <c r="K315" s="1">
        <v>0</v>
      </c>
      <c r="M315" s="1">
        <v>1241471</v>
      </c>
      <c r="O315" s="1">
        <v>1403661</v>
      </c>
      <c r="Q315" s="1">
        <v>261913</v>
      </c>
      <c r="S315" s="20">
        <f t="shared" si="19"/>
        <v>34285860</v>
      </c>
      <c r="U315" s="1">
        <v>866025</v>
      </c>
      <c r="X315" s="1">
        <f>+'St of Net Assets - GA'!O315-'LT _Lia - GA'!U315</f>
        <v>0</v>
      </c>
    </row>
    <row r="316" spans="1:24">
      <c r="A316" s="12" t="s">
        <v>366</v>
      </c>
      <c r="B316" s="12"/>
      <c r="C316" s="12" t="s">
        <v>32</v>
      </c>
      <c r="D316" s="12"/>
      <c r="E316" s="13">
        <v>44271</v>
      </c>
      <c r="G316" s="1">
        <v>26167277</v>
      </c>
      <c r="I316" s="1">
        <v>0</v>
      </c>
      <c r="K316" s="1">
        <v>0</v>
      </c>
      <c r="M316" s="1">
        <v>0</v>
      </c>
      <c r="O316" s="1">
        <v>1879911</v>
      </c>
      <c r="Q316" s="1">
        <v>0</v>
      </c>
      <c r="S316" s="20">
        <f t="shared" si="19"/>
        <v>28047188</v>
      </c>
      <c r="U316" s="1">
        <v>1541298</v>
      </c>
      <c r="X316" s="1">
        <f>+'St of Net Assets - GA'!O316-'LT _Lia - GA'!U316</f>
        <v>0</v>
      </c>
    </row>
    <row r="317" spans="1:24">
      <c r="A317" s="12" t="s">
        <v>466</v>
      </c>
      <c r="B317" s="12"/>
      <c r="C317" s="12" t="s">
        <v>45</v>
      </c>
      <c r="D317" s="12"/>
      <c r="E317" s="13">
        <v>48330</v>
      </c>
      <c r="G317" s="1">
        <f>710000+955000</f>
        <v>1665000</v>
      </c>
      <c r="I317" s="1">
        <v>0</v>
      </c>
      <c r="K317" s="1">
        <v>0</v>
      </c>
      <c r="M317" s="1">
        <v>0</v>
      </c>
      <c r="O317" s="1">
        <v>303417</v>
      </c>
      <c r="Q317" s="1">
        <v>49000</v>
      </c>
      <c r="S317" s="20">
        <f t="shared" si="19"/>
        <v>2017417</v>
      </c>
      <c r="U317" s="1">
        <v>149718</v>
      </c>
      <c r="X317" s="1">
        <f>+'St of Net Assets - GA'!O317-'LT _Lia - GA'!U317</f>
        <v>0</v>
      </c>
    </row>
    <row r="318" spans="1:24">
      <c r="A318" s="12" t="s">
        <v>756</v>
      </c>
      <c r="B318" s="12"/>
      <c r="C318" s="12" t="s">
        <v>112</v>
      </c>
      <c r="D318" s="12"/>
      <c r="E318" s="13">
        <v>49445</v>
      </c>
      <c r="G318" s="1">
        <v>0</v>
      </c>
      <c r="I318" s="1">
        <v>0</v>
      </c>
      <c r="K318" s="1">
        <v>0</v>
      </c>
      <c r="M318" s="1">
        <v>0</v>
      </c>
      <c r="O318" s="1">
        <v>189405</v>
      </c>
      <c r="Q318" s="1">
        <v>0</v>
      </c>
      <c r="S318" s="20">
        <f t="shared" si="19"/>
        <v>189405</v>
      </c>
      <c r="U318" s="1">
        <v>31961</v>
      </c>
      <c r="X318" s="1">
        <f>+'St of Net Assets - GA'!O318-'LT _Lia - GA'!U318</f>
        <v>0</v>
      </c>
    </row>
    <row r="319" spans="1:24">
      <c r="A319" s="12" t="s">
        <v>399</v>
      </c>
      <c r="B319" s="12"/>
      <c r="C319" s="12" t="s">
        <v>395</v>
      </c>
      <c r="D319" s="12"/>
      <c r="E319" s="13">
        <v>47639</v>
      </c>
      <c r="G319" s="1">
        <f>555000+885000+25561-5793</f>
        <v>1459768</v>
      </c>
      <c r="I319" s="1">
        <v>0</v>
      </c>
      <c r="K319" s="1">
        <v>0</v>
      </c>
      <c r="M319" s="1">
        <v>0</v>
      </c>
      <c r="O319" s="1">
        <v>596809</v>
      </c>
      <c r="Q319" s="1">
        <v>0</v>
      </c>
      <c r="S319" s="20">
        <f t="shared" si="19"/>
        <v>2056577</v>
      </c>
      <c r="U319" s="1">
        <v>151007</v>
      </c>
      <c r="X319" s="1">
        <f>+'St of Net Assets - GA'!O319-'LT _Lia - GA'!U319</f>
        <v>0</v>
      </c>
    </row>
    <row r="320" spans="1:24">
      <c r="A320" s="12" t="s">
        <v>892</v>
      </c>
      <c r="B320" s="12"/>
      <c r="C320" s="12" t="s">
        <v>50</v>
      </c>
      <c r="D320" s="12"/>
      <c r="E320" s="13">
        <v>48702</v>
      </c>
      <c r="G320" s="1">
        <v>13312864</v>
      </c>
      <c r="I320" s="1">
        <v>0</v>
      </c>
      <c r="K320" s="1">
        <v>0</v>
      </c>
      <c r="M320" s="1">
        <v>1630274</v>
      </c>
      <c r="O320" s="1">
        <v>2078202</v>
      </c>
      <c r="Q320" s="1">
        <v>0</v>
      </c>
      <c r="S320" s="20">
        <f t="shared" si="19"/>
        <v>17021340</v>
      </c>
      <c r="U320" s="1">
        <v>1398949</v>
      </c>
      <c r="X320" s="1">
        <f>+'St of Net Assets - GA'!O320-'LT _Lia - GA'!U320</f>
        <v>0</v>
      </c>
    </row>
    <row r="321" spans="1:24">
      <c r="A321" s="12" t="s">
        <v>367</v>
      </c>
      <c r="B321" s="12"/>
      <c r="C321" s="12" t="s">
        <v>32</v>
      </c>
      <c r="D321" s="12"/>
      <c r="E321" s="13">
        <v>44289</v>
      </c>
      <c r="G321" s="1">
        <v>29131709</v>
      </c>
      <c r="I321" s="1">
        <v>0</v>
      </c>
      <c r="K321" s="1">
        <v>0</v>
      </c>
      <c r="M321" s="1">
        <v>359283</v>
      </c>
      <c r="O321" s="1">
        <v>942532</v>
      </c>
      <c r="Q321" s="1">
        <v>0</v>
      </c>
      <c r="S321" s="20">
        <f t="shared" si="19"/>
        <v>30433524</v>
      </c>
      <c r="U321" s="1">
        <v>1660900</v>
      </c>
      <c r="X321" s="1">
        <f>+'St of Net Assets - GA'!O321-'LT _Lia - GA'!U321</f>
        <v>0</v>
      </c>
    </row>
    <row r="322" spans="1:24">
      <c r="A322" s="12" t="s">
        <v>231</v>
      </c>
      <c r="B322" s="12"/>
      <c r="C322" s="12" t="s">
        <v>227</v>
      </c>
      <c r="D322" s="12"/>
      <c r="E322" s="13">
        <v>46128</v>
      </c>
      <c r="G322" s="1">
        <v>11092436</v>
      </c>
      <c r="I322" s="1">
        <v>0</v>
      </c>
      <c r="K322" s="1">
        <v>0</v>
      </c>
      <c r="M322" s="1">
        <v>3220102</v>
      </c>
      <c r="O322" s="1">
        <v>150410</v>
      </c>
      <c r="Q322" s="1">
        <v>0</v>
      </c>
      <c r="S322" s="20">
        <f t="shared" si="19"/>
        <v>14462948</v>
      </c>
      <c r="U322" s="1">
        <v>713174</v>
      </c>
      <c r="X322" s="1">
        <f>+'St of Net Assets - GA'!O322-'LT _Lia - GA'!U322</f>
        <v>0</v>
      </c>
    </row>
    <row r="323" spans="1:24" hidden="1">
      <c r="A323" s="17" t="s">
        <v>848</v>
      </c>
      <c r="B323" s="17"/>
      <c r="C323" s="17" t="s">
        <v>41</v>
      </c>
      <c r="D323" s="12"/>
      <c r="E323" s="13"/>
      <c r="S323" s="20">
        <f t="shared" si="19"/>
        <v>0</v>
      </c>
      <c r="X323" s="1">
        <f>+'St of Net Assets - GA'!O323-'LT _Lia - GA'!U323</f>
        <v>0</v>
      </c>
    </row>
    <row r="324" spans="1:24">
      <c r="A324" s="12" t="s">
        <v>231</v>
      </c>
      <c r="B324" s="12"/>
      <c r="C324" s="12" t="s">
        <v>112</v>
      </c>
      <c r="D324" s="12"/>
      <c r="E324" s="13">
        <v>49452</v>
      </c>
      <c r="G324" s="1">
        <v>0</v>
      </c>
      <c r="I324" s="1">
        <v>0</v>
      </c>
      <c r="K324" s="1">
        <v>0</v>
      </c>
      <c r="M324" s="1">
        <v>0</v>
      </c>
      <c r="O324" s="1">
        <v>1832704</v>
      </c>
      <c r="Q324" s="1">
        <v>0</v>
      </c>
      <c r="S324" s="20">
        <f t="shared" si="19"/>
        <v>1832704</v>
      </c>
      <c r="U324" s="1">
        <v>175506</v>
      </c>
      <c r="X324" s="1">
        <f>+'St of Net Assets - GA'!O324-'LT _Lia - GA'!U324</f>
        <v>0</v>
      </c>
    </row>
    <row r="325" spans="1:24">
      <c r="A325" s="17" t="s">
        <v>864</v>
      </c>
      <c r="B325" s="17"/>
      <c r="C325" s="17" t="s">
        <v>458</v>
      </c>
      <c r="D325" s="12"/>
      <c r="E325" s="13"/>
      <c r="G325" s="1">
        <v>190000</v>
      </c>
      <c r="I325" s="1">
        <v>0</v>
      </c>
      <c r="K325" s="1">
        <v>0</v>
      </c>
      <c r="M325" s="1">
        <v>0</v>
      </c>
      <c r="O325" s="1">
        <v>687871</v>
      </c>
      <c r="Q325" s="1">
        <v>28000</v>
      </c>
      <c r="S325" s="20">
        <f t="shared" si="19"/>
        <v>905871</v>
      </c>
      <c r="U325" s="1">
        <v>101052</v>
      </c>
      <c r="X325" s="1">
        <f>+'St of Net Assets - GA'!O325-'LT _Lia - GA'!U325</f>
        <v>0</v>
      </c>
    </row>
    <row r="326" spans="1:24">
      <c r="A326" s="12" t="s">
        <v>722</v>
      </c>
      <c r="B326" s="12"/>
      <c r="C326" s="12" t="s">
        <v>203</v>
      </c>
      <c r="D326" s="12"/>
      <c r="E326" s="13"/>
      <c r="G326" s="1">
        <f>13413540+83276</f>
        <v>13496816</v>
      </c>
      <c r="I326" s="1">
        <v>0</v>
      </c>
      <c r="K326" s="1">
        <v>0</v>
      </c>
      <c r="M326" s="1">
        <f>2940000+42787</f>
        <v>2982787</v>
      </c>
      <c r="O326" s="1">
        <v>705306</v>
      </c>
      <c r="Q326" s="1">
        <v>0</v>
      </c>
      <c r="S326" s="20">
        <f t="shared" si="19"/>
        <v>17184909</v>
      </c>
      <c r="U326" s="1">
        <v>2388963</v>
      </c>
      <c r="X326" s="1">
        <f>+'St of Net Assets - GA'!O326-'LT _Lia - GA'!U326</f>
        <v>0</v>
      </c>
    </row>
    <row r="327" spans="1:24">
      <c r="A327" s="12" t="s">
        <v>545</v>
      </c>
      <c r="B327" s="12"/>
      <c r="C327" s="12" t="s">
        <v>112</v>
      </c>
      <c r="D327" s="12"/>
      <c r="E327" s="13">
        <v>44297</v>
      </c>
      <c r="G327" s="1">
        <f>47557+13763453+1045514-879617</f>
        <v>13976907</v>
      </c>
      <c r="I327" s="1">
        <v>0</v>
      </c>
      <c r="K327" s="1">
        <v>0</v>
      </c>
      <c r="M327" s="1">
        <v>0</v>
      </c>
      <c r="O327" s="1">
        <v>3401265</v>
      </c>
      <c r="Q327" s="1">
        <v>0</v>
      </c>
      <c r="S327" s="20">
        <f t="shared" si="19"/>
        <v>17378172</v>
      </c>
      <c r="U327" s="1">
        <v>1728643</v>
      </c>
      <c r="X327" s="1">
        <f>+'St of Net Assets - GA'!O327-'LT _Lia - GA'!U327</f>
        <v>0</v>
      </c>
    </row>
    <row r="328" spans="1:24">
      <c r="A328" s="17" t="s">
        <v>294</v>
      </c>
      <c r="B328" s="12"/>
      <c r="C328" s="12" t="s">
        <v>20</v>
      </c>
      <c r="D328" s="12"/>
      <c r="E328" s="13">
        <v>44305</v>
      </c>
      <c r="G328" s="1">
        <v>60336722</v>
      </c>
      <c r="I328" s="1">
        <v>0</v>
      </c>
      <c r="K328" s="1">
        <v>0</v>
      </c>
      <c r="M328" s="1">
        <v>0</v>
      </c>
      <c r="O328" s="1">
        <v>2285209</v>
      </c>
      <c r="Q328" s="1">
        <v>3352465</v>
      </c>
      <c r="S328" s="20">
        <f t="shared" si="19"/>
        <v>65974396</v>
      </c>
      <c r="U328" s="1">
        <v>931827</v>
      </c>
      <c r="X328" s="1">
        <f>+'St of Net Assets - GA'!O328-'LT _Lia - GA'!U328</f>
        <v>0</v>
      </c>
    </row>
    <row r="329" spans="1:24">
      <c r="A329" s="12" t="s">
        <v>208</v>
      </c>
      <c r="B329" s="12"/>
      <c r="C329" s="12" t="s">
        <v>11</v>
      </c>
      <c r="D329" s="12"/>
      <c r="E329" s="13">
        <v>45831</v>
      </c>
      <c r="G329" s="1">
        <v>2990000</v>
      </c>
      <c r="I329" s="1">
        <v>0</v>
      </c>
      <c r="K329" s="1">
        <v>0</v>
      </c>
      <c r="M329" s="1">
        <v>6519</v>
      </c>
      <c r="O329" s="1">
        <v>343080</v>
      </c>
      <c r="Q329" s="1">
        <v>0</v>
      </c>
      <c r="S329" s="20">
        <f t="shared" si="19"/>
        <v>3339599</v>
      </c>
      <c r="U329" s="1">
        <v>266634</v>
      </c>
      <c r="X329" s="1">
        <f>+'St of Net Assets - GA'!O329-'LT _Lia - GA'!U329</f>
        <v>0</v>
      </c>
    </row>
    <row r="330" spans="1:24">
      <c r="A330" s="12" t="s">
        <v>611</v>
      </c>
      <c r="B330" s="12"/>
      <c r="C330" s="12" t="s">
        <v>64</v>
      </c>
      <c r="D330" s="12"/>
      <c r="E330" s="13">
        <v>50211</v>
      </c>
      <c r="G330" s="1">
        <f>2099155+130662-81771</f>
        <v>2148046</v>
      </c>
      <c r="I330" s="1">
        <v>0</v>
      </c>
      <c r="K330" s="1">
        <v>0</v>
      </c>
      <c r="M330" s="1">
        <v>0</v>
      </c>
      <c r="O330" s="1">
        <v>714791</v>
      </c>
      <c r="Q330" s="1">
        <v>0</v>
      </c>
      <c r="S330" s="20">
        <f t="shared" si="19"/>
        <v>2862837</v>
      </c>
      <c r="U330" s="1">
        <v>192789</v>
      </c>
      <c r="X330" s="1">
        <f>+'St of Net Assets - GA'!O330-'LT _Lia - GA'!U330</f>
        <v>0</v>
      </c>
    </row>
    <row r="331" spans="1:24">
      <c r="A331" s="12" t="s">
        <v>317</v>
      </c>
      <c r="B331" s="12"/>
      <c r="C331" s="12" t="s">
        <v>24</v>
      </c>
      <c r="D331" s="12"/>
      <c r="E331" s="13">
        <v>46805</v>
      </c>
      <c r="G331" s="1">
        <v>0</v>
      </c>
      <c r="I331" s="1">
        <v>0</v>
      </c>
      <c r="K331" s="1">
        <v>0</v>
      </c>
      <c r="M331" s="1">
        <v>2578000</v>
      </c>
      <c r="O331" s="1">
        <v>811187</v>
      </c>
      <c r="Q331" s="1">
        <v>0</v>
      </c>
      <c r="S331" s="20">
        <f t="shared" si="19"/>
        <v>3389187</v>
      </c>
      <c r="U331" s="1">
        <v>250293</v>
      </c>
      <c r="X331" s="1">
        <f>+'St of Net Assets - GA'!O331-'LT _Lia - GA'!U331</f>
        <v>0</v>
      </c>
    </row>
    <row r="332" spans="1:24">
      <c r="A332" s="12" t="s">
        <v>368</v>
      </c>
      <c r="B332" s="12"/>
      <c r="C332" s="12" t="s">
        <v>32</v>
      </c>
      <c r="D332" s="12"/>
      <c r="E332" s="13">
        <v>44313</v>
      </c>
      <c r="G332" s="1">
        <f>5928944+518389-1100363</f>
        <v>5346970</v>
      </c>
      <c r="I332" s="1">
        <v>0</v>
      </c>
      <c r="K332" s="1">
        <v>0</v>
      </c>
      <c r="M332" s="1">
        <v>1877954</v>
      </c>
      <c r="O332" s="1">
        <v>1328714</v>
      </c>
      <c r="Q332" s="1">
        <v>0</v>
      </c>
      <c r="S332" s="20">
        <f t="shared" si="19"/>
        <v>8553638</v>
      </c>
      <c r="U332" s="1">
        <v>607602</v>
      </c>
      <c r="X332" s="1">
        <f>+'St of Net Assets - GA'!O332-'LT _Lia - GA'!U332</f>
        <v>0</v>
      </c>
    </row>
    <row r="333" spans="1:24" hidden="1">
      <c r="A333" s="17" t="s">
        <v>733</v>
      </c>
      <c r="B333" s="12"/>
      <c r="C333" s="12" t="s">
        <v>70</v>
      </c>
      <c r="D333" s="12"/>
      <c r="E333" s="13">
        <v>44321</v>
      </c>
      <c r="S333" s="20">
        <f t="shared" si="19"/>
        <v>0</v>
      </c>
      <c r="X333" s="1">
        <f>+'St of Net Assets - GA'!O333-'LT _Lia - GA'!U333</f>
        <v>0</v>
      </c>
    </row>
    <row r="334" spans="1:24">
      <c r="A334" s="12" t="s">
        <v>474</v>
      </c>
      <c r="B334" s="12"/>
      <c r="C334" s="12" t="s">
        <v>46</v>
      </c>
      <c r="D334" s="12"/>
      <c r="E334" s="13">
        <v>44339</v>
      </c>
      <c r="G334" s="1">
        <v>11815771</v>
      </c>
      <c r="I334" s="1">
        <v>0</v>
      </c>
      <c r="K334" s="1">
        <v>0</v>
      </c>
      <c r="M334" s="1">
        <v>152217</v>
      </c>
      <c r="O334" s="1">
        <v>3498058</v>
      </c>
      <c r="Q334" s="1">
        <v>0</v>
      </c>
      <c r="S334" s="20">
        <f t="shared" si="19"/>
        <v>15466046</v>
      </c>
      <c r="U334" s="1">
        <v>845548</v>
      </c>
      <c r="X334" s="1">
        <f>+'St of Net Assets - GA'!O334-'LT _Lia - GA'!U334</f>
        <v>0</v>
      </c>
    </row>
    <row r="335" spans="1:24" hidden="1">
      <c r="A335" s="17" t="s">
        <v>850</v>
      </c>
      <c r="B335" s="17"/>
      <c r="C335" s="17" t="s">
        <v>486</v>
      </c>
      <c r="D335" s="12"/>
      <c r="E335" s="13"/>
      <c r="S335" s="20">
        <f t="shared" si="19"/>
        <v>0</v>
      </c>
      <c r="X335" s="1">
        <f>+'St of Net Assets - GA'!O335-'LT _Lia - GA'!U335</f>
        <v>0</v>
      </c>
    </row>
    <row r="336" spans="1:24">
      <c r="A336" s="12" t="s">
        <v>579</v>
      </c>
      <c r="B336" s="12"/>
      <c r="C336" s="12" t="s">
        <v>62</v>
      </c>
      <c r="D336" s="12"/>
      <c r="E336" s="13">
        <v>49882</v>
      </c>
      <c r="G336" s="1">
        <v>0</v>
      </c>
      <c r="I336" s="1">
        <v>0</v>
      </c>
      <c r="K336" s="1">
        <v>0</v>
      </c>
      <c r="M336" s="1">
        <v>231986</v>
      </c>
      <c r="O336" s="1">
        <v>1565409</v>
      </c>
      <c r="Q336" s="1">
        <v>0</v>
      </c>
      <c r="S336" s="20">
        <f t="shared" si="19"/>
        <v>1797395</v>
      </c>
      <c r="U336" s="1">
        <v>447417</v>
      </c>
      <c r="X336" s="1">
        <f>+'St of Net Assets - GA'!O336-'LT _Lia - GA'!U336</f>
        <v>0</v>
      </c>
    </row>
    <row r="337" spans="1:24">
      <c r="A337" s="12" t="s">
        <v>221</v>
      </c>
      <c r="B337" s="12"/>
      <c r="C337" s="12" t="s">
        <v>15</v>
      </c>
      <c r="D337" s="12"/>
      <c r="E337" s="13">
        <v>44347</v>
      </c>
      <c r="G337" s="1">
        <v>10068661</v>
      </c>
      <c r="I337" s="1">
        <v>0</v>
      </c>
      <c r="K337" s="1">
        <v>0</v>
      </c>
      <c r="M337" s="1">
        <v>3927099</v>
      </c>
      <c r="O337" s="1">
        <v>877365</v>
      </c>
      <c r="Q337" s="1">
        <v>0</v>
      </c>
      <c r="S337" s="20">
        <f t="shared" si="19"/>
        <v>14873125</v>
      </c>
      <c r="U337" s="1">
        <v>407387</v>
      </c>
      <c r="X337" s="1">
        <f>+'St of Net Assets - GA'!O337-'LT _Lia - GA'!U337</f>
        <v>0</v>
      </c>
    </row>
    <row r="338" spans="1:24">
      <c r="A338" s="12" t="s">
        <v>626</v>
      </c>
      <c r="B338" s="12"/>
      <c r="C338" s="12" t="s">
        <v>66</v>
      </c>
      <c r="D338" s="12"/>
      <c r="E338" s="13">
        <v>45476</v>
      </c>
      <c r="G338" s="1">
        <v>99629087</v>
      </c>
      <c r="I338" s="1">
        <v>0</v>
      </c>
      <c r="K338" s="1">
        <v>485000</v>
      </c>
      <c r="M338" s="1">
        <v>1511000</v>
      </c>
      <c r="O338" s="1">
        <v>3115411</v>
      </c>
      <c r="Q338" s="1">
        <v>0</v>
      </c>
      <c r="S338" s="20">
        <f t="shared" si="19"/>
        <v>104740498</v>
      </c>
      <c r="U338" s="1">
        <v>5313852</v>
      </c>
      <c r="X338" s="1">
        <f>+'St of Net Assets - GA'!O338-'LT _Lia - GA'!U338</f>
        <v>0</v>
      </c>
    </row>
    <row r="339" spans="1:24">
      <c r="A339" s="12" t="s">
        <v>635</v>
      </c>
      <c r="B339" s="12"/>
      <c r="C339" s="12" t="s">
        <v>69</v>
      </c>
      <c r="D339" s="12"/>
      <c r="E339" s="13">
        <v>50450</v>
      </c>
      <c r="G339" s="1">
        <v>138453741</v>
      </c>
      <c r="I339" s="1">
        <v>0</v>
      </c>
      <c r="K339" s="1">
        <v>0</v>
      </c>
      <c r="M339" s="1">
        <v>5225000</v>
      </c>
      <c r="O339" s="1">
        <v>4125552</v>
      </c>
      <c r="Q339" s="1">
        <v>45566</v>
      </c>
      <c r="S339" s="20">
        <f t="shared" si="19"/>
        <v>147849859</v>
      </c>
      <c r="U339" s="1">
        <v>8404475</v>
      </c>
      <c r="X339" s="1">
        <f>+'St of Net Assets - GA'!O339-'LT _Lia - GA'!U339</f>
        <v>0</v>
      </c>
    </row>
    <row r="340" spans="1:24">
      <c r="A340" s="12" t="s">
        <v>580</v>
      </c>
      <c r="B340" s="12"/>
      <c r="C340" s="12" t="s">
        <v>62</v>
      </c>
      <c r="D340" s="12"/>
      <c r="E340" s="13">
        <v>44354</v>
      </c>
      <c r="G340" s="1">
        <v>13262258</v>
      </c>
      <c r="I340" s="1">
        <v>0</v>
      </c>
      <c r="K340" s="1">
        <v>2000000</v>
      </c>
      <c r="M340" s="1">
        <v>150240</v>
      </c>
      <c r="O340" s="1">
        <v>2940697</v>
      </c>
      <c r="Q340" s="1">
        <v>0</v>
      </c>
      <c r="S340" s="20">
        <f t="shared" si="19"/>
        <v>18353195</v>
      </c>
      <c r="U340" s="1">
        <v>4072523</v>
      </c>
      <c r="X340" s="1">
        <f>+'St of Net Assets - GA'!O340-'LT _Lia - GA'!U340</f>
        <v>0</v>
      </c>
    </row>
    <row r="341" spans="1:24">
      <c r="A341" s="12"/>
      <c r="B341" s="12"/>
      <c r="C341" s="12"/>
      <c r="D341" s="12"/>
      <c r="E341" s="13"/>
      <c r="S341" s="20"/>
    </row>
    <row r="342" spans="1:24">
      <c r="A342" s="12"/>
      <c r="B342" s="12"/>
      <c r="C342" s="12"/>
      <c r="D342" s="12"/>
      <c r="E342" s="13"/>
      <c r="S342" s="20"/>
      <c r="U342" s="41" t="s">
        <v>709</v>
      </c>
    </row>
    <row r="343" spans="1:24">
      <c r="A343" s="12"/>
      <c r="B343" s="12"/>
      <c r="C343" s="12"/>
      <c r="D343" s="12"/>
      <c r="E343" s="13"/>
      <c r="S343" s="20"/>
    </row>
    <row r="344" spans="1:24">
      <c r="A344" s="12" t="s">
        <v>612</v>
      </c>
      <c r="B344" s="12"/>
      <c r="C344" s="12" t="s">
        <v>64</v>
      </c>
      <c r="D344" s="12"/>
      <c r="E344" s="13">
        <v>50153</v>
      </c>
      <c r="G344" s="16">
        <v>0</v>
      </c>
      <c r="H344" s="16"/>
      <c r="I344" s="16">
        <v>26644</v>
      </c>
      <c r="J344" s="16"/>
      <c r="K344" s="16">
        <v>0</v>
      </c>
      <c r="L344" s="16"/>
      <c r="M344" s="16">
        <v>0</v>
      </c>
      <c r="N344" s="16"/>
      <c r="O344" s="16">
        <v>1417635</v>
      </c>
      <c r="P344" s="16"/>
      <c r="Q344" s="16">
        <v>0</v>
      </c>
      <c r="R344" s="16"/>
      <c r="S344" s="72">
        <f t="shared" si="19"/>
        <v>1444279</v>
      </c>
      <c r="T344" s="16"/>
      <c r="U344" s="16">
        <v>235603</v>
      </c>
      <c r="X344" s="1">
        <f>+'St of Net Assets - GA'!O344-'LT _Lia - GA'!U344</f>
        <v>0</v>
      </c>
    </row>
    <row r="345" spans="1:24">
      <c r="A345" s="12" t="s">
        <v>450</v>
      </c>
      <c r="B345" s="12"/>
      <c r="C345" s="12" t="s">
        <v>117</v>
      </c>
      <c r="D345" s="12"/>
      <c r="E345" s="13">
        <v>44362</v>
      </c>
      <c r="G345" s="1">
        <f>35155000+967268</f>
        <v>36122268</v>
      </c>
      <c r="I345" s="1">
        <v>0</v>
      </c>
      <c r="K345" s="1">
        <v>0</v>
      </c>
      <c r="M345" s="1">
        <v>0</v>
      </c>
      <c r="O345" s="1">
        <v>2575075</v>
      </c>
      <c r="Q345" s="1">
        <v>0</v>
      </c>
      <c r="S345" s="20">
        <f t="shared" si="19"/>
        <v>38697343</v>
      </c>
      <c r="U345" s="1">
        <v>1194117</v>
      </c>
      <c r="X345" s="1">
        <f>+'St of Net Assets - GA'!O345-'LT _Lia - GA'!U345</f>
        <v>0</v>
      </c>
    </row>
    <row r="346" spans="1:24">
      <c r="A346" s="17" t="s">
        <v>893</v>
      </c>
      <c r="B346" s="12"/>
      <c r="C346" s="12" t="s">
        <v>20</v>
      </c>
      <c r="D346" s="12"/>
      <c r="E346" s="13">
        <v>44370</v>
      </c>
      <c r="G346" s="1">
        <v>3902939</v>
      </c>
      <c r="I346" s="1">
        <v>766669</v>
      </c>
      <c r="K346" s="1">
        <v>0</v>
      </c>
      <c r="M346" s="1">
        <v>125643</v>
      </c>
      <c r="O346" s="1">
        <v>2977858</v>
      </c>
      <c r="Q346" s="1">
        <f>37267903+612135</f>
        <v>37880038</v>
      </c>
      <c r="S346" s="20">
        <f t="shared" si="19"/>
        <v>45653147</v>
      </c>
      <c r="U346" s="1">
        <v>2128752</v>
      </c>
      <c r="X346" s="1">
        <f>+'St of Net Assets - GA'!O346-'LT _Lia - GA'!U346</f>
        <v>0</v>
      </c>
    </row>
    <row r="347" spans="1:24">
      <c r="A347" s="12" t="s">
        <v>513</v>
      </c>
      <c r="B347" s="12"/>
      <c r="C347" s="12" t="s">
        <v>51</v>
      </c>
      <c r="D347" s="12"/>
      <c r="E347" s="13">
        <v>48850</v>
      </c>
      <c r="G347" s="1">
        <v>3152386</v>
      </c>
      <c r="I347" s="1">
        <v>0</v>
      </c>
      <c r="K347" s="1">
        <v>0</v>
      </c>
      <c r="M347" s="1">
        <v>1671879</v>
      </c>
      <c r="O347" s="1">
        <v>1110098</v>
      </c>
      <c r="Q347" s="1">
        <v>0</v>
      </c>
      <c r="S347" s="20">
        <f t="shared" si="19"/>
        <v>5934363</v>
      </c>
      <c r="U347" s="1">
        <v>493688</v>
      </c>
      <c r="X347" s="1">
        <f>+'St of Net Assets - GA'!O347-'LT _Lia - GA'!U347</f>
        <v>0</v>
      </c>
    </row>
    <row r="348" spans="1:24" hidden="1">
      <c r="A348" s="17" t="s">
        <v>783</v>
      </c>
      <c r="B348" s="12"/>
      <c r="C348" s="12" t="s">
        <v>33</v>
      </c>
      <c r="D348" s="12"/>
      <c r="E348" s="13">
        <v>47456</v>
      </c>
      <c r="S348" s="20">
        <f t="shared" si="19"/>
        <v>0</v>
      </c>
      <c r="X348" s="1">
        <f>+'St of Net Assets - GA'!O348-'LT _Lia - GA'!U348</f>
        <v>0</v>
      </c>
    </row>
    <row r="349" spans="1:24">
      <c r="A349" s="12" t="s">
        <v>780</v>
      </c>
      <c r="B349" s="12"/>
      <c r="C349" s="12" t="s">
        <v>64</v>
      </c>
      <c r="D349" s="12"/>
      <c r="E349" s="13">
        <v>50229</v>
      </c>
      <c r="G349" s="1">
        <v>1421556</v>
      </c>
      <c r="I349" s="1">
        <v>0</v>
      </c>
      <c r="K349" s="1">
        <v>0</v>
      </c>
      <c r="M349" s="1">
        <v>48156</v>
      </c>
      <c r="O349" s="1">
        <v>318524</v>
      </c>
      <c r="Q349" s="1">
        <v>157050</v>
      </c>
      <c r="S349" s="20">
        <f t="shared" si="19"/>
        <v>1945286</v>
      </c>
      <c r="U349" s="1">
        <v>275591</v>
      </c>
      <c r="X349" s="1">
        <f>+'St of Net Assets - GA'!O349-'LT _Lia - GA'!U349</f>
        <v>0</v>
      </c>
    </row>
    <row r="350" spans="1:24" s="16" customFormat="1">
      <c r="A350" s="14" t="s">
        <v>241</v>
      </c>
      <c r="B350" s="14"/>
      <c r="C350" s="14" t="s">
        <v>240</v>
      </c>
      <c r="D350" s="14"/>
      <c r="E350" s="97">
        <v>45484</v>
      </c>
      <c r="G350" s="1">
        <f>6585000+195265+164981+85861</f>
        <v>7031107</v>
      </c>
      <c r="H350" s="1"/>
      <c r="I350" s="1">
        <v>0</v>
      </c>
      <c r="J350" s="1"/>
      <c r="K350" s="1">
        <v>0</v>
      </c>
      <c r="L350" s="1"/>
      <c r="M350" s="1">
        <v>73258</v>
      </c>
      <c r="N350" s="1"/>
      <c r="O350" s="1">
        <v>517718</v>
      </c>
      <c r="P350" s="1"/>
      <c r="Q350" s="1">
        <v>0</v>
      </c>
      <c r="R350" s="1"/>
      <c r="S350" s="20">
        <f t="shared" si="19"/>
        <v>7622083</v>
      </c>
      <c r="T350" s="1"/>
      <c r="U350" s="1">
        <v>321390</v>
      </c>
      <c r="X350" s="16">
        <f>+'St of Net Assets - GA'!O350-'LT _Lia - GA'!U350</f>
        <v>0</v>
      </c>
    </row>
    <row r="351" spans="1:24">
      <c r="A351" s="12" t="s">
        <v>482</v>
      </c>
      <c r="B351" s="12"/>
      <c r="C351" s="12" t="s">
        <v>47</v>
      </c>
      <c r="D351" s="12"/>
      <c r="E351" s="13">
        <v>44388</v>
      </c>
      <c r="G351" s="1">
        <v>67909831</v>
      </c>
      <c r="I351" s="1">
        <v>0</v>
      </c>
      <c r="K351" s="1">
        <v>2855000</v>
      </c>
      <c r="M351" s="1">
        <v>406252</v>
      </c>
      <c r="O351" s="1">
        <v>5034721</v>
      </c>
      <c r="Q351" s="1">
        <v>25327675</v>
      </c>
      <c r="S351" s="20">
        <f t="shared" si="19"/>
        <v>101533479</v>
      </c>
      <c r="U351" s="1">
        <v>6317465</v>
      </c>
      <c r="X351" s="1">
        <f>+'St of Net Assets - GA'!O351-'LT _Lia - GA'!U351</f>
        <v>0</v>
      </c>
    </row>
    <row r="352" spans="1:24">
      <c r="A352" s="12" t="s">
        <v>485</v>
      </c>
      <c r="B352" s="12"/>
      <c r="C352" s="12" t="s">
        <v>484</v>
      </c>
      <c r="D352" s="12"/>
      <c r="E352" s="13">
        <v>48520</v>
      </c>
      <c r="G352" s="1">
        <f>1175000+3255000+254996+176807+305243-239616</f>
        <v>4927430</v>
      </c>
      <c r="I352" s="1">
        <v>0</v>
      </c>
      <c r="K352" s="1">
        <f>147500+667363</f>
        <v>814863</v>
      </c>
      <c r="M352" s="1">
        <v>0</v>
      </c>
      <c r="O352" s="1">
        <v>848100</v>
      </c>
      <c r="Q352" s="1">
        <v>0</v>
      </c>
      <c r="S352" s="20">
        <f t="shared" si="19"/>
        <v>6590393</v>
      </c>
      <c r="U352" s="1">
        <v>450791</v>
      </c>
      <c r="X352" s="1">
        <f>+'St of Net Assets - GA'!O352-'LT _Lia - GA'!U352</f>
        <v>0</v>
      </c>
    </row>
    <row r="353" spans="1:24">
      <c r="A353" s="12" t="s">
        <v>416</v>
      </c>
      <c r="B353" s="12"/>
      <c r="C353" s="12" t="s">
        <v>41</v>
      </c>
      <c r="D353" s="12"/>
      <c r="E353" s="13">
        <v>45492</v>
      </c>
      <c r="G353" s="1">
        <v>4076194</v>
      </c>
      <c r="I353" s="1">
        <v>0</v>
      </c>
      <c r="K353" s="1">
        <v>618667</v>
      </c>
      <c r="M353" s="1">
        <v>0</v>
      </c>
      <c r="O353" s="1">
        <v>5892147</v>
      </c>
      <c r="Q353" s="1">
        <f>587153+2806250</f>
        <v>3393403</v>
      </c>
      <c r="S353" s="20">
        <f t="shared" si="19"/>
        <v>13980411</v>
      </c>
      <c r="U353" s="1">
        <v>4562752</v>
      </c>
      <c r="X353" s="1">
        <f>+'St of Net Assets - GA'!O353-'LT _Lia - GA'!U353</f>
        <v>0</v>
      </c>
    </row>
    <row r="354" spans="1:24">
      <c r="A354" s="12" t="s">
        <v>488</v>
      </c>
      <c r="B354" s="12"/>
      <c r="C354" s="12" t="s">
        <v>48</v>
      </c>
      <c r="D354" s="12"/>
      <c r="E354" s="13">
        <v>48629</v>
      </c>
      <c r="G354" s="1">
        <v>17723660</v>
      </c>
      <c r="I354" s="1">
        <v>0</v>
      </c>
      <c r="K354" s="1">
        <v>0</v>
      </c>
      <c r="M354" s="1">
        <v>0</v>
      </c>
      <c r="O354" s="1">
        <v>1170939</v>
      </c>
      <c r="Q354" s="1">
        <v>0</v>
      </c>
      <c r="S354" s="20">
        <f t="shared" si="19"/>
        <v>18894599</v>
      </c>
      <c r="U354" s="1">
        <v>764759</v>
      </c>
      <c r="X354" s="1">
        <f>+'St of Net Assets - GA'!O354-'LT _Lia - GA'!U354</f>
        <v>0</v>
      </c>
    </row>
    <row r="355" spans="1:24">
      <c r="A355" s="12" t="s">
        <v>327</v>
      </c>
      <c r="B355" s="12"/>
      <c r="C355" s="12" t="s">
        <v>26</v>
      </c>
      <c r="D355" s="12"/>
      <c r="E355" s="13">
        <v>46920</v>
      </c>
      <c r="G355" s="1">
        <v>28003757</v>
      </c>
      <c r="I355" s="1">
        <v>0</v>
      </c>
      <c r="K355" s="1">
        <v>0</v>
      </c>
      <c r="M355" s="1">
        <v>0</v>
      </c>
      <c r="O355" s="1">
        <v>1129592</v>
      </c>
      <c r="Q355" s="1">
        <v>0</v>
      </c>
      <c r="S355" s="20">
        <f t="shared" si="19"/>
        <v>29133349</v>
      </c>
      <c r="U355" s="1">
        <v>673780</v>
      </c>
      <c r="X355" s="1">
        <f>+'St of Net Assets - GA'!O355-'LT _Lia - GA'!U355</f>
        <v>0</v>
      </c>
    </row>
    <row r="356" spans="1:24">
      <c r="A356" s="12" t="s">
        <v>501</v>
      </c>
      <c r="B356" s="12"/>
      <c r="C356" s="12" t="s">
        <v>50</v>
      </c>
      <c r="D356" s="12"/>
      <c r="E356" s="13">
        <v>44396</v>
      </c>
      <c r="G356" s="1">
        <f>86806998-16500000-16575</f>
        <v>70290423</v>
      </c>
      <c r="I356" s="1">
        <v>0</v>
      </c>
      <c r="K356" s="1">
        <f>16500000+16575</f>
        <v>16516575</v>
      </c>
      <c r="M356" s="1">
        <v>0</v>
      </c>
      <c r="O356" s="1">
        <v>4046907</v>
      </c>
      <c r="Q356" s="1">
        <v>0</v>
      </c>
      <c r="S356" s="20">
        <f t="shared" si="19"/>
        <v>90853905</v>
      </c>
      <c r="U356" s="1">
        <v>1606976</v>
      </c>
      <c r="X356" s="1">
        <f>+'St of Net Assets - GA'!O356-'LT _Lia - GA'!U356</f>
        <v>0</v>
      </c>
    </row>
    <row r="357" spans="1:24">
      <c r="A357" s="12" t="s">
        <v>232</v>
      </c>
      <c r="B357" s="12"/>
      <c r="C357" s="12" t="s">
        <v>227</v>
      </c>
      <c r="D357" s="12"/>
      <c r="E357" s="13">
        <v>44404</v>
      </c>
      <c r="G357" s="1">
        <f>3610000+53380000-64363+4434375</f>
        <v>61360012</v>
      </c>
      <c r="I357" s="1">
        <v>0</v>
      </c>
      <c r="K357" s="1">
        <f>1054499+542130</f>
        <v>1596629</v>
      </c>
      <c r="M357" s="1">
        <v>643479</v>
      </c>
      <c r="O357" s="1">
        <v>2112456</v>
      </c>
      <c r="Q357" s="1">
        <v>0</v>
      </c>
      <c r="S357" s="20">
        <f t="shared" si="19"/>
        <v>65712576</v>
      </c>
      <c r="U357" s="1">
        <v>825295</v>
      </c>
      <c r="X357" s="1">
        <f>+'St of Net Assets - GA'!O357-'LT _Lia - GA'!U357</f>
        <v>0</v>
      </c>
    </row>
    <row r="358" spans="1:24">
      <c r="A358" s="12" t="s">
        <v>444</v>
      </c>
      <c r="B358" s="12"/>
      <c r="C358" s="12" t="s">
        <v>44</v>
      </c>
      <c r="D358" s="12"/>
      <c r="E358" s="12">
        <v>48173</v>
      </c>
      <c r="G358" s="1">
        <f>2260000+275000</f>
        <v>2535000</v>
      </c>
      <c r="I358" s="1">
        <v>0</v>
      </c>
      <c r="K358" s="1">
        <v>0</v>
      </c>
      <c r="M358" s="1">
        <v>0</v>
      </c>
      <c r="O358" s="1">
        <v>1749921</v>
      </c>
      <c r="Q358" s="1">
        <f>8365000+17310000</f>
        <v>25675000</v>
      </c>
      <c r="S358" s="20">
        <f t="shared" si="19"/>
        <v>29959921</v>
      </c>
      <c r="U358" s="1">
        <v>1054917</v>
      </c>
      <c r="X358" s="1">
        <f>+'St of Net Assets - GA'!O358-'LT _Lia - GA'!U358</f>
        <v>0</v>
      </c>
    </row>
    <row r="359" spans="1:24">
      <c r="A359" s="12" t="s">
        <v>255</v>
      </c>
      <c r="B359" s="12"/>
      <c r="C359" s="12" t="s">
        <v>115</v>
      </c>
      <c r="D359" s="12"/>
      <c r="E359" s="13">
        <v>45500</v>
      </c>
      <c r="G359" s="1">
        <f>3640000+6790000+410000+525560+22515000+31080000+285000+100263+3963163</f>
        <v>69308986</v>
      </c>
      <c r="I359" s="1">
        <v>571998</v>
      </c>
      <c r="K359" s="1">
        <v>1956000</v>
      </c>
      <c r="M359" s="1">
        <v>0</v>
      </c>
      <c r="O359" s="1">
        <v>2338523</v>
      </c>
      <c r="Q359" s="1">
        <v>0</v>
      </c>
      <c r="S359" s="20">
        <f t="shared" si="19"/>
        <v>74175507</v>
      </c>
      <c r="U359" s="1">
        <v>1668684</v>
      </c>
      <c r="X359" s="1">
        <f>+'St of Net Assets - GA'!O359-'LT _Lia - GA'!U359</f>
        <v>0</v>
      </c>
    </row>
    <row r="360" spans="1:24" hidden="1">
      <c r="A360" s="17" t="s">
        <v>734</v>
      </c>
      <c r="B360" s="12"/>
      <c r="C360" s="12" t="s">
        <v>643</v>
      </c>
      <c r="D360" s="12"/>
      <c r="E360" s="13">
        <v>50633</v>
      </c>
      <c r="S360" s="20">
        <f t="shared" si="19"/>
        <v>0</v>
      </c>
      <c r="X360" s="1">
        <f>+'St of Net Assets - GA'!O360-'LT _Lia - GA'!U360</f>
        <v>0</v>
      </c>
    </row>
    <row r="361" spans="1:24" hidden="1">
      <c r="A361" s="12" t="s">
        <v>851</v>
      </c>
      <c r="B361" s="12"/>
      <c r="C361" s="12" t="s">
        <v>542</v>
      </c>
      <c r="D361" s="12"/>
      <c r="E361" s="13">
        <v>49361</v>
      </c>
      <c r="S361" s="20">
        <f t="shared" si="19"/>
        <v>0</v>
      </c>
      <c r="X361" s="1">
        <f>+'St of Net Assets - GA'!O361-'LT _Lia - GA'!U361</f>
        <v>0</v>
      </c>
    </row>
    <row r="362" spans="1:24">
      <c r="A362" s="12" t="s">
        <v>489</v>
      </c>
      <c r="B362" s="12"/>
      <c r="C362" s="12" t="s">
        <v>48</v>
      </c>
      <c r="D362" s="12"/>
      <c r="E362" s="13">
        <v>45518</v>
      </c>
      <c r="G362" s="1">
        <f>15157655+1036089+5311981</f>
        <v>21505725</v>
      </c>
      <c r="I362" s="1">
        <v>0</v>
      </c>
      <c r="K362" s="1">
        <v>0</v>
      </c>
      <c r="M362" s="1">
        <v>64306</v>
      </c>
      <c r="O362" s="1">
        <v>1207512</v>
      </c>
      <c r="Q362" s="1">
        <v>1885000</v>
      </c>
      <c r="S362" s="20">
        <f t="shared" si="19"/>
        <v>24662543</v>
      </c>
      <c r="U362" s="1">
        <v>776781</v>
      </c>
      <c r="X362" s="1">
        <f>+'St of Net Assets - GA'!O362-'LT _Lia - GA'!U362</f>
        <v>0</v>
      </c>
    </row>
    <row r="363" spans="1:24">
      <c r="A363" s="12" t="s">
        <v>581</v>
      </c>
      <c r="B363" s="12"/>
      <c r="C363" s="12" t="s">
        <v>62</v>
      </c>
      <c r="D363" s="12"/>
      <c r="E363" s="13">
        <v>49890</v>
      </c>
      <c r="G363" s="1">
        <v>12580165</v>
      </c>
      <c r="I363" s="1">
        <v>0</v>
      </c>
      <c r="K363" s="1">
        <v>0</v>
      </c>
      <c r="M363" s="1">
        <v>146805</v>
      </c>
      <c r="O363" s="1">
        <v>1089404</v>
      </c>
      <c r="Q363" s="1">
        <v>0</v>
      </c>
      <c r="S363" s="20">
        <f t="shared" si="19"/>
        <v>13816374</v>
      </c>
      <c r="U363" s="1">
        <v>628842</v>
      </c>
      <c r="X363" s="1">
        <f>+'St of Net Assets - GA'!O363-'LT _Lia - GA'!U363</f>
        <v>0</v>
      </c>
    </row>
    <row r="364" spans="1:24">
      <c r="A364" s="12" t="s">
        <v>562</v>
      </c>
      <c r="B364" s="12"/>
      <c r="C364" s="12" t="s">
        <v>59</v>
      </c>
      <c r="D364" s="12"/>
      <c r="E364" s="13">
        <v>49627</v>
      </c>
      <c r="G364" s="1">
        <f>4349580-1405945-936669</f>
        <v>2006966</v>
      </c>
      <c r="I364" s="1">
        <v>0</v>
      </c>
      <c r="K364" s="1">
        <v>0</v>
      </c>
      <c r="M364" s="1">
        <v>1405945</v>
      </c>
      <c r="O364" s="1">
        <v>936669</v>
      </c>
      <c r="Q364" s="1">
        <v>0</v>
      </c>
      <c r="S364" s="20">
        <f t="shared" si="19"/>
        <v>4349580</v>
      </c>
      <c r="U364" s="1">
        <v>484039</v>
      </c>
      <c r="X364" s="1">
        <f>+'St of Net Assets - GA'!O364-'LT _Lia - GA'!U364</f>
        <v>0</v>
      </c>
    </row>
    <row r="365" spans="1:24">
      <c r="A365" s="12" t="s">
        <v>217</v>
      </c>
      <c r="B365" s="12"/>
      <c r="C365" s="12" t="s">
        <v>14</v>
      </c>
      <c r="D365" s="12"/>
      <c r="E365" s="13">
        <v>45948</v>
      </c>
      <c r="G365" s="1">
        <v>11267292</v>
      </c>
      <c r="I365" s="1">
        <v>0</v>
      </c>
      <c r="K365" s="1">
        <v>0</v>
      </c>
      <c r="M365" s="1">
        <v>0</v>
      </c>
      <c r="O365" s="1">
        <v>455262</v>
      </c>
      <c r="Q365" s="1">
        <v>0</v>
      </c>
      <c r="S365" s="20">
        <f t="shared" ref="S365:S368" si="20">SUM(G365:R365)</f>
        <v>11722554</v>
      </c>
      <c r="U365" s="1">
        <v>687643</v>
      </c>
      <c r="X365" s="1">
        <f>+'St of Net Assets - GA'!O365-'LT _Lia - GA'!U365</f>
        <v>0</v>
      </c>
    </row>
    <row r="366" spans="1:24" hidden="1">
      <c r="A366" s="17" t="s">
        <v>782</v>
      </c>
      <c r="B366" s="12"/>
      <c r="C366" s="12" t="s">
        <v>21</v>
      </c>
      <c r="D366" s="12"/>
      <c r="E366" s="13">
        <v>46672</v>
      </c>
      <c r="S366" s="20">
        <f t="shared" si="20"/>
        <v>0</v>
      </c>
      <c r="X366" s="1">
        <f>+'St of Net Assets - GA'!O366-'LT _Lia - GA'!U366</f>
        <v>0</v>
      </c>
    </row>
    <row r="367" spans="1:24">
      <c r="A367" s="12" t="s">
        <v>591</v>
      </c>
      <c r="B367" s="12"/>
      <c r="C367" s="12" t="s">
        <v>63</v>
      </c>
      <c r="D367" s="12"/>
      <c r="E367" s="13">
        <v>50039</v>
      </c>
      <c r="G367" s="1">
        <f>9000000+393846</f>
        <v>9393846</v>
      </c>
      <c r="I367" s="1">
        <v>0</v>
      </c>
      <c r="K367" s="1">
        <v>0</v>
      </c>
      <c r="M367" s="1">
        <v>0</v>
      </c>
      <c r="O367" s="1">
        <v>598282</v>
      </c>
      <c r="Q367" s="1">
        <v>1953437</v>
      </c>
      <c r="S367" s="20">
        <f t="shared" si="20"/>
        <v>11945565</v>
      </c>
      <c r="U367" s="1">
        <v>455934</v>
      </c>
      <c r="X367" s="1">
        <f>+'St of Net Assets - GA'!O367-'LT _Lia - GA'!U367</f>
        <v>0</v>
      </c>
    </row>
    <row r="368" spans="1:24" hidden="1">
      <c r="A368" s="17" t="s">
        <v>743</v>
      </c>
      <c r="B368" s="12"/>
      <c r="C368" s="12" t="s">
        <v>653</v>
      </c>
      <c r="D368" s="12"/>
      <c r="E368" s="13">
        <v>50740</v>
      </c>
      <c r="S368" s="20">
        <f t="shared" si="20"/>
        <v>0</v>
      </c>
      <c r="X368" s="1">
        <f>+'St of Net Assets - GA'!O368-'LT _Lia - GA'!U368</f>
        <v>0</v>
      </c>
    </row>
    <row r="369" spans="1:24">
      <c r="A369" s="12" t="s">
        <v>233</v>
      </c>
      <c r="B369" s="12"/>
      <c r="C369" s="12" t="s">
        <v>227</v>
      </c>
      <c r="D369" s="12"/>
      <c r="E369" s="13">
        <v>139303</v>
      </c>
      <c r="G369" s="1">
        <f>5190229+428022+19325000+1276684</f>
        <v>26219935</v>
      </c>
      <c r="I369" s="1">
        <v>0</v>
      </c>
      <c r="K369" s="1">
        <f>4120000-46186</f>
        <v>4073814</v>
      </c>
      <c r="M369" s="1">
        <v>416360</v>
      </c>
      <c r="O369" s="1">
        <v>689570</v>
      </c>
      <c r="Q369" s="1">
        <f>980000+5977</f>
        <v>985977</v>
      </c>
      <c r="S369" s="20">
        <f t="shared" ref="S369:S374" si="21">SUM(G369:R369)</f>
        <v>32385656</v>
      </c>
      <c r="U369" s="1">
        <v>647269</v>
      </c>
      <c r="X369" s="1">
        <f>+'St of Net Assets - GA'!O369-'LT _Lia - GA'!U369</f>
        <v>0</v>
      </c>
    </row>
    <row r="370" spans="1:24">
      <c r="A370" s="12" t="s">
        <v>404</v>
      </c>
      <c r="B370" s="12"/>
      <c r="C370" s="12" t="s">
        <v>37</v>
      </c>
      <c r="D370" s="12"/>
      <c r="E370" s="13">
        <v>47712</v>
      </c>
      <c r="G370" s="1">
        <v>0</v>
      </c>
      <c r="I370" s="1">
        <v>0</v>
      </c>
      <c r="K370" s="1">
        <v>0</v>
      </c>
      <c r="M370" s="1">
        <v>107868</v>
      </c>
      <c r="O370" s="1">
        <v>304700</v>
      </c>
      <c r="Q370" s="1">
        <v>0</v>
      </c>
      <c r="S370" s="20">
        <f t="shared" si="21"/>
        <v>412568</v>
      </c>
      <c r="U370" s="1">
        <v>70723</v>
      </c>
      <c r="X370" s="1">
        <f>+'St of Net Assets - GA'!O370-'LT _Lia - GA'!U370</f>
        <v>0</v>
      </c>
    </row>
    <row r="371" spans="1:24" hidden="1">
      <c r="A371" s="12" t="s">
        <v>949</v>
      </c>
      <c r="B371" s="12"/>
      <c r="C371" s="12" t="s">
        <v>643</v>
      </c>
      <c r="D371" s="12"/>
      <c r="E371" s="13">
        <v>45526</v>
      </c>
      <c r="S371" s="20">
        <f t="shared" si="21"/>
        <v>0</v>
      </c>
      <c r="X371" s="1">
        <f>+'St of Net Assets - GA'!O371-'LT _Lia - GA'!U371</f>
        <v>0</v>
      </c>
    </row>
    <row r="372" spans="1:24">
      <c r="A372" s="12" t="s">
        <v>508</v>
      </c>
      <c r="B372" s="12"/>
      <c r="C372" s="12" t="s">
        <v>509</v>
      </c>
      <c r="D372" s="12"/>
      <c r="E372" s="13">
        <v>48777</v>
      </c>
      <c r="G372" s="1">
        <f>420000+1891189+4017586+3523873</f>
        <v>9852648</v>
      </c>
      <c r="I372" s="1">
        <v>121454</v>
      </c>
      <c r="K372" s="1">
        <v>350797</v>
      </c>
      <c r="M372" s="1">
        <v>243547</v>
      </c>
      <c r="O372" s="1">
        <f>774076+947985</f>
        <v>1722061</v>
      </c>
      <c r="Q372" s="1">
        <v>0</v>
      </c>
      <c r="S372" s="20">
        <f t="shared" si="21"/>
        <v>12290507</v>
      </c>
      <c r="U372" s="1">
        <v>1081186</v>
      </c>
      <c r="X372" s="1">
        <f>+'St of Net Assets - GA'!O372-'LT _Lia - GA'!U372</f>
        <v>0</v>
      </c>
    </row>
    <row r="373" spans="1:24">
      <c r="A373" s="12" t="s">
        <v>757</v>
      </c>
      <c r="B373" s="12"/>
      <c r="C373" s="12" t="s">
        <v>78</v>
      </c>
      <c r="D373" s="12"/>
      <c r="E373" s="13">
        <v>45534</v>
      </c>
      <c r="G373" s="1">
        <f>8302036+415320-298111</f>
        <v>8419245</v>
      </c>
      <c r="I373" s="1">
        <v>0</v>
      </c>
      <c r="K373" s="1">
        <v>0</v>
      </c>
      <c r="M373" s="1">
        <v>1220000</v>
      </c>
      <c r="O373" s="1">
        <v>670652</v>
      </c>
      <c r="Q373" s="1">
        <v>0</v>
      </c>
      <c r="S373" s="20">
        <f t="shared" si="21"/>
        <v>10309897</v>
      </c>
      <c r="U373" s="1">
        <v>550804</v>
      </c>
      <c r="X373" s="1">
        <f>+'St of Net Assets - GA'!O373-'LT _Lia - GA'!U373</f>
        <v>0</v>
      </c>
    </row>
    <row r="374" spans="1:24">
      <c r="A374" s="12" t="s">
        <v>415</v>
      </c>
      <c r="B374" s="12"/>
      <c r="C374" s="12" t="s">
        <v>40</v>
      </c>
      <c r="D374" s="12"/>
      <c r="E374" s="13">
        <v>44420</v>
      </c>
      <c r="G374" s="1">
        <f>5955000+255000+167518</f>
        <v>6377518</v>
      </c>
      <c r="I374" s="1">
        <v>621625</v>
      </c>
      <c r="K374" s="1">
        <v>0</v>
      </c>
      <c r="M374" s="1">
        <v>35363</v>
      </c>
      <c r="O374" s="1">
        <v>1674519</v>
      </c>
      <c r="Q374" s="1">
        <v>0</v>
      </c>
      <c r="S374" s="20">
        <f t="shared" si="21"/>
        <v>8709025</v>
      </c>
      <c r="U374" s="1">
        <v>815244</v>
      </c>
      <c r="X374" s="1">
        <f>+'St of Net Assets - GA'!O374-'LT _Lia - GA'!U374</f>
        <v>0</v>
      </c>
    </row>
    <row r="375" spans="1:24">
      <c r="A375" s="12" t="s">
        <v>894</v>
      </c>
      <c r="B375" s="12"/>
      <c r="C375" s="12" t="s">
        <v>32</v>
      </c>
      <c r="D375" s="12"/>
      <c r="E375" s="12">
        <v>44412</v>
      </c>
      <c r="G375" s="1">
        <f>32350000+1951744</f>
        <v>34301744</v>
      </c>
      <c r="I375" s="1">
        <v>171352</v>
      </c>
      <c r="K375" s="1">
        <v>0</v>
      </c>
      <c r="M375" s="1">
        <f>98527+50157+14147+15400+377738</f>
        <v>555969</v>
      </c>
      <c r="O375" s="1">
        <v>1910977</v>
      </c>
      <c r="Q375" s="1">
        <v>0</v>
      </c>
      <c r="S375" s="20">
        <f>SUM(G375:R375)</f>
        <v>36940042</v>
      </c>
      <c r="U375" s="1">
        <v>1188968</v>
      </c>
      <c r="X375" s="1">
        <f>+'St of Net Assets - GA'!O375-'LT _Lia - GA'!U375</f>
        <v>0</v>
      </c>
    </row>
    <row r="376" spans="1:24">
      <c r="A376" s="12" t="s">
        <v>392</v>
      </c>
      <c r="B376" s="12"/>
      <c r="C376" s="12" t="s">
        <v>34</v>
      </c>
      <c r="D376" s="12"/>
      <c r="E376" s="13">
        <v>44438</v>
      </c>
      <c r="G376" s="1">
        <f>602233+2355000+139320</f>
        <v>3096553</v>
      </c>
      <c r="I376" s="1">
        <f>329603+16666+1126045+1640105+349971</f>
        <v>3462390</v>
      </c>
      <c r="K376" s="1">
        <v>0</v>
      </c>
      <c r="M376" s="1">
        <v>366521</v>
      </c>
      <c r="O376" s="1">
        <v>1324483</v>
      </c>
      <c r="Q376" s="1">
        <v>0</v>
      </c>
      <c r="S376" s="20">
        <f t="shared" ref="S376:S403" si="22">SUM(G376:R376)</f>
        <v>8249947</v>
      </c>
      <c r="U376" s="1">
        <v>1007033</v>
      </c>
      <c r="X376" s="1">
        <f>+'St of Net Assets - GA'!O376-'LT _Lia - GA'!U376</f>
        <v>0</v>
      </c>
    </row>
    <row r="377" spans="1:24" hidden="1">
      <c r="A377" s="12" t="s">
        <v>945</v>
      </c>
      <c r="B377" s="12"/>
      <c r="C377" s="12" t="s">
        <v>57</v>
      </c>
      <c r="D377" s="12"/>
      <c r="E377" s="13"/>
      <c r="S377" s="20">
        <f t="shared" ref="S377" si="23">SUM(G377:R377)</f>
        <v>0</v>
      </c>
      <c r="X377" s="1">
        <f>+'St of Net Assets - GA'!O377-'LT _Lia - GA'!U377</f>
        <v>0</v>
      </c>
    </row>
    <row r="378" spans="1:24">
      <c r="A378" s="12" t="s">
        <v>215</v>
      </c>
      <c r="B378" s="12"/>
      <c r="C378" s="12" t="s">
        <v>13</v>
      </c>
      <c r="D378" s="12"/>
      <c r="E378" s="13">
        <v>44446</v>
      </c>
      <c r="G378" s="1">
        <v>6171444</v>
      </c>
      <c r="I378" s="1">
        <v>0</v>
      </c>
      <c r="K378" s="1">
        <v>0</v>
      </c>
      <c r="M378" s="1">
        <v>849000</v>
      </c>
      <c r="O378" s="1">
        <v>566780</v>
      </c>
      <c r="Q378" s="1">
        <v>0</v>
      </c>
      <c r="S378" s="20">
        <f t="shared" si="22"/>
        <v>7587224</v>
      </c>
      <c r="U378" s="1">
        <v>450537</v>
      </c>
      <c r="X378" s="1">
        <f>+'St of Net Assets - GA'!O378-'LT _Lia - GA'!U378</f>
        <v>0</v>
      </c>
    </row>
    <row r="379" spans="1:24">
      <c r="A379" s="12" t="s">
        <v>728</v>
      </c>
      <c r="B379" s="12"/>
      <c r="C379" s="12" t="s">
        <v>27</v>
      </c>
      <c r="D379" s="12"/>
      <c r="E379" s="13">
        <v>44461</v>
      </c>
      <c r="G379" s="1">
        <f>82229948-1930000</f>
        <v>80299948</v>
      </c>
      <c r="I379" s="1">
        <v>0</v>
      </c>
      <c r="K379" s="1">
        <v>1930000</v>
      </c>
      <c r="M379" s="1">
        <v>7385</v>
      </c>
      <c r="O379" s="1">
        <v>1831357</v>
      </c>
      <c r="Q379" s="1">
        <v>0</v>
      </c>
      <c r="S379" s="20">
        <f t="shared" si="22"/>
        <v>84068690</v>
      </c>
      <c r="U379" s="1">
        <v>2968666</v>
      </c>
      <c r="X379" s="1">
        <f>+'St of Net Assets - GA'!O379-'LT _Lia - GA'!U379</f>
        <v>0</v>
      </c>
    </row>
    <row r="380" spans="1:24">
      <c r="A380" s="12" t="s">
        <v>563</v>
      </c>
      <c r="B380" s="12"/>
      <c r="C380" s="12" t="s">
        <v>59</v>
      </c>
      <c r="D380" s="12"/>
      <c r="E380" s="13">
        <v>44461</v>
      </c>
      <c r="G380" s="1">
        <f>355000+2935000+107336+5052+77112</f>
        <v>3479500</v>
      </c>
      <c r="I380" s="1">
        <v>0</v>
      </c>
      <c r="K380" s="1">
        <v>0</v>
      </c>
      <c r="M380" s="1">
        <v>0</v>
      </c>
      <c r="O380" s="1">
        <v>180067</v>
      </c>
      <c r="Q380" s="1">
        <v>16365</v>
      </c>
      <c r="S380" s="20">
        <f t="shared" si="22"/>
        <v>3675932</v>
      </c>
      <c r="U380" s="1">
        <v>75956</v>
      </c>
      <c r="X380" s="1">
        <f>+'St of Net Assets - GA'!O380-'LT _Lia - GA'!U380</f>
        <v>0</v>
      </c>
    </row>
    <row r="381" spans="1:24">
      <c r="A381" s="12" t="s">
        <v>218</v>
      </c>
      <c r="B381" s="12"/>
      <c r="C381" s="12" t="s">
        <v>14</v>
      </c>
      <c r="D381" s="12"/>
      <c r="E381" s="13">
        <v>45955</v>
      </c>
      <c r="G381" s="1">
        <v>5169253</v>
      </c>
      <c r="I381" s="1">
        <v>0</v>
      </c>
      <c r="K381" s="1">
        <v>0</v>
      </c>
      <c r="M381" s="1">
        <v>0</v>
      </c>
      <c r="O381" s="1">
        <v>530659</v>
      </c>
      <c r="Q381" s="1">
        <v>0</v>
      </c>
      <c r="S381" s="20">
        <f t="shared" si="22"/>
        <v>5699912</v>
      </c>
      <c r="U381" s="1">
        <v>681499</v>
      </c>
      <c r="X381" s="1">
        <f>+'St of Net Assets - GA'!O381-'LT _Lia - GA'!U381</f>
        <v>0</v>
      </c>
    </row>
    <row r="382" spans="1:24" hidden="1">
      <c r="A382" s="17" t="s">
        <v>879</v>
      </c>
      <c r="B382" s="12"/>
      <c r="C382" s="12" t="s">
        <v>14</v>
      </c>
      <c r="D382" s="12"/>
      <c r="E382" s="13">
        <v>45963</v>
      </c>
      <c r="S382" s="20">
        <f t="shared" si="22"/>
        <v>0</v>
      </c>
      <c r="X382" s="1">
        <f>+'St of Net Assets - GA'!O382-'LT _Lia - GA'!U382</f>
        <v>0</v>
      </c>
    </row>
    <row r="383" spans="1:24">
      <c r="A383" s="12" t="s">
        <v>502</v>
      </c>
      <c r="B383" s="12"/>
      <c r="C383" s="12" t="s">
        <v>50</v>
      </c>
      <c r="D383" s="12"/>
      <c r="E383" s="13">
        <v>48710</v>
      </c>
      <c r="G383" s="1">
        <v>3345000</v>
      </c>
      <c r="I383" s="1">
        <v>0</v>
      </c>
      <c r="K383" s="1">
        <v>0</v>
      </c>
      <c r="M383" s="1">
        <v>175962</v>
      </c>
      <c r="O383" s="1">
        <v>537994</v>
      </c>
      <c r="Q383" s="1">
        <v>0</v>
      </c>
      <c r="S383" s="20">
        <f t="shared" si="22"/>
        <v>4058956</v>
      </c>
      <c r="U383" s="1">
        <v>341108</v>
      </c>
      <c r="X383" s="1">
        <f>+'St of Net Assets - GA'!O383-'LT _Lia - GA'!U383</f>
        <v>0</v>
      </c>
    </row>
    <row r="384" spans="1:24" hidden="1">
      <c r="A384" s="12" t="s">
        <v>889</v>
      </c>
      <c r="B384" s="12"/>
      <c r="C384" s="12" t="s">
        <v>524</v>
      </c>
      <c r="D384" s="12"/>
      <c r="E384" s="13">
        <v>44479</v>
      </c>
      <c r="S384" s="20">
        <f t="shared" si="22"/>
        <v>0</v>
      </c>
      <c r="X384" s="1">
        <f>+'St of Net Assets - GA'!O384-'LT _Lia - GA'!U384</f>
        <v>0</v>
      </c>
    </row>
    <row r="385" spans="1:24">
      <c r="A385" s="12" t="s">
        <v>405</v>
      </c>
      <c r="B385" s="12"/>
      <c r="C385" s="12" t="s">
        <v>37</v>
      </c>
      <c r="D385" s="12"/>
      <c r="E385" s="13">
        <v>47720</v>
      </c>
      <c r="G385" s="1">
        <v>2384881</v>
      </c>
      <c r="I385" s="1">
        <v>0</v>
      </c>
      <c r="K385" s="1">
        <v>0</v>
      </c>
      <c r="M385" s="1">
        <v>0</v>
      </c>
      <c r="O385" s="1">
        <v>605465</v>
      </c>
      <c r="Q385" s="1">
        <v>69223</v>
      </c>
      <c r="S385" s="20">
        <f t="shared" si="22"/>
        <v>3059569</v>
      </c>
      <c r="U385" s="1">
        <v>301686</v>
      </c>
      <c r="X385" s="1">
        <f>+'St of Net Assets - GA'!O385-'LT _Lia - GA'!U385</f>
        <v>0</v>
      </c>
    </row>
    <row r="386" spans="1:24">
      <c r="A386" s="12" t="s">
        <v>234</v>
      </c>
      <c r="B386" s="12"/>
      <c r="C386" s="12" t="s">
        <v>227</v>
      </c>
      <c r="D386" s="12"/>
      <c r="E386" s="13">
        <v>46136</v>
      </c>
      <c r="G386" s="1">
        <f>258000+1234997+117750+215781-79969</f>
        <v>1746559</v>
      </c>
      <c r="I386" s="1">
        <v>0</v>
      </c>
      <c r="K386" s="1">
        <v>0</v>
      </c>
      <c r="M386" s="1">
        <f>323000+168909</f>
        <v>491909</v>
      </c>
      <c r="O386" s="1">
        <v>210225</v>
      </c>
      <c r="Q386" s="1">
        <v>0</v>
      </c>
      <c r="S386" s="20">
        <f t="shared" si="22"/>
        <v>2448693</v>
      </c>
      <c r="U386" s="1">
        <v>266350</v>
      </c>
      <c r="X386" s="1">
        <f>+'St of Net Assets - GA'!O386-'LT _Lia - GA'!U386</f>
        <v>0</v>
      </c>
    </row>
    <row r="387" spans="1:24">
      <c r="A387" s="12" t="s">
        <v>622</v>
      </c>
      <c r="B387" s="12"/>
      <c r="C387" s="12" t="s">
        <v>65</v>
      </c>
      <c r="D387" s="12"/>
      <c r="E387" s="13">
        <v>44487</v>
      </c>
      <c r="G387" s="1">
        <f>3320000+538888+324183</f>
        <v>4183071</v>
      </c>
      <c r="I387" s="1">
        <v>0</v>
      </c>
      <c r="K387" s="1">
        <v>0</v>
      </c>
      <c r="M387" s="1">
        <v>1108026</v>
      </c>
      <c r="O387" s="1">
        <v>1498050</v>
      </c>
      <c r="Q387" s="1">
        <v>0</v>
      </c>
      <c r="S387" s="20">
        <f t="shared" si="22"/>
        <v>6789147</v>
      </c>
      <c r="U387" s="1">
        <v>600635</v>
      </c>
      <c r="X387" s="1">
        <f>+'St of Net Assets - GA'!O387-'LT _Lia - GA'!U387</f>
        <v>0</v>
      </c>
    </row>
    <row r="388" spans="1:24">
      <c r="A388" s="12" t="s">
        <v>256</v>
      </c>
      <c r="B388" s="12"/>
      <c r="C388" s="12" t="s">
        <v>115</v>
      </c>
      <c r="D388" s="12"/>
      <c r="E388" s="13">
        <v>45559</v>
      </c>
      <c r="G388" s="1">
        <v>0</v>
      </c>
      <c r="I388" s="1">
        <v>0</v>
      </c>
      <c r="K388" s="1">
        <v>0</v>
      </c>
      <c r="M388" s="1">
        <v>0</v>
      </c>
      <c r="O388" s="1">
        <f>3008051+12995</f>
        <v>3021046</v>
      </c>
      <c r="Q388" s="1">
        <v>0</v>
      </c>
      <c r="S388" s="20">
        <f t="shared" si="22"/>
        <v>3021046</v>
      </c>
      <c r="U388" s="1">
        <v>234624</v>
      </c>
      <c r="X388" s="1">
        <f>+'St of Net Assets - GA'!O388-'LT _Lia - GA'!U388</f>
        <v>0</v>
      </c>
    </row>
    <row r="389" spans="1:24" hidden="1">
      <c r="A389" s="12" t="s">
        <v>888</v>
      </c>
      <c r="B389" s="12"/>
      <c r="C389" s="12" t="s">
        <v>60</v>
      </c>
      <c r="D389" s="12"/>
      <c r="E389" s="13">
        <v>49718</v>
      </c>
      <c r="S389" s="20">
        <f t="shared" si="22"/>
        <v>0</v>
      </c>
      <c r="X389" s="1">
        <f>+'St of Net Assets - GA'!O389-'LT _Lia - GA'!U389</f>
        <v>0</v>
      </c>
    </row>
    <row r="390" spans="1:24">
      <c r="A390" s="12" t="s">
        <v>431</v>
      </c>
      <c r="B390" s="12"/>
      <c r="C390" s="12" t="s">
        <v>42</v>
      </c>
      <c r="D390" s="12"/>
      <c r="E390" s="13">
        <v>44453</v>
      </c>
      <c r="G390" s="1">
        <v>67928845</v>
      </c>
      <c r="I390" s="1">
        <v>0</v>
      </c>
      <c r="K390" s="1">
        <v>0</v>
      </c>
      <c r="M390" s="1">
        <v>0</v>
      </c>
      <c r="O390" s="1">
        <v>2757849</v>
      </c>
      <c r="Q390" s="1">
        <v>0</v>
      </c>
      <c r="S390" s="20">
        <f t="shared" si="22"/>
        <v>70686694</v>
      </c>
      <c r="U390" s="1">
        <v>2370408</v>
      </c>
      <c r="X390" s="1">
        <f>+'St of Net Assets - GA'!O390-'LT _Lia - GA'!U390</f>
        <v>0</v>
      </c>
    </row>
    <row r="391" spans="1:24">
      <c r="A391" s="12" t="s">
        <v>355</v>
      </c>
      <c r="B391" s="12"/>
      <c r="C391" s="12" t="s">
        <v>30</v>
      </c>
      <c r="D391" s="12"/>
      <c r="E391" s="13">
        <v>47217</v>
      </c>
      <c r="G391" s="1">
        <v>0</v>
      </c>
      <c r="I391" s="1">
        <v>0</v>
      </c>
      <c r="K391" s="1">
        <v>0</v>
      </c>
      <c r="M391" s="1">
        <v>0</v>
      </c>
      <c r="O391" s="1">
        <v>502643</v>
      </c>
      <c r="Q391" s="1">
        <v>0</v>
      </c>
      <c r="S391" s="20">
        <f t="shared" si="22"/>
        <v>502643</v>
      </c>
      <c r="U391" s="1">
        <v>92483</v>
      </c>
      <c r="X391" s="1">
        <f>+'St of Net Assets - GA'!O391-'LT _Lia - GA'!U391</f>
        <v>0</v>
      </c>
    </row>
    <row r="392" spans="1:24">
      <c r="A392" s="12" t="s">
        <v>623</v>
      </c>
      <c r="B392" s="12"/>
      <c r="C392" s="12" t="s">
        <v>65</v>
      </c>
      <c r="D392" s="12"/>
      <c r="E392" s="13">
        <v>45542</v>
      </c>
      <c r="G392" s="1">
        <v>2270000</v>
      </c>
      <c r="I392" s="1">
        <v>0</v>
      </c>
      <c r="K392" s="1">
        <v>0</v>
      </c>
      <c r="M392" s="1">
        <v>466032</v>
      </c>
      <c r="O392" s="1">
        <v>577305</v>
      </c>
      <c r="Q392" s="1">
        <v>0</v>
      </c>
      <c r="S392" s="20">
        <f t="shared" si="22"/>
        <v>3313337</v>
      </c>
      <c r="U392" s="1">
        <v>373089</v>
      </c>
      <c r="X392" s="1">
        <f>+'St of Net Assets - GA'!O392-'LT _Lia - GA'!U392</f>
        <v>0</v>
      </c>
    </row>
    <row r="393" spans="1:24">
      <c r="A393" s="12" t="s">
        <v>614</v>
      </c>
      <c r="B393" s="12"/>
      <c r="C393" s="12" t="s">
        <v>64</v>
      </c>
      <c r="D393" s="12"/>
      <c r="E393" s="13">
        <v>45567</v>
      </c>
      <c r="G393" s="1">
        <v>3640000</v>
      </c>
      <c r="I393" s="1">
        <v>0</v>
      </c>
      <c r="K393" s="1">
        <v>0</v>
      </c>
      <c r="M393" s="1">
        <v>0</v>
      </c>
      <c r="O393" s="1">
        <v>588391</v>
      </c>
      <c r="Q393" s="1">
        <v>0</v>
      </c>
      <c r="S393" s="20">
        <f t="shared" si="22"/>
        <v>4228391</v>
      </c>
      <c r="U393" s="1">
        <v>679025</v>
      </c>
      <c r="X393" s="1">
        <f>+'St of Net Assets - GA'!O393-'LT _Lia - GA'!U393</f>
        <v>0</v>
      </c>
    </row>
    <row r="394" spans="1:24" hidden="1">
      <c r="A394" s="12" t="s">
        <v>946</v>
      </c>
      <c r="B394" s="12"/>
      <c r="C394" s="12" t="s">
        <v>48</v>
      </c>
      <c r="D394" s="12"/>
      <c r="E394" s="13">
        <v>48637</v>
      </c>
      <c r="S394" s="20">
        <f t="shared" si="22"/>
        <v>0</v>
      </c>
      <c r="X394" s="1">
        <f>+'St of Net Assets - GA'!O394-'LT _Lia - GA'!U394</f>
        <v>0</v>
      </c>
    </row>
    <row r="395" spans="1:24">
      <c r="A395" s="12" t="s">
        <v>723</v>
      </c>
      <c r="B395" s="12"/>
      <c r="C395" s="12" t="s">
        <v>64</v>
      </c>
      <c r="D395" s="12"/>
      <c r="E395" s="13"/>
      <c r="G395" s="1">
        <v>22071199</v>
      </c>
      <c r="I395" s="1">
        <v>0</v>
      </c>
      <c r="K395" s="1">
        <v>1319900</v>
      </c>
      <c r="M395" s="1">
        <v>0</v>
      </c>
      <c r="O395" s="1">
        <v>1069150</v>
      </c>
      <c r="Q395" s="1">
        <v>396000</v>
      </c>
      <c r="S395" s="20">
        <f t="shared" si="22"/>
        <v>24856249</v>
      </c>
      <c r="U395" s="1">
        <v>1007003</v>
      </c>
      <c r="X395" s="1">
        <f>+'St of Net Assets - GA'!O395-'LT _Lia - GA'!U395</f>
        <v>0</v>
      </c>
    </row>
    <row r="396" spans="1:24">
      <c r="A396" s="12" t="s">
        <v>518</v>
      </c>
      <c r="B396" s="12"/>
      <c r="C396" s="12" t="s">
        <v>52</v>
      </c>
      <c r="D396" s="12"/>
      <c r="E396" s="13">
        <v>48900</v>
      </c>
      <c r="G396" s="1">
        <v>0</v>
      </c>
      <c r="I396" s="1">
        <v>0</v>
      </c>
      <c r="K396" s="1">
        <v>0</v>
      </c>
      <c r="M396" s="1">
        <v>19504</v>
      </c>
      <c r="O396" s="1">
        <v>555553</v>
      </c>
      <c r="Q396" s="1">
        <v>0</v>
      </c>
      <c r="S396" s="20">
        <f t="shared" si="22"/>
        <v>575057</v>
      </c>
      <c r="U396" s="1">
        <v>52940</v>
      </c>
      <c r="X396" s="1">
        <f>+'St of Net Assets - GA'!O396-'LT _Lia - GA'!U396</f>
        <v>0</v>
      </c>
    </row>
    <row r="397" spans="1:24">
      <c r="A397" s="12" t="s">
        <v>592</v>
      </c>
      <c r="B397" s="12"/>
      <c r="C397" s="12" t="s">
        <v>63</v>
      </c>
      <c r="D397" s="12"/>
      <c r="E397" s="13">
        <v>50047</v>
      </c>
      <c r="G397" s="1">
        <v>38143697</v>
      </c>
      <c r="I397" s="1">
        <v>0</v>
      </c>
      <c r="K397" s="1">
        <v>0</v>
      </c>
      <c r="M397" s="1">
        <v>86994</v>
      </c>
      <c r="O397" s="1">
        <v>2713088</v>
      </c>
      <c r="Q397" s="1">
        <v>925250</v>
      </c>
      <c r="S397" s="20">
        <f t="shared" si="22"/>
        <v>41869029</v>
      </c>
      <c r="U397" s="1">
        <v>2746492</v>
      </c>
      <c r="X397" s="1">
        <f>+'St of Net Assets - GA'!O397-'LT _Lia - GA'!U397</f>
        <v>0</v>
      </c>
    </row>
    <row r="398" spans="1:24">
      <c r="A398" s="12" t="s">
        <v>648</v>
      </c>
      <c r="B398" s="12"/>
      <c r="C398" s="12" t="s">
        <v>72</v>
      </c>
      <c r="D398" s="12"/>
      <c r="E398" s="13">
        <v>50708</v>
      </c>
      <c r="G398" s="1">
        <f>12755908-639494</f>
        <v>12116414</v>
      </c>
      <c r="I398" s="1">
        <v>0</v>
      </c>
      <c r="K398" s="1">
        <v>0</v>
      </c>
      <c r="M398" s="1">
        <v>0</v>
      </c>
      <c r="O398" s="1">
        <v>639494</v>
      </c>
      <c r="Q398" s="1">
        <v>0</v>
      </c>
      <c r="S398" s="20">
        <f t="shared" si="22"/>
        <v>12755908</v>
      </c>
      <c r="U398" s="1">
        <v>312251</v>
      </c>
      <c r="X398" s="1">
        <f>+'St of Net Assets - GA'!O398-'LT _Lia - GA'!U398</f>
        <v>0</v>
      </c>
    </row>
    <row r="399" spans="1:24" hidden="1">
      <c r="A399" s="12" t="s">
        <v>887</v>
      </c>
      <c r="B399" s="12"/>
      <c r="C399" s="12" t="s">
        <v>53</v>
      </c>
      <c r="D399" s="12"/>
      <c r="E399" s="13">
        <v>48967</v>
      </c>
      <c r="S399" s="20">
        <f t="shared" si="22"/>
        <v>0</v>
      </c>
      <c r="X399" s="1">
        <f>+'St of Net Assets - GA'!O399-'LT _Lia - GA'!U399</f>
        <v>0</v>
      </c>
    </row>
    <row r="400" spans="1:24">
      <c r="A400" s="12" t="s">
        <v>582</v>
      </c>
      <c r="B400" s="12"/>
      <c r="C400" s="12" t="s">
        <v>62</v>
      </c>
      <c r="D400" s="12"/>
      <c r="E400" s="13">
        <v>44503</v>
      </c>
      <c r="G400" s="1">
        <f>13125000+1110316</f>
        <v>14235316</v>
      </c>
      <c r="I400" s="1">
        <v>1395000</v>
      </c>
      <c r="K400" s="1">
        <v>0</v>
      </c>
      <c r="M400" s="1">
        <v>438563</v>
      </c>
      <c r="O400" s="1">
        <v>2968470</v>
      </c>
      <c r="Q400" s="1">
        <v>758431</v>
      </c>
      <c r="S400" s="20">
        <f t="shared" si="22"/>
        <v>19795780</v>
      </c>
      <c r="U400" s="1">
        <v>2560714</v>
      </c>
      <c r="X400" s="1">
        <f>+'St of Net Assets - GA'!O400-'LT _Lia - GA'!U400</f>
        <v>0</v>
      </c>
    </row>
    <row r="401" spans="1:24" hidden="1">
      <c r="A401" s="12" t="s">
        <v>886</v>
      </c>
      <c r="B401" s="12"/>
      <c r="C401" s="12" t="s">
        <v>643</v>
      </c>
      <c r="D401" s="12"/>
      <c r="E401" s="13">
        <v>50641</v>
      </c>
      <c r="Q401" s="1">
        <v>0</v>
      </c>
      <c r="S401" s="20">
        <f t="shared" si="22"/>
        <v>0</v>
      </c>
      <c r="X401" s="1">
        <f>+'St of Net Assets - GA'!O401-'LT _Lia - GA'!U401</f>
        <v>0</v>
      </c>
    </row>
    <row r="402" spans="1:24">
      <c r="A402" s="12" t="s">
        <v>369</v>
      </c>
      <c r="B402" s="12"/>
      <c r="C402" s="12" t="s">
        <v>32</v>
      </c>
      <c r="D402" s="12"/>
      <c r="E402" s="13">
        <v>44511</v>
      </c>
      <c r="G402" s="1">
        <f>9125000+90000+40364+222026+3814000</f>
        <v>13291390</v>
      </c>
      <c r="I402" s="1">
        <v>0</v>
      </c>
      <c r="K402" s="1">
        <v>0</v>
      </c>
      <c r="M402" s="1">
        <v>0</v>
      </c>
      <c r="O402" s="1">
        <v>1235604</v>
      </c>
      <c r="Q402" s="1">
        <v>0</v>
      </c>
      <c r="S402" s="20">
        <f t="shared" si="22"/>
        <v>14526994</v>
      </c>
      <c r="U402" s="1">
        <v>271408</v>
      </c>
      <c r="X402" s="1">
        <f>+'St of Net Assets - GA'!O402-'LT _Lia - GA'!U402</f>
        <v>0</v>
      </c>
    </row>
    <row r="403" spans="1:24">
      <c r="A403" s="12" t="s">
        <v>432</v>
      </c>
      <c r="B403" s="12"/>
      <c r="C403" s="12" t="s">
        <v>42</v>
      </c>
      <c r="D403" s="12"/>
      <c r="E403" s="13">
        <v>48025</v>
      </c>
      <c r="G403" s="1">
        <v>8755481</v>
      </c>
      <c r="I403" s="1">
        <v>0</v>
      </c>
      <c r="K403" s="1">
        <v>0</v>
      </c>
      <c r="M403" s="1">
        <v>0</v>
      </c>
      <c r="O403" s="1">
        <v>1188336</v>
      </c>
      <c r="Q403" s="1">
        <v>0</v>
      </c>
      <c r="S403" s="20">
        <f t="shared" si="22"/>
        <v>9943817</v>
      </c>
      <c r="U403" s="1">
        <v>610330</v>
      </c>
      <c r="X403" s="1">
        <f>+'St of Net Assets - GA'!O403-'LT _Lia - GA'!U403</f>
        <v>0</v>
      </c>
    </row>
    <row r="404" spans="1:24">
      <c r="A404" s="12" t="s">
        <v>296</v>
      </c>
      <c r="B404" s="12"/>
      <c r="C404" s="12" t="s">
        <v>20</v>
      </c>
      <c r="D404" s="12"/>
      <c r="E404" s="13">
        <v>44529</v>
      </c>
      <c r="G404" s="1">
        <v>425000</v>
      </c>
      <c r="I404" s="1">
        <v>0</v>
      </c>
      <c r="K404" s="1">
        <v>0</v>
      </c>
      <c r="M404" s="1">
        <v>0</v>
      </c>
      <c r="O404" s="1">
        <v>3502899</v>
      </c>
      <c r="Q404" s="1">
        <v>0</v>
      </c>
      <c r="S404" s="20">
        <f t="shared" ref="S404:S430" si="24">SUM(G404:R404)</f>
        <v>3927899</v>
      </c>
      <c r="U404" s="1">
        <v>1100471</v>
      </c>
      <c r="X404" s="1">
        <f>+'St of Net Assets - GA'!O404-'LT _Lia - GA'!U404</f>
        <v>0</v>
      </c>
    </row>
    <row r="405" spans="1:24">
      <c r="A405" s="12" t="s">
        <v>445</v>
      </c>
      <c r="B405" s="12"/>
      <c r="C405" s="12" t="s">
        <v>44</v>
      </c>
      <c r="D405" s="12"/>
      <c r="E405" s="13">
        <v>44537</v>
      </c>
      <c r="G405" s="1">
        <f>1910000+81924+14669</f>
        <v>2006593</v>
      </c>
      <c r="I405" s="1">
        <v>0</v>
      </c>
      <c r="K405" s="1">
        <v>0</v>
      </c>
      <c r="M405" s="1">
        <v>295715</v>
      </c>
      <c r="O405" s="1">
        <v>2047906</v>
      </c>
      <c r="Q405" s="1">
        <v>0</v>
      </c>
      <c r="S405" s="20">
        <f t="shared" si="24"/>
        <v>4350214</v>
      </c>
      <c r="U405" s="1">
        <v>569402</v>
      </c>
      <c r="X405" s="1">
        <f>+'St of Net Assets - GA'!O405-'LT _Lia - GA'!U405</f>
        <v>0</v>
      </c>
    </row>
    <row r="406" spans="1:24">
      <c r="A406" s="12" t="s">
        <v>297</v>
      </c>
      <c r="B406" s="12"/>
      <c r="C406" s="12" t="s">
        <v>20</v>
      </c>
      <c r="D406" s="12"/>
      <c r="E406" s="13">
        <v>44545</v>
      </c>
      <c r="G406" s="1">
        <v>14806925</v>
      </c>
      <c r="I406" s="1">
        <v>0</v>
      </c>
      <c r="K406" s="1">
        <v>0</v>
      </c>
      <c r="M406" s="1">
        <v>0</v>
      </c>
      <c r="O406" s="1">
        <v>3425440</v>
      </c>
      <c r="Q406" s="1">
        <v>0</v>
      </c>
      <c r="S406" s="20">
        <f t="shared" si="24"/>
        <v>18232365</v>
      </c>
      <c r="U406" s="1">
        <v>1558824</v>
      </c>
      <c r="X406" s="1">
        <f>+'St of Net Assets - GA'!O406-'LT _Lia - GA'!U406</f>
        <v>0</v>
      </c>
    </row>
    <row r="407" spans="1:24">
      <c r="A407" s="12" t="s">
        <v>627</v>
      </c>
      <c r="B407" s="12"/>
      <c r="C407" s="12" t="s">
        <v>66</v>
      </c>
      <c r="D407" s="12"/>
      <c r="E407" s="13">
        <v>50336</v>
      </c>
      <c r="G407" s="1">
        <v>11230000</v>
      </c>
      <c r="I407" s="1">
        <v>0</v>
      </c>
      <c r="K407" s="1">
        <v>0</v>
      </c>
      <c r="M407" s="1">
        <v>0</v>
      </c>
      <c r="O407" s="1">
        <v>641396</v>
      </c>
      <c r="Q407" s="1">
        <v>0</v>
      </c>
      <c r="S407" s="20">
        <f t="shared" si="24"/>
        <v>11871396</v>
      </c>
      <c r="U407" s="1">
        <v>567868</v>
      </c>
      <c r="X407" s="1">
        <f>+'St of Net Assets - GA'!O407-'LT _Lia - GA'!U407</f>
        <v>0</v>
      </c>
    </row>
    <row r="408" spans="1:24">
      <c r="A408" s="12" t="s">
        <v>247</v>
      </c>
      <c r="B408" s="12"/>
      <c r="C408" s="12" t="s">
        <v>17</v>
      </c>
      <c r="D408" s="12"/>
      <c r="E408" s="13">
        <v>46250</v>
      </c>
      <c r="G408" s="1">
        <v>4043453</v>
      </c>
      <c r="I408" s="1">
        <v>0</v>
      </c>
      <c r="K408" s="1">
        <v>0</v>
      </c>
      <c r="M408" s="1">
        <v>87449</v>
      </c>
      <c r="O408" s="1">
        <v>1426597</v>
      </c>
      <c r="Q408" s="1">
        <v>0</v>
      </c>
      <c r="S408" s="20">
        <f t="shared" si="24"/>
        <v>5557499</v>
      </c>
      <c r="U408" s="1">
        <v>879500</v>
      </c>
      <c r="X408" s="1">
        <f>+'St of Net Assets - GA'!O408-'LT _Lia - GA'!U408</f>
        <v>0</v>
      </c>
    </row>
    <row r="409" spans="1:24" hidden="1">
      <c r="A409" s="12" t="s">
        <v>882</v>
      </c>
      <c r="B409" s="12"/>
      <c r="C409" s="12" t="s">
        <v>22</v>
      </c>
      <c r="D409" s="12"/>
      <c r="E409" s="13">
        <v>46722</v>
      </c>
      <c r="S409" s="20">
        <f t="shared" si="24"/>
        <v>0</v>
      </c>
      <c r="X409" s="1">
        <f>+'St of Net Assets - GA'!O409-'LT _Lia - GA'!U409</f>
        <v>0</v>
      </c>
    </row>
    <row r="410" spans="1:24">
      <c r="A410" s="12" t="s">
        <v>503</v>
      </c>
      <c r="B410" s="12"/>
      <c r="C410" s="12" t="s">
        <v>50</v>
      </c>
      <c r="D410" s="12"/>
      <c r="E410" s="13">
        <v>48728</v>
      </c>
      <c r="G410" s="1">
        <v>0</v>
      </c>
      <c r="I410" s="1">
        <v>0</v>
      </c>
      <c r="K410" s="1">
        <v>0</v>
      </c>
      <c r="M410" s="1">
        <v>367704</v>
      </c>
      <c r="O410" s="1">
        <v>2422420</v>
      </c>
      <c r="Q410" s="1">
        <v>0</v>
      </c>
      <c r="S410" s="20">
        <f t="shared" si="24"/>
        <v>2790124</v>
      </c>
      <c r="U410" s="1">
        <v>612473</v>
      </c>
      <c r="X410" s="1">
        <f>+'St of Net Assets - GA'!O410-'LT _Lia - GA'!U410</f>
        <v>0</v>
      </c>
    </row>
    <row r="411" spans="1:24">
      <c r="A411" s="12" t="s">
        <v>510</v>
      </c>
      <c r="B411" s="12"/>
      <c r="C411" s="12" t="s">
        <v>78</v>
      </c>
      <c r="D411" s="12"/>
      <c r="E411" s="13">
        <v>48819</v>
      </c>
      <c r="G411" s="1">
        <v>14474417</v>
      </c>
      <c r="I411" s="1">
        <v>0</v>
      </c>
      <c r="K411" s="1">
        <v>0</v>
      </c>
      <c r="M411" s="1">
        <v>0</v>
      </c>
      <c r="O411" s="1">
        <v>873267</v>
      </c>
      <c r="Q411" s="1">
        <v>0</v>
      </c>
      <c r="S411" s="20">
        <f t="shared" si="24"/>
        <v>15347684</v>
      </c>
      <c r="U411" s="1">
        <v>367646</v>
      </c>
      <c r="X411" s="1">
        <f>+'St of Net Assets - GA'!O411-'LT _Lia - GA'!U411</f>
        <v>0</v>
      </c>
    </row>
    <row r="412" spans="1:24">
      <c r="A412" s="12" t="s">
        <v>433</v>
      </c>
      <c r="B412" s="12"/>
      <c r="C412" s="17" t="s">
        <v>50</v>
      </c>
      <c r="D412" s="12"/>
      <c r="E412" s="13">
        <v>48033</v>
      </c>
      <c r="G412" s="1">
        <v>6482107</v>
      </c>
      <c r="I412" s="1">
        <v>0</v>
      </c>
      <c r="K412" s="1">
        <v>0</v>
      </c>
      <c r="M412" s="1">
        <v>4500000</v>
      </c>
      <c r="O412" s="1">
        <v>1188190</v>
      </c>
      <c r="Q412" s="1">
        <v>0</v>
      </c>
      <c r="S412" s="20">
        <f t="shared" si="24"/>
        <v>12170297</v>
      </c>
      <c r="U412" s="1">
        <v>494214</v>
      </c>
      <c r="X412" s="1">
        <f>+'St of Net Assets - GA'!O412-'LT _Lia - GA'!U412</f>
        <v>0</v>
      </c>
    </row>
    <row r="413" spans="1:24">
      <c r="A413" s="12" t="s">
        <v>433</v>
      </c>
      <c r="B413" s="12"/>
      <c r="C413" s="12" t="s">
        <v>42</v>
      </c>
      <c r="D413" s="12"/>
      <c r="E413" s="13">
        <v>48736</v>
      </c>
      <c r="G413" s="1">
        <v>5943670</v>
      </c>
      <c r="I413" s="1">
        <v>0</v>
      </c>
      <c r="K413" s="1">
        <v>0</v>
      </c>
      <c r="M413" s="1">
        <v>84690</v>
      </c>
      <c r="O413" s="1">
        <v>679682</v>
      </c>
      <c r="Q413" s="1">
        <v>224431</v>
      </c>
      <c r="S413" s="20">
        <f t="shared" si="24"/>
        <v>6932473</v>
      </c>
      <c r="U413" s="1">
        <v>732179</v>
      </c>
      <c r="X413" s="1">
        <f>+'St of Net Assets - GA'!O413-'LT _Lia - GA'!U413</f>
        <v>0</v>
      </c>
    </row>
    <row r="414" spans="1:24">
      <c r="A414" s="12" t="s">
        <v>370</v>
      </c>
      <c r="B414" s="12"/>
      <c r="C414" s="12" t="s">
        <v>32</v>
      </c>
      <c r="D414" s="12"/>
      <c r="E414" s="13">
        <v>47365</v>
      </c>
      <c r="G414" s="1">
        <v>19152404</v>
      </c>
      <c r="I414" s="1">
        <v>0</v>
      </c>
      <c r="K414" s="1">
        <v>0</v>
      </c>
      <c r="M414" s="1">
        <v>0</v>
      </c>
      <c r="O414" s="1">
        <v>4545902</v>
      </c>
      <c r="Q414" s="1">
        <v>0</v>
      </c>
      <c r="S414" s="20">
        <f t="shared" si="24"/>
        <v>23698306</v>
      </c>
      <c r="U414" s="1">
        <v>1747488</v>
      </c>
      <c r="X414" s="1">
        <f>+'St of Net Assets - GA'!O414-'LT _Lia - GA'!U414</f>
        <v>0</v>
      </c>
    </row>
    <row r="415" spans="1:24">
      <c r="A415" s="12" t="s">
        <v>370</v>
      </c>
      <c r="B415" s="12"/>
      <c r="C415" s="12" t="s">
        <v>59</v>
      </c>
      <c r="D415" s="12"/>
      <c r="E415" s="13">
        <v>49635</v>
      </c>
      <c r="G415" s="1">
        <f>429549+675667</f>
        <v>1105216</v>
      </c>
      <c r="I415" s="1">
        <v>0</v>
      </c>
      <c r="K415" s="1">
        <v>0</v>
      </c>
      <c r="M415" s="1">
        <v>2021000</v>
      </c>
      <c r="O415" s="1">
        <v>1300083</v>
      </c>
      <c r="Q415" s="1">
        <v>0</v>
      </c>
      <c r="S415" s="20">
        <f t="shared" si="24"/>
        <v>4426299</v>
      </c>
      <c r="U415" s="1">
        <v>512329</v>
      </c>
      <c r="X415" s="1">
        <f>+'St of Net Assets - GA'!O415-'LT _Lia - GA'!U415</f>
        <v>0</v>
      </c>
    </row>
    <row r="416" spans="1:24">
      <c r="A416" s="12" t="s">
        <v>370</v>
      </c>
      <c r="B416" s="12"/>
      <c r="C416" s="12" t="s">
        <v>62</v>
      </c>
      <c r="D416" s="12"/>
      <c r="E416" s="13">
        <v>49908</v>
      </c>
      <c r="G416" s="1">
        <v>19670000</v>
      </c>
      <c r="I416" s="1">
        <v>0</v>
      </c>
      <c r="K416" s="1">
        <v>0</v>
      </c>
      <c r="M416" s="1">
        <v>2834000</v>
      </c>
      <c r="O416" s="1">
        <v>1543788</v>
      </c>
      <c r="Q416" s="1">
        <v>0</v>
      </c>
      <c r="S416" s="20">
        <f t="shared" si="24"/>
        <v>24047788</v>
      </c>
      <c r="U416" s="1">
        <v>841890</v>
      </c>
      <c r="X416" s="1">
        <f>+'St of Net Assets - GA'!O416-'LT _Lia - GA'!U416</f>
        <v>0</v>
      </c>
    </row>
    <row r="417" spans="1:24">
      <c r="A417" s="12" t="s">
        <v>248</v>
      </c>
      <c r="B417" s="12"/>
      <c r="C417" s="12" t="s">
        <v>17</v>
      </c>
      <c r="D417" s="12"/>
      <c r="E417" s="13">
        <v>46268</v>
      </c>
      <c r="G417" s="1">
        <f>15000000+157792</f>
        <v>15157792</v>
      </c>
      <c r="I417" s="1">
        <v>0</v>
      </c>
      <c r="K417" s="1">
        <v>0</v>
      </c>
      <c r="M417" s="1">
        <v>490000</v>
      </c>
      <c r="O417" s="1">
        <v>795376</v>
      </c>
      <c r="Q417" s="1">
        <v>0</v>
      </c>
      <c r="S417" s="20">
        <f t="shared" si="24"/>
        <v>16443168</v>
      </c>
      <c r="U417" s="1">
        <v>213340</v>
      </c>
      <c r="X417" s="1">
        <f>+'St of Net Assets - GA'!O417-'LT _Lia - GA'!U417</f>
        <v>0</v>
      </c>
    </row>
    <row r="418" spans="1:24" hidden="1">
      <c r="A418" s="17" t="s">
        <v>947</v>
      </c>
      <c r="B418" s="12"/>
      <c r="C418" s="12" t="s">
        <v>71</v>
      </c>
      <c r="D418" s="12"/>
      <c r="E418" s="13"/>
      <c r="S418" s="20">
        <f t="shared" ref="S418" si="25">SUM(G418:R418)</f>
        <v>0</v>
      </c>
      <c r="X418" s="1">
        <f>+'St of Net Assets - GA'!O418-'LT _Lia - GA'!U418</f>
        <v>0</v>
      </c>
    </row>
    <row r="419" spans="1:24">
      <c r="A419" s="12" t="s">
        <v>649</v>
      </c>
      <c r="B419" s="12"/>
      <c r="C419" s="12" t="s">
        <v>72</v>
      </c>
      <c r="D419" s="12"/>
      <c r="E419" s="13">
        <v>50716</v>
      </c>
      <c r="G419" s="1">
        <v>837067</v>
      </c>
      <c r="I419" s="1">
        <v>0</v>
      </c>
      <c r="K419" s="1">
        <v>0</v>
      </c>
      <c r="M419" s="1">
        <v>0</v>
      </c>
      <c r="O419" s="1">
        <v>590992</v>
      </c>
      <c r="Q419" s="1">
        <v>0</v>
      </c>
      <c r="S419" s="20">
        <f t="shared" si="24"/>
        <v>1428059</v>
      </c>
      <c r="U419" s="1">
        <v>244184</v>
      </c>
      <c r="X419" s="1">
        <f>+'St of Net Assets - GA'!O419-'LT _Lia - GA'!U419</f>
        <v>0</v>
      </c>
    </row>
    <row r="420" spans="1:24">
      <c r="A420" s="12" t="s">
        <v>593</v>
      </c>
      <c r="B420" s="12"/>
      <c r="C420" s="12" t="s">
        <v>63</v>
      </c>
      <c r="D420" s="12"/>
      <c r="E420" s="13">
        <v>44552</v>
      </c>
      <c r="G420" s="1">
        <v>0</v>
      </c>
      <c r="I420" s="1">
        <v>0</v>
      </c>
      <c r="K420" s="1">
        <v>0</v>
      </c>
      <c r="M420" s="1">
        <v>95128</v>
      </c>
      <c r="O420" s="1">
        <v>864358</v>
      </c>
      <c r="Q420" s="1">
        <v>0</v>
      </c>
      <c r="S420" s="20">
        <f t="shared" si="24"/>
        <v>959486</v>
      </c>
      <c r="U420" s="1">
        <v>142043</v>
      </c>
      <c r="X420" s="1">
        <f>+'St of Net Assets - GA'!O420-'LT _Lia - GA'!U420</f>
        <v>0</v>
      </c>
    </row>
    <row r="421" spans="1:24">
      <c r="A421" s="12" t="s">
        <v>406</v>
      </c>
      <c r="B421" s="12"/>
      <c r="C421" s="12" t="s">
        <v>37</v>
      </c>
      <c r="D421" s="12"/>
      <c r="E421" s="13">
        <v>44560</v>
      </c>
      <c r="G421" s="1">
        <v>12387021</v>
      </c>
      <c r="I421" s="1">
        <v>0</v>
      </c>
      <c r="K421" s="1">
        <v>0</v>
      </c>
      <c r="M421" s="1">
        <v>0</v>
      </c>
      <c r="O421" s="1">
        <v>1125838</v>
      </c>
      <c r="Q421" s="1">
        <v>0</v>
      </c>
      <c r="S421" s="20">
        <f t="shared" si="24"/>
        <v>13512859</v>
      </c>
      <c r="U421" s="1">
        <v>855772</v>
      </c>
      <c r="X421" s="1">
        <f>+'St of Net Assets - GA'!O421-'LT _Lia - GA'!U421</f>
        <v>0</v>
      </c>
    </row>
    <row r="422" spans="1:24">
      <c r="A422" s="12" t="s">
        <v>764</v>
      </c>
      <c r="B422" s="12"/>
      <c r="C422" s="12" t="s">
        <v>32</v>
      </c>
      <c r="D422" s="12"/>
      <c r="E422" s="13">
        <v>44578</v>
      </c>
      <c r="G422" s="1">
        <v>4605000</v>
      </c>
      <c r="I422" s="1">
        <v>0</v>
      </c>
      <c r="K422" s="1">
        <v>0</v>
      </c>
      <c r="M422" s="1">
        <v>525825</v>
      </c>
      <c r="O422" s="1">
        <v>1109446</v>
      </c>
      <c r="Q422" s="1">
        <v>0</v>
      </c>
      <c r="S422" s="20">
        <f t="shared" si="24"/>
        <v>6240271</v>
      </c>
      <c r="U422" s="1">
        <v>458949</v>
      </c>
      <c r="X422" s="1">
        <f>+'St of Net Assets - GA'!O422-'LT _Lia - GA'!U422</f>
        <v>0</v>
      </c>
    </row>
    <row r="423" spans="1:24" hidden="1">
      <c r="A423" s="17" t="s">
        <v>948</v>
      </c>
      <c r="B423" s="17"/>
      <c r="C423" s="17" t="s">
        <v>38</v>
      </c>
      <c r="D423" s="17"/>
      <c r="E423" s="13"/>
      <c r="S423" s="20">
        <f t="shared" ref="S423" si="26">SUM(G423:R423)</f>
        <v>0</v>
      </c>
      <c r="X423" s="1">
        <f>+'St of Net Assets - GA'!O423-'LT _Lia - GA'!U423</f>
        <v>0</v>
      </c>
    </row>
    <row r="424" spans="1:24">
      <c r="A424" s="12" t="s">
        <v>371</v>
      </c>
      <c r="B424" s="12"/>
      <c r="C424" s="12" t="s">
        <v>32</v>
      </c>
      <c r="D424" s="12"/>
      <c r="E424" s="13">
        <v>47373</v>
      </c>
      <c r="G424" s="1">
        <v>41520353</v>
      </c>
      <c r="I424" s="1">
        <v>715000</v>
      </c>
      <c r="K424" s="1">
        <v>0</v>
      </c>
      <c r="M424" s="1">
        <v>0</v>
      </c>
      <c r="O424" s="1">
        <v>4395110</v>
      </c>
      <c r="Q424" s="1">
        <v>0</v>
      </c>
      <c r="S424" s="20">
        <f t="shared" si="24"/>
        <v>46630463</v>
      </c>
      <c r="U424" s="1">
        <v>2148842</v>
      </c>
      <c r="X424" s="1">
        <f>+'St of Net Assets - GA'!O424-'LT _Lia - GA'!U424</f>
        <v>0</v>
      </c>
    </row>
    <row r="425" spans="1:24">
      <c r="A425" s="12" t="s">
        <v>504</v>
      </c>
      <c r="B425" s="12"/>
      <c r="C425" s="12" t="s">
        <v>50</v>
      </c>
      <c r="D425" s="12"/>
      <c r="E425" s="13">
        <v>44586</v>
      </c>
      <c r="G425" s="1">
        <f>8715000+8470000+636388-498100</f>
        <v>17323288</v>
      </c>
      <c r="I425" s="1">
        <v>0</v>
      </c>
      <c r="K425" s="1">
        <v>0</v>
      </c>
      <c r="M425" s="1">
        <v>104127</v>
      </c>
      <c r="O425" s="1">
        <v>1406360</v>
      </c>
      <c r="Q425" s="1">
        <v>0</v>
      </c>
      <c r="S425" s="20">
        <f t="shared" si="24"/>
        <v>18833775</v>
      </c>
      <c r="U425" s="1">
        <v>759562</v>
      </c>
      <c r="X425" s="1">
        <f>+'St of Net Assets - GA'!O425-'LT _Lia - GA'!U425</f>
        <v>0</v>
      </c>
    </row>
    <row r="426" spans="1:24">
      <c r="A426" s="12"/>
      <c r="B426" s="12"/>
      <c r="C426" s="12"/>
      <c r="D426" s="12"/>
      <c r="E426" s="13"/>
      <c r="S426" s="20"/>
    </row>
    <row r="427" spans="1:24">
      <c r="A427" s="12"/>
      <c r="B427" s="12"/>
      <c r="C427" s="12"/>
      <c r="D427" s="12"/>
      <c r="E427" s="13"/>
      <c r="S427" s="20"/>
      <c r="U427" s="41" t="s">
        <v>709</v>
      </c>
    </row>
    <row r="428" spans="1:24">
      <c r="A428" s="12"/>
      <c r="B428" s="12"/>
      <c r="C428" s="12"/>
      <c r="D428" s="12"/>
      <c r="E428" s="13"/>
      <c r="S428" s="20"/>
    </row>
    <row r="429" spans="1:24" s="16" customFormat="1">
      <c r="A429" s="14" t="s">
        <v>446</v>
      </c>
      <c r="B429" s="14"/>
      <c r="C429" s="14" t="s">
        <v>44</v>
      </c>
      <c r="D429" s="14"/>
      <c r="E429" s="14">
        <v>44594</v>
      </c>
      <c r="G429" s="16">
        <v>0</v>
      </c>
      <c r="I429" s="16">
        <v>0</v>
      </c>
      <c r="K429" s="16">
        <v>0</v>
      </c>
      <c r="M429" s="16">
        <v>530710</v>
      </c>
      <c r="O429" s="16">
        <v>1366652</v>
      </c>
      <c r="Q429" s="16">
        <v>0</v>
      </c>
      <c r="S429" s="72">
        <f t="shared" si="24"/>
        <v>1897362</v>
      </c>
      <c r="U429" s="16">
        <v>459679</v>
      </c>
      <c r="X429" s="1">
        <f>+'St of Net Assets - GA'!O429-'LT _Lia - GA'!U429</f>
        <v>0</v>
      </c>
    </row>
    <row r="430" spans="1:24" hidden="1">
      <c r="A430" s="12" t="s">
        <v>735</v>
      </c>
      <c r="B430" s="12"/>
      <c r="C430" s="12" t="s">
        <v>60</v>
      </c>
      <c r="D430" s="12"/>
      <c r="E430" s="13">
        <v>49726</v>
      </c>
      <c r="S430" s="20">
        <f t="shared" si="24"/>
        <v>0</v>
      </c>
      <c r="X430" s="1">
        <f>+'St of Net Assets - GA'!O430-'LT _Lia - GA'!U430</f>
        <v>0</v>
      </c>
    </row>
    <row r="431" spans="1:24">
      <c r="A431" s="12" t="s">
        <v>313</v>
      </c>
      <c r="B431" s="12"/>
      <c r="C431" s="12" t="s">
        <v>23</v>
      </c>
      <c r="D431" s="12"/>
      <c r="E431" s="13">
        <v>46763</v>
      </c>
      <c r="G431" s="20">
        <v>391772565</v>
      </c>
      <c r="H431" s="20"/>
      <c r="I431" s="20">
        <v>0</v>
      </c>
      <c r="J431" s="20"/>
      <c r="K431" s="20">
        <v>0</v>
      </c>
      <c r="L431" s="20"/>
      <c r="M431" s="20">
        <v>686098</v>
      </c>
      <c r="N431" s="20"/>
      <c r="O431" s="20">
        <v>6485994</v>
      </c>
      <c r="P431" s="20"/>
      <c r="Q431" s="20">
        <v>0</v>
      </c>
      <c r="R431" s="20"/>
      <c r="S431" s="20">
        <f t="shared" ref="S431:S454" si="27">SUM(G431:R431)</f>
        <v>398944657</v>
      </c>
      <c r="T431" s="20"/>
      <c r="U431" s="20">
        <v>12526648</v>
      </c>
      <c r="V431" s="72"/>
      <c r="W431" s="72"/>
      <c r="X431" s="16">
        <f>+'St of Net Assets - GA'!O431-'LT _Lia - GA'!U431</f>
        <v>0</v>
      </c>
    </row>
    <row r="432" spans="1:24">
      <c r="A432" s="12" t="s">
        <v>298</v>
      </c>
      <c r="B432" s="12"/>
      <c r="C432" s="12" t="s">
        <v>20</v>
      </c>
      <c r="D432" s="12"/>
      <c r="E432" s="13">
        <v>46573</v>
      </c>
      <c r="G432" s="1">
        <v>22258418</v>
      </c>
      <c r="I432" s="1">
        <v>0</v>
      </c>
      <c r="K432" s="1">
        <v>0</v>
      </c>
      <c r="M432" s="1">
        <v>26691</v>
      </c>
      <c r="O432" s="1">
        <v>3322367</v>
      </c>
      <c r="Q432" s="1">
        <v>201127</v>
      </c>
      <c r="S432" s="20">
        <f t="shared" si="27"/>
        <v>25808603</v>
      </c>
      <c r="U432" s="1">
        <v>1569899</v>
      </c>
      <c r="X432" s="1">
        <f>+'St of Net Assets - GA'!O432-'LT _Lia - GA'!U432</f>
        <v>0</v>
      </c>
    </row>
    <row r="433" spans="1:24">
      <c r="A433" s="12" t="s">
        <v>546</v>
      </c>
      <c r="B433" s="12"/>
      <c r="C433" s="12" t="s">
        <v>112</v>
      </c>
      <c r="D433" s="12"/>
      <c r="E433" s="13">
        <v>49478</v>
      </c>
      <c r="G433" s="1">
        <f>16894086-260000-1347939</f>
        <v>15286147</v>
      </c>
      <c r="I433" s="1">
        <v>0</v>
      </c>
      <c r="K433" s="1">
        <v>260000</v>
      </c>
      <c r="M433" s="1">
        <v>0</v>
      </c>
      <c r="O433" s="1">
        <v>1347939</v>
      </c>
      <c r="Q433" s="1">
        <v>0</v>
      </c>
      <c r="S433" s="20">
        <f t="shared" si="27"/>
        <v>16894086</v>
      </c>
      <c r="U433" s="1">
        <v>1196773</v>
      </c>
      <c r="X433" s="1">
        <f>+'St of Net Assets - GA'!O433-'LT _Lia - GA'!U433</f>
        <v>0</v>
      </c>
    </row>
    <row r="434" spans="1:24">
      <c r="A434" s="12" t="s">
        <v>299</v>
      </c>
      <c r="B434" s="12"/>
      <c r="C434" s="12" t="s">
        <v>20</v>
      </c>
      <c r="D434" s="12"/>
      <c r="E434" s="13">
        <v>46581</v>
      </c>
      <c r="G434" s="1">
        <v>24764289</v>
      </c>
      <c r="I434" s="1">
        <v>0</v>
      </c>
      <c r="K434" s="1">
        <v>0</v>
      </c>
      <c r="M434" s="1">
        <v>193763</v>
      </c>
      <c r="O434" s="1">
        <f>4964166+18159</f>
        <v>4982325</v>
      </c>
      <c r="Q434" s="1">
        <v>0</v>
      </c>
      <c r="S434" s="20">
        <f t="shared" si="27"/>
        <v>29940377</v>
      </c>
      <c r="U434" s="1">
        <f>1719017+7765</f>
        <v>1726782</v>
      </c>
      <c r="X434" s="1">
        <f>+'St of Net Assets - GA'!O434-'LT _Lia - GA'!U434</f>
        <v>0</v>
      </c>
    </row>
    <row r="435" spans="1:24">
      <c r="A435" s="12" t="s">
        <v>451</v>
      </c>
      <c r="B435" s="12"/>
      <c r="C435" s="12" t="s">
        <v>117</v>
      </c>
      <c r="D435" s="12"/>
      <c r="E435" s="13">
        <v>44602</v>
      </c>
      <c r="G435" s="1">
        <f>39650904+2863448</f>
        <v>42514352</v>
      </c>
      <c r="I435" s="1">
        <v>0</v>
      </c>
      <c r="K435" s="1">
        <v>0</v>
      </c>
      <c r="M435" s="1">
        <v>0</v>
      </c>
      <c r="O435" s="1">
        <v>6175609</v>
      </c>
      <c r="Q435" s="1">
        <v>519984</v>
      </c>
      <c r="S435" s="20">
        <f t="shared" si="27"/>
        <v>49209945</v>
      </c>
      <c r="U435" s="1">
        <v>2178954</v>
      </c>
      <c r="X435" s="1">
        <f>+'St of Net Assets - GA'!O435-'LT _Lia - GA'!U435</f>
        <v>0</v>
      </c>
    </row>
    <row r="436" spans="1:24">
      <c r="A436" s="12" t="s">
        <v>641</v>
      </c>
      <c r="B436" s="12"/>
      <c r="C436" s="12" t="s">
        <v>71</v>
      </c>
      <c r="D436" s="12"/>
      <c r="E436" s="13">
        <v>44610</v>
      </c>
      <c r="G436" s="1">
        <f>16775000+160000+61748+686479</f>
        <v>17683227</v>
      </c>
      <c r="I436" s="1">
        <v>0</v>
      </c>
      <c r="K436" s="1">
        <v>956000</v>
      </c>
      <c r="M436" s="1">
        <v>13016770</v>
      </c>
      <c r="O436" s="1">
        <v>1678969</v>
      </c>
      <c r="Q436" s="1">
        <v>0</v>
      </c>
      <c r="S436" s="20">
        <f t="shared" si="27"/>
        <v>33334966</v>
      </c>
      <c r="U436" s="1">
        <v>804375</v>
      </c>
      <c r="X436" s="1">
        <f>+'St of Net Assets - GA'!O436-'LT _Lia - GA'!U436</f>
        <v>0</v>
      </c>
    </row>
    <row r="437" spans="1:24">
      <c r="A437" s="12" t="s">
        <v>583</v>
      </c>
      <c r="B437" s="12"/>
      <c r="C437" s="12" t="s">
        <v>62</v>
      </c>
      <c r="D437" s="12"/>
      <c r="E437" s="13">
        <v>49916</v>
      </c>
      <c r="G437" s="1">
        <f>8595246+278060</f>
        <v>8873306</v>
      </c>
      <c r="I437" s="1">
        <v>0</v>
      </c>
      <c r="K437" s="1">
        <v>0</v>
      </c>
      <c r="M437" s="1">
        <v>0</v>
      </c>
      <c r="O437" s="1">
        <v>520915</v>
      </c>
      <c r="Q437" s="1">
        <v>0</v>
      </c>
      <c r="S437" s="20">
        <f t="shared" si="27"/>
        <v>9394221</v>
      </c>
      <c r="U437" s="1">
        <v>408419</v>
      </c>
      <c r="X437" s="1">
        <f>+'St of Net Assets - GA'!O437-'LT _Lia - GA'!U437</f>
        <v>0</v>
      </c>
    </row>
    <row r="438" spans="1:24">
      <c r="A438" s="12" t="s">
        <v>650</v>
      </c>
      <c r="B438" s="12"/>
      <c r="C438" s="12" t="s">
        <v>72</v>
      </c>
      <c r="D438" s="12"/>
      <c r="E438" s="13">
        <v>50724</v>
      </c>
      <c r="G438" s="1">
        <v>21778513</v>
      </c>
      <c r="I438" s="1">
        <v>0</v>
      </c>
      <c r="K438" s="1">
        <v>0</v>
      </c>
      <c r="M438" s="1">
        <v>0</v>
      </c>
      <c r="O438" s="1">
        <v>779577</v>
      </c>
      <c r="Q438" s="1">
        <v>0</v>
      </c>
      <c r="S438" s="20">
        <f t="shared" si="27"/>
        <v>22558090</v>
      </c>
      <c r="U438" s="1">
        <v>633187</v>
      </c>
      <c r="X438" s="1">
        <f>+'St of Net Assets - GA'!O438-'LT _Lia - GA'!U438</f>
        <v>0</v>
      </c>
    </row>
    <row r="439" spans="1:24">
      <c r="A439" s="12" t="s">
        <v>452</v>
      </c>
      <c r="B439" s="12"/>
      <c r="C439" s="12" t="s">
        <v>117</v>
      </c>
      <c r="D439" s="12"/>
      <c r="E439" s="13">
        <v>48215</v>
      </c>
      <c r="G439" s="1">
        <v>2740000</v>
      </c>
      <c r="I439" s="1">
        <v>0</v>
      </c>
      <c r="K439" s="1">
        <v>0</v>
      </c>
      <c r="M439" s="1">
        <v>0</v>
      </c>
      <c r="O439" s="1">
        <v>1717371</v>
      </c>
      <c r="Q439" s="1">
        <v>0</v>
      </c>
      <c r="S439" s="20">
        <f t="shared" si="27"/>
        <v>4457371</v>
      </c>
      <c r="U439" s="1">
        <v>573650</v>
      </c>
      <c r="X439" s="1">
        <f>+'St of Net Assets - GA'!O439-'LT _Lia - GA'!U439</f>
        <v>0</v>
      </c>
    </row>
    <row r="440" spans="1:24" hidden="1">
      <c r="A440" s="12" t="s">
        <v>885</v>
      </c>
      <c r="B440" s="12"/>
      <c r="C440" s="12" t="s">
        <v>542</v>
      </c>
      <c r="D440" s="12"/>
      <c r="E440" s="13">
        <v>49379</v>
      </c>
      <c r="S440" s="20">
        <f t="shared" si="27"/>
        <v>0</v>
      </c>
      <c r="X440" s="1">
        <f>+'St of Net Assets - GA'!O440-'LT _Lia - GA'!U440</f>
        <v>0</v>
      </c>
    </row>
    <row r="441" spans="1:24" hidden="1">
      <c r="A441" s="12" t="s">
        <v>884</v>
      </c>
      <c r="B441" s="12"/>
      <c r="C441" s="12" t="s">
        <v>542</v>
      </c>
      <c r="D441" s="12"/>
      <c r="E441" s="13">
        <v>49387</v>
      </c>
      <c r="S441" s="20">
        <f t="shared" si="27"/>
        <v>0</v>
      </c>
      <c r="X441" s="1">
        <f>+'St of Net Assets - GA'!O441-'LT _Lia - GA'!U441</f>
        <v>0</v>
      </c>
    </row>
    <row r="442" spans="1:24">
      <c r="A442" s="12" t="s">
        <v>417</v>
      </c>
      <c r="B442" s="12"/>
      <c r="C442" s="12" t="s">
        <v>41</v>
      </c>
      <c r="D442" s="12"/>
      <c r="E442" s="13">
        <v>44628</v>
      </c>
      <c r="G442" s="1">
        <f>29960455-154530</f>
        <v>29805925</v>
      </c>
      <c r="I442" s="1">
        <v>0</v>
      </c>
      <c r="K442" s="1">
        <v>154530</v>
      </c>
      <c r="M442" s="1">
        <v>0</v>
      </c>
      <c r="O442" s="1">
        <v>1306238</v>
      </c>
      <c r="Q442" s="1">
        <v>0</v>
      </c>
      <c r="S442" s="20">
        <f t="shared" si="27"/>
        <v>31266693</v>
      </c>
      <c r="U442" s="1">
        <v>1216483</v>
      </c>
      <c r="X442" s="1">
        <f>+'St of Net Assets - GA'!O442-'LT _Lia - GA'!U442</f>
        <v>0</v>
      </c>
    </row>
    <row r="443" spans="1:24" hidden="1">
      <c r="A443" s="17" t="s">
        <v>852</v>
      </c>
      <c r="B443" s="12"/>
      <c r="C443" s="12" t="s">
        <v>41</v>
      </c>
      <c r="D443" s="12"/>
      <c r="E443" s="13">
        <v>47894</v>
      </c>
      <c r="S443" s="20">
        <f t="shared" si="27"/>
        <v>0</v>
      </c>
      <c r="X443" s="1">
        <f>+'St of Net Assets - GA'!O443-'LT _Lia - GA'!U443</f>
        <v>0</v>
      </c>
    </row>
    <row r="444" spans="1:24">
      <c r="A444" s="12" t="s">
        <v>552</v>
      </c>
      <c r="B444" s="12"/>
      <c r="C444" s="12" t="s">
        <v>58</v>
      </c>
      <c r="D444" s="12"/>
      <c r="E444" s="13">
        <v>49510</v>
      </c>
      <c r="G444" s="1">
        <v>1215000</v>
      </c>
      <c r="I444" s="1">
        <v>0</v>
      </c>
      <c r="K444" s="1">
        <v>0</v>
      </c>
      <c r="M444" s="1">
        <v>107206</v>
      </c>
      <c r="O444" s="1">
        <v>458844</v>
      </c>
      <c r="Q444" s="1">
        <v>0</v>
      </c>
      <c r="S444" s="20">
        <f t="shared" si="27"/>
        <v>1781050</v>
      </c>
      <c r="U444" s="1">
        <v>130998</v>
      </c>
      <c r="X444" s="1">
        <f>+'St of Net Assets - GA'!O444-'LT _Lia - GA'!U444</f>
        <v>0</v>
      </c>
    </row>
    <row r="445" spans="1:24" hidden="1">
      <c r="A445" s="17" t="s">
        <v>853</v>
      </c>
      <c r="B445" s="12"/>
      <c r="C445" s="12" t="s">
        <v>542</v>
      </c>
      <c r="D445" s="12"/>
      <c r="E445" s="13">
        <v>49395</v>
      </c>
      <c r="S445" s="20">
        <f t="shared" si="27"/>
        <v>0</v>
      </c>
      <c r="X445" s="1">
        <f>+'St of Net Assets - GA'!O445-'LT _Lia - GA'!U445</f>
        <v>0</v>
      </c>
    </row>
    <row r="446" spans="1:24" hidden="1">
      <c r="A446" s="17" t="s">
        <v>854</v>
      </c>
      <c r="B446" s="12"/>
      <c r="C446" s="12" t="s">
        <v>486</v>
      </c>
      <c r="D446" s="12"/>
      <c r="E446" s="13">
        <v>48579</v>
      </c>
      <c r="S446" s="20">
        <f t="shared" si="27"/>
        <v>0</v>
      </c>
      <c r="X446" s="1">
        <f>+'St of Net Assets - GA'!O446-'LT _Lia - GA'!U446</f>
        <v>0</v>
      </c>
    </row>
    <row r="447" spans="1:24">
      <c r="A447" s="12" t="s">
        <v>300</v>
      </c>
      <c r="B447" s="12"/>
      <c r="C447" s="12" t="s">
        <v>20</v>
      </c>
      <c r="D447" s="12"/>
      <c r="E447" s="12">
        <v>44636</v>
      </c>
      <c r="G447" s="1">
        <f>12055000-67212</f>
        <v>11987788</v>
      </c>
      <c r="I447" s="1">
        <f>1289000+3841000+3701942+1843414+2742269+2195682</f>
        <v>15613307</v>
      </c>
      <c r="K447" s="1">
        <f>6860000+7125000+96194</f>
        <v>14081194</v>
      </c>
      <c r="M447" s="1">
        <v>1829833</v>
      </c>
      <c r="O447" s="1">
        <f>9562988+101769</f>
        <v>9664757</v>
      </c>
      <c r="Q447" s="1">
        <v>0</v>
      </c>
      <c r="S447" s="20">
        <f t="shared" si="27"/>
        <v>53176879</v>
      </c>
      <c r="U447" s="1">
        <f>6344682+10447</f>
        <v>6355129</v>
      </c>
      <c r="X447" s="1">
        <f>+'St of Net Assets - GA'!O447-'LT _Lia - GA'!U447</f>
        <v>0</v>
      </c>
    </row>
    <row r="448" spans="1:24">
      <c r="A448" s="12" t="s">
        <v>393</v>
      </c>
      <c r="B448" s="12"/>
      <c r="C448" s="12" t="s">
        <v>34</v>
      </c>
      <c r="D448" s="12"/>
      <c r="E448" s="13">
        <v>47597</v>
      </c>
      <c r="G448" s="1">
        <f>186000+935000+3075000+454381</f>
        <v>4650381</v>
      </c>
      <c r="I448" s="1">
        <v>544001</v>
      </c>
      <c r="K448" s="1">
        <v>0</v>
      </c>
      <c r="M448" s="1">
        <v>85439</v>
      </c>
      <c r="O448" s="1">
        <v>750740</v>
      </c>
      <c r="Q448" s="1">
        <v>0</v>
      </c>
      <c r="S448" s="20">
        <f t="shared" si="27"/>
        <v>6030561</v>
      </c>
      <c r="U448" s="1">
        <v>221772</v>
      </c>
      <c r="X448" s="1">
        <f>+'St of Net Assets - GA'!O448-'LT _Lia - GA'!U448</f>
        <v>0</v>
      </c>
    </row>
    <row r="449" spans="1:24" hidden="1">
      <c r="A449" s="17" t="s">
        <v>855</v>
      </c>
      <c r="B449" s="12"/>
      <c r="C449" s="12" t="s">
        <v>523</v>
      </c>
      <c r="D449" s="12"/>
      <c r="E449" s="13">
        <v>45575</v>
      </c>
      <c r="S449" s="20">
        <f t="shared" si="27"/>
        <v>0</v>
      </c>
      <c r="X449" s="1">
        <f>+'St of Net Assets - GA'!O449-'LT _Lia - GA'!U449</f>
        <v>0</v>
      </c>
    </row>
    <row r="450" spans="1:24">
      <c r="A450" s="12" t="s">
        <v>318</v>
      </c>
      <c r="B450" s="12"/>
      <c r="C450" s="12" t="s">
        <v>24</v>
      </c>
      <c r="D450" s="12"/>
      <c r="E450" s="13">
        <v>46813</v>
      </c>
      <c r="G450" s="1">
        <v>0</v>
      </c>
      <c r="I450" s="1">
        <v>0</v>
      </c>
      <c r="K450" s="1">
        <v>0</v>
      </c>
      <c r="M450" s="1">
        <f>1185397+1646666</f>
        <v>2832063</v>
      </c>
      <c r="O450" s="1">
        <v>1050713</v>
      </c>
      <c r="Q450" s="1">
        <v>0</v>
      </c>
      <c r="S450" s="20">
        <f t="shared" si="27"/>
        <v>3882776</v>
      </c>
      <c r="U450" s="1">
        <v>896643</v>
      </c>
      <c r="X450" s="1">
        <f>+'St of Net Assets - GA'!O450-'LT _Lia - GA'!U450</f>
        <v>0</v>
      </c>
    </row>
    <row r="451" spans="1:24" hidden="1">
      <c r="A451" s="17" t="s">
        <v>856</v>
      </c>
      <c r="B451" s="17"/>
      <c r="C451" s="17" t="s">
        <v>10</v>
      </c>
      <c r="D451" s="12"/>
      <c r="E451" s="13"/>
      <c r="S451" s="20">
        <f t="shared" si="27"/>
        <v>0</v>
      </c>
      <c r="X451" s="1">
        <f>+'St of Net Assets - GA'!O451-'LT _Lia - GA'!U451</f>
        <v>0</v>
      </c>
    </row>
    <row r="452" spans="1:24">
      <c r="A452" s="12" t="s">
        <v>205</v>
      </c>
      <c r="B452" s="12"/>
      <c r="C452" s="12" t="s">
        <v>41</v>
      </c>
      <c r="D452" s="12"/>
      <c r="E452" s="13">
        <v>47902</v>
      </c>
      <c r="G452" s="1">
        <v>0</v>
      </c>
      <c r="I452" s="1">
        <v>0</v>
      </c>
      <c r="K452" s="1">
        <v>1391988</v>
      </c>
      <c r="M452" s="1">
        <v>65179</v>
      </c>
      <c r="O452" s="1">
        <v>2927104</v>
      </c>
      <c r="Q452" s="1">
        <v>359175</v>
      </c>
      <c r="S452" s="20">
        <f t="shared" si="27"/>
        <v>4743446</v>
      </c>
      <c r="U452" s="1">
        <v>1137342</v>
      </c>
      <c r="X452" s="1">
        <f>+'St of Net Assets - GA'!O452-'LT _Lia - GA'!U452</f>
        <v>0</v>
      </c>
    </row>
    <row r="453" spans="1:24" s="99" customFormat="1">
      <c r="A453" s="98" t="s">
        <v>205</v>
      </c>
      <c r="B453" s="98"/>
      <c r="C453" s="98" t="s">
        <v>62</v>
      </c>
      <c r="D453" s="98"/>
      <c r="E453" s="98">
        <v>49924</v>
      </c>
      <c r="G453" s="1">
        <v>0</v>
      </c>
      <c r="H453" s="1"/>
      <c r="I453" s="1">
        <v>0</v>
      </c>
      <c r="J453" s="1"/>
      <c r="K453" s="1">
        <v>0</v>
      </c>
      <c r="L453" s="1"/>
      <c r="M453" s="1">
        <v>0</v>
      </c>
      <c r="N453" s="1"/>
      <c r="O453" s="1">
        <v>6204393</v>
      </c>
      <c r="P453" s="1"/>
      <c r="Q453" s="1">
        <v>2288377</v>
      </c>
      <c r="R453" s="1"/>
      <c r="S453" s="20">
        <f t="shared" si="27"/>
        <v>8492770</v>
      </c>
      <c r="T453" s="1"/>
      <c r="U453" s="1">
        <v>2427139</v>
      </c>
      <c r="X453" s="1">
        <f>+'St of Net Assets - GA'!O453-'LT _Lia - GA'!U453</f>
        <v>0</v>
      </c>
    </row>
    <row r="454" spans="1:24">
      <c r="A454" s="12" t="s">
        <v>651</v>
      </c>
      <c r="B454" s="12"/>
      <c r="C454" s="12" t="s">
        <v>72</v>
      </c>
      <c r="D454" s="12"/>
      <c r="E454" s="13">
        <v>45583</v>
      </c>
      <c r="G454" s="1">
        <f>31139659+190850-133141</f>
        <v>31197368</v>
      </c>
      <c r="I454" s="1">
        <v>0</v>
      </c>
      <c r="K454" s="1">
        <v>585000</v>
      </c>
      <c r="M454" s="1">
        <v>0</v>
      </c>
      <c r="O454" s="1">
        <v>3802984</v>
      </c>
      <c r="Q454" s="1">
        <v>411904</v>
      </c>
      <c r="S454" s="20">
        <f t="shared" si="27"/>
        <v>35997256</v>
      </c>
      <c r="U454" s="1">
        <v>2523744</v>
      </c>
      <c r="X454" s="1">
        <f>+'St of Net Assets - GA'!O454-'LT _Lia - GA'!U454</f>
        <v>0</v>
      </c>
    </row>
    <row r="455" spans="1:24">
      <c r="A455" s="12" t="s">
        <v>345</v>
      </c>
      <c r="B455" s="12"/>
      <c r="C455" s="12" t="s">
        <v>28</v>
      </c>
      <c r="D455" s="12"/>
      <c r="E455" s="13">
        <v>47076</v>
      </c>
      <c r="G455" s="1">
        <f>5242721-406680</f>
        <v>4836041</v>
      </c>
      <c r="I455" s="1">
        <v>0</v>
      </c>
      <c r="K455" s="1">
        <v>0</v>
      </c>
      <c r="M455" s="1">
        <v>0</v>
      </c>
      <c r="O455" s="1">
        <v>406680</v>
      </c>
      <c r="Q455" s="1">
        <v>0</v>
      </c>
      <c r="S455" s="20">
        <f t="shared" ref="S455:S490" si="28">SUM(G455:R455)</f>
        <v>5242721</v>
      </c>
      <c r="U455" s="1">
        <f>1342+105000</f>
        <v>106342</v>
      </c>
      <c r="X455" s="1">
        <f>+'St of Net Assets - GA'!O455-'LT _Lia - GA'!U455</f>
        <v>0</v>
      </c>
    </row>
    <row r="456" spans="1:24">
      <c r="A456" s="12" t="s">
        <v>326</v>
      </c>
      <c r="B456" s="12"/>
      <c r="C456" s="12" t="s">
        <v>25</v>
      </c>
      <c r="D456" s="12"/>
      <c r="E456" s="13">
        <v>46896</v>
      </c>
      <c r="G456" s="1">
        <f>161845660-2563972+4131558</f>
        <v>163413246</v>
      </c>
      <c r="I456" s="1">
        <v>0</v>
      </c>
      <c r="K456" s="1">
        <v>0</v>
      </c>
      <c r="M456" s="1">
        <v>1172415</v>
      </c>
      <c r="O456" s="1">
        <v>4722052</v>
      </c>
      <c r="Q456" s="1">
        <v>0</v>
      </c>
      <c r="S456" s="20">
        <f t="shared" si="28"/>
        <v>169307713</v>
      </c>
      <c r="U456" s="1">
        <v>9628374</v>
      </c>
      <c r="X456" s="1">
        <f>+'St of Net Assets - GA'!O456-'LT _Lia - GA'!U456</f>
        <v>0</v>
      </c>
    </row>
    <row r="457" spans="1:24">
      <c r="A457" s="12" t="s">
        <v>346</v>
      </c>
      <c r="B457" s="12"/>
      <c r="C457" s="12" t="s">
        <v>28</v>
      </c>
      <c r="D457" s="12"/>
      <c r="E457" s="13">
        <v>47084</v>
      </c>
      <c r="G457" s="1">
        <v>16845006</v>
      </c>
      <c r="I457" s="1">
        <v>0</v>
      </c>
      <c r="K457" s="1">
        <v>0</v>
      </c>
      <c r="M457" s="1">
        <v>0</v>
      </c>
      <c r="O457" s="1">
        <v>1064361</v>
      </c>
      <c r="Q457" s="1">
        <v>0</v>
      </c>
      <c r="S457" s="20">
        <f t="shared" si="28"/>
        <v>17909367</v>
      </c>
      <c r="U457" s="1">
        <v>740611</v>
      </c>
      <c r="X457" s="1">
        <f>+'St of Net Assets - GA'!O457-'LT _Lia - GA'!U457</f>
        <v>0</v>
      </c>
    </row>
    <row r="458" spans="1:24">
      <c r="A458" s="12" t="s">
        <v>490</v>
      </c>
      <c r="B458" s="12"/>
      <c r="C458" s="12" t="s">
        <v>48</v>
      </c>
      <c r="D458" s="12"/>
      <c r="E458" s="13">
        <v>44644</v>
      </c>
      <c r="G458" s="1">
        <v>8262560</v>
      </c>
      <c r="I458" s="1">
        <v>0</v>
      </c>
      <c r="K458" s="1">
        <v>0</v>
      </c>
      <c r="M458" s="1">
        <v>0</v>
      </c>
      <c r="O458" s="1">
        <f>2250661+81164</f>
        <v>2331825</v>
      </c>
      <c r="Q458" s="1">
        <v>0</v>
      </c>
      <c r="S458" s="20">
        <f t="shared" si="28"/>
        <v>10594385</v>
      </c>
      <c r="U458" s="1">
        <v>1348645</v>
      </c>
      <c r="X458" s="1">
        <f>+'St of Net Assets - GA'!O458-'LT _Lia - GA'!U458</f>
        <v>0</v>
      </c>
    </row>
    <row r="459" spans="1:24" hidden="1">
      <c r="A459" s="17" t="s">
        <v>857</v>
      </c>
      <c r="B459" s="12"/>
      <c r="C459" s="12" t="s">
        <v>27</v>
      </c>
      <c r="D459" s="12"/>
      <c r="E459" s="13">
        <v>46995</v>
      </c>
      <c r="S459" s="20">
        <f t="shared" si="28"/>
        <v>0</v>
      </c>
      <c r="X459" s="1">
        <f>+'St of Net Assets - GA'!O459-'LT _Lia - GA'!U459</f>
        <v>0</v>
      </c>
    </row>
    <row r="460" spans="1:24">
      <c r="A460" s="12" t="s">
        <v>338</v>
      </c>
      <c r="B460" s="12"/>
      <c r="C460" s="12" t="s">
        <v>62</v>
      </c>
      <c r="D460" s="12"/>
      <c r="E460" s="13">
        <v>49932</v>
      </c>
      <c r="G460" s="1">
        <f>54445940+517361</f>
        <v>54963301</v>
      </c>
      <c r="I460" s="1">
        <v>0</v>
      </c>
      <c r="K460" s="1">
        <v>0</v>
      </c>
      <c r="M460" s="1">
        <v>0</v>
      </c>
      <c r="O460" s="1">
        <v>3648427</v>
      </c>
      <c r="Q460" s="1">
        <v>2441853</v>
      </c>
      <c r="S460" s="20">
        <f t="shared" si="28"/>
        <v>61053581</v>
      </c>
      <c r="U460" s="1">
        <v>3242753</v>
      </c>
      <c r="X460" s="1">
        <f>+'St of Net Assets - GA'!O460-'LT _Lia - GA'!U460</f>
        <v>0</v>
      </c>
    </row>
    <row r="461" spans="1:24">
      <c r="A461" s="12" t="s">
        <v>475</v>
      </c>
      <c r="B461" s="12"/>
      <c r="C461" s="12" t="s">
        <v>46</v>
      </c>
      <c r="D461" s="12"/>
      <c r="E461" s="13">
        <v>48421</v>
      </c>
      <c r="G461" s="1">
        <v>1795000</v>
      </c>
      <c r="I461" s="1">
        <v>314941</v>
      </c>
      <c r="K461" s="1">
        <v>0</v>
      </c>
      <c r="M461" s="1">
        <v>9628</v>
      </c>
      <c r="O461" s="1">
        <v>681457</v>
      </c>
      <c r="Q461" s="1">
        <v>0</v>
      </c>
      <c r="S461" s="20">
        <f t="shared" si="28"/>
        <v>2801026</v>
      </c>
      <c r="U461" s="1">
        <v>335314</v>
      </c>
      <c r="X461" s="1">
        <f>+'St of Net Assets - GA'!O461-'LT _Lia - GA'!U461</f>
        <v>0</v>
      </c>
    </row>
    <row r="462" spans="1:24">
      <c r="A462" s="12" t="s">
        <v>547</v>
      </c>
      <c r="B462" s="12"/>
      <c r="C462" s="12" t="s">
        <v>112</v>
      </c>
      <c r="D462" s="12"/>
      <c r="E462" s="13">
        <v>49460</v>
      </c>
      <c r="G462" s="1">
        <f>410000+873898+93157-72502</f>
        <v>1304553</v>
      </c>
      <c r="I462" s="1">
        <v>0</v>
      </c>
      <c r="K462" s="1">
        <v>0</v>
      </c>
      <c r="M462" s="1">
        <f>725000+58077</f>
        <v>783077</v>
      </c>
      <c r="O462" s="1">
        <v>455365</v>
      </c>
      <c r="Q462" s="1">
        <v>0</v>
      </c>
      <c r="S462" s="20">
        <f t="shared" si="28"/>
        <v>2542995</v>
      </c>
      <c r="U462" s="1">
        <v>213297</v>
      </c>
      <c r="X462" s="1">
        <f>+'St of Net Assets - GA'!O462-'LT _Lia - GA'!U462</f>
        <v>0</v>
      </c>
    </row>
    <row r="463" spans="1:24">
      <c r="A463" s="17" t="s">
        <v>467</v>
      </c>
      <c r="B463" s="12"/>
      <c r="C463" s="12" t="s">
        <v>45</v>
      </c>
      <c r="D463" s="12"/>
      <c r="E463" s="13">
        <v>48348</v>
      </c>
      <c r="G463" s="1">
        <f>3653365+236196-153779</f>
        <v>3735782</v>
      </c>
      <c r="I463" s="1">
        <v>0</v>
      </c>
      <c r="K463" s="1">
        <v>1613000</v>
      </c>
      <c r="M463" s="1">
        <v>7319311</v>
      </c>
      <c r="O463" s="1">
        <v>1681578</v>
      </c>
      <c r="Q463" s="1">
        <v>0</v>
      </c>
      <c r="S463" s="20">
        <f t="shared" si="28"/>
        <v>14349671</v>
      </c>
      <c r="U463" s="1">
        <f>986574+78550</f>
        <v>1065124</v>
      </c>
      <c r="X463" s="1">
        <f>+'St of Net Assets - GA'!O463-'LT _Lia - GA'!U463</f>
        <v>0</v>
      </c>
    </row>
    <row r="464" spans="1:24">
      <c r="A464" s="12" t="s">
        <v>522</v>
      </c>
      <c r="B464" s="12"/>
      <c r="C464" s="12" t="s">
        <v>53</v>
      </c>
      <c r="D464" s="12"/>
      <c r="E464" s="13">
        <v>44651</v>
      </c>
      <c r="G464" s="1">
        <f>42763237+547002-48969</f>
        <v>43261270</v>
      </c>
      <c r="I464" s="1">
        <v>0</v>
      </c>
      <c r="K464" s="1">
        <v>671400</v>
      </c>
      <c r="M464" s="1">
        <v>0</v>
      </c>
      <c r="O464" s="1">
        <v>1787671</v>
      </c>
      <c r="Q464" s="1">
        <v>114995</v>
      </c>
      <c r="S464" s="20">
        <f t="shared" si="28"/>
        <v>45835336</v>
      </c>
      <c r="U464" s="1">
        <v>998173</v>
      </c>
      <c r="X464" s="1">
        <f>+'St of Net Assets - GA'!O464-'LT _Lia - GA'!U464</f>
        <v>0</v>
      </c>
    </row>
    <row r="465" spans="1:24">
      <c r="A465" s="12" t="s">
        <v>564</v>
      </c>
      <c r="B465" s="12"/>
      <c r="C465" s="12" t="s">
        <v>59</v>
      </c>
      <c r="D465" s="12"/>
      <c r="E465" s="13">
        <v>44669</v>
      </c>
      <c r="G465" s="1">
        <f>16135815-163534-1522153</f>
        <v>14450128</v>
      </c>
      <c r="I465" s="1">
        <v>0</v>
      </c>
      <c r="K465" s="1">
        <v>0</v>
      </c>
      <c r="M465" s="1">
        <v>163534</v>
      </c>
      <c r="O465" s="1">
        <v>1522153</v>
      </c>
      <c r="Q465" s="1">
        <v>0</v>
      </c>
      <c r="S465" s="20">
        <f t="shared" si="28"/>
        <v>16135815</v>
      </c>
      <c r="U465" s="1">
        <v>848535</v>
      </c>
      <c r="X465" s="1">
        <f>+'St of Net Assets - GA'!O465-'LT _Lia - GA'!U465</f>
        <v>0</v>
      </c>
    </row>
    <row r="466" spans="1:24" hidden="1">
      <c r="A466" s="17" t="s">
        <v>858</v>
      </c>
      <c r="B466" s="12"/>
      <c r="C466" s="12" t="s">
        <v>57</v>
      </c>
      <c r="D466" s="12"/>
      <c r="E466" s="13">
        <v>49288</v>
      </c>
      <c r="S466" s="20">
        <f t="shared" si="28"/>
        <v>0</v>
      </c>
      <c r="X466" s="1">
        <f>+'St of Net Assets - GA'!O466-'LT _Lia - GA'!U466</f>
        <v>0</v>
      </c>
    </row>
    <row r="467" spans="1:24">
      <c r="A467" s="12" t="s">
        <v>372</v>
      </c>
      <c r="B467" s="12"/>
      <c r="C467" s="12" t="s">
        <v>32</v>
      </c>
      <c r="D467" s="12"/>
      <c r="E467" s="13">
        <v>44677</v>
      </c>
      <c r="G467" s="1">
        <f>84649720-3628000-2570528</f>
        <v>78451192</v>
      </c>
      <c r="I467" s="1">
        <v>3628000</v>
      </c>
      <c r="K467" s="1">
        <v>0</v>
      </c>
      <c r="M467" s="1">
        <v>0</v>
      </c>
      <c r="O467" s="1">
        <v>2570528</v>
      </c>
      <c r="Q467" s="1">
        <v>0</v>
      </c>
      <c r="S467" s="20">
        <f t="shared" si="28"/>
        <v>84649720</v>
      </c>
      <c r="U467" s="1">
        <v>2555375</v>
      </c>
      <c r="X467" s="1">
        <f>+'St of Net Assets - GA'!O467-'LT _Lia - GA'!U467</f>
        <v>0</v>
      </c>
    </row>
    <row r="468" spans="1:24">
      <c r="A468" s="12" t="s">
        <v>213</v>
      </c>
      <c r="B468" s="12"/>
      <c r="C468" s="12" t="s">
        <v>12</v>
      </c>
      <c r="D468" s="12"/>
      <c r="E468" s="13">
        <v>45880</v>
      </c>
      <c r="G468" s="1">
        <v>6647802</v>
      </c>
      <c r="I468" s="1">
        <v>0</v>
      </c>
      <c r="K468" s="1">
        <v>0</v>
      </c>
      <c r="M468" s="1">
        <v>0</v>
      </c>
      <c r="O468" s="1">
        <v>717811</v>
      </c>
      <c r="Q468" s="1">
        <v>63000</v>
      </c>
      <c r="S468" s="20">
        <f t="shared" si="28"/>
        <v>7428613</v>
      </c>
      <c r="U468" s="1">
        <v>462583</v>
      </c>
      <c r="X468" s="1">
        <f>+'St of Net Assets - GA'!O468-'LT _Lia - GA'!U468</f>
        <v>0</v>
      </c>
    </row>
    <row r="469" spans="1:24">
      <c r="A469" s="17" t="s">
        <v>765</v>
      </c>
      <c r="B469" s="17"/>
      <c r="C469" s="17" t="s">
        <v>56</v>
      </c>
      <c r="D469" s="17"/>
      <c r="E469" s="13"/>
      <c r="G469" s="1">
        <v>16487520</v>
      </c>
      <c r="I469" s="1">
        <v>0</v>
      </c>
      <c r="K469" s="1">
        <v>0</v>
      </c>
      <c r="M469" s="1">
        <v>3018662</v>
      </c>
      <c r="O469" s="1">
        <v>2253568</v>
      </c>
      <c r="Q469" s="1">
        <v>0</v>
      </c>
      <c r="S469" s="20">
        <f t="shared" si="28"/>
        <v>21759750</v>
      </c>
      <c r="U469" s="1">
        <v>693617</v>
      </c>
      <c r="X469" s="1">
        <f>+'St of Net Assets - GA'!O469-'LT _Lia - GA'!U469</f>
        <v>0</v>
      </c>
    </row>
    <row r="470" spans="1:24">
      <c r="A470" s="17" t="s">
        <v>373</v>
      </c>
      <c r="B470" s="17"/>
      <c r="C470" s="17" t="s">
        <v>32</v>
      </c>
      <c r="D470" s="17"/>
      <c r="E470" s="13">
        <v>44693</v>
      </c>
      <c r="G470" s="1">
        <v>47584</v>
      </c>
      <c r="I470" s="1">
        <v>0</v>
      </c>
      <c r="K470" s="1">
        <v>0</v>
      </c>
      <c r="M470" s="1">
        <v>286085</v>
      </c>
      <c r="O470" s="1">
        <v>1035691</v>
      </c>
      <c r="Q470" s="1">
        <v>0</v>
      </c>
      <c r="S470" s="20">
        <f t="shared" si="28"/>
        <v>1369360</v>
      </c>
      <c r="U470" s="1">
        <v>98153</v>
      </c>
      <c r="X470" s="1">
        <f>+'St of Net Assets - GA'!O470-'LT _Lia - GA'!U470</f>
        <v>0</v>
      </c>
    </row>
    <row r="471" spans="1:24">
      <c r="A471" s="12" t="s">
        <v>594</v>
      </c>
      <c r="B471" s="12"/>
      <c r="C471" s="12" t="s">
        <v>63</v>
      </c>
      <c r="D471" s="12"/>
      <c r="E471" s="13">
        <v>50054</v>
      </c>
      <c r="G471" s="1">
        <v>8568181</v>
      </c>
      <c r="I471" s="1">
        <v>0</v>
      </c>
      <c r="K471" s="1">
        <v>0</v>
      </c>
      <c r="M471" s="1">
        <v>7621</v>
      </c>
      <c r="O471" s="1">
        <v>2602670</v>
      </c>
      <c r="Q471" s="1">
        <v>0</v>
      </c>
      <c r="S471" s="20">
        <f t="shared" si="28"/>
        <v>11178472</v>
      </c>
      <c r="U471" s="1">
        <v>1422749</v>
      </c>
      <c r="X471" s="1">
        <f>+'St of Net Assets - GA'!O471-'LT _Lia - GA'!U471</f>
        <v>0</v>
      </c>
    </row>
    <row r="472" spans="1:24">
      <c r="A472" s="12" t="s">
        <v>339</v>
      </c>
      <c r="B472" s="12"/>
      <c r="C472" s="12" t="s">
        <v>27</v>
      </c>
      <c r="D472" s="12"/>
      <c r="E472" s="13">
        <v>47001</v>
      </c>
      <c r="G472" s="1">
        <f>105400196+530000+4888230</f>
        <v>110818426</v>
      </c>
      <c r="I472" s="1">
        <v>0</v>
      </c>
      <c r="K472" s="1">
        <f>225000+8150000</f>
        <v>8375000</v>
      </c>
      <c r="M472" s="1">
        <v>97254</v>
      </c>
      <c r="O472" s="1">
        <v>3384216</v>
      </c>
      <c r="Q472" s="1">
        <v>0</v>
      </c>
      <c r="S472" s="20">
        <f t="shared" si="28"/>
        <v>122674896</v>
      </c>
      <c r="U472" s="1">
        <v>4306080</v>
      </c>
      <c r="X472" s="1">
        <f>+'St of Net Assets - GA'!O472-'LT _Lia - GA'!U472</f>
        <v>0</v>
      </c>
    </row>
    <row r="473" spans="1:24">
      <c r="A473" s="12" t="s">
        <v>301</v>
      </c>
      <c r="B473" s="12"/>
      <c r="C473" s="12" t="s">
        <v>20</v>
      </c>
      <c r="D473" s="12"/>
      <c r="E473" s="13">
        <v>46599</v>
      </c>
      <c r="G473" s="1">
        <v>0</v>
      </c>
      <c r="I473" s="1">
        <v>0</v>
      </c>
      <c r="K473" s="1">
        <v>981004</v>
      </c>
      <c r="M473" s="1">
        <v>53780</v>
      </c>
      <c r="O473" s="1">
        <f>389337+5351</f>
        <v>394688</v>
      </c>
      <c r="Q473" s="1">
        <v>0</v>
      </c>
      <c r="S473" s="20">
        <f t="shared" si="28"/>
        <v>1429472</v>
      </c>
      <c r="U473" s="1">
        <v>102326</v>
      </c>
      <c r="X473" s="1">
        <f>+'St of Net Assets - GA'!O473-'LT _Lia - GA'!U473</f>
        <v>0</v>
      </c>
    </row>
    <row r="474" spans="1:24">
      <c r="A474" s="12" t="s">
        <v>476</v>
      </c>
      <c r="B474" s="12"/>
      <c r="C474" s="12" t="s">
        <v>46</v>
      </c>
      <c r="D474" s="12"/>
      <c r="E474" s="13">
        <v>48439</v>
      </c>
      <c r="G474" s="1">
        <v>0</v>
      </c>
      <c r="I474" s="1">
        <v>0</v>
      </c>
      <c r="K474" s="1">
        <v>0</v>
      </c>
      <c r="M474" s="1">
        <v>202683</v>
      </c>
      <c r="O474" s="1">
        <v>327570</v>
      </c>
      <c r="Q474" s="1">
        <v>0</v>
      </c>
      <c r="S474" s="20">
        <f t="shared" si="28"/>
        <v>530253</v>
      </c>
      <c r="U474" s="1">
        <v>157435</v>
      </c>
      <c r="X474" s="1">
        <f>+'St of Net Assets - GA'!O474-'LT _Lia - GA'!U474</f>
        <v>0</v>
      </c>
    </row>
    <row r="475" spans="1:24">
      <c r="A475" s="12" t="s">
        <v>895</v>
      </c>
      <c r="B475" s="12"/>
      <c r="C475" s="12" t="s">
        <v>383</v>
      </c>
      <c r="D475" s="12"/>
      <c r="E475" s="13">
        <v>47506</v>
      </c>
      <c r="G475" s="1">
        <f>294496+469471</f>
        <v>763967</v>
      </c>
      <c r="I475" s="1">
        <v>0</v>
      </c>
      <c r="K475" s="1">
        <v>0</v>
      </c>
      <c r="M475" s="1">
        <v>0</v>
      </c>
      <c r="O475" s="1">
        <f>180825+3625</f>
        <v>184450</v>
      </c>
      <c r="Q475" s="1">
        <v>0</v>
      </c>
      <c r="S475" s="20">
        <f t="shared" si="28"/>
        <v>948417</v>
      </c>
      <c r="U475" s="1">
        <f>66310+24666</f>
        <v>90976</v>
      </c>
      <c r="X475" s="1">
        <f>+'St of Net Assets - GA'!O475-'LT _Lia - GA'!U475</f>
        <v>0</v>
      </c>
    </row>
    <row r="476" spans="1:24">
      <c r="A476" s="12" t="s">
        <v>273</v>
      </c>
      <c r="B476" s="12"/>
      <c r="C476" s="12" t="s">
        <v>19</v>
      </c>
      <c r="D476" s="12"/>
      <c r="E476" s="13">
        <v>46474</v>
      </c>
      <c r="G476" s="1">
        <f>2891266+216502-164766</f>
        <v>2943002</v>
      </c>
      <c r="I476" s="1">
        <v>0</v>
      </c>
      <c r="K476" s="1">
        <v>0</v>
      </c>
      <c r="M476" s="1">
        <v>236724</v>
      </c>
      <c r="O476" s="1">
        <v>1090214</v>
      </c>
      <c r="Q476" s="1">
        <v>0</v>
      </c>
      <c r="S476" s="20">
        <f t="shared" si="28"/>
        <v>4269940</v>
      </c>
      <c r="U476" s="1">
        <v>350994</v>
      </c>
      <c r="X476" s="1">
        <f>+'St of Net Assets - GA'!O476-'LT _Lia - GA'!U476</f>
        <v>0</v>
      </c>
    </row>
    <row r="477" spans="1:24">
      <c r="A477" s="12" t="s">
        <v>766</v>
      </c>
      <c r="B477" s="12"/>
      <c r="C477" s="12" t="s">
        <v>77</v>
      </c>
      <c r="D477" s="12"/>
      <c r="E477" s="13">
        <v>46078</v>
      </c>
      <c r="G477" s="1">
        <v>2164422</v>
      </c>
      <c r="I477" s="1">
        <v>0</v>
      </c>
      <c r="K477" s="1">
        <v>0</v>
      </c>
      <c r="M477" s="1">
        <v>475000</v>
      </c>
      <c r="O477" s="1">
        <v>572070</v>
      </c>
      <c r="Q477" s="1">
        <v>0</v>
      </c>
      <c r="S477" s="20">
        <f t="shared" si="28"/>
        <v>3211492</v>
      </c>
      <c r="U477" s="1">
        <v>339029</v>
      </c>
      <c r="X477" s="1">
        <f>+'St of Net Assets - GA'!O477-'LT _Lia - GA'!U477</f>
        <v>0</v>
      </c>
    </row>
    <row r="478" spans="1:24">
      <c r="A478" s="12" t="s">
        <v>642</v>
      </c>
      <c r="B478" s="12"/>
      <c r="C478" s="12" t="s">
        <v>71</v>
      </c>
      <c r="D478" s="12"/>
      <c r="E478" s="13">
        <v>45591</v>
      </c>
      <c r="G478" s="1">
        <f>9306056-603038</f>
        <v>8703018</v>
      </c>
      <c r="I478" s="1">
        <v>0</v>
      </c>
      <c r="K478" s="1">
        <v>0</v>
      </c>
      <c r="M478" s="1">
        <v>0</v>
      </c>
      <c r="O478" s="1">
        <v>603038</v>
      </c>
      <c r="Q478" s="1">
        <v>0</v>
      </c>
      <c r="S478" s="20">
        <f t="shared" si="28"/>
        <v>9306056</v>
      </c>
      <c r="U478" s="1">
        <v>299220</v>
      </c>
      <c r="X478" s="1">
        <f>+'St of Net Assets - GA'!O478-'LT _Lia - GA'!U478</f>
        <v>0</v>
      </c>
    </row>
    <row r="479" spans="1:24">
      <c r="A479" s="12" t="s">
        <v>477</v>
      </c>
      <c r="B479" s="12"/>
      <c r="C479" s="12" t="s">
        <v>46</v>
      </c>
      <c r="D479" s="12"/>
      <c r="E479" s="13">
        <v>48447</v>
      </c>
      <c r="G479" s="1">
        <v>14869081</v>
      </c>
      <c r="I479" s="1">
        <v>0</v>
      </c>
      <c r="K479" s="1">
        <v>0</v>
      </c>
      <c r="M479" s="1">
        <v>0</v>
      </c>
      <c r="O479" s="1">
        <v>905673</v>
      </c>
      <c r="Q479" s="1">
        <v>0</v>
      </c>
      <c r="S479" s="20">
        <f t="shared" si="28"/>
        <v>15774754</v>
      </c>
      <c r="U479" s="1">
        <v>893207</v>
      </c>
      <c r="X479" s="1">
        <f>+'St of Net Assets - GA'!O479-'LT _Lia - GA'!U479</f>
        <v>0</v>
      </c>
    </row>
    <row r="480" spans="1:24">
      <c r="A480" s="12" t="s">
        <v>274</v>
      </c>
      <c r="B480" s="12"/>
      <c r="C480" s="12" t="s">
        <v>19</v>
      </c>
      <c r="D480" s="12"/>
      <c r="E480" s="13">
        <v>46482</v>
      </c>
      <c r="G480" s="1">
        <v>1375966</v>
      </c>
      <c r="I480" s="1">
        <v>0</v>
      </c>
      <c r="K480" s="1">
        <v>0</v>
      </c>
      <c r="M480" s="1">
        <v>142585</v>
      </c>
      <c r="O480" s="1">
        <v>836270</v>
      </c>
      <c r="Q480" s="1">
        <v>20000</v>
      </c>
      <c r="S480" s="20">
        <f t="shared" si="28"/>
        <v>2374821</v>
      </c>
      <c r="U480" s="1">
        <v>185973</v>
      </c>
      <c r="X480" s="1">
        <f>+'St of Net Assets - GA'!O480-'LT _Lia - GA'!U480</f>
        <v>0</v>
      </c>
    </row>
    <row r="481" spans="1:24" hidden="1">
      <c r="A481" s="12" t="s">
        <v>932</v>
      </c>
      <c r="B481" s="12"/>
      <c r="C481" s="12" t="s">
        <v>383</v>
      </c>
      <c r="D481" s="12"/>
      <c r="E481" s="13">
        <v>47514</v>
      </c>
      <c r="S481" s="20">
        <f t="shared" si="28"/>
        <v>0</v>
      </c>
      <c r="X481" s="1">
        <f>+'St of Net Assets - GA'!O481-'LT _Lia - GA'!U481</f>
        <v>0</v>
      </c>
    </row>
    <row r="482" spans="1:24">
      <c r="A482" s="12" t="s">
        <v>435</v>
      </c>
      <c r="B482" s="12"/>
      <c r="C482" s="12" t="s">
        <v>41</v>
      </c>
      <c r="D482" s="12"/>
      <c r="E482" s="13"/>
      <c r="G482" s="1">
        <v>4420754</v>
      </c>
      <c r="I482" s="1">
        <v>0</v>
      </c>
      <c r="K482" s="1">
        <v>0</v>
      </c>
      <c r="M482" s="1">
        <v>71447</v>
      </c>
      <c r="O482" s="1">
        <f>1045681+28523</f>
        <v>1074204</v>
      </c>
      <c r="Q482" s="1">
        <v>37190</v>
      </c>
      <c r="S482" s="20">
        <f t="shared" si="28"/>
        <v>5603595</v>
      </c>
      <c r="U482" s="1">
        <f>1417626+2902</f>
        <v>1420528</v>
      </c>
      <c r="X482" s="1">
        <f>+'St of Net Assets - GA'!O482-'LT _Lia - GA'!U482</f>
        <v>0</v>
      </c>
    </row>
    <row r="483" spans="1:24">
      <c r="A483" s="12" t="s">
        <v>435</v>
      </c>
      <c r="B483" s="12"/>
      <c r="C483" s="12" t="s">
        <v>43</v>
      </c>
      <c r="D483" s="12"/>
      <c r="E483" s="13">
        <v>48090</v>
      </c>
      <c r="G483" s="1">
        <f>367834+1589738+185637-138527</f>
        <v>2004682</v>
      </c>
      <c r="I483" s="1">
        <v>0</v>
      </c>
      <c r="K483" s="1">
        <v>0</v>
      </c>
      <c r="M483" s="1">
        <v>0</v>
      </c>
      <c r="O483" s="1">
        <v>552945</v>
      </c>
      <c r="Q483" s="1">
        <v>0</v>
      </c>
      <c r="S483" s="20">
        <f t="shared" si="28"/>
        <v>2557627</v>
      </c>
      <c r="U483" s="1">
        <v>189813</v>
      </c>
      <c r="X483" s="1">
        <f>+'St of Net Assets - GA'!O483-'LT _Lia - GA'!U483</f>
        <v>0</v>
      </c>
    </row>
    <row r="484" spans="1:24">
      <c r="A484" s="12" t="s">
        <v>424</v>
      </c>
      <c r="B484" s="12"/>
      <c r="C484" s="12" t="s">
        <v>420</v>
      </c>
      <c r="D484" s="12"/>
      <c r="E484" s="13">
        <v>47944</v>
      </c>
      <c r="G484" s="1">
        <v>0</v>
      </c>
      <c r="I484" s="1">
        <v>0</v>
      </c>
      <c r="K484" s="1">
        <v>0</v>
      </c>
      <c r="M484" s="1">
        <v>0</v>
      </c>
      <c r="O484" s="1">
        <v>1205187</v>
      </c>
      <c r="Q484" s="1">
        <v>0</v>
      </c>
      <c r="S484" s="20">
        <f t="shared" si="28"/>
        <v>1205187</v>
      </c>
      <c r="U484" s="1">
        <v>64136</v>
      </c>
      <c r="X484" s="1">
        <f>+'St of Net Assets - GA'!O484-'LT _Lia - GA'!U484</f>
        <v>0</v>
      </c>
    </row>
    <row r="485" spans="1:24">
      <c r="A485" s="12" t="s">
        <v>896</v>
      </c>
      <c r="B485" s="12"/>
      <c r="C485" s="12" t="s">
        <v>20</v>
      </c>
      <c r="D485" s="12"/>
      <c r="E485" s="13">
        <v>44701</v>
      </c>
      <c r="G485" s="1">
        <v>14494842</v>
      </c>
      <c r="I485" s="1">
        <v>0</v>
      </c>
      <c r="K485" s="1">
        <v>0</v>
      </c>
      <c r="M485" s="1">
        <v>214499</v>
      </c>
      <c r="O485" s="1">
        <v>4314687</v>
      </c>
      <c r="Q485" s="1">
        <v>0</v>
      </c>
      <c r="S485" s="20">
        <f t="shared" si="28"/>
        <v>19024028</v>
      </c>
      <c r="U485" s="1">
        <v>3218830</v>
      </c>
      <c r="X485" s="1">
        <f>+'St of Net Assets - GA'!O485-'LT _Lia - GA'!U485</f>
        <v>0</v>
      </c>
    </row>
    <row r="486" spans="1:24">
      <c r="A486" s="12" t="s">
        <v>362</v>
      </c>
      <c r="B486" s="12"/>
      <c r="C486" s="12" t="s">
        <v>31</v>
      </c>
      <c r="D486" s="12"/>
      <c r="E486" s="13">
        <v>47308</v>
      </c>
      <c r="G486" s="1">
        <v>0</v>
      </c>
      <c r="I486" s="1">
        <v>0</v>
      </c>
      <c r="K486" s="1">
        <v>744011</v>
      </c>
      <c r="M486" s="1">
        <v>0</v>
      </c>
      <c r="O486" s="1">
        <v>970062</v>
      </c>
      <c r="Q486" s="1">
        <v>344000</v>
      </c>
      <c r="S486" s="20">
        <f t="shared" si="28"/>
        <v>2058073</v>
      </c>
      <c r="U486" s="1">
        <v>408528</v>
      </c>
      <c r="X486" s="1">
        <f>+'St of Net Assets - GA'!O486-'LT _Lia - GA'!U486</f>
        <v>0</v>
      </c>
    </row>
    <row r="487" spans="1:24">
      <c r="A487" s="12" t="s">
        <v>536</v>
      </c>
      <c r="B487" s="12"/>
      <c r="C487" s="12" t="s">
        <v>56</v>
      </c>
      <c r="D487" s="12"/>
      <c r="E487" s="13">
        <v>49213</v>
      </c>
      <c r="G487" s="1">
        <v>0</v>
      </c>
      <c r="I487" s="1">
        <v>0</v>
      </c>
      <c r="K487" s="1">
        <v>0</v>
      </c>
      <c r="M487" s="1">
        <v>0</v>
      </c>
      <c r="O487" s="1">
        <v>850414</v>
      </c>
      <c r="Q487" s="1">
        <v>0</v>
      </c>
      <c r="S487" s="20">
        <f t="shared" si="28"/>
        <v>850414</v>
      </c>
      <c r="U487" s="1">
        <v>204631</v>
      </c>
      <c r="X487" s="1">
        <f>+'St of Net Assets - GA'!O487-'LT _Lia - GA'!U487</f>
        <v>0</v>
      </c>
    </row>
    <row r="488" spans="1:24">
      <c r="A488" s="17" t="s">
        <v>897</v>
      </c>
      <c r="B488" s="12"/>
      <c r="C488" s="12" t="s">
        <v>227</v>
      </c>
      <c r="D488" s="12"/>
      <c r="E488" s="13">
        <v>46144</v>
      </c>
      <c r="G488" s="1">
        <f>22271749-11040204-140341-1090527</f>
        <v>10000677</v>
      </c>
      <c r="I488" s="1">
        <v>0</v>
      </c>
      <c r="K488" s="1">
        <v>0</v>
      </c>
      <c r="M488" s="1">
        <v>1040204</v>
      </c>
      <c r="O488" s="1">
        <v>1090527</v>
      </c>
      <c r="Q488" s="1">
        <v>140341</v>
      </c>
      <c r="S488" s="20">
        <f t="shared" si="28"/>
        <v>12271749</v>
      </c>
      <c r="U488" s="1">
        <v>1860703</v>
      </c>
      <c r="X488" s="1">
        <f>+'St of Net Assets - GA'!O488-'LT _Lia - GA'!U488</f>
        <v>0</v>
      </c>
    </row>
    <row r="489" spans="1:24">
      <c r="A489" s="12" t="s">
        <v>652</v>
      </c>
      <c r="B489" s="12"/>
      <c r="C489" s="12" t="s">
        <v>72</v>
      </c>
      <c r="D489" s="12"/>
      <c r="E489" s="13">
        <v>45609</v>
      </c>
      <c r="G489" s="1">
        <v>0</v>
      </c>
      <c r="I489" s="1">
        <v>0</v>
      </c>
      <c r="K489" s="1">
        <v>0</v>
      </c>
      <c r="M489" s="1">
        <v>0</v>
      </c>
      <c r="O489" s="1">
        <v>1815386</v>
      </c>
      <c r="Q489" s="1">
        <v>0</v>
      </c>
      <c r="S489" s="20">
        <f t="shared" si="28"/>
        <v>1815386</v>
      </c>
      <c r="U489" s="1">
        <v>127132</v>
      </c>
      <c r="X489" s="1">
        <f>+'St of Net Assets - GA'!O489-'LT _Lia - GA'!U489</f>
        <v>0</v>
      </c>
    </row>
    <row r="490" spans="1:24">
      <c r="A490" s="12" t="s">
        <v>570</v>
      </c>
      <c r="B490" s="12"/>
      <c r="C490" s="12" t="s">
        <v>61</v>
      </c>
      <c r="D490" s="12"/>
      <c r="E490" s="13">
        <v>49817</v>
      </c>
      <c r="G490" s="1">
        <v>5713732</v>
      </c>
      <c r="I490" s="1">
        <v>0</v>
      </c>
      <c r="K490" s="1">
        <v>0</v>
      </c>
      <c r="M490" s="1">
        <v>0</v>
      </c>
      <c r="O490" s="1">
        <v>238589</v>
      </c>
      <c r="Q490" s="1">
        <v>0</v>
      </c>
      <c r="S490" s="20">
        <f t="shared" si="28"/>
        <v>5952321</v>
      </c>
      <c r="U490" s="1">
        <v>215000</v>
      </c>
      <c r="X490" s="1">
        <f>+'St of Net Assets - GA'!O490-'LT _Lia - GA'!U490</f>
        <v>0</v>
      </c>
    </row>
    <row r="491" spans="1:24">
      <c r="A491" s="17" t="s">
        <v>725</v>
      </c>
      <c r="B491" s="17"/>
      <c r="C491" s="17" t="s">
        <v>114</v>
      </c>
      <c r="D491" s="17"/>
      <c r="E491" s="13"/>
      <c r="G491" s="1">
        <v>0</v>
      </c>
      <c r="I491" s="1">
        <v>0</v>
      </c>
      <c r="K491" s="1">
        <v>0</v>
      </c>
      <c r="M491" s="1">
        <v>0</v>
      </c>
      <c r="O491" s="1">
        <v>1877611</v>
      </c>
      <c r="Q491" s="1">
        <v>0</v>
      </c>
      <c r="S491" s="20">
        <f t="shared" ref="S491:S529" si="29">SUM(G491:R491)</f>
        <v>1877611</v>
      </c>
      <c r="U491" s="1">
        <v>360949</v>
      </c>
      <c r="X491" s="1">
        <f>+'St of Net Assets - GA'!O491-'LT _Lia - GA'!U491</f>
        <v>0</v>
      </c>
    </row>
    <row r="492" spans="1:24">
      <c r="A492" s="12" t="s">
        <v>319</v>
      </c>
      <c r="B492" s="12"/>
      <c r="C492" s="12" t="s">
        <v>24</v>
      </c>
      <c r="D492" s="12"/>
      <c r="E492" s="13">
        <v>44743</v>
      </c>
      <c r="G492" s="1">
        <v>0</v>
      </c>
      <c r="I492" s="1">
        <v>0</v>
      </c>
      <c r="K492" s="1">
        <v>0</v>
      </c>
      <c r="M492" s="1">
        <v>635789</v>
      </c>
      <c r="O492" s="1">
        <v>5164467</v>
      </c>
      <c r="Q492" s="1">
        <v>0</v>
      </c>
      <c r="S492" s="20">
        <f t="shared" si="29"/>
        <v>5800256</v>
      </c>
      <c r="U492" s="1">
        <v>1175037</v>
      </c>
      <c r="X492" s="1">
        <f>+'St of Net Assets - GA'!O492-'LT _Lia - GA'!U492</f>
        <v>0</v>
      </c>
    </row>
    <row r="493" spans="1:24">
      <c r="A493" s="12" t="s">
        <v>584</v>
      </c>
      <c r="B493" s="12"/>
      <c r="C493" s="12" t="s">
        <v>62</v>
      </c>
      <c r="D493" s="12"/>
      <c r="E493" s="13">
        <v>49940</v>
      </c>
      <c r="G493" s="1">
        <f>11670325+193423</f>
        <v>11863748</v>
      </c>
      <c r="I493" s="1">
        <v>0</v>
      </c>
      <c r="K493" s="1">
        <v>0</v>
      </c>
      <c r="M493" s="1">
        <v>65508</v>
      </c>
      <c r="O493" s="1">
        <v>738353</v>
      </c>
      <c r="Q493" s="1">
        <v>0</v>
      </c>
      <c r="S493" s="20">
        <f t="shared" si="29"/>
        <v>12667609</v>
      </c>
      <c r="U493" s="1">
        <v>550019</v>
      </c>
      <c r="X493" s="1">
        <f>+'St of Net Assets - GA'!O493-'LT _Lia - GA'!U493</f>
        <v>0</v>
      </c>
    </row>
    <row r="494" spans="1:24">
      <c r="A494" s="12" t="s">
        <v>529</v>
      </c>
      <c r="B494" s="12"/>
      <c r="C494" s="12" t="s">
        <v>55</v>
      </c>
      <c r="D494" s="12"/>
      <c r="E494" s="13">
        <v>49130</v>
      </c>
      <c r="G494" s="1">
        <v>755000</v>
      </c>
      <c r="I494" s="1">
        <v>0</v>
      </c>
      <c r="K494" s="1">
        <v>0</v>
      </c>
      <c r="M494" s="1">
        <v>1050000</v>
      </c>
      <c r="O494" s="1">
        <v>601724</v>
      </c>
      <c r="Q494" s="1">
        <v>0</v>
      </c>
      <c r="S494" s="20">
        <f t="shared" si="29"/>
        <v>2406724</v>
      </c>
      <c r="U494" s="1">
        <v>189019</v>
      </c>
      <c r="X494" s="1">
        <f>+'St of Net Assets - GA'!O494-'LT _Lia - GA'!U494</f>
        <v>0</v>
      </c>
    </row>
    <row r="495" spans="1:24">
      <c r="A495" s="12" t="s">
        <v>468</v>
      </c>
      <c r="B495" s="12"/>
      <c r="C495" s="12" t="s">
        <v>45</v>
      </c>
      <c r="D495" s="12"/>
      <c r="E495" s="13">
        <v>48355</v>
      </c>
      <c r="G495" s="1">
        <v>1105467</v>
      </c>
      <c r="I495" s="1">
        <v>0</v>
      </c>
      <c r="K495" s="1">
        <v>0</v>
      </c>
      <c r="M495" s="1">
        <v>0</v>
      </c>
      <c r="O495" s="1">
        <v>436809</v>
      </c>
      <c r="Q495" s="1">
        <v>0</v>
      </c>
      <c r="S495" s="20">
        <f t="shared" si="29"/>
        <v>1542276</v>
      </c>
      <c r="U495" s="1">
        <v>116220</v>
      </c>
      <c r="X495" s="1">
        <f>+'St of Net Assets - GA'!O495-'LT _Lia - GA'!U495</f>
        <v>0</v>
      </c>
    </row>
    <row r="496" spans="1:24">
      <c r="A496" s="12" t="s">
        <v>567</v>
      </c>
      <c r="B496" s="12"/>
      <c r="C496" s="12" t="s">
        <v>60</v>
      </c>
      <c r="D496" s="12"/>
      <c r="E496" s="13">
        <v>49684</v>
      </c>
      <c r="G496" s="1">
        <v>10859074</v>
      </c>
      <c r="I496" s="1">
        <v>0</v>
      </c>
      <c r="K496" s="1">
        <v>0</v>
      </c>
      <c r="M496" s="1">
        <v>230036</v>
      </c>
      <c r="O496" s="1">
        <v>637688</v>
      </c>
      <c r="Q496" s="1">
        <v>0</v>
      </c>
      <c r="S496" s="20">
        <f t="shared" si="29"/>
        <v>11726798</v>
      </c>
      <c r="U496" s="1">
        <v>378880</v>
      </c>
      <c r="X496" s="1">
        <f>+'St of Net Assets - GA'!O496-'LT _Lia - GA'!U496</f>
        <v>0</v>
      </c>
    </row>
    <row r="497" spans="1:24">
      <c r="A497" s="12" t="s">
        <v>222</v>
      </c>
      <c r="B497" s="12"/>
      <c r="C497" s="12" t="s">
        <v>15</v>
      </c>
      <c r="D497" s="12"/>
      <c r="E497" s="13">
        <v>46003</v>
      </c>
      <c r="G497" s="20">
        <v>0</v>
      </c>
      <c r="H497" s="20"/>
      <c r="I497" s="20">
        <v>0</v>
      </c>
      <c r="J497" s="20"/>
      <c r="K497" s="20">
        <v>46788</v>
      </c>
      <c r="L497" s="20"/>
      <c r="M497" s="20">
        <v>0</v>
      </c>
      <c r="N497" s="20"/>
      <c r="O497" s="20">
        <v>556603</v>
      </c>
      <c r="P497" s="20"/>
      <c r="Q497" s="20">
        <v>0</v>
      </c>
      <c r="R497" s="20"/>
      <c r="S497" s="20">
        <f t="shared" si="29"/>
        <v>603391</v>
      </c>
      <c r="T497" s="20"/>
      <c r="U497" s="20">
        <v>47863</v>
      </c>
      <c r="V497" s="72"/>
      <c r="W497" s="72"/>
      <c r="X497" s="72">
        <f>+'St of Net Assets - GA'!O497-'LT _Lia - GA'!U497</f>
        <v>0</v>
      </c>
    </row>
    <row r="498" spans="1:24">
      <c r="A498" s="17" t="s">
        <v>898</v>
      </c>
      <c r="B498" s="12"/>
      <c r="C498" s="12" t="s">
        <v>20</v>
      </c>
      <c r="D498" s="12"/>
      <c r="E498" s="13">
        <v>44750</v>
      </c>
      <c r="G498" s="1">
        <v>26212723</v>
      </c>
      <c r="I498" s="1">
        <v>0</v>
      </c>
      <c r="K498" s="1">
        <v>600000</v>
      </c>
      <c r="M498" s="1">
        <v>0</v>
      </c>
      <c r="O498" s="1">
        <v>6689773</v>
      </c>
      <c r="Q498" s="1">
        <v>1839100</v>
      </c>
      <c r="S498" s="20">
        <f t="shared" si="29"/>
        <v>35341596</v>
      </c>
      <c r="U498" s="1">
        <v>4661691</v>
      </c>
      <c r="X498" s="1">
        <f>+'St of Net Assets - GA'!O498-'LT _Lia - GA'!U498</f>
        <v>0</v>
      </c>
    </row>
    <row r="499" spans="1:24" hidden="1">
      <c r="A499" s="17" t="s">
        <v>872</v>
      </c>
      <c r="B499" s="17"/>
      <c r="C499" s="17" t="s">
        <v>10</v>
      </c>
      <c r="D499" s="12"/>
      <c r="E499" s="13"/>
      <c r="S499" s="20">
        <f t="shared" si="29"/>
        <v>0</v>
      </c>
      <c r="X499" s="1">
        <f>+'St of Net Assets - GA'!O499-'LT _Lia - GA'!U499</f>
        <v>0</v>
      </c>
    </row>
    <row r="500" spans="1:24">
      <c r="A500" s="12" t="s">
        <v>447</v>
      </c>
      <c r="B500" s="12"/>
      <c r="C500" s="12" t="s">
        <v>44</v>
      </c>
      <c r="D500" s="12"/>
      <c r="E500" s="13">
        <v>44768</v>
      </c>
      <c r="G500" s="1">
        <v>480000</v>
      </c>
      <c r="I500" s="1">
        <v>0</v>
      </c>
      <c r="K500" s="1">
        <v>0</v>
      </c>
      <c r="M500" s="1">
        <v>175000</v>
      </c>
      <c r="O500" s="1">
        <v>1121517</v>
      </c>
      <c r="Q500" s="1">
        <v>0</v>
      </c>
      <c r="S500" s="20">
        <f t="shared" si="29"/>
        <v>1776517</v>
      </c>
      <c r="U500" s="1">
        <v>140952</v>
      </c>
      <c r="X500" s="1">
        <f>+'St of Net Assets - GA'!O500-'LT _Lia - GA'!U500</f>
        <v>0</v>
      </c>
    </row>
    <row r="501" spans="1:24">
      <c r="A501" s="12" t="s">
        <v>548</v>
      </c>
      <c r="B501" s="12"/>
      <c r="C501" s="12" t="s">
        <v>112</v>
      </c>
      <c r="D501" s="12"/>
      <c r="E501" s="13">
        <v>44776</v>
      </c>
      <c r="G501" s="1">
        <v>315000</v>
      </c>
      <c r="I501" s="1">
        <v>0</v>
      </c>
      <c r="K501" s="1">
        <v>0</v>
      </c>
      <c r="M501" s="1">
        <v>153250</v>
      </c>
      <c r="O501" s="1">
        <v>1557655</v>
      </c>
      <c r="Q501" s="1">
        <v>0</v>
      </c>
      <c r="S501" s="20">
        <f t="shared" si="29"/>
        <v>2025905</v>
      </c>
      <c r="U501" s="1">
        <v>425891</v>
      </c>
      <c r="X501" s="1">
        <f>+'St of Net Assets - GA'!O501-'LT _Lia - GA'!U501</f>
        <v>0</v>
      </c>
    </row>
    <row r="502" spans="1:24">
      <c r="A502" s="17" t="s">
        <v>571</v>
      </c>
      <c r="B502" s="12"/>
      <c r="C502" s="12" t="s">
        <v>61</v>
      </c>
      <c r="D502" s="12"/>
      <c r="E502" s="13">
        <v>44784</v>
      </c>
      <c r="G502" s="1">
        <v>20343484</v>
      </c>
      <c r="I502" s="1">
        <v>76934</v>
      </c>
      <c r="K502" s="1">
        <v>1441000</v>
      </c>
      <c r="M502" s="1">
        <v>217250</v>
      </c>
      <c r="O502" s="1">
        <v>1729101</v>
      </c>
      <c r="Q502" s="1">
        <v>0</v>
      </c>
      <c r="S502" s="20">
        <f>SUM(G502:R502)</f>
        <v>23807769</v>
      </c>
      <c r="U502" s="1">
        <v>2339624</v>
      </c>
      <c r="X502" s="1">
        <f>+'St of Net Assets - GA'!O502-'LT _Lia - GA'!U502</f>
        <v>0</v>
      </c>
    </row>
    <row r="503" spans="1:24">
      <c r="A503" s="12" t="s">
        <v>304</v>
      </c>
      <c r="B503" s="12"/>
      <c r="C503" s="12" t="s">
        <v>20</v>
      </c>
      <c r="D503" s="12"/>
      <c r="E503" s="13">
        <v>46607</v>
      </c>
      <c r="G503" s="1">
        <f>19992836+613821-346335</f>
        <v>20260322</v>
      </c>
      <c r="I503" s="1">
        <v>0</v>
      </c>
      <c r="K503" s="1">
        <v>0</v>
      </c>
      <c r="M503" s="1">
        <v>0</v>
      </c>
      <c r="O503" s="1">
        <f>9769504+108082</f>
        <v>9877586</v>
      </c>
      <c r="Q503" s="1">
        <v>0</v>
      </c>
      <c r="S503" s="20">
        <f t="shared" si="29"/>
        <v>30137908</v>
      </c>
      <c r="U503" s="1">
        <f>3513674+6228</f>
        <v>3519902</v>
      </c>
      <c r="X503" s="1">
        <f>+'St of Net Assets - GA'!O503-'LT _Lia - GA'!U503</f>
        <v>0</v>
      </c>
    </row>
    <row r="504" spans="1:24">
      <c r="A504" s="12" t="s">
        <v>767</v>
      </c>
      <c r="B504" s="12"/>
      <c r="C504" s="12" t="s">
        <v>37</v>
      </c>
      <c r="D504" s="12"/>
      <c r="E504" s="13"/>
      <c r="G504" s="1">
        <f>110276+994717-13390+65504</f>
        <v>1157107</v>
      </c>
      <c r="I504" s="1">
        <v>0</v>
      </c>
      <c r="K504" s="1">
        <v>0</v>
      </c>
      <c r="M504" s="1">
        <v>19261</v>
      </c>
      <c r="O504" s="1">
        <v>494199</v>
      </c>
      <c r="Q504" s="1">
        <v>0</v>
      </c>
      <c r="S504" s="20">
        <f t="shared" si="29"/>
        <v>1670567</v>
      </c>
      <c r="U504" s="1">
        <v>199941</v>
      </c>
      <c r="X504" s="1">
        <f>+'St of Net Assets - GA'!O504-'LT _Lia - GA'!U504</f>
        <v>0</v>
      </c>
    </row>
    <row r="505" spans="1:24">
      <c r="A505" s="12" t="s">
        <v>305</v>
      </c>
      <c r="B505" s="12"/>
      <c r="C505" s="12" t="s">
        <v>20</v>
      </c>
      <c r="D505" s="12"/>
      <c r="E505" s="13">
        <v>44792</v>
      </c>
      <c r="G505" s="1">
        <v>7326185</v>
      </c>
      <c r="I505" s="1">
        <v>0</v>
      </c>
      <c r="K505" s="1">
        <v>250000</v>
      </c>
      <c r="M505" s="1">
        <v>0</v>
      </c>
      <c r="O505" s="1">
        <v>3437763</v>
      </c>
      <c r="Q505" s="1">
        <v>0</v>
      </c>
      <c r="S505" s="20">
        <f t="shared" si="29"/>
        <v>11013948</v>
      </c>
      <c r="U505" s="1">
        <v>1807348</v>
      </c>
      <c r="X505" s="1">
        <f>+'St of Net Assets - GA'!O505-'LT _Lia - GA'!U505</f>
        <v>0</v>
      </c>
    </row>
    <row r="506" spans="1:24">
      <c r="A506" s="12" t="s">
        <v>425</v>
      </c>
      <c r="B506" s="12"/>
      <c r="C506" s="12" t="s">
        <v>420</v>
      </c>
      <c r="D506" s="12"/>
      <c r="E506" s="13">
        <v>47951</v>
      </c>
      <c r="G506" s="1">
        <f>13068441-1688858-1588403</f>
        <v>9791180</v>
      </c>
      <c r="I506" s="1">
        <v>0</v>
      </c>
      <c r="K506" s="1">
        <v>0</v>
      </c>
      <c r="M506" s="1">
        <v>1688858</v>
      </c>
      <c r="O506" s="1">
        <v>1588403</v>
      </c>
      <c r="Q506" s="1">
        <v>0</v>
      </c>
      <c r="S506" s="20">
        <f t="shared" si="29"/>
        <v>13068441</v>
      </c>
      <c r="U506" s="1">
        <v>778950</v>
      </c>
      <c r="X506" s="1">
        <f>+'St of Net Assets - GA'!O506-'LT _Lia - GA'!U506</f>
        <v>0</v>
      </c>
    </row>
    <row r="507" spans="1:24">
      <c r="A507" s="12"/>
      <c r="B507" s="12"/>
      <c r="C507" s="12"/>
      <c r="D507" s="12"/>
      <c r="E507" s="13"/>
      <c r="S507" s="20"/>
    </row>
    <row r="508" spans="1:24">
      <c r="A508" s="12"/>
      <c r="B508" s="12"/>
      <c r="C508" s="12"/>
      <c r="D508" s="12"/>
      <c r="E508" s="13"/>
      <c r="S508" s="20"/>
      <c r="U508" s="41" t="s">
        <v>709</v>
      </c>
    </row>
    <row r="509" spans="1:24">
      <c r="A509" s="12"/>
      <c r="B509" s="12"/>
      <c r="C509" s="12"/>
      <c r="D509" s="12"/>
      <c r="E509" s="13"/>
      <c r="S509" s="20"/>
    </row>
    <row r="510" spans="1:24">
      <c r="A510" s="12" t="s">
        <v>469</v>
      </c>
      <c r="B510" s="12"/>
      <c r="C510" s="12" t="s">
        <v>45</v>
      </c>
      <c r="D510" s="12"/>
      <c r="E510" s="13">
        <v>48363</v>
      </c>
      <c r="G510" s="16">
        <f>14339608+5465965+266581</f>
        <v>20072154</v>
      </c>
      <c r="H510" s="16"/>
      <c r="I510" s="16">
        <v>0</v>
      </c>
      <c r="J510" s="16"/>
      <c r="K510" s="16">
        <v>0</v>
      </c>
      <c r="L510" s="16"/>
      <c r="M510" s="16">
        <v>0</v>
      </c>
      <c r="N510" s="16"/>
      <c r="O510" s="16">
        <v>717633</v>
      </c>
      <c r="P510" s="16"/>
      <c r="Q510" s="16">
        <v>0</v>
      </c>
      <c r="R510" s="16"/>
      <c r="S510" s="72">
        <f t="shared" si="29"/>
        <v>20789787</v>
      </c>
      <c r="T510" s="16"/>
      <c r="U510" s="16">
        <v>608060</v>
      </c>
      <c r="X510" s="1">
        <f>+'St of Net Assets - GA'!O510-'LT _Lia - GA'!U510</f>
        <v>0</v>
      </c>
    </row>
    <row r="511" spans="1:24">
      <c r="A511" s="12" t="s">
        <v>537</v>
      </c>
      <c r="B511" s="12"/>
      <c r="C511" s="12" t="s">
        <v>56</v>
      </c>
      <c r="D511" s="12"/>
      <c r="E511" s="13">
        <v>49221</v>
      </c>
      <c r="G511" s="1">
        <v>5392190</v>
      </c>
      <c r="I511" s="1">
        <v>0</v>
      </c>
      <c r="K511" s="1">
        <v>0</v>
      </c>
      <c r="M511" s="1">
        <v>33466</v>
      </c>
      <c r="O511" s="1">
        <v>1468233</v>
      </c>
      <c r="Q511" s="1">
        <v>0</v>
      </c>
      <c r="S511" s="20">
        <f t="shared" si="29"/>
        <v>6893889</v>
      </c>
      <c r="U511" s="1">
        <v>381546</v>
      </c>
      <c r="X511" s="1">
        <f>+'St of Net Assets - GA'!O511-'LT _Lia - GA'!U511</f>
        <v>0</v>
      </c>
    </row>
    <row r="512" spans="1:24">
      <c r="A512" s="12" t="s">
        <v>537</v>
      </c>
      <c r="B512" s="12"/>
      <c r="C512" s="12" t="s">
        <v>71</v>
      </c>
      <c r="D512" s="12"/>
      <c r="E512" s="13">
        <v>50583</v>
      </c>
      <c r="G512" s="1">
        <v>0</v>
      </c>
      <c r="I512" s="1">
        <v>0</v>
      </c>
      <c r="K512" s="1">
        <v>156337</v>
      </c>
      <c r="M512" s="1">
        <v>0</v>
      </c>
      <c r="O512" s="1">
        <v>782757</v>
      </c>
      <c r="Q512" s="1">
        <v>0</v>
      </c>
      <c r="S512" s="20">
        <f t="shared" si="29"/>
        <v>939094</v>
      </c>
      <c r="U512" s="1">
        <v>224100</v>
      </c>
      <c r="X512" s="1">
        <f>+'St of Net Assets - GA'!O512-'LT _Lia - GA'!U512</f>
        <v>0</v>
      </c>
    </row>
    <row r="513" spans="1:24">
      <c r="A513" s="12" t="s">
        <v>249</v>
      </c>
      <c r="B513" s="12"/>
      <c r="C513" s="12" t="s">
        <v>17</v>
      </c>
      <c r="D513" s="12"/>
      <c r="E513" s="13">
        <v>46276</v>
      </c>
      <c r="G513" s="1">
        <f>97479+918000</f>
        <v>1015479</v>
      </c>
      <c r="I513" s="1">
        <v>0</v>
      </c>
      <c r="K513" s="1">
        <v>333696</v>
      </c>
      <c r="M513" s="1">
        <v>65308</v>
      </c>
      <c r="O513" s="1">
        <v>394662</v>
      </c>
      <c r="Q513" s="1">
        <v>0</v>
      </c>
      <c r="S513" s="20">
        <f t="shared" si="29"/>
        <v>1809145</v>
      </c>
      <c r="U513" s="1">
        <v>213467</v>
      </c>
      <c r="X513" s="1">
        <f>+'St of Net Assets - GA'!O513-'LT _Lia - GA'!U513</f>
        <v>0</v>
      </c>
    </row>
    <row r="514" spans="1:24">
      <c r="A514" s="12" t="s">
        <v>249</v>
      </c>
      <c r="B514" s="12"/>
      <c r="C514" s="12" t="s">
        <v>58</v>
      </c>
      <c r="D514" s="12"/>
      <c r="E514" s="13">
        <v>49528</v>
      </c>
      <c r="G514" s="1">
        <v>3296690</v>
      </c>
      <c r="I514" s="1">
        <v>0</v>
      </c>
      <c r="K514" s="1">
        <v>1349000</v>
      </c>
      <c r="M514" s="1">
        <v>0</v>
      </c>
      <c r="O514" s="1">
        <v>485584</v>
      </c>
      <c r="Q514" s="1">
        <v>0</v>
      </c>
      <c r="S514" s="20">
        <f t="shared" si="29"/>
        <v>5131274</v>
      </c>
      <c r="U514" s="1">
        <v>297510</v>
      </c>
      <c r="X514" s="1">
        <f>+'St of Net Assets - GA'!O514-'LT _Lia - GA'!U514</f>
        <v>0</v>
      </c>
    </row>
    <row r="515" spans="1:24">
      <c r="A515" s="12" t="s">
        <v>269</v>
      </c>
      <c r="B515" s="12"/>
      <c r="C515" s="12" t="s">
        <v>114</v>
      </c>
      <c r="D515" s="12"/>
      <c r="E515" s="13">
        <v>46441</v>
      </c>
      <c r="G515" s="1">
        <f>2531017+155983-96944</f>
        <v>2590056</v>
      </c>
      <c r="I515" s="1">
        <v>0</v>
      </c>
      <c r="K515" s="1">
        <v>0</v>
      </c>
      <c r="M515" s="1">
        <f>37577+152997</f>
        <v>190574</v>
      </c>
      <c r="O515" s="1">
        <v>411436</v>
      </c>
      <c r="Q515" s="1">
        <v>0</v>
      </c>
      <c r="S515" s="20">
        <f>SUM(G515:R515)</f>
        <v>3192066</v>
      </c>
      <c r="U515" s="1">
        <v>219406</v>
      </c>
      <c r="X515" s="1">
        <f>+'St of Net Assets - GA'!O515-'LT _Lia - GA'!U515</f>
        <v>0</v>
      </c>
    </row>
    <row r="516" spans="1:24">
      <c r="A516" s="12" t="s">
        <v>269</v>
      </c>
      <c r="B516" s="12"/>
      <c r="C516" s="12" t="s">
        <v>484</v>
      </c>
      <c r="D516" s="12"/>
      <c r="E516" s="13">
        <v>46441</v>
      </c>
      <c r="G516" s="1">
        <f>2996916-10709-271089-29531</f>
        <v>2685587</v>
      </c>
      <c r="I516" s="1">
        <v>29531</v>
      </c>
      <c r="K516" s="1">
        <v>0</v>
      </c>
      <c r="M516" s="1">
        <v>10709</v>
      </c>
      <c r="O516" s="1">
        <v>271089</v>
      </c>
      <c r="Q516" s="1">
        <v>0</v>
      </c>
      <c r="S516" s="20">
        <f t="shared" si="29"/>
        <v>2996916</v>
      </c>
      <c r="U516" s="1">
        <v>227521</v>
      </c>
      <c r="X516" s="1">
        <f>+'St of Net Assets - GA'!O516-'LT _Lia - GA'!U516</f>
        <v>0</v>
      </c>
    </row>
    <row r="517" spans="1:24" hidden="1">
      <c r="A517" s="12" t="s">
        <v>873</v>
      </c>
      <c r="B517" s="12"/>
      <c r="C517" s="12" t="s">
        <v>524</v>
      </c>
      <c r="D517" s="12"/>
      <c r="E517" s="13"/>
      <c r="S517" s="20">
        <f t="shared" si="29"/>
        <v>0</v>
      </c>
      <c r="X517" s="1">
        <f>+'St of Net Assets - GA'!O517-'LT _Lia - GA'!U517</f>
        <v>0</v>
      </c>
    </row>
    <row r="518" spans="1:24">
      <c r="A518" s="12" t="s">
        <v>615</v>
      </c>
      <c r="B518" s="12"/>
      <c r="C518" s="12" t="s">
        <v>64</v>
      </c>
      <c r="D518" s="12"/>
      <c r="E518" s="13">
        <v>50237</v>
      </c>
      <c r="G518" s="1">
        <v>7983401</v>
      </c>
      <c r="I518" s="1">
        <v>0</v>
      </c>
      <c r="K518" s="1">
        <v>0</v>
      </c>
      <c r="M518" s="1">
        <v>0</v>
      </c>
      <c r="O518" s="1">
        <v>322730</v>
      </c>
      <c r="Q518" s="1">
        <v>0</v>
      </c>
      <c r="S518" s="20">
        <f t="shared" si="29"/>
        <v>8306131</v>
      </c>
      <c r="U518" s="1">
        <v>185368</v>
      </c>
      <c r="X518" s="1">
        <f>+'St of Net Assets - GA'!O518-'LT _Lia - GA'!U518</f>
        <v>0</v>
      </c>
    </row>
    <row r="519" spans="1:24">
      <c r="A519" s="12" t="s">
        <v>434</v>
      </c>
      <c r="B519" s="12"/>
      <c r="C519" s="12" t="s">
        <v>42</v>
      </c>
      <c r="D519" s="12"/>
      <c r="E519" s="13">
        <v>48041</v>
      </c>
      <c r="G519" s="1">
        <f>3130000+3500000+1139305+5930000+3124124+6091+266929-318588+265166+224765-521819</f>
        <v>16745973</v>
      </c>
      <c r="I519" s="1">
        <v>0</v>
      </c>
      <c r="K519" s="1">
        <f>1100000+3000000</f>
        <v>4100000</v>
      </c>
      <c r="M519" s="1">
        <v>58724</v>
      </c>
      <c r="O519" s="1">
        <v>2530073</v>
      </c>
      <c r="Q519" s="1">
        <v>16650</v>
      </c>
      <c r="S519" s="20">
        <f t="shared" si="29"/>
        <v>23451420</v>
      </c>
      <c r="U519" s="1">
        <v>2213622</v>
      </c>
      <c r="X519" s="1">
        <f>+'St of Net Assets - GA'!O519-'LT _Lia - GA'!U519</f>
        <v>0</v>
      </c>
    </row>
    <row r="520" spans="1:24">
      <c r="A520" s="12" t="s">
        <v>374</v>
      </c>
      <c r="B520" s="12"/>
      <c r="C520" s="12" t="s">
        <v>32</v>
      </c>
      <c r="D520" s="12"/>
      <c r="E520" s="13">
        <v>47381</v>
      </c>
      <c r="G520" s="1">
        <v>16163620</v>
      </c>
      <c r="I520" s="1">
        <v>0</v>
      </c>
      <c r="K520" s="1">
        <v>0</v>
      </c>
      <c r="M520" s="1">
        <v>0</v>
      </c>
      <c r="O520" s="1">
        <v>5233924</v>
      </c>
      <c r="Q520" s="1">
        <v>0</v>
      </c>
      <c r="S520" s="20">
        <f t="shared" si="29"/>
        <v>21397544</v>
      </c>
      <c r="U520" s="1">
        <v>1475394</v>
      </c>
      <c r="X520" s="1">
        <f>+'St of Net Assets - GA'!O520-'LT _Lia - GA'!U520</f>
        <v>0</v>
      </c>
    </row>
    <row r="521" spans="1:24">
      <c r="A521" s="12" t="s">
        <v>340</v>
      </c>
      <c r="B521" s="12"/>
      <c r="C521" s="12" t="s">
        <v>27</v>
      </c>
      <c r="D521" s="12"/>
      <c r="E521" s="13">
        <v>44800</v>
      </c>
      <c r="G521" s="1">
        <f>89585321+2165000</f>
        <v>91750321</v>
      </c>
      <c r="I521" s="1">
        <v>0</v>
      </c>
      <c r="K521" s="1">
        <v>466665</v>
      </c>
      <c r="M521" s="1">
        <v>0</v>
      </c>
      <c r="O521" s="1">
        <v>13407850</v>
      </c>
      <c r="Q521" s="1">
        <v>0</v>
      </c>
      <c r="S521" s="20">
        <f t="shared" si="29"/>
        <v>105624836</v>
      </c>
      <c r="U521" s="1">
        <v>13073929</v>
      </c>
      <c r="X521" s="1">
        <f>+'St of Net Assets - GA'!O521-'LT _Lia - GA'!U521</f>
        <v>0</v>
      </c>
    </row>
    <row r="522" spans="1:24" hidden="1">
      <c r="A522" s="17" t="s">
        <v>875</v>
      </c>
      <c r="B522" s="12"/>
      <c r="C522" s="12" t="s">
        <v>10</v>
      </c>
      <c r="D522" s="12"/>
      <c r="E522" s="13">
        <v>45807</v>
      </c>
      <c r="F522" s="8"/>
      <c r="S522" s="20">
        <f t="shared" si="29"/>
        <v>0</v>
      </c>
      <c r="X522" s="1">
        <f>+'St of Net Assets - GA'!O522-'LT _Lia - GA'!U522</f>
        <v>0</v>
      </c>
    </row>
    <row r="523" spans="1:24" hidden="1">
      <c r="A523" s="17" t="s">
        <v>874</v>
      </c>
      <c r="B523" s="12"/>
      <c r="C523" s="12" t="s">
        <v>69</v>
      </c>
      <c r="D523" s="12"/>
      <c r="E523" s="13">
        <v>50427</v>
      </c>
      <c r="S523" s="20">
        <f t="shared" si="29"/>
        <v>0</v>
      </c>
      <c r="X523" s="1">
        <f>+'St of Net Assets - GA'!O523-'LT _Lia - GA'!U523</f>
        <v>0</v>
      </c>
    </row>
    <row r="524" spans="1:24">
      <c r="A524" s="17" t="s">
        <v>761</v>
      </c>
      <c r="B524" s="17"/>
      <c r="C524" s="17" t="s">
        <v>17</v>
      </c>
      <c r="D524" s="17"/>
      <c r="E524" s="13"/>
      <c r="G524" s="1">
        <f>38343710-3268607-161312</f>
        <v>34913791</v>
      </c>
      <c r="I524" s="1">
        <v>0</v>
      </c>
      <c r="K524" s="1">
        <v>0</v>
      </c>
      <c r="M524" s="1">
        <v>161312</v>
      </c>
      <c r="O524" s="1">
        <v>3268607</v>
      </c>
      <c r="Q524" s="1">
        <v>0</v>
      </c>
      <c r="S524" s="20">
        <f t="shared" si="29"/>
        <v>38343710</v>
      </c>
      <c r="U524" s="1">
        <v>5194487</v>
      </c>
      <c r="X524" s="1">
        <f>+'St of Net Assets - GA'!O524-'LT _Lia - GA'!U524</f>
        <v>0</v>
      </c>
    </row>
    <row r="525" spans="1:24">
      <c r="A525" s="17" t="s">
        <v>899</v>
      </c>
      <c r="B525" s="12"/>
      <c r="C525" s="12" t="s">
        <v>117</v>
      </c>
      <c r="D525" s="12"/>
      <c r="E525" s="13">
        <v>48223</v>
      </c>
      <c r="G525" s="1">
        <f>17093239-2198239</f>
        <v>14895000</v>
      </c>
      <c r="I525" s="1">
        <v>0</v>
      </c>
      <c r="K525" s="1">
        <v>0</v>
      </c>
      <c r="M525" s="1">
        <v>0</v>
      </c>
      <c r="O525" s="1">
        <v>2198239</v>
      </c>
      <c r="Q525" s="1">
        <v>0</v>
      </c>
      <c r="S525" s="20">
        <f t="shared" si="29"/>
        <v>17093239</v>
      </c>
      <c r="U525" s="1">
        <v>2124824</v>
      </c>
      <c r="X525" s="1">
        <f>+'St of Net Assets - GA'!O525-'LT _Lia - GA'!U525</f>
        <v>0</v>
      </c>
    </row>
    <row r="526" spans="1:24">
      <c r="A526" s="12" t="s">
        <v>453</v>
      </c>
      <c r="B526" s="12"/>
      <c r="C526" s="12" t="s">
        <v>45</v>
      </c>
      <c r="D526" s="12"/>
      <c r="E526" s="13">
        <v>48371</v>
      </c>
      <c r="G526" s="1">
        <v>594996</v>
      </c>
      <c r="I526" s="1">
        <v>0</v>
      </c>
      <c r="K526" s="1">
        <v>0</v>
      </c>
      <c r="M526" s="1">
        <f>675635+4691</f>
        <v>680326</v>
      </c>
      <c r="O526" s="1">
        <v>861613</v>
      </c>
      <c r="Q526" s="1">
        <v>0</v>
      </c>
      <c r="S526" s="20">
        <f t="shared" si="29"/>
        <v>2136935</v>
      </c>
      <c r="U526" s="1">
        <v>578320</v>
      </c>
      <c r="X526" s="1">
        <f>+'St of Net Assets - GA'!O526-'LT _Lia - GA'!U526</f>
        <v>0</v>
      </c>
    </row>
    <row r="527" spans="1:24">
      <c r="A527" s="12" t="s">
        <v>453</v>
      </c>
      <c r="B527" s="12"/>
      <c r="C527" s="12" t="s">
        <v>63</v>
      </c>
      <c r="D527" s="12"/>
      <c r="E527" s="13">
        <v>50062</v>
      </c>
      <c r="G527" s="1">
        <v>0</v>
      </c>
      <c r="I527" s="1">
        <v>0</v>
      </c>
      <c r="K527" s="1">
        <v>420960</v>
      </c>
      <c r="M527" s="1">
        <v>115255</v>
      </c>
      <c r="O527" s="1">
        <v>991303</v>
      </c>
      <c r="Q527" s="1">
        <v>0</v>
      </c>
      <c r="S527" s="20">
        <f t="shared" si="29"/>
        <v>1527518</v>
      </c>
      <c r="U527" s="1">
        <v>136738</v>
      </c>
      <c r="X527" s="1">
        <f>+'St of Net Assets - GA'!O527-'LT _Lia - GA'!U527</f>
        <v>0</v>
      </c>
    </row>
    <row r="528" spans="1:24">
      <c r="A528" s="12" t="s">
        <v>770</v>
      </c>
      <c r="B528" s="12"/>
      <c r="C528" s="12" t="s">
        <v>32</v>
      </c>
      <c r="D528" s="12"/>
      <c r="E528" s="13">
        <v>44719</v>
      </c>
      <c r="G528" s="1">
        <v>0</v>
      </c>
      <c r="I528" s="1">
        <v>0</v>
      </c>
      <c r="K528" s="1">
        <v>0</v>
      </c>
      <c r="M528" s="1">
        <v>1226000</v>
      </c>
      <c r="O528" s="1">
        <v>1245952</v>
      </c>
      <c r="Q528" s="1">
        <v>0</v>
      </c>
      <c r="S528" s="20">
        <f t="shared" si="29"/>
        <v>2471952</v>
      </c>
      <c r="U528" s="1">
        <v>206703</v>
      </c>
      <c r="X528" s="1">
        <f>+'St of Net Assets - GA'!O528-'LT _Lia - GA'!U528</f>
        <v>0</v>
      </c>
    </row>
    <row r="529" spans="1:24">
      <c r="A529" s="12" t="s">
        <v>769</v>
      </c>
      <c r="B529" s="12"/>
      <c r="C529" s="12" t="s">
        <v>15</v>
      </c>
      <c r="D529" s="12"/>
      <c r="E529" s="13">
        <v>45997</v>
      </c>
      <c r="G529" s="1">
        <v>3361577</v>
      </c>
      <c r="I529" s="1">
        <v>212209</v>
      </c>
      <c r="K529" s="1">
        <v>0</v>
      </c>
      <c r="M529" s="1">
        <v>48502</v>
      </c>
      <c r="O529" s="1">
        <v>690494</v>
      </c>
      <c r="Q529" s="1">
        <v>0</v>
      </c>
      <c r="S529" s="20">
        <f t="shared" si="29"/>
        <v>4312782</v>
      </c>
      <c r="U529" s="1">
        <v>950167</v>
      </c>
      <c r="X529" s="1">
        <f>+'St of Net Assets - GA'!O529-'LT _Lia - GA'!U529</f>
        <v>0</v>
      </c>
    </row>
    <row r="530" spans="1:24" ht="12" hidden="1" customHeight="1">
      <c r="A530" s="17" t="s">
        <v>876</v>
      </c>
      <c r="B530" s="12"/>
      <c r="C530" s="12" t="s">
        <v>486</v>
      </c>
      <c r="D530" s="12"/>
      <c r="E530" s="13">
        <v>48587</v>
      </c>
      <c r="S530" s="20">
        <f>SUM(G530:R530)</f>
        <v>0</v>
      </c>
      <c r="X530" s="1">
        <f>+'St of Net Assets - GA'!O530-'LT _Lia - GA'!U530</f>
        <v>0</v>
      </c>
    </row>
    <row r="531" spans="1:24" hidden="1">
      <c r="A531" s="17" t="s">
        <v>877</v>
      </c>
      <c r="B531" s="12"/>
      <c r="C531" s="12" t="s">
        <v>14</v>
      </c>
      <c r="D531" s="12"/>
      <c r="E531" s="13">
        <v>44727</v>
      </c>
      <c r="S531" s="20">
        <f>SUM(G531:R531)</f>
        <v>0</v>
      </c>
      <c r="X531" s="1">
        <f>+'St of Net Assets - GA'!O531-'LT _Lia - GA'!U531</f>
        <v>0</v>
      </c>
    </row>
    <row r="532" spans="1:24">
      <c r="A532" s="12" t="s">
        <v>412</v>
      </c>
      <c r="B532" s="12"/>
      <c r="C532" s="12" t="s">
        <v>39</v>
      </c>
      <c r="D532" s="12"/>
      <c r="E532" s="12">
        <v>44826</v>
      </c>
      <c r="G532" s="1">
        <v>11776616</v>
      </c>
      <c r="I532" s="1">
        <v>0</v>
      </c>
      <c r="K532" s="1">
        <v>0</v>
      </c>
      <c r="M532" s="1">
        <v>0</v>
      </c>
      <c r="O532" s="1">
        <v>1088562</v>
      </c>
      <c r="Q532" s="1">
        <v>0</v>
      </c>
      <c r="S532" s="20">
        <f>SUM(G532:R532)</f>
        <v>12865178</v>
      </c>
      <c r="U532" s="1">
        <v>893007</v>
      </c>
      <c r="X532" s="1">
        <f>+'St of Net Assets - GA'!O532-'LT _Lia - GA'!U532</f>
        <v>0</v>
      </c>
    </row>
    <row r="533" spans="1:24">
      <c r="A533" s="12" t="s">
        <v>595</v>
      </c>
      <c r="B533" s="12"/>
      <c r="C533" s="12" t="s">
        <v>63</v>
      </c>
      <c r="D533" s="12"/>
      <c r="E533" s="13">
        <v>44834</v>
      </c>
      <c r="G533" s="1">
        <f>3120000+73991</f>
        <v>3193991</v>
      </c>
      <c r="I533" s="1">
        <v>0</v>
      </c>
      <c r="K533" s="1">
        <v>0</v>
      </c>
      <c r="M533" s="1">
        <v>0</v>
      </c>
      <c r="O533" s="1">
        <v>4389163</v>
      </c>
      <c r="Q533" s="1">
        <v>0</v>
      </c>
      <c r="S533" s="20">
        <f t="shared" ref="S533:S543" si="30">SUM(G533:R533)</f>
        <v>7583154</v>
      </c>
      <c r="U533" s="1">
        <v>661676</v>
      </c>
      <c r="X533" s="1">
        <f>+'St of Net Assets - GA'!O533-'LT _Lia - GA'!U533</f>
        <v>0</v>
      </c>
    </row>
    <row r="534" spans="1:24" ht="12" hidden="1" customHeight="1">
      <c r="A534" s="12" t="s">
        <v>878</v>
      </c>
      <c r="B534" s="12"/>
      <c r="C534" s="12" t="s">
        <v>65</v>
      </c>
      <c r="D534" s="12"/>
      <c r="E534" s="13">
        <v>50294</v>
      </c>
      <c r="S534" s="20">
        <f t="shared" si="30"/>
        <v>0</v>
      </c>
      <c r="X534" s="1">
        <f>+'St of Net Assets - GA'!O534-'LT _Lia - GA'!U534</f>
        <v>0</v>
      </c>
    </row>
    <row r="535" spans="1:24">
      <c r="A535" s="12" t="s">
        <v>538</v>
      </c>
      <c r="B535" s="12"/>
      <c r="C535" s="12" t="s">
        <v>56</v>
      </c>
      <c r="D535" s="12"/>
      <c r="E535" s="13">
        <v>49239</v>
      </c>
      <c r="G535" s="1">
        <f>160000+830000+12287935</f>
        <v>13277935</v>
      </c>
      <c r="I535" s="1">
        <f>345000+6657</f>
        <v>351657</v>
      </c>
      <c r="K535" s="1">
        <v>0</v>
      </c>
      <c r="M535" s="1">
        <v>0</v>
      </c>
      <c r="O535" s="1">
        <v>1116604</v>
      </c>
      <c r="Q535" s="1">
        <v>668253</v>
      </c>
      <c r="S535" s="20">
        <f t="shared" si="30"/>
        <v>15414449</v>
      </c>
      <c r="U535" s="1">
        <v>1248330</v>
      </c>
      <c r="X535" s="1">
        <f>+'St of Net Assets - GA'!O535-'LT _Lia - GA'!U535</f>
        <v>0</v>
      </c>
    </row>
    <row r="536" spans="1:24">
      <c r="A536" s="12" t="s">
        <v>306</v>
      </c>
      <c r="B536" s="12"/>
      <c r="C536" s="12" t="s">
        <v>20</v>
      </c>
      <c r="D536" s="12"/>
      <c r="E536" s="12">
        <v>44842</v>
      </c>
      <c r="G536" s="1">
        <f>14554528+5118334</f>
        <v>19672862</v>
      </c>
      <c r="I536" s="1">
        <v>0</v>
      </c>
      <c r="K536" s="1">
        <v>0</v>
      </c>
      <c r="M536" s="1">
        <v>349301</v>
      </c>
      <c r="O536" s="1">
        <v>8576862</v>
      </c>
      <c r="Q536" s="1">
        <v>0</v>
      </c>
      <c r="S536" s="20">
        <f t="shared" si="30"/>
        <v>28599025</v>
      </c>
      <c r="U536" s="1">
        <v>5045333</v>
      </c>
      <c r="X536" s="1">
        <f>+'St of Net Assets - GA'!O536-'LT _Lia - GA'!U536</f>
        <v>0</v>
      </c>
    </row>
    <row r="537" spans="1:24">
      <c r="A537" s="12" t="s">
        <v>470</v>
      </c>
      <c r="B537" s="12"/>
      <c r="C537" s="12" t="s">
        <v>45</v>
      </c>
      <c r="D537" s="12"/>
      <c r="E537" s="13">
        <v>44859</v>
      </c>
      <c r="G537" s="1">
        <v>4212553</v>
      </c>
      <c r="I537" s="1">
        <v>0</v>
      </c>
      <c r="K537" s="1">
        <v>131500</v>
      </c>
      <c r="M537" s="1">
        <v>0</v>
      </c>
      <c r="O537" s="1">
        <v>1433509</v>
      </c>
      <c r="Q537" s="1">
        <v>0</v>
      </c>
      <c r="S537" s="20">
        <f t="shared" si="30"/>
        <v>5777562</v>
      </c>
      <c r="U537" s="1">
        <v>598851</v>
      </c>
      <c r="X537" s="1">
        <f>+'St of Net Assets - GA'!O537-'LT _Lia - GA'!U537</f>
        <v>0</v>
      </c>
    </row>
    <row r="538" spans="1:24">
      <c r="A538" s="12" t="s">
        <v>645</v>
      </c>
      <c r="B538" s="12"/>
      <c r="C538" s="12" t="s">
        <v>643</v>
      </c>
      <c r="D538" s="12"/>
      <c r="E538" s="13">
        <v>50658</v>
      </c>
      <c r="G538" s="1">
        <f>6108311-354392-35827-56322</f>
        <v>5661770</v>
      </c>
      <c r="I538" s="1">
        <v>0</v>
      </c>
      <c r="K538" s="1">
        <v>56322</v>
      </c>
      <c r="M538" s="1">
        <v>35827</v>
      </c>
      <c r="O538" s="1">
        <v>354392</v>
      </c>
      <c r="Q538" s="1">
        <v>0</v>
      </c>
      <c r="S538" s="20">
        <f t="shared" si="30"/>
        <v>6108311</v>
      </c>
      <c r="U538" s="1">
        <v>219078</v>
      </c>
      <c r="X538" s="1">
        <f>+'St of Net Assets - GA'!O538-'LT _Lia - GA'!U538</f>
        <v>0</v>
      </c>
    </row>
    <row r="539" spans="1:24">
      <c r="A539" s="12" t="s">
        <v>347</v>
      </c>
      <c r="B539" s="12"/>
      <c r="C539" s="12" t="s">
        <v>28</v>
      </c>
      <c r="D539" s="12"/>
      <c r="E539" s="13">
        <v>47092</v>
      </c>
      <c r="G539" s="1">
        <v>12411960</v>
      </c>
      <c r="I539" s="1">
        <v>0</v>
      </c>
      <c r="K539" s="1">
        <v>0</v>
      </c>
      <c r="M539" s="1">
        <v>0</v>
      </c>
      <c r="O539" s="1">
        <v>549022</v>
      </c>
      <c r="Q539" s="1">
        <v>0</v>
      </c>
      <c r="S539" s="20">
        <f t="shared" si="30"/>
        <v>12960982</v>
      </c>
      <c r="U539" s="1">
        <v>1040667</v>
      </c>
      <c r="X539" s="1">
        <f>+'St of Net Assets - GA'!O539-'LT _Lia - GA'!U539</f>
        <v>0</v>
      </c>
    </row>
    <row r="540" spans="1:24">
      <c r="A540" s="12" t="s">
        <v>760</v>
      </c>
      <c r="B540" s="12"/>
      <c r="C540" s="12" t="s">
        <v>49</v>
      </c>
      <c r="D540" s="12"/>
      <c r="E540" s="13">
        <v>48652</v>
      </c>
      <c r="G540" s="1">
        <v>35701050</v>
      </c>
      <c r="I540" s="1">
        <v>0</v>
      </c>
      <c r="K540" s="1">
        <v>0</v>
      </c>
      <c r="M540" s="1">
        <v>0</v>
      </c>
      <c r="O540" s="1">
        <v>1338400</v>
      </c>
      <c r="Q540" s="1">
        <v>0</v>
      </c>
      <c r="S540" s="20">
        <f t="shared" si="30"/>
        <v>37039450</v>
      </c>
      <c r="U540" s="1">
        <v>248072</v>
      </c>
      <c r="X540" s="1">
        <f>+'St of Net Assets - GA'!O540-'LT _Lia - GA'!U540</f>
        <v>0</v>
      </c>
    </row>
    <row r="541" spans="1:24">
      <c r="A541" s="12" t="s">
        <v>375</v>
      </c>
      <c r="B541" s="12"/>
      <c r="C541" s="12" t="s">
        <v>32</v>
      </c>
      <c r="D541" s="12"/>
      <c r="E541" s="13">
        <v>44867</v>
      </c>
      <c r="G541" s="1">
        <v>31840337</v>
      </c>
      <c r="I541" s="1">
        <v>0</v>
      </c>
      <c r="K541" s="1">
        <v>0</v>
      </c>
      <c r="M541" s="1">
        <v>9535000</v>
      </c>
      <c r="O541" s="1">
        <v>9542041</v>
      </c>
      <c r="Q541" s="1">
        <v>0</v>
      </c>
      <c r="S541" s="20">
        <f t="shared" si="30"/>
        <v>50917378</v>
      </c>
      <c r="U541" s="1">
        <v>3314241</v>
      </c>
      <c r="X541" s="1">
        <f>+'St of Net Assets - GA'!O541-'LT _Lia - GA'!U541</f>
        <v>0</v>
      </c>
    </row>
    <row r="542" spans="1:24">
      <c r="A542" s="12" t="s">
        <v>454</v>
      </c>
      <c r="B542" s="12"/>
      <c r="C542" s="12" t="s">
        <v>117</v>
      </c>
      <c r="D542" s="12"/>
      <c r="E542" s="13">
        <v>44875</v>
      </c>
      <c r="G542" s="1">
        <f>101999749+1605029-457946</f>
        <v>103146832</v>
      </c>
      <c r="I542" s="1">
        <v>0</v>
      </c>
      <c r="K542" s="1">
        <v>0</v>
      </c>
      <c r="M542" s="1">
        <v>310078</v>
      </c>
      <c r="O542" s="1">
        <v>10273233</v>
      </c>
      <c r="Q542" s="1">
        <v>0</v>
      </c>
      <c r="S542" s="20">
        <f t="shared" si="30"/>
        <v>113730143</v>
      </c>
      <c r="U542" s="1">
        <f>2980723+1284910</f>
        <v>4265633</v>
      </c>
      <c r="X542" s="1">
        <f>+'St of Net Assets - GA'!O542-'LT _Lia - GA'!U542</f>
        <v>0</v>
      </c>
    </row>
    <row r="543" spans="1:24">
      <c r="A543" s="12" t="s">
        <v>426</v>
      </c>
      <c r="B543" s="12"/>
      <c r="C543" s="12" t="s">
        <v>420</v>
      </c>
      <c r="D543" s="12"/>
      <c r="E543" s="13">
        <v>47969</v>
      </c>
      <c r="G543" s="1">
        <v>573034</v>
      </c>
      <c r="I543" s="1">
        <v>0</v>
      </c>
      <c r="K543" s="1">
        <v>0</v>
      </c>
      <c r="M543" s="1">
        <v>0</v>
      </c>
      <c r="O543" s="1">
        <v>650480</v>
      </c>
      <c r="Q543" s="1">
        <v>108320</v>
      </c>
      <c r="S543" s="20">
        <f t="shared" si="30"/>
        <v>1331834</v>
      </c>
      <c r="U543" s="1">
        <v>223110</v>
      </c>
      <c r="X543" s="1">
        <f>+'St of Net Assets - GA'!O543-'LT _Lia - GA'!U543</f>
        <v>0</v>
      </c>
    </row>
    <row r="544" spans="1:24">
      <c r="A544" s="17" t="s">
        <v>900</v>
      </c>
      <c r="B544" s="12"/>
      <c r="C544" s="12" t="s">
        <v>227</v>
      </c>
      <c r="D544" s="12"/>
      <c r="E544" s="13">
        <v>46151</v>
      </c>
      <c r="G544" s="1">
        <f>57427562-2552000-2180268</f>
        <v>52695294</v>
      </c>
      <c r="I544" s="1">
        <v>0</v>
      </c>
      <c r="K544" s="1">
        <v>0</v>
      </c>
      <c r="M544" s="1">
        <v>2552000</v>
      </c>
      <c r="O544" s="1">
        <v>2180268</v>
      </c>
      <c r="Q544" s="1">
        <v>0</v>
      </c>
      <c r="S544" s="20">
        <f t="shared" ref="S544:S581" si="31">SUM(G544:R544)</f>
        <v>57427562</v>
      </c>
      <c r="U544" s="1">
        <v>1752026</v>
      </c>
      <c r="X544" s="1">
        <f>+'St of Net Assets - GA'!O544-'LT _Lia - GA'!U544</f>
        <v>0</v>
      </c>
    </row>
    <row r="545" spans="1:24">
      <c r="A545" s="12" t="s">
        <v>596</v>
      </c>
      <c r="B545" s="12"/>
      <c r="C545" s="12" t="s">
        <v>63</v>
      </c>
      <c r="D545" s="12"/>
      <c r="E545" s="13">
        <v>44883</v>
      </c>
      <c r="G545" s="1">
        <v>27608891</v>
      </c>
      <c r="I545" s="1">
        <v>0</v>
      </c>
      <c r="K545" s="1">
        <v>0</v>
      </c>
      <c r="M545" s="1">
        <v>0</v>
      </c>
      <c r="O545" s="1">
        <v>2406392</v>
      </c>
      <c r="Q545" s="1">
        <v>0</v>
      </c>
      <c r="S545" s="20">
        <f t="shared" si="31"/>
        <v>30015283</v>
      </c>
      <c r="U545" s="1">
        <v>916594</v>
      </c>
      <c r="X545" s="1">
        <f>+'St of Net Assets - GA'!O545-'LT _Lia - GA'!U545</f>
        <v>0</v>
      </c>
    </row>
    <row r="546" spans="1:24">
      <c r="A546" s="12" t="s">
        <v>527</v>
      </c>
      <c r="B546" s="12"/>
      <c r="C546" s="12" t="s">
        <v>54</v>
      </c>
      <c r="D546" s="12"/>
      <c r="E546" s="13">
        <v>49098</v>
      </c>
      <c r="G546" s="1">
        <f>38259034-1126505+1545681</f>
        <v>38678210</v>
      </c>
      <c r="I546" s="1">
        <v>0</v>
      </c>
      <c r="K546" s="1">
        <v>0</v>
      </c>
      <c r="M546" s="1">
        <v>133587</v>
      </c>
      <c r="O546" s="1">
        <v>2727770</v>
      </c>
      <c r="Q546" s="1">
        <v>0</v>
      </c>
      <c r="S546" s="20">
        <f t="shared" si="31"/>
        <v>41539567</v>
      </c>
      <c r="U546" s="1">
        <v>1541563</v>
      </c>
      <c r="X546" s="1">
        <f>+'St of Net Assets - GA'!O546-'LT _Lia - GA'!U546</f>
        <v>0</v>
      </c>
    </row>
    <row r="547" spans="1:24">
      <c r="A547" s="12" t="s">
        <v>250</v>
      </c>
      <c r="B547" s="12"/>
      <c r="C547" s="12" t="s">
        <v>17</v>
      </c>
      <c r="D547" s="12"/>
      <c r="E547" s="13">
        <v>46243</v>
      </c>
      <c r="G547" s="1">
        <v>18498379</v>
      </c>
      <c r="I547" s="1">
        <v>0</v>
      </c>
      <c r="K547" s="1">
        <v>0</v>
      </c>
      <c r="M547" s="1">
        <v>0</v>
      </c>
      <c r="O547" s="1">
        <v>2267161</v>
      </c>
      <c r="Q547" s="1">
        <v>0</v>
      </c>
      <c r="S547" s="20">
        <f t="shared" si="31"/>
        <v>20765540</v>
      </c>
      <c r="U547" s="1">
        <v>563818</v>
      </c>
      <c r="X547" s="1">
        <f>+'St of Net Assets - GA'!O547-'LT _Lia - GA'!U547</f>
        <v>0</v>
      </c>
    </row>
    <row r="548" spans="1:24">
      <c r="A548" s="12" t="s">
        <v>901</v>
      </c>
      <c r="B548" s="12"/>
      <c r="C548" s="12" t="s">
        <v>32</v>
      </c>
      <c r="D548" s="12"/>
      <c r="E548" s="13">
        <v>47399</v>
      </c>
      <c r="G548" s="1">
        <v>0</v>
      </c>
      <c r="I548" s="1">
        <v>0</v>
      </c>
      <c r="K548" s="1">
        <v>0</v>
      </c>
      <c r="M548" s="1">
        <v>0</v>
      </c>
      <c r="O548" s="1">
        <v>2486485</v>
      </c>
      <c r="Q548" s="1">
        <v>0</v>
      </c>
      <c r="S548" s="20">
        <f t="shared" si="31"/>
        <v>2486485</v>
      </c>
      <c r="U548" s="1">
        <v>565088</v>
      </c>
      <c r="X548" s="1">
        <f>+'St of Net Assets - GA'!O548-'LT _Lia - GA'!U548</f>
        <v>0</v>
      </c>
    </row>
    <row r="549" spans="1:24">
      <c r="A549" s="12" t="s">
        <v>568</v>
      </c>
      <c r="B549" s="12"/>
      <c r="C549" s="12" t="s">
        <v>60</v>
      </c>
      <c r="D549" s="12"/>
      <c r="E549" s="13">
        <v>44891</v>
      </c>
      <c r="G549" s="1">
        <f>1705000+5985857-381232+479255</f>
        <v>7788880</v>
      </c>
      <c r="I549" s="1">
        <v>0</v>
      </c>
      <c r="K549" s="1">
        <v>463056</v>
      </c>
      <c r="M549" s="1">
        <v>456514</v>
      </c>
      <c r="O549" s="1">
        <v>1647665</v>
      </c>
      <c r="Q549" s="1">
        <v>0</v>
      </c>
      <c r="S549" s="20">
        <f t="shared" si="31"/>
        <v>10356115</v>
      </c>
      <c r="U549" s="1">
        <v>964422</v>
      </c>
      <c r="X549" s="1">
        <f>+'St of Net Assets - GA'!O549-'LT _Lia - GA'!U549</f>
        <v>0</v>
      </c>
    </row>
    <row r="550" spans="1:24">
      <c r="A550" s="12" t="s">
        <v>491</v>
      </c>
      <c r="B550" s="12"/>
      <c r="C550" s="12" t="s">
        <v>48</v>
      </c>
      <c r="D550" s="12"/>
      <c r="E550" s="13">
        <v>45617</v>
      </c>
      <c r="G550" s="1">
        <v>18189392</v>
      </c>
      <c r="I550" s="1">
        <v>0</v>
      </c>
      <c r="K550" s="1">
        <v>0</v>
      </c>
      <c r="M550" s="1">
        <v>366281</v>
      </c>
      <c r="O550" s="1">
        <v>2234104</v>
      </c>
      <c r="Q550" s="1">
        <v>0</v>
      </c>
      <c r="S550" s="20">
        <f t="shared" si="31"/>
        <v>20789777</v>
      </c>
      <c r="U550" s="1">
        <v>609102</v>
      </c>
      <c r="X550" s="1">
        <f>+'St of Net Assets - GA'!O550-'LT _Lia - GA'!U550</f>
        <v>0</v>
      </c>
    </row>
    <row r="551" spans="1:24">
      <c r="A551" s="12" t="s">
        <v>455</v>
      </c>
      <c r="B551" s="12"/>
      <c r="C551" s="12" t="s">
        <v>117</v>
      </c>
      <c r="D551" s="12"/>
      <c r="E551" s="13">
        <v>44909</v>
      </c>
      <c r="G551" s="1">
        <v>173950672</v>
      </c>
      <c r="I551" s="1">
        <v>0</v>
      </c>
      <c r="K551" s="1">
        <v>0</v>
      </c>
      <c r="M551" s="1">
        <v>0</v>
      </c>
      <c r="O551" s="1">
        <v>41872981</v>
      </c>
      <c r="Q551" s="1">
        <v>0</v>
      </c>
      <c r="S551" s="20">
        <f t="shared" si="31"/>
        <v>215823653</v>
      </c>
      <c r="U551" s="1">
        <v>4544855</v>
      </c>
      <c r="X551" s="1">
        <f>+'St of Net Assets - GA'!O551-'LT _Lia - GA'!U551</f>
        <v>0</v>
      </c>
    </row>
    <row r="552" spans="1:24" hidden="1">
      <c r="A552" s="12" t="s">
        <v>952</v>
      </c>
      <c r="B552" s="12"/>
      <c r="C552" s="12" t="s">
        <v>117</v>
      </c>
      <c r="D552" s="12"/>
      <c r="E552" s="13"/>
      <c r="S552" s="20">
        <f t="shared" si="31"/>
        <v>0</v>
      </c>
      <c r="X552" s="1">
        <f>+'St of Net Assets - GA'!O552-'LT _Lia - GA'!U552</f>
        <v>0</v>
      </c>
    </row>
    <row r="553" spans="1:24">
      <c r="A553" s="12" t="s">
        <v>902</v>
      </c>
      <c r="B553" s="12"/>
      <c r="C553" s="12" t="s">
        <v>39</v>
      </c>
      <c r="D553" s="12"/>
      <c r="E553" s="13">
        <v>44917</v>
      </c>
      <c r="G553" s="1">
        <v>0</v>
      </c>
      <c r="I553" s="1">
        <v>0</v>
      </c>
      <c r="K553" s="1">
        <v>0</v>
      </c>
      <c r="M553" s="1">
        <v>40552</v>
      </c>
      <c r="O553" s="1">
        <v>447316</v>
      </c>
      <c r="Q553" s="1">
        <v>0</v>
      </c>
      <c r="S553" s="20">
        <f t="shared" si="31"/>
        <v>487868</v>
      </c>
      <c r="U553" s="1">
        <v>112994</v>
      </c>
      <c r="X553" s="1">
        <f>+'St of Net Assets - GA'!O553-'LT _Lia - GA'!U553</f>
        <v>0</v>
      </c>
    </row>
    <row r="554" spans="1:24">
      <c r="A554" s="12" t="s">
        <v>242</v>
      </c>
      <c r="B554" s="12"/>
      <c r="C554" s="12" t="s">
        <v>240</v>
      </c>
      <c r="D554" s="12"/>
      <c r="E554" s="13">
        <v>46201</v>
      </c>
      <c r="G554" s="1">
        <f>2000000+184994+205834+170585-114626</f>
        <v>2446787</v>
      </c>
      <c r="I554" s="1">
        <v>0</v>
      </c>
      <c r="K554" s="1">
        <v>0</v>
      </c>
      <c r="M554" s="1">
        <v>2038000</v>
      </c>
      <c r="O554" s="1">
        <v>390656</v>
      </c>
      <c r="Q554" s="1">
        <v>0</v>
      </c>
      <c r="S554" s="20">
        <f t="shared" si="31"/>
        <v>4875443</v>
      </c>
      <c r="U554" s="1">
        <v>250921</v>
      </c>
      <c r="X554" s="1">
        <f>+'St of Net Assets - GA'!O554-'LT _Lia - GA'!U554</f>
        <v>0</v>
      </c>
    </row>
    <row r="555" spans="1:24">
      <c r="A555" s="12" t="s">
        <v>541</v>
      </c>
      <c r="B555" s="12"/>
      <c r="C555" s="12" t="s">
        <v>57</v>
      </c>
      <c r="D555" s="12"/>
      <c r="E555" s="13">
        <v>91397</v>
      </c>
      <c r="G555" s="1">
        <v>0</v>
      </c>
      <c r="I555" s="1">
        <v>0</v>
      </c>
      <c r="K555" s="1">
        <v>0</v>
      </c>
      <c r="M555" s="1">
        <v>0</v>
      </c>
      <c r="O555" s="1">
        <v>503481</v>
      </c>
      <c r="Q555" s="1">
        <v>0</v>
      </c>
      <c r="S555" s="20">
        <f t="shared" si="31"/>
        <v>503481</v>
      </c>
      <c r="U555" s="1">
        <v>4522</v>
      </c>
      <c r="X555" s="1">
        <f>+'St of Net Assets - GA'!O555-'LT _Lia - GA'!U555</f>
        <v>0</v>
      </c>
    </row>
    <row r="556" spans="1:24">
      <c r="A556" s="12" t="s">
        <v>216</v>
      </c>
      <c r="B556" s="12"/>
      <c r="C556" s="12" t="s">
        <v>13</v>
      </c>
      <c r="D556" s="12"/>
      <c r="E556" s="13">
        <v>45922</v>
      </c>
      <c r="G556" s="1">
        <v>650000</v>
      </c>
      <c r="I556" s="1">
        <v>0</v>
      </c>
      <c r="K556" s="1">
        <v>0</v>
      </c>
      <c r="M556" s="1">
        <v>34853</v>
      </c>
      <c r="O556" s="1">
        <v>706667</v>
      </c>
      <c r="Q556" s="1">
        <v>0</v>
      </c>
      <c r="S556" s="20">
        <f t="shared" si="31"/>
        <v>1391520</v>
      </c>
      <c r="U556" s="1">
        <v>105729</v>
      </c>
      <c r="X556" s="1">
        <f>+'St of Net Assets - GA'!O556-'LT _Lia - GA'!U556</f>
        <v>0</v>
      </c>
    </row>
    <row r="557" spans="1:24">
      <c r="A557" s="12" t="s">
        <v>514</v>
      </c>
      <c r="B557" s="12"/>
      <c r="C557" s="12" t="s">
        <v>51</v>
      </c>
      <c r="D557" s="12"/>
      <c r="E557" s="13">
        <v>48876</v>
      </c>
      <c r="G557" s="1">
        <v>16375741</v>
      </c>
      <c r="I557" s="1">
        <v>0</v>
      </c>
      <c r="K557" s="1">
        <v>0</v>
      </c>
      <c r="M557" s="1">
        <v>25243</v>
      </c>
      <c r="O557" s="1">
        <v>1249501</v>
      </c>
      <c r="Q557" s="1">
        <v>0</v>
      </c>
      <c r="S557" s="20">
        <f t="shared" si="31"/>
        <v>17650485</v>
      </c>
      <c r="U557" s="1">
        <v>639439</v>
      </c>
      <c r="X557" s="1">
        <f>+'St of Net Assets - GA'!O557-'LT _Lia - GA'!U557</f>
        <v>0</v>
      </c>
    </row>
    <row r="558" spans="1:24" hidden="1">
      <c r="A558" s="17" t="s">
        <v>859</v>
      </c>
      <c r="B558" s="12"/>
      <c r="C558" s="12" t="s">
        <v>21</v>
      </c>
      <c r="D558" s="12"/>
      <c r="E558" s="13">
        <v>46680</v>
      </c>
      <c r="S558" s="20">
        <f t="shared" si="31"/>
        <v>0</v>
      </c>
      <c r="X558" s="1">
        <f>+'St of Net Assets - GA'!O558-'LT _Lia - GA'!U558</f>
        <v>0</v>
      </c>
    </row>
    <row r="559" spans="1:24" hidden="1">
      <c r="A559" s="17" t="s">
        <v>933</v>
      </c>
      <c r="B559" s="12"/>
      <c r="C559" s="12" t="s">
        <v>71</v>
      </c>
      <c r="D559" s="12"/>
      <c r="E559" s="13">
        <v>50591</v>
      </c>
      <c r="S559" s="20">
        <f t="shared" si="31"/>
        <v>0</v>
      </c>
      <c r="X559" s="1">
        <f>+'St of Net Assets - GA'!O559-'LT _Lia - GA'!U559</f>
        <v>0</v>
      </c>
    </row>
    <row r="560" spans="1:24">
      <c r="A560" s="12" t="s">
        <v>505</v>
      </c>
      <c r="B560" s="12"/>
      <c r="C560" s="12" t="s">
        <v>50</v>
      </c>
      <c r="D560" s="12"/>
      <c r="E560" s="13">
        <v>48694</v>
      </c>
      <c r="G560" s="1">
        <v>33316488</v>
      </c>
      <c r="I560" s="1">
        <v>0</v>
      </c>
      <c r="K560" s="1">
        <v>0</v>
      </c>
      <c r="M560" s="1">
        <f>9430000+82665</f>
        <v>9512665</v>
      </c>
      <c r="O560" s="1">
        <v>1477360</v>
      </c>
      <c r="Q560" s="1">
        <v>0</v>
      </c>
      <c r="S560" s="20">
        <f t="shared" si="31"/>
        <v>44306513</v>
      </c>
      <c r="U560" s="1">
        <v>1271322</v>
      </c>
      <c r="X560" s="1">
        <f>+'St of Net Assets - GA'!O560-'LT _Lia - GA'!U560</f>
        <v>0</v>
      </c>
    </row>
    <row r="561" spans="1:24">
      <c r="A561" s="12" t="s">
        <v>492</v>
      </c>
      <c r="B561" s="12"/>
      <c r="C561" s="12" t="s">
        <v>48</v>
      </c>
      <c r="D561" s="12"/>
      <c r="E561" s="13">
        <v>44925</v>
      </c>
      <c r="G561" s="1">
        <f>23999311-42360-3562654</f>
        <v>20394297</v>
      </c>
      <c r="I561" s="1">
        <v>0</v>
      </c>
      <c r="K561" s="1">
        <v>0</v>
      </c>
      <c r="M561" s="1">
        <v>42360</v>
      </c>
      <c r="O561" s="1">
        <v>3562654</v>
      </c>
      <c r="Q561" s="1">
        <v>0</v>
      </c>
      <c r="S561" s="20">
        <f t="shared" si="31"/>
        <v>23999311</v>
      </c>
      <c r="U561" s="1">
        <v>999574</v>
      </c>
      <c r="X561" s="1">
        <f>+'St of Net Assets - GA'!O561-'LT _Lia - GA'!U561</f>
        <v>0</v>
      </c>
    </row>
    <row r="562" spans="1:24">
      <c r="A562" s="12" t="s">
        <v>624</v>
      </c>
      <c r="B562" s="12"/>
      <c r="C562" s="12" t="s">
        <v>65</v>
      </c>
      <c r="D562" s="12"/>
      <c r="E562" s="13">
        <v>50302</v>
      </c>
      <c r="G562" s="1">
        <v>4550660</v>
      </c>
      <c r="I562" s="1">
        <v>0</v>
      </c>
      <c r="K562" s="1">
        <v>0</v>
      </c>
      <c r="M562" s="1">
        <v>7499</v>
      </c>
      <c r="O562" s="1">
        <v>898779</v>
      </c>
      <c r="Q562" s="1">
        <v>0</v>
      </c>
      <c r="S562" s="20">
        <f t="shared" si="31"/>
        <v>5456938</v>
      </c>
      <c r="U562" s="1">
        <v>581232</v>
      </c>
      <c r="X562" s="1">
        <f>+'St of Net Assets - GA'!O562-'LT _Lia - GA'!U562</f>
        <v>0</v>
      </c>
    </row>
    <row r="563" spans="1:24">
      <c r="A563" s="12" t="s">
        <v>585</v>
      </c>
      <c r="B563" s="12"/>
      <c r="C563" s="12" t="s">
        <v>62</v>
      </c>
      <c r="D563" s="12"/>
      <c r="E563" s="13">
        <v>49957</v>
      </c>
      <c r="G563" s="1">
        <f>12801989+878000</f>
        <v>13679989</v>
      </c>
      <c r="I563" s="1">
        <v>0</v>
      </c>
      <c r="K563" s="1">
        <v>0</v>
      </c>
      <c r="M563" s="1">
        <v>16492</v>
      </c>
      <c r="O563" s="1">
        <v>770715</v>
      </c>
      <c r="Q563" s="1">
        <v>0</v>
      </c>
      <c r="S563" s="20">
        <f t="shared" si="31"/>
        <v>14467196</v>
      </c>
      <c r="U563" s="1">
        <v>588728</v>
      </c>
      <c r="X563" s="1">
        <f>+'St of Net Assets - GA'!O563-'LT _Lia - GA'!U563</f>
        <v>0</v>
      </c>
    </row>
    <row r="564" spans="1:24" hidden="1">
      <c r="A564" s="17" t="s">
        <v>865</v>
      </c>
      <c r="B564" s="12"/>
      <c r="C564" s="12" t="s">
        <v>57</v>
      </c>
      <c r="D564" s="12"/>
      <c r="E564" s="13">
        <v>49296</v>
      </c>
      <c r="S564" s="20">
        <f t="shared" si="31"/>
        <v>0</v>
      </c>
      <c r="X564" s="1">
        <f>+'St of Net Assets - GA'!O564-'LT _Lia - GA'!U564</f>
        <v>0</v>
      </c>
    </row>
    <row r="565" spans="1:24">
      <c r="A565" s="12" t="s">
        <v>597</v>
      </c>
      <c r="B565" s="12"/>
      <c r="C565" s="12" t="s">
        <v>63</v>
      </c>
      <c r="D565" s="12"/>
      <c r="E565" s="13">
        <v>50070</v>
      </c>
      <c r="G565" s="20">
        <v>25715097</v>
      </c>
      <c r="H565" s="20"/>
      <c r="I565" s="20">
        <v>0</v>
      </c>
      <c r="J565" s="20"/>
      <c r="K565" s="20">
        <v>763000</v>
      </c>
      <c r="L565" s="20"/>
      <c r="M565" s="20">
        <v>403545</v>
      </c>
      <c r="N565" s="20"/>
      <c r="O565" s="20">
        <v>2447194</v>
      </c>
      <c r="P565" s="20"/>
      <c r="Q565" s="20">
        <v>0</v>
      </c>
      <c r="R565" s="20"/>
      <c r="S565" s="20">
        <f t="shared" si="31"/>
        <v>29328836</v>
      </c>
      <c r="T565" s="20"/>
      <c r="U565" s="20">
        <v>2691981</v>
      </c>
      <c r="V565" s="72"/>
      <c r="W565" s="72"/>
      <c r="X565" s="72">
        <f>+'St of Net Assets - GA'!O565-'LT _Lia - GA'!U565</f>
        <v>0</v>
      </c>
    </row>
    <row r="566" spans="1:24" hidden="1">
      <c r="A566" s="12" t="s">
        <v>931</v>
      </c>
      <c r="B566" s="12"/>
      <c r="C566" s="12" t="s">
        <v>15</v>
      </c>
      <c r="D566" s="12"/>
      <c r="E566" s="13">
        <v>46011</v>
      </c>
      <c r="S566" s="20">
        <f t="shared" si="31"/>
        <v>0</v>
      </c>
      <c r="X566" s="1">
        <f>+'St of Net Assets - GA'!O566-'LT _Lia - GA'!U566</f>
        <v>0</v>
      </c>
    </row>
    <row r="567" spans="1:24">
      <c r="A567" s="12" t="s">
        <v>553</v>
      </c>
      <c r="B567" s="12"/>
      <c r="C567" s="12" t="s">
        <v>58</v>
      </c>
      <c r="D567" s="12"/>
      <c r="E567" s="13">
        <v>49536</v>
      </c>
      <c r="G567" s="1">
        <f>6447862-830131-2546393</f>
        <v>3071338</v>
      </c>
      <c r="I567" s="1">
        <v>0</v>
      </c>
      <c r="K567" s="1">
        <v>0</v>
      </c>
      <c r="M567" s="1">
        <v>830131</v>
      </c>
      <c r="O567" s="1">
        <v>2546393</v>
      </c>
      <c r="Q567" s="1">
        <v>0</v>
      </c>
      <c r="S567" s="20">
        <f t="shared" si="31"/>
        <v>6447862</v>
      </c>
      <c r="U567" s="1">
        <v>502596</v>
      </c>
      <c r="X567" s="1">
        <f>+'St of Net Assets - GA'!O567-'LT _Lia - GA'!U567</f>
        <v>0</v>
      </c>
    </row>
    <row r="568" spans="1:24">
      <c r="A568" s="12" t="s">
        <v>270</v>
      </c>
      <c r="B568" s="12"/>
      <c r="C568" s="12" t="s">
        <v>114</v>
      </c>
      <c r="D568" s="12"/>
      <c r="E568" s="13">
        <v>46458</v>
      </c>
      <c r="G568" s="1">
        <v>0</v>
      </c>
      <c r="I568" s="1">
        <v>0</v>
      </c>
      <c r="K568" s="1">
        <v>0</v>
      </c>
      <c r="M568" s="1">
        <v>38714</v>
      </c>
      <c r="O568" s="1">
        <v>1316911</v>
      </c>
      <c r="Q568" s="1">
        <v>0</v>
      </c>
      <c r="S568" s="20">
        <f t="shared" si="31"/>
        <v>1355625</v>
      </c>
      <c r="U568" s="1">
        <v>238242</v>
      </c>
      <c r="X568" s="1">
        <f>+'St of Net Assets - GA'!O568-'LT _Lia - GA'!U568</f>
        <v>0</v>
      </c>
    </row>
    <row r="569" spans="1:24">
      <c r="A569" s="12" t="s">
        <v>341</v>
      </c>
      <c r="B569" s="12"/>
      <c r="C569" s="12" t="s">
        <v>27</v>
      </c>
      <c r="D569" s="12"/>
      <c r="E569" s="13">
        <v>44933</v>
      </c>
      <c r="G569" s="1">
        <f>3338849+27297185</f>
        <v>30636034</v>
      </c>
      <c r="I569" s="1">
        <v>0</v>
      </c>
      <c r="K569" s="1">
        <v>0</v>
      </c>
      <c r="M569" s="1">
        <v>0</v>
      </c>
      <c r="O569" s="1">
        <v>5945786</v>
      </c>
      <c r="Q569" s="1">
        <v>0</v>
      </c>
      <c r="S569" s="20">
        <f t="shared" si="31"/>
        <v>36581820</v>
      </c>
      <c r="U569" s="1">
        <v>2436086</v>
      </c>
      <c r="X569" s="1">
        <f>+'St of Net Assets - GA'!O569-'LT _Lia - GA'!U569</f>
        <v>0</v>
      </c>
    </row>
    <row r="570" spans="1:24" hidden="1">
      <c r="A570" s="17" t="s">
        <v>866</v>
      </c>
      <c r="B570" s="12"/>
      <c r="C570" s="12" t="s">
        <v>653</v>
      </c>
      <c r="D570" s="12"/>
      <c r="E570" s="13">
        <v>45625</v>
      </c>
      <c r="S570" s="20">
        <f t="shared" si="31"/>
        <v>0</v>
      </c>
      <c r="X570" s="1">
        <f>+'St of Net Assets - GA'!O570-'LT _Lia - GA'!U570</f>
        <v>0</v>
      </c>
    </row>
    <row r="571" spans="1:24" hidden="1">
      <c r="A571" s="17" t="s">
        <v>867</v>
      </c>
      <c r="B571" s="12"/>
      <c r="C571" s="12" t="s">
        <v>383</v>
      </c>
      <c r="D571" s="12"/>
      <c r="E571" s="13">
        <v>47522</v>
      </c>
      <c r="S571" s="20">
        <f t="shared" si="31"/>
        <v>0</v>
      </c>
      <c r="X571" s="1">
        <f>+'St of Net Assets - GA'!O571-'LT _Lia - GA'!U571</f>
        <v>0</v>
      </c>
    </row>
    <row r="572" spans="1:24">
      <c r="A572" s="12" t="s">
        <v>243</v>
      </c>
      <c r="B572" s="12"/>
      <c r="C572" s="12" t="s">
        <v>240</v>
      </c>
      <c r="D572" s="12"/>
      <c r="E572" s="13">
        <v>44941</v>
      </c>
      <c r="G572" s="1">
        <v>0</v>
      </c>
      <c r="I572" s="1">
        <v>0</v>
      </c>
      <c r="K572" s="1">
        <f>110000+1040000</f>
        <v>1150000</v>
      </c>
      <c r="M572" s="1">
        <v>433483</v>
      </c>
      <c r="O572" s="1">
        <v>1561086</v>
      </c>
      <c r="Q572" s="1">
        <v>0</v>
      </c>
      <c r="S572" s="20">
        <f t="shared" si="31"/>
        <v>3144569</v>
      </c>
      <c r="U572" s="1">
        <v>762350</v>
      </c>
      <c r="X572" s="1">
        <f>+'St of Net Assets - GA'!O572-'LT _Lia - GA'!U572</f>
        <v>0</v>
      </c>
    </row>
    <row r="573" spans="1:24" hidden="1">
      <c r="A573" s="17" t="s">
        <v>868</v>
      </c>
      <c r="B573" s="12"/>
      <c r="C573" s="12" t="s">
        <v>59</v>
      </c>
      <c r="D573" s="12"/>
      <c r="E573" s="13">
        <v>49643</v>
      </c>
      <c r="S573" s="20">
        <f t="shared" si="31"/>
        <v>0</v>
      </c>
      <c r="X573" s="1">
        <f>+'St of Net Assets - GA'!O573-'LT _Lia - GA'!U573</f>
        <v>0</v>
      </c>
    </row>
    <row r="574" spans="1:24">
      <c r="A574" s="12" t="s">
        <v>506</v>
      </c>
      <c r="B574" s="12"/>
      <c r="C574" s="12" t="s">
        <v>50</v>
      </c>
      <c r="D574" s="12"/>
      <c r="E574" s="13">
        <v>48744</v>
      </c>
      <c r="G574" s="1">
        <v>72350</v>
      </c>
      <c r="I574" s="1">
        <v>0</v>
      </c>
      <c r="K574" s="1">
        <v>0</v>
      </c>
      <c r="M574" s="1">
        <v>555501</v>
      </c>
      <c r="O574" s="1">
        <v>1100277</v>
      </c>
      <c r="Q574" s="1">
        <v>0</v>
      </c>
      <c r="S574" s="20">
        <f t="shared" si="31"/>
        <v>1728128</v>
      </c>
      <c r="U574" s="1">
        <v>283415</v>
      </c>
      <c r="X574" s="1">
        <f>+'St of Net Assets - GA'!O574-'LT _Lia - GA'!U574</f>
        <v>0</v>
      </c>
    </row>
    <row r="575" spans="1:24">
      <c r="A575" s="12" t="s">
        <v>382</v>
      </c>
      <c r="B575" s="12"/>
      <c r="C575" s="12" t="s">
        <v>33</v>
      </c>
      <c r="D575" s="12"/>
      <c r="E575" s="13">
        <v>47464</v>
      </c>
      <c r="G575" s="1">
        <v>8160300</v>
      </c>
      <c r="I575" s="1">
        <v>0</v>
      </c>
      <c r="K575" s="1">
        <v>0</v>
      </c>
      <c r="M575" s="1">
        <v>0</v>
      </c>
      <c r="O575" s="1">
        <v>552851</v>
      </c>
      <c r="Q575" s="1">
        <v>0</v>
      </c>
      <c r="S575" s="20">
        <f t="shared" ref="S575:S576" si="32">SUM(G575:R575)</f>
        <v>8713151</v>
      </c>
      <c r="U575" s="1">
        <v>823006</v>
      </c>
      <c r="X575" s="1">
        <f>+'St of Net Assets - GA'!O575-'LT _Lia - GA'!U575</f>
        <v>0</v>
      </c>
    </row>
    <row r="576" spans="1:24">
      <c r="A576" s="12" t="s">
        <v>629</v>
      </c>
      <c r="B576" s="12"/>
      <c r="C576" s="12" t="s">
        <v>67</v>
      </c>
      <c r="D576" s="12"/>
      <c r="E576" s="13">
        <v>44966</v>
      </c>
      <c r="G576" s="1">
        <v>23210096</v>
      </c>
      <c r="I576" s="1">
        <v>1825000</v>
      </c>
      <c r="K576" s="1">
        <v>0</v>
      </c>
      <c r="M576" s="1">
        <v>0</v>
      </c>
      <c r="O576" s="1">
        <v>2198460</v>
      </c>
      <c r="Q576" s="1">
        <v>0</v>
      </c>
      <c r="S576" s="20">
        <f t="shared" si="32"/>
        <v>27233556</v>
      </c>
      <c r="U576" s="1">
        <v>1039218</v>
      </c>
      <c r="X576" s="1">
        <f>+'St of Net Assets - GA'!O576-'LT _Lia - GA'!U576</f>
        <v>0</v>
      </c>
    </row>
    <row r="577" spans="1:24">
      <c r="A577" s="12" t="s">
        <v>507</v>
      </c>
      <c r="B577" s="12"/>
      <c r="C577" s="12" t="s">
        <v>50</v>
      </c>
      <c r="D577" s="12"/>
      <c r="E577" s="13">
        <v>44958</v>
      </c>
      <c r="G577" s="1">
        <f>54805577-2570705-613812</f>
        <v>51621060</v>
      </c>
      <c r="I577" s="1">
        <v>0</v>
      </c>
      <c r="K577" s="1">
        <v>0</v>
      </c>
      <c r="M577" s="1">
        <v>613812</v>
      </c>
      <c r="O577" s="1">
        <v>2570705</v>
      </c>
      <c r="Q577" s="1">
        <v>0</v>
      </c>
      <c r="S577" s="20">
        <f t="shared" si="31"/>
        <v>54805577</v>
      </c>
      <c r="U577" s="1">
        <v>392004</v>
      </c>
      <c r="X577" s="1">
        <f>+'St of Net Assets - GA'!O577-'LT _Lia - GA'!U577</f>
        <v>0</v>
      </c>
    </row>
    <row r="578" spans="1:24" hidden="1">
      <c r="A578" s="17" t="s">
        <v>870</v>
      </c>
      <c r="B578" s="12"/>
      <c r="C578" s="12" t="s">
        <v>33</v>
      </c>
      <c r="D578" s="12"/>
      <c r="E578" s="13">
        <v>47472</v>
      </c>
      <c r="S578" s="20">
        <f t="shared" si="31"/>
        <v>0</v>
      </c>
      <c r="X578" s="1">
        <f>+'St of Net Assets - GA'!O578-'LT _Lia - GA'!U578</f>
        <v>0</v>
      </c>
    </row>
    <row r="579" spans="1:24">
      <c r="A579" s="12" t="s">
        <v>320</v>
      </c>
      <c r="B579" s="12"/>
      <c r="C579" s="12" t="s">
        <v>24</v>
      </c>
      <c r="D579" s="12"/>
      <c r="E579" s="13">
        <v>46821</v>
      </c>
      <c r="G579" s="1">
        <f>385000+545000+1745454+3425000+64999+25875+98597</f>
        <v>6289925</v>
      </c>
      <c r="I579" s="1">
        <v>0</v>
      </c>
      <c r="K579" s="1">
        <v>0</v>
      </c>
      <c r="M579" s="1">
        <f>40139+1506111</f>
        <v>1546250</v>
      </c>
      <c r="O579" s="1">
        <v>1666894</v>
      </c>
      <c r="Q579" s="1">
        <v>522822</v>
      </c>
      <c r="S579" s="20">
        <f t="shared" si="31"/>
        <v>10025891</v>
      </c>
      <c r="U579" s="1">
        <v>1529144</v>
      </c>
      <c r="X579" s="1">
        <f>+'St of Net Assets - GA'!O579-'LT _Lia - GA'!U579</f>
        <v>0</v>
      </c>
    </row>
    <row r="580" spans="1:24" hidden="1">
      <c r="A580" s="17" t="s">
        <v>871</v>
      </c>
      <c r="B580" s="17"/>
      <c r="C580" s="17" t="s">
        <v>21</v>
      </c>
      <c r="D580" s="12"/>
      <c r="E580" s="13"/>
      <c r="S580" s="20">
        <f t="shared" si="31"/>
        <v>0</v>
      </c>
      <c r="X580" s="1">
        <f>+'St of Net Assets - GA'!O580-'LT _Lia - GA'!U580</f>
        <v>0</v>
      </c>
    </row>
    <row r="581" spans="1:24">
      <c r="A581" s="12" t="s">
        <v>630</v>
      </c>
      <c r="B581" s="12"/>
      <c r="C581" s="12" t="s">
        <v>68</v>
      </c>
      <c r="D581" s="12"/>
      <c r="E581" s="13">
        <v>50393</v>
      </c>
      <c r="G581" s="1">
        <f>925000+3250000+1085000+1030000+280196</f>
        <v>6570196</v>
      </c>
      <c r="I581" s="1">
        <v>0</v>
      </c>
      <c r="K581" s="1">
        <v>0</v>
      </c>
      <c r="M581" s="1">
        <v>515509</v>
      </c>
      <c r="O581" s="1">
        <v>651017</v>
      </c>
      <c r="Q581" s="1">
        <v>0</v>
      </c>
      <c r="S581" s="20">
        <f t="shared" si="31"/>
        <v>7736722</v>
      </c>
      <c r="U581" s="1">
        <v>592402</v>
      </c>
      <c r="X581" s="1">
        <f>+'St of Net Assets - GA'!O581-'LT _Lia - GA'!U581</f>
        <v>0</v>
      </c>
    </row>
    <row r="582" spans="1:24">
      <c r="A582" s="12" t="s">
        <v>483</v>
      </c>
      <c r="B582" s="12"/>
      <c r="C582" s="12" t="s">
        <v>47</v>
      </c>
      <c r="D582" s="12"/>
      <c r="E582" s="13">
        <v>44974</v>
      </c>
      <c r="G582" s="1">
        <v>64288232</v>
      </c>
      <c r="I582" s="1">
        <v>0</v>
      </c>
      <c r="K582" s="1">
        <v>29050000</v>
      </c>
      <c r="M582" s="1">
        <v>15000000</v>
      </c>
      <c r="O582" s="1">
        <v>4311400</v>
      </c>
      <c r="Q582" s="1">
        <v>0</v>
      </c>
      <c r="S582" s="20">
        <f t="shared" ref="S582:S606" si="33">SUM(G582:R582)</f>
        <v>112649632</v>
      </c>
      <c r="U582" s="1">
        <v>32129694</v>
      </c>
      <c r="X582" s="1">
        <f>+'St of Net Assets - GA'!O582-'LT _Lia - GA'!U582</f>
        <v>0</v>
      </c>
    </row>
    <row r="583" spans="1:24">
      <c r="A583" s="12" t="s">
        <v>616</v>
      </c>
      <c r="B583" s="12"/>
      <c r="C583" s="12" t="s">
        <v>64</v>
      </c>
      <c r="D583" s="12"/>
      <c r="E583" s="13">
        <v>44990</v>
      </c>
      <c r="G583" s="1">
        <f>34515000+765982</f>
        <v>35280982</v>
      </c>
      <c r="I583" s="1">
        <v>0</v>
      </c>
      <c r="K583" s="1">
        <v>831250</v>
      </c>
      <c r="M583" s="1">
        <v>0</v>
      </c>
      <c r="O583" s="1">
        <v>3741606</v>
      </c>
      <c r="Q583" s="1">
        <v>0</v>
      </c>
      <c r="S583" s="20">
        <f t="shared" si="33"/>
        <v>39853838</v>
      </c>
      <c r="U583" s="1">
        <v>1506273</v>
      </c>
      <c r="X583" s="1">
        <f>+'St of Net Assets - GA'!O583-'LT _Lia - GA'!U583</f>
        <v>0</v>
      </c>
    </row>
    <row r="584" spans="1:24">
      <c r="A584" s="12" t="s">
        <v>638</v>
      </c>
      <c r="B584" s="12"/>
      <c r="C584" s="12" t="s">
        <v>70</v>
      </c>
      <c r="D584" s="12"/>
      <c r="E584" s="13">
        <v>50500</v>
      </c>
      <c r="G584" s="1">
        <v>0</v>
      </c>
      <c r="I584" s="1">
        <v>0</v>
      </c>
      <c r="K584" s="1">
        <v>0</v>
      </c>
      <c r="M584" s="1">
        <v>0</v>
      </c>
      <c r="O584" s="1">
        <f>2353321+38459</f>
        <v>2391780</v>
      </c>
      <c r="Q584" s="1">
        <v>0</v>
      </c>
      <c r="S584" s="20">
        <f t="shared" si="33"/>
        <v>2391780</v>
      </c>
      <c r="U584" s="1">
        <v>30768</v>
      </c>
      <c r="X584" s="1">
        <f>+'St of Net Assets - GA'!O584-'LT _Lia - GA'!U584</f>
        <v>0</v>
      </c>
    </row>
    <row r="585" spans="1:24">
      <c r="A585" s="12" t="s">
        <v>307</v>
      </c>
      <c r="B585" s="12"/>
      <c r="C585" s="12" t="s">
        <v>20</v>
      </c>
      <c r="D585" s="12"/>
      <c r="E585" s="13">
        <v>45005</v>
      </c>
      <c r="G585" s="1">
        <v>20830971</v>
      </c>
      <c r="I585" s="1">
        <v>0</v>
      </c>
      <c r="K585" s="1">
        <v>0</v>
      </c>
      <c r="M585" s="1">
        <v>0</v>
      </c>
      <c r="O585" s="1">
        <v>2859832</v>
      </c>
      <c r="Q585" s="1">
        <v>0</v>
      </c>
      <c r="S585" s="20">
        <f t="shared" si="33"/>
        <v>23690803</v>
      </c>
      <c r="U585" s="1">
        <v>1236668</v>
      </c>
      <c r="X585" s="1">
        <f>+'St of Net Assets - GA'!O585-'LT _Lia - GA'!U585</f>
        <v>0</v>
      </c>
    </row>
    <row r="586" spans="1:24">
      <c r="A586" s="12" t="s">
        <v>328</v>
      </c>
      <c r="B586" s="12"/>
      <c r="C586" s="12" t="s">
        <v>26</v>
      </c>
      <c r="D586" s="12"/>
      <c r="E586" s="13">
        <v>45013</v>
      </c>
      <c r="G586" s="1">
        <f>15755000+2965000+1020000+608392+239465</f>
        <v>20587857</v>
      </c>
      <c r="I586" s="1">
        <v>0</v>
      </c>
      <c r="K586" s="1">
        <v>0</v>
      </c>
      <c r="M586" s="1">
        <v>194508</v>
      </c>
      <c r="O586" s="1">
        <v>1323907</v>
      </c>
      <c r="Q586" s="1">
        <v>0</v>
      </c>
      <c r="S586" s="20">
        <f t="shared" si="33"/>
        <v>22106272</v>
      </c>
      <c r="U586" s="1">
        <v>637022</v>
      </c>
      <c r="X586" s="1">
        <f>+'St of Net Assets - GA'!O586-'LT _Lia - GA'!U586</f>
        <v>0</v>
      </c>
    </row>
    <row r="587" spans="1:24">
      <c r="A587" s="12" t="s">
        <v>456</v>
      </c>
      <c r="B587" s="12"/>
      <c r="C587" s="12" t="s">
        <v>117</v>
      </c>
      <c r="D587" s="12"/>
      <c r="E587" s="13">
        <v>48231</v>
      </c>
      <c r="G587" s="1">
        <v>0</v>
      </c>
      <c r="I587" s="1">
        <v>0</v>
      </c>
      <c r="K587" s="1">
        <v>1755000</v>
      </c>
      <c r="M587" s="1">
        <v>0</v>
      </c>
      <c r="O587" s="1">
        <v>4017137</v>
      </c>
      <c r="Q587" s="1">
        <v>0</v>
      </c>
      <c r="S587" s="20">
        <f t="shared" si="33"/>
        <v>5772137</v>
      </c>
      <c r="U587" s="1">
        <v>899184</v>
      </c>
      <c r="X587" s="1">
        <f>+'St of Net Assets - GA'!O587-'LT _Lia - GA'!U587</f>
        <v>0</v>
      </c>
    </row>
    <row r="588" spans="1:24">
      <c r="A588" s="12" t="s">
        <v>565</v>
      </c>
      <c r="B588" s="12"/>
      <c r="C588" s="12" t="s">
        <v>59</v>
      </c>
      <c r="D588" s="12"/>
      <c r="E588" s="13">
        <v>49650</v>
      </c>
      <c r="G588" s="1">
        <f>500000+109942+245916+13748-25774</f>
        <v>843832</v>
      </c>
      <c r="I588" s="1">
        <v>2659</v>
      </c>
      <c r="K588" s="1">
        <v>0</v>
      </c>
      <c r="M588" s="1">
        <v>177155</v>
      </c>
      <c r="O588" s="1">
        <v>395262</v>
      </c>
      <c r="Q588" s="1">
        <v>0</v>
      </c>
      <c r="S588" s="20">
        <f t="shared" si="33"/>
        <v>1418908</v>
      </c>
      <c r="U588" s="1">
        <v>313374</v>
      </c>
      <c r="X588" s="1">
        <f>+'St of Net Assets - GA'!O588-'LT _Lia - GA'!U588</f>
        <v>0</v>
      </c>
    </row>
    <row r="589" spans="1:24">
      <c r="A589" s="12" t="s">
        <v>539</v>
      </c>
      <c r="B589" s="12"/>
      <c r="C589" s="12" t="s">
        <v>56</v>
      </c>
      <c r="D589" s="12"/>
      <c r="E589" s="13">
        <v>49247</v>
      </c>
      <c r="G589" s="1">
        <f>780000+7040000+164999+374005-488479+594811-18952</f>
        <v>8446384</v>
      </c>
      <c r="I589" s="1">
        <v>0</v>
      </c>
      <c r="K589" s="1">
        <v>1307000</v>
      </c>
      <c r="M589" s="1">
        <v>0</v>
      </c>
      <c r="O589" s="1">
        <v>614453</v>
      </c>
      <c r="Q589" s="1">
        <v>0</v>
      </c>
      <c r="S589" s="20">
        <f t="shared" si="33"/>
        <v>10367837</v>
      </c>
      <c r="U589" s="1">
        <v>609780</v>
      </c>
      <c r="X589" s="1">
        <f>+'St of Net Assets - GA'!O589-'LT _Lia - GA'!U589</f>
        <v>0</v>
      </c>
    </row>
    <row r="590" spans="1:24">
      <c r="A590" s="12" t="s">
        <v>348</v>
      </c>
      <c r="B590" s="12"/>
      <c r="C590" s="12" t="s">
        <v>28</v>
      </c>
      <c r="D590" s="12"/>
      <c r="E590" s="13">
        <v>45641</v>
      </c>
      <c r="G590" s="1">
        <f>25959908+639231-307275</f>
        <v>26291864</v>
      </c>
      <c r="I590" s="1">
        <v>0</v>
      </c>
      <c r="K590" s="1">
        <v>0</v>
      </c>
      <c r="M590" s="1">
        <v>0</v>
      </c>
      <c r="O590" s="1">
        <v>1659428</v>
      </c>
      <c r="Q590" s="1">
        <v>0</v>
      </c>
      <c r="S590" s="20">
        <f t="shared" si="33"/>
        <v>27951292</v>
      </c>
      <c r="U590" s="1">
        <v>1230738</v>
      </c>
      <c r="X590" s="1">
        <f>+'St of Net Assets - GA'!O590-'LT _Lia - GA'!U590</f>
        <v>0</v>
      </c>
    </row>
    <row r="591" spans="1:24">
      <c r="A591" s="12" t="s">
        <v>530</v>
      </c>
      <c r="B591" s="12"/>
      <c r="C591" s="12" t="s">
        <v>55</v>
      </c>
      <c r="D591" s="12"/>
      <c r="E591" s="13">
        <v>49148</v>
      </c>
      <c r="G591" s="1">
        <f>665000+15596+5215000+359992+198389+313079-227869</f>
        <v>6539187</v>
      </c>
      <c r="I591" s="1">
        <v>0</v>
      </c>
      <c r="K591" s="1">
        <v>0</v>
      </c>
      <c r="M591" s="1">
        <v>1472130</v>
      </c>
      <c r="O591" s="1">
        <v>1301130</v>
      </c>
      <c r="Q591" s="1">
        <v>0</v>
      </c>
      <c r="S591" s="20">
        <f t="shared" si="33"/>
        <v>9312447</v>
      </c>
      <c r="U591" s="1">
        <v>545888</v>
      </c>
      <c r="X591" s="1">
        <f>+'St of Net Assets - GA'!O591-'LT _Lia - GA'!U591</f>
        <v>0</v>
      </c>
    </row>
    <row r="592" spans="1:24" hidden="1">
      <c r="A592" s="17" t="s">
        <v>881</v>
      </c>
      <c r="B592" s="12"/>
      <c r="C592" s="12" t="s">
        <v>69</v>
      </c>
      <c r="D592" s="12"/>
      <c r="E592" s="13">
        <v>50468</v>
      </c>
      <c r="S592" s="20">
        <f t="shared" si="33"/>
        <v>0</v>
      </c>
      <c r="X592" s="1">
        <f>+'St of Net Assets - GA'!O592-'LT _Lia - GA'!U592</f>
        <v>0</v>
      </c>
    </row>
    <row r="593" spans="1:24" hidden="1">
      <c r="A593" s="17" t="s">
        <v>746</v>
      </c>
      <c r="B593" s="12"/>
      <c r="C593" s="12" t="s">
        <v>523</v>
      </c>
      <c r="D593" s="12"/>
      <c r="E593" s="13">
        <v>49031</v>
      </c>
      <c r="S593" s="20">
        <f t="shared" si="33"/>
        <v>0</v>
      </c>
      <c r="X593" s="1">
        <f>+'St of Net Assets - GA'!O593-'LT _Lia - GA'!U593</f>
        <v>0</v>
      </c>
    </row>
    <row r="594" spans="1:24" hidden="1">
      <c r="A594" s="17" t="s">
        <v>789</v>
      </c>
      <c r="B594" s="12"/>
      <c r="C594" s="12" t="s">
        <v>14</v>
      </c>
      <c r="D594" s="12"/>
      <c r="E594" s="13">
        <v>45971</v>
      </c>
      <c r="S594" s="20">
        <f t="shared" si="33"/>
        <v>0</v>
      </c>
      <c r="X594" s="1">
        <f>+'St of Net Assets - GA'!O594-'LT _Lia - GA'!U594</f>
        <v>0</v>
      </c>
    </row>
    <row r="595" spans="1:24">
      <c r="A595" s="17"/>
      <c r="B595" s="12"/>
      <c r="C595" s="12"/>
      <c r="D595" s="12"/>
      <c r="E595" s="13"/>
      <c r="S595" s="20"/>
    </row>
    <row r="596" spans="1:24">
      <c r="A596" s="17"/>
      <c r="B596" s="12"/>
      <c r="C596" s="12"/>
      <c r="D596" s="12"/>
      <c r="E596" s="13"/>
      <c r="S596" s="20"/>
      <c r="U596" s="41" t="s">
        <v>709</v>
      </c>
    </row>
    <row r="597" spans="1:24">
      <c r="A597" s="17"/>
      <c r="B597" s="12"/>
      <c r="C597" s="12"/>
      <c r="D597" s="12"/>
      <c r="E597" s="13"/>
      <c r="S597" s="20"/>
    </row>
    <row r="598" spans="1:24">
      <c r="A598" s="12" t="s">
        <v>617</v>
      </c>
      <c r="B598" s="12"/>
      <c r="C598" s="12" t="s">
        <v>64</v>
      </c>
      <c r="D598" s="12"/>
      <c r="E598" s="13">
        <v>50252</v>
      </c>
      <c r="G598" s="16">
        <v>1260000</v>
      </c>
      <c r="H598" s="16"/>
      <c r="I598" s="16">
        <v>0</v>
      </c>
      <c r="J598" s="16"/>
      <c r="K598" s="16">
        <v>0</v>
      </c>
      <c r="L598" s="16"/>
      <c r="M598" s="16">
        <v>1027543</v>
      </c>
      <c r="N598" s="16"/>
      <c r="O598" s="16">
        <v>545504</v>
      </c>
      <c r="P598" s="16"/>
      <c r="Q598" s="16">
        <v>81000</v>
      </c>
      <c r="R598" s="16"/>
      <c r="S598" s="72">
        <f t="shared" si="33"/>
        <v>2914047</v>
      </c>
      <c r="T598" s="16"/>
      <c r="U598" s="16">
        <v>364864</v>
      </c>
      <c r="X598" s="1">
        <f>+'St of Net Assets - GA'!O598-'LT _Lia - GA'!U598</f>
        <v>0</v>
      </c>
    </row>
    <row r="599" spans="1:24">
      <c r="A599" s="12" t="s">
        <v>448</v>
      </c>
      <c r="B599" s="12"/>
      <c r="C599" s="12" t="s">
        <v>44</v>
      </c>
      <c r="D599" s="12"/>
      <c r="E599" s="13">
        <v>45658</v>
      </c>
      <c r="G599" s="1">
        <v>0</v>
      </c>
      <c r="I599" s="1">
        <v>0</v>
      </c>
      <c r="K599" s="1">
        <v>0</v>
      </c>
      <c r="M599" s="1">
        <v>0</v>
      </c>
      <c r="O599" s="1">
        <v>1026704</v>
      </c>
      <c r="Q599" s="1">
        <v>0</v>
      </c>
      <c r="S599" s="20">
        <f t="shared" si="33"/>
        <v>1026704</v>
      </c>
      <c r="U599" s="1">
        <v>300333</v>
      </c>
      <c r="X599" s="1">
        <f>+'St of Net Assets - GA'!O599-'LT _Lia - GA'!U599</f>
        <v>0</v>
      </c>
    </row>
    <row r="600" spans="1:24">
      <c r="A600" s="12" t="s">
        <v>409</v>
      </c>
      <c r="B600" s="12"/>
      <c r="C600" s="12" t="s">
        <v>38</v>
      </c>
      <c r="D600" s="12"/>
      <c r="E600" s="13">
        <v>45021</v>
      </c>
      <c r="G600" s="1">
        <v>2500000</v>
      </c>
      <c r="I600" s="1">
        <v>0</v>
      </c>
      <c r="K600" s="1">
        <v>0</v>
      </c>
      <c r="M600" s="1">
        <v>0</v>
      </c>
      <c r="O600" s="1">
        <v>684960</v>
      </c>
      <c r="Q600" s="1">
        <v>0</v>
      </c>
      <c r="S600" s="20">
        <f t="shared" si="33"/>
        <v>3184960</v>
      </c>
      <c r="U600" s="1">
        <v>232957</v>
      </c>
      <c r="X600" s="1">
        <f>+'St of Net Assets - GA'!O600-'LT _Lia - GA'!U600</f>
        <v>0</v>
      </c>
    </row>
    <row r="601" spans="1:24">
      <c r="A601" s="12" t="s">
        <v>271</v>
      </c>
      <c r="B601" s="12"/>
      <c r="C601" s="12" t="s">
        <v>114</v>
      </c>
      <c r="D601" s="12"/>
      <c r="E601" s="13">
        <v>45039</v>
      </c>
      <c r="G601" s="1">
        <f>996656+75000-50898+64762</f>
        <v>1085520</v>
      </c>
      <c r="I601" s="1">
        <v>220000</v>
      </c>
      <c r="K601" s="1">
        <v>0</v>
      </c>
      <c r="M601" s="1">
        <v>0</v>
      </c>
      <c r="O601" s="1">
        <v>523363</v>
      </c>
      <c r="Q601" s="1">
        <v>0</v>
      </c>
      <c r="S601" s="20">
        <f t="shared" si="33"/>
        <v>1828883</v>
      </c>
      <c r="U601" s="1">
        <v>205710</v>
      </c>
      <c r="X601" s="1">
        <f>+'St of Net Assets - GA'!O601-'LT _Lia - GA'!U601</f>
        <v>0</v>
      </c>
    </row>
    <row r="602" spans="1:24">
      <c r="A602" s="12" t="s">
        <v>471</v>
      </c>
      <c r="B602" s="12"/>
      <c r="C602" s="12" t="s">
        <v>45</v>
      </c>
      <c r="D602" s="12"/>
      <c r="E602" s="13">
        <v>48389</v>
      </c>
      <c r="G602" s="1">
        <f>6602361-305419+400091</f>
        <v>6697033</v>
      </c>
      <c r="I602" s="1">
        <v>0</v>
      </c>
      <c r="K602" s="1">
        <v>0</v>
      </c>
      <c r="M602" s="1">
        <v>0</v>
      </c>
      <c r="O602" s="1">
        <v>983400</v>
      </c>
      <c r="Q602" s="1">
        <v>0</v>
      </c>
      <c r="S602" s="20">
        <f t="shared" si="33"/>
        <v>7680433</v>
      </c>
      <c r="U602" s="1">
        <v>551018</v>
      </c>
      <c r="X602" s="1">
        <f>+'St of Net Assets - GA'!O602-'LT _Lia - GA'!U602</f>
        <v>0</v>
      </c>
    </row>
    <row r="603" spans="1:24">
      <c r="A603" s="17" t="s">
        <v>880</v>
      </c>
      <c r="B603" s="17"/>
      <c r="C603" s="17" t="s">
        <v>50</v>
      </c>
      <c r="D603" s="12"/>
      <c r="E603" s="13"/>
      <c r="G603" s="1">
        <v>2100000</v>
      </c>
      <c r="I603" s="1">
        <v>0</v>
      </c>
      <c r="K603" s="1">
        <v>0</v>
      </c>
      <c r="M603" s="1">
        <v>2044584</v>
      </c>
      <c r="O603" s="1">
        <v>1792027</v>
      </c>
      <c r="Q603" s="1">
        <v>0</v>
      </c>
      <c r="S603" s="20">
        <f t="shared" si="33"/>
        <v>5936611</v>
      </c>
      <c r="U603" s="1">
        <v>728105</v>
      </c>
      <c r="X603" s="1">
        <f>+'St of Net Assets - GA'!O603-'LT _Lia - GA'!U603</f>
        <v>0</v>
      </c>
    </row>
    <row r="604" spans="1:24">
      <c r="A604" s="12" t="s">
        <v>257</v>
      </c>
      <c r="B604" s="12"/>
      <c r="C604" s="12" t="s">
        <v>115</v>
      </c>
      <c r="D604" s="12"/>
      <c r="E604" s="13">
        <v>46359</v>
      </c>
      <c r="G604" s="1">
        <v>36783134</v>
      </c>
      <c r="I604" s="1">
        <v>0</v>
      </c>
      <c r="K604" s="1">
        <v>0</v>
      </c>
      <c r="M604" s="1">
        <v>5591518</v>
      </c>
      <c r="O604" s="1">
        <v>2573430</v>
      </c>
      <c r="Q604" s="1">
        <v>0</v>
      </c>
      <c r="S604" s="20">
        <f>SUM(G604:R604)</f>
        <v>44948082</v>
      </c>
      <c r="U604" s="1">
        <v>3944107</v>
      </c>
      <c r="X604" s="1">
        <f>+'St of Net Assets - GA'!O604-'LT _Lia - GA'!U604</f>
        <v>0</v>
      </c>
    </row>
    <row r="605" spans="1:24">
      <c r="A605" s="12" t="s">
        <v>356</v>
      </c>
      <c r="B605" s="12"/>
      <c r="C605" s="12" t="s">
        <v>30</v>
      </c>
      <c r="D605" s="12"/>
      <c r="E605" s="13">
        <v>47225</v>
      </c>
      <c r="G605" s="1">
        <v>6795000</v>
      </c>
      <c r="I605" s="1">
        <v>0</v>
      </c>
      <c r="K605" s="1">
        <v>0</v>
      </c>
      <c r="M605" s="1">
        <f>206336+438465</f>
        <v>644801</v>
      </c>
      <c r="O605" s="1">
        <f>1653300+30337</f>
        <v>1683637</v>
      </c>
      <c r="Q605" s="1">
        <v>12500</v>
      </c>
      <c r="S605" s="20">
        <f t="shared" si="33"/>
        <v>9135938</v>
      </c>
      <c r="U605" s="1">
        <f>2310994+6550</f>
        <v>2317544</v>
      </c>
      <c r="X605" s="1">
        <f>+'St of Net Assets - GA'!O605-'LT _Lia - GA'!U605</f>
        <v>0</v>
      </c>
    </row>
    <row r="606" spans="1:24">
      <c r="A606" s="12" t="s">
        <v>402</v>
      </c>
      <c r="B606" s="12"/>
      <c r="C606" s="12" t="s">
        <v>36</v>
      </c>
      <c r="D606" s="12"/>
      <c r="E606" s="13">
        <v>47696</v>
      </c>
      <c r="G606" s="1">
        <f>11285000+25826+516999+734154-584425</f>
        <v>11977554</v>
      </c>
      <c r="I606" s="1">
        <v>0</v>
      </c>
      <c r="K606" s="1">
        <v>0</v>
      </c>
      <c r="M606" s="1">
        <v>0</v>
      </c>
      <c r="O606" s="1">
        <v>2045526</v>
      </c>
      <c r="Q606" s="1">
        <v>0</v>
      </c>
      <c r="S606" s="20">
        <f t="shared" si="33"/>
        <v>14023080</v>
      </c>
      <c r="U606" s="1">
        <v>30826</v>
      </c>
      <c r="X606" s="1">
        <f>+'St of Net Assets - GA'!O606-'LT _Lia - GA'!U606</f>
        <v>0</v>
      </c>
    </row>
    <row r="607" spans="1:24">
      <c r="A607" s="12" t="s">
        <v>244</v>
      </c>
      <c r="B607" s="12"/>
      <c r="C607" s="12" t="s">
        <v>240</v>
      </c>
      <c r="D607" s="12"/>
      <c r="E607" s="12">
        <v>46219</v>
      </c>
      <c r="G607" s="1">
        <v>0</v>
      </c>
      <c r="I607" s="1">
        <v>0</v>
      </c>
      <c r="K607" s="1">
        <v>0</v>
      </c>
      <c r="M607" s="1">
        <v>86851</v>
      </c>
      <c r="O607" s="1">
        <v>786211</v>
      </c>
      <c r="Q607" s="1">
        <v>0</v>
      </c>
      <c r="S607" s="20">
        <f>SUM(G607:R607)</f>
        <v>873062</v>
      </c>
      <c r="U607" s="1">
        <v>244905</v>
      </c>
      <c r="X607" s="1">
        <f>+'St of Net Assets - GA'!O607-'LT _Lia - GA'!U607</f>
        <v>0</v>
      </c>
    </row>
    <row r="608" spans="1:24">
      <c r="A608" s="12" t="s">
        <v>515</v>
      </c>
      <c r="B608" s="12"/>
      <c r="C608" s="12" t="s">
        <v>51</v>
      </c>
      <c r="D608" s="12"/>
      <c r="E608" s="13">
        <v>48884</v>
      </c>
      <c r="G608" s="1">
        <v>21148870</v>
      </c>
      <c r="I608" s="1">
        <v>0</v>
      </c>
      <c r="K608" s="1">
        <v>0</v>
      </c>
      <c r="M608" s="1">
        <v>1693144</v>
      </c>
      <c r="O608" s="1">
        <v>749457</v>
      </c>
      <c r="Q608" s="1">
        <v>0</v>
      </c>
      <c r="S608" s="20">
        <f t="shared" ref="S608:S635" si="34">SUM(G608:R608)</f>
        <v>23591471</v>
      </c>
      <c r="U608" s="1">
        <v>550708</v>
      </c>
      <c r="X608" s="1">
        <f>+'St of Net Assets - GA'!O608-'LT _Lia - GA'!U608</f>
        <v>0</v>
      </c>
    </row>
    <row r="609" spans="1:26">
      <c r="A609" s="12" t="s">
        <v>225</v>
      </c>
      <c r="B609" s="12"/>
      <c r="C609" s="12" t="s">
        <v>77</v>
      </c>
      <c r="D609" s="12"/>
      <c r="E609" s="13">
        <v>46060</v>
      </c>
      <c r="G609" s="1">
        <v>4795000</v>
      </c>
      <c r="I609" s="1">
        <v>0</v>
      </c>
      <c r="K609" s="1">
        <v>0</v>
      </c>
      <c r="M609" s="1">
        <v>947000</v>
      </c>
      <c r="O609" s="1">
        <f>1544725+33580</f>
        <v>1578305</v>
      </c>
      <c r="Q609" s="1">
        <v>6000</v>
      </c>
      <c r="S609" s="20">
        <f t="shared" si="34"/>
        <v>7326305</v>
      </c>
      <c r="U609" s="1">
        <v>591617</v>
      </c>
      <c r="X609" s="1">
        <f>+'St of Net Assets - GA'!O609-'LT _Lia - GA'!U609</f>
        <v>0</v>
      </c>
    </row>
    <row r="610" spans="1:26">
      <c r="A610" s="12" t="s">
        <v>531</v>
      </c>
      <c r="B610" s="12"/>
      <c r="C610" s="12" t="s">
        <v>55</v>
      </c>
      <c r="D610" s="12"/>
      <c r="E610" s="13">
        <v>49155</v>
      </c>
      <c r="G610" s="1">
        <v>575000</v>
      </c>
      <c r="I610" s="1">
        <v>0</v>
      </c>
      <c r="K610" s="1">
        <v>0</v>
      </c>
      <c r="M610" s="1">
        <v>500000</v>
      </c>
      <c r="O610" s="1">
        <v>290087</v>
      </c>
      <c r="Q610" s="1">
        <v>0</v>
      </c>
      <c r="S610" s="20">
        <f t="shared" si="34"/>
        <v>1365087</v>
      </c>
      <c r="U610" s="1">
        <v>100144</v>
      </c>
      <c r="X610" s="1">
        <f>+'St of Net Assets - GA'!O610-'LT _Lia - GA'!U610</f>
        <v>0</v>
      </c>
    </row>
    <row r="611" spans="1:26" ht="12" customHeight="1">
      <c r="A611" s="12" t="s">
        <v>407</v>
      </c>
      <c r="B611" s="12"/>
      <c r="C611" s="12" t="s">
        <v>37</v>
      </c>
      <c r="D611" s="12"/>
      <c r="E611" s="13">
        <v>47746</v>
      </c>
      <c r="G611" s="1">
        <v>2709611</v>
      </c>
      <c r="I611" s="1">
        <v>0</v>
      </c>
      <c r="K611" s="1">
        <v>0</v>
      </c>
      <c r="M611" s="1">
        <v>39239</v>
      </c>
      <c r="O611" s="1">
        <v>675954</v>
      </c>
      <c r="Q611" s="1">
        <v>0</v>
      </c>
      <c r="S611" s="20">
        <f t="shared" si="34"/>
        <v>3424804</v>
      </c>
      <c r="U611" s="1">
        <v>193115</v>
      </c>
      <c r="X611" s="1">
        <f>+'St of Net Assets - GA'!O611-'LT _Lia - GA'!U611</f>
        <v>0</v>
      </c>
    </row>
    <row r="612" spans="1:26" ht="12" customHeight="1">
      <c r="A612" s="12" t="s">
        <v>407</v>
      </c>
      <c r="B612" s="12"/>
      <c r="C612" s="12" t="s">
        <v>45</v>
      </c>
      <c r="D612" s="12"/>
      <c r="E612" s="13">
        <v>48397</v>
      </c>
      <c r="G612" s="1">
        <v>11143951</v>
      </c>
      <c r="I612" s="1">
        <v>0</v>
      </c>
      <c r="K612" s="1">
        <v>0</v>
      </c>
      <c r="M612" s="1">
        <v>0</v>
      </c>
      <c r="O612" s="1">
        <v>567658</v>
      </c>
      <c r="Q612" s="1">
        <v>34212</v>
      </c>
      <c r="S612" s="20">
        <f t="shared" si="34"/>
        <v>11745821</v>
      </c>
      <c r="U612" s="1">
        <v>248358</v>
      </c>
      <c r="X612" s="1">
        <f>+'St of Net Assets - GA'!O612-'LT _Lia - GA'!U612</f>
        <v>0</v>
      </c>
    </row>
    <row r="613" spans="1:26" ht="12" customHeight="1">
      <c r="A613" s="12" t="s">
        <v>342</v>
      </c>
      <c r="B613" s="12"/>
      <c r="C613" s="12" t="s">
        <v>27</v>
      </c>
      <c r="D613" s="12"/>
      <c r="E613" s="13">
        <v>45047</v>
      </c>
      <c r="G613" s="1">
        <v>124522068</v>
      </c>
      <c r="I613" s="1">
        <v>0</v>
      </c>
      <c r="K613" s="1">
        <v>0</v>
      </c>
      <c r="M613" s="1">
        <v>0</v>
      </c>
      <c r="O613" s="1">
        <f>11225624+175392</f>
        <v>11401016</v>
      </c>
      <c r="Q613" s="1">
        <v>0</v>
      </c>
      <c r="S613" s="20">
        <f t="shared" si="34"/>
        <v>135923084</v>
      </c>
      <c r="U613" s="1">
        <f>6043092+5416</f>
        <v>6048508</v>
      </c>
      <c r="X613" s="1">
        <f>+'St of Net Assets - GA'!O613-'LT _Lia - GA'!U613</f>
        <v>0</v>
      </c>
    </row>
    <row r="614" spans="1:26" ht="12" customHeight="1">
      <c r="A614" s="12" t="s">
        <v>528</v>
      </c>
      <c r="B614" s="12"/>
      <c r="C614" s="12" t="s">
        <v>54</v>
      </c>
      <c r="D614" s="12"/>
      <c r="E614" s="13">
        <v>49106</v>
      </c>
      <c r="G614" s="1">
        <f>4955890+476549</f>
        <v>5432439</v>
      </c>
      <c r="I614" s="1">
        <v>0</v>
      </c>
      <c r="K614" s="1">
        <v>0</v>
      </c>
      <c r="M614" s="1">
        <v>435001</v>
      </c>
      <c r="O614" s="1">
        <v>830868</v>
      </c>
      <c r="Q614" s="1">
        <v>0</v>
      </c>
      <c r="S614" s="20">
        <f t="shared" si="34"/>
        <v>6698308</v>
      </c>
      <c r="U614" s="1">
        <v>469654</v>
      </c>
      <c r="X614" s="1">
        <f>+'St of Net Assets - GA'!O614-'LT _Lia - GA'!U614</f>
        <v>0</v>
      </c>
    </row>
    <row r="615" spans="1:26" ht="12" customHeight="1">
      <c r="A615" s="12" t="s">
        <v>308</v>
      </c>
      <c r="B615" s="12"/>
      <c r="C615" s="12" t="s">
        <v>20</v>
      </c>
      <c r="D615" s="12"/>
      <c r="E615" s="13">
        <v>45062</v>
      </c>
      <c r="G615" s="1">
        <v>21371791</v>
      </c>
      <c r="I615" s="1">
        <v>0</v>
      </c>
      <c r="K615" s="1">
        <v>0</v>
      </c>
      <c r="M615" s="1">
        <v>289048</v>
      </c>
      <c r="O615" s="1">
        <v>4060785</v>
      </c>
      <c r="Q615" s="1">
        <v>825000</v>
      </c>
      <c r="S615" s="20">
        <f t="shared" si="34"/>
        <v>26546624</v>
      </c>
      <c r="U615" s="1">
        <v>2841224</v>
      </c>
      <c r="X615" s="1">
        <f>+'St of Net Assets - GA'!O615-'LT _Lia - GA'!U615</f>
        <v>0</v>
      </c>
    </row>
    <row r="616" spans="1:26" ht="12" customHeight="1">
      <c r="A616" s="12" t="s">
        <v>566</v>
      </c>
      <c r="B616" s="12"/>
      <c r="C616" s="12" t="s">
        <v>59</v>
      </c>
      <c r="D616" s="12"/>
      <c r="E616" s="13">
        <v>49668</v>
      </c>
      <c r="G616" s="1">
        <f>2805000+6095000+246972</f>
        <v>9146972</v>
      </c>
      <c r="I616" s="1">
        <v>0</v>
      </c>
      <c r="K616" s="1">
        <v>0</v>
      </c>
      <c r="M616" s="1">
        <v>483000</v>
      </c>
      <c r="O616" s="1">
        <v>781153</v>
      </c>
      <c r="Q616" s="1">
        <v>0</v>
      </c>
      <c r="S616" s="20">
        <f t="shared" si="34"/>
        <v>10411125</v>
      </c>
      <c r="U616" s="1">
        <v>341704</v>
      </c>
      <c r="X616" s="1">
        <f>+'St of Net Assets - GA'!O616-'LT _Lia - GA'!U616</f>
        <v>0</v>
      </c>
    </row>
    <row r="617" spans="1:26">
      <c r="A617" s="12" t="s">
        <v>343</v>
      </c>
      <c r="B617" s="12"/>
      <c r="C617" s="12" t="s">
        <v>27</v>
      </c>
      <c r="D617" s="12"/>
      <c r="E617" s="13">
        <v>45070</v>
      </c>
      <c r="G617" s="1">
        <v>30945102</v>
      </c>
      <c r="I617" s="1">
        <v>0</v>
      </c>
      <c r="K617" s="1">
        <v>0</v>
      </c>
      <c r="M617" s="1">
        <v>25587</v>
      </c>
      <c r="O617" s="1">
        <f>1272368+39569</f>
        <v>1311937</v>
      </c>
      <c r="Q617" s="1">
        <v>0</v>
      </c>
      <c r="S617" s="20">
        <f t="shared" si="34"/>
        <v>32282626</v>
      </c>
      <c r="U617" s="1">
        <f>2007006+13500</f>
        <v>2020506</v>
      </c>
      <c r="X617" s="1">
        <f>+'St of Net Assets - GA'!O617-'LT _Lia - GA'!U617</f>
        <v>0</v>
      </c>
      <c r="Z617" s="1" t="s">
        <v>131</v>
      </c>
    </row>
    <row r="618" spans="1:26" hidden="1">
      <c r="A618" s="17" t="s">
        <v>744</v>
      </c>
      <c r="B618" s="12"/>
      <c r="C618" s="12" t="s">
        <v>41</v>
      </c>
      <c r="D618" s="12"/>
      <c r="E618" s="13">
        <v>45088</v>
      </c>
      <c r="S618" s="20">
        <f t="shared" si="34"/>
        <v>0</v>
      </c>
      <c r="X618" s="1">
        <f>+'St of Net Assets - GA'!O618-'LT _Lia - GA'!U618</f>
        <v>0</v>
      </c>
    </row>
    <row r="619" spans="1:26">
      <c r="A619" s="12" t="s">
        <v>408</v>
      </c>
      <c r="B619" s="12"/>
      <c r="C619" s="12" t="s">
        <v>37</v>
      </c>
      <c r="D619" s="12"/>
      <c r="E619" s="13">
        <v>45096</v>
      </c>
      <c r="G619" s="1">
        <f>2150000-121469+189884</f>
        <v>2218415</v>
      </c>
      <c r="I619" s="1">
        <v>266089</v>
      </c>
      <c r="K619" s="1">
        <v>0</v>
      </c>
      <c r="M619" s="1">
        <v>135300</v>
      </c>
      <c r="O619" s="1">
        <v>1179987</v>
      </c>
      <c r="Q619" s="1">
        <v>0</v>
      </c>
      <c r="S619" s="20">
        <f t="shared" si="34"/>
        <v>3799791</v>
      </c>
      <c r="U619" s="1">
        <v>296339</v>
      </c>
      <c r="X619" s="1">
        <f>+'St of Net Assets - GA'!O619-'LT _Lia - GA'!U619</f>
        <v>0</v>
      </c>
    </row>
    <row r="620" spans="1:26">
      <c r="A620" s="17" t="s">
        <v>258</v>
      </c>
      <c r="B620" s="12"/>
      <c r="C620" s="12" t="s">
        <v>115</v>
      </c>
      <c r="D620" s="12"/>
      <c r="E620" s="12">
        <v>46367</v>
      </c>
      <c r="G620" s="1">
        <f>2370000+35521-22328</f>
        <v>2383193</v>
      </c>
      <c r="I620" s="1">
        <v>340063</v>
      </c>
      <c r="K620" s="1">
        <v>0</v>
      </c>
      <c r="M620" s="1">
        <v>0</v>
      </c>
      <c r="O620" s="1">
        <v>738892</v>
      </c>
      <c r="Q620" s="1">
        <v>27275</v>
      </c>
      <c r="S620" s="20">
        <f t="shared" si="34"/>
        <v>3489423</v>
      </c>
      <c r="U620" s="1">
        <v>307919</v>
      </c>
      <c r="X620" s="1">
        <f>+'St of Net Assets - GA'!O620-'LT _Lia - GA'!U620</f>
        <v>0</v>
      </c>
    </row>
    <row r="621" spans="1:26">
      <c r="A621" s="12" t="s">
        <v>418</v>
      </c>
      <c r="B621" s="12"/>
      <c r="C621" s="12" t="s">
        <v>41</v>
      </c>
      <c r="D621" s="12"/>
      <c r="E621" s="13">
        <v>45104</v>
      </c>
      <c r="G621" s="1">
        <f>630000+15461-8771</f>
        <v>636690</v>
      </c>
      <c r="I621" s="1">
        <v>0</v>
      </c>
      <c r="K621" s="1">
        <v>0</v>
      </c>
      <c r="M621" s="1">
        <v>0</v>
      </c>
      <c r="O621" s="1">
        <v>9140355</v>
      </c>
      <c r="Q621" s="1">
        <f>2367817+1863170</f>
        <v>4230987</v>
      </c>
      <c r="S621" s="20">
        <f t="shared" si="34"/>
        <v>14008032</v>
      </c>
      <c r="U621" s="1">
        <v>2312798</v>
      </c>
      <c r="X621" s="1">
        <f>+'St of Net Assets - GA'!O621-'LT _Lia - GA'!U621</f>
        <v>0</v>
      </c>
    </row>
    <row r="622" spans="1:26">
      <c r="A622" s="12" t="s">
        <v>262</v>
      </c>
      <c r="B622" s="12"/>
      <c r="C622" s="12" t="s">
        <v>18</v>
      </c>
      <c r="D622" s="12"/>
      <c r="E622" s="13">
        <v>45112</v>
      </c>
      <c r="G622" s="1">
        <v>6537994</v>
      </c>
      <c r="I622" s="1">
        <v>0</v>
      </c>
      <c r="K622" s="1">
        <v>0</v>
      </c>
      <c r="M622" s="1">
        <v>1696000</v>
      </c>
      <c r="O622" s="1">
        <v>1077759</v>
      </c>
      <c r="Q622" s="1">
        <v>0</v>
      </c>
      <c r="S622" s="20">
        <f t="shared" si="34"/>
        <v>9311753</v>
      </c>
      <c r="U622" s="1">
        <v>1669172</v>
      </c>
      <c r="X622" s="1">
        <f>+'St of Net Assets - GA'!O622-'LT _Lia - GA'!U622</f>
        <v>0</v>
      </c>
    </row>
    <row r="623" spans="1:26">
      <c r="A623" s="12" t="s">
        <v>540</v>
      </c>
      <c r="B623" s="12"/>
      <c r="C623" s="12" t="s">
        <v>56</v>
      </c>
      <c r="D623" s="12"/>
      <c r="E623" s="13">
        <v>45666</v>
      </c>
      <c r="G623" s="1">
        <v>595779</v>
      </c>
      <c r="I623" s="1">
        <v>0</v>
      </c>
      <c r="K623" s="1">
        <v>0</v>
      </c>
      <c r="M623" s="1">
        <v>105705</v>
      </c>
      <c r="O623" s="1">
        <v>579907</v>
      </c>
      <c r="Q623" s="1">
        <v>0</v>
      </c>
      <c r="S623" s="20">
        <f t="shared" si="34"/>
        <v>1281391</v>
      </c>
      <c r="U623" s="1">
        <v>141023</v>
      </c>
      <c r="X623" s="1">
        <f>+'St of Net Assets - GA'!O623-'LT _Lia - GA'!U623</f>
        <v>0</v>
      </c>
    </row>
    <row r="624" spans="1:26">
      <c r="A624" s="12" t="s">
        <v>376</v>
      </c>
      <c r="B624" s="12"/>
      <c r="C624" s="12" t="s">
        <v>32</v>
      </c>
      <c r="D624" s="12"/>
      <c r="E624" s="13">
        <v>44081</v>
      </c>
      <c r="G624" s="1">
        <v>0</v>
      </c>
      <c r="I624" s="1">
        <v>0</v>
      </c>
      <c r="K624" s="1">
        <v>65000</v>
      </c>
      <c r="M624" s="1">
        <v>3964911</v>
      </c>
      <c r="O624" s="1">
        <v>3160067</v>
      </c>
      <c r="Q624" s="1">
        <v>0</v>
      </c>
      <c r="S624" s="20">
        <f t="shared" si="34"/>
        <v>7189978</v>
      </c>
      <c r="U624" s="1">
        <v>1379303</v>
      </c>
      <c r="X624" s="1">
        <f>+'St of Net Assets - GA'!O624-'LT _Lia - GA'!U624</f>
        <v>0</v>
      </c>
    </row>
    <row r="625" spans="1:24">
      <c r="A625" s="12" t="s">
        <v>639</v>
      </c>
      <c r="B625" s="12"/>
      <c r="C625" s="12" t="s">
        <v>70</v>
      </c>
      <c r="D625" s="12"/>
      <c r="E625" s="13">
        <v>50518</v>
      </c>
      <c r="G625" s="1">
        <v>6281436</v>
      </c>
      <c r="I625" s="1">
        <v>0</v>
      </c>
      <c r="K625" s="1">
        <v>0</v>
      </c>
      <c r="M625" s="1">
        <v>0</v>
      </c>
      <c r="O625" s="1">
        <v>357974</v>
      </c>
      <c r="Q625" s="1">
        <v>0</v>
      </c>
      <c r="S625" s="20">
        <f t="shared" si="34"/>
        <v>6639410</v>
      </c>
      <c r="U625" s="1">
        <v>171096</v>
      </c>
      <c r="X625" s="1">
        <f>+'St of Net Assets - GA'!O625-'LT _Lia - GA'!U625</f>
        <v>0</v>
      </c>
    </row>
    <row r="626" spans="1:24">
      <c r="A626" s="12" t="s">
        <v>558</v>
      </c>
      <c r="B626" s="12"/>
      <c r="C626" s="12" t="s">
        <v>79</v>
      </c>
      <c r="D626" s="12"/>
      <c r="E626" s="13">
        <v>49577</v>
      </c>
      <c r="G626" s="1">
        <v>0</v>
      </c>
      <c r="I626" s="1">
        <v>0</v>
      </c>
      <c r="K626" s="1">
        <v>0</v>
      </c>
      <c r="M626" s="1">
        <v>184052</v>
      </c>
      <c r="O626" s="1">
        <v>745366</v>
      </c>
      <c r="Q626" s="1">
        <v>0</v>
      </c>
      <c r="S626" s="20">
        <f t="shared" si="34"/>
        <v>929418</v>
      </c>
      <c r="U626" s="1">
        <v>127357</v>
      </c>
      <c r="X626" s="1">
        <f>+'St of Net Assets - GA'!O626-'LT _Lia - GA'!U626</f>
        <v>0</v>
      </c>
    </row>
    <row r="627" spans="1:24">
      <c r="A627" s="12" t="s">
        <v>598</v>
      </c>
      <c r="B627" s="12"/>
      <c r="C627" s="12" t="s">
        <v>63</v>
      </c>
      <c r="D627" s="12"/>
      <c r="E627" s="13">
        <v>49973</v>
      </c>
      <c r="G627" s="1">
        <v>12225000</v>
      </c>
      <c r="I627" s="1">
        <v>0</v>
      </c>
      <c r="K627" s="1">
        <v>0</v>
      </c>
      <c r="M627" s="1">
        <f>43765+38841</f>
        <v>82606</v>
      </c>
      <c r="O627" s="1">
        <v>987384</v>
      </c>
      <c r="Q627" s="1">
        <v>0</v>
      </c>
      <c r="S627" s="20">
        <f t="shared" si="34"/>
        <v>13294990</v>
      </c>
      <c r="U627" s="1">
        <v>1349761</v>
      </c>
      <c r="X627" s="1">
        <f>+'St of Net Assets - GA'!O627-'LT _Lia - GA'!U627</f>
        <v>0</v>
      </c>
    </row>
    <row r="628" spans="1:24">
      <c r="A628" s="12" t="s">
        <v>745</v>
      </c>
      <c r="B628" s="12"/>
      <c r="C628" s="12" t="s">
        <v>71</v>
      </c>
      <c r="D628" s="12"/>
      <c r="E628" s="13">
        <v>45138</v>
      </c>
      <c r="G628" s="1">
        <v>22142827</v>
      </c>
      <c r="I628" s="1">
        <v>0</v>
      </c>
      <c r="K628" s="1">
        <v>0</v>
      </c>
      <c r="M628" s="1">
        <v>0</v>
      </c>
      <c r="O628" s="1">
        <f>5010237+466566</f>
        <v>5476803</v>
      </c>
      <c r="Q628" s="1">
        <v>0</v>
      </c>
      <c r="S628" s="20">
        <f t="shared" si="34"/>
        <v>27619630</v>
      </c>
      <c r="U628" s="1">
        <f>3111857+49308</f>
        <v>3161165</v>
      </c>
      <c r="X628" s="1">
        <f>+'St of Net Assets - GA'!O628-'LT _Lia - GA'!U628</f>
        <v>0</v>
      </c>
    </row>
    <row r="629" spans="1:24">
      <c r="A629" s="12" t="s">
        <v>344</v>
      </c>
      <c r="B629" s="12"/>
      <c r="C629" s="12" t="s">
        <v>27</v>
      </c>
      <c r="D629" s="12"/>
      <c r="E629" s="13">
        <v>46524</v>
      </c>
      <c r="G629" s="1">
        <f>47226993+5357719</f>
        <v>52584712</v>
      </c>
      <c r="I629" s="1">
        <v>0</v>
      </c>
      <c r="K629" s="1">
        <v>2774000</v>
      </c>
      <c r="M629" s="1">
        <v>0</v>
      </c>
      <c r="O629" s="1">
        <v>10303358</v>
      </c>
      <c r="Q629" s="1">
        <v>0</v>
      </c>
      <c r="S629" s="20">
        <f t="shared" si="34"/>
        <v>65662070</v>
      </c>
      <c r="U629" s="1">
        <v>7109214</v>
      </c>
      <c r="X629" s="1">
        <f>+'St of Net Assets - GA'!O629-'LT _Lia - GA'!U629</f>
        <v>0</v>
      </c>
    </row>
    <row r="630" spans="1:24">
      <c r="A630" s="12" t="s">
        <v>279</v>
      </c>
      <c r="B630" s="12"/>
      <c r="C630" s="12" t="s">
        <v>113</v>
      </c>
      <c r="D630" s="12"/>
      <c r="E630" s="13">
        <v>45146</v>
      </c>
      <c r="G630" s="1">
        <f>5724690+234344-150579</f>
        <v>5808455</v>
      </c>
      <c r="I630" s="1">
        <v>0</v>
      </c>
      <c r="K630" s="1">
        <v>0</v>
      </c>
      <c r="M630" s="1">
        <v>33100</v>
      </c>
      <c r="O630" s="1">
        <v>604414</v>
      </c>
      <c r="Q630" s="1">
        <v>0</v>
      </c>
      <c r="S630" s="20">
        <f t="shared" si="34"/>
        <v>6445969</v>
      </c>
      <c r="U630" s="1">
        <v>342492</v>
      </c>
      <c r="X630" s="1">
        <f>+'St of Net Assets - GA'!O630-'LT _Lia - GA'!U630</f>
        <v>0</v>
      </c>
    </row>
    <row r="631" spans="1:24">
      <c r="A631" s="12" t="s">
        <v>377</v>
      </c>
      <c r="B631" s="12"/>
      <c r="C631" s="12" t="s">
        <v>32</v>
      </c>
      <c r="D631" s="12"/>
      <c r="E631" s="13">
        <v>45153</v>
      </c>
      <c r="G631" s="1">
        <v>20052232</v>
      </c>
      <c r="I631" s="1">
        <v>0</v>
      </c>
      <c r="K631" s="1">
        <v>0</v>
      </c>
      <c r="M631" s="1">
        <v>2056100</v>
      </c>
      <c r="O631" s="1">
        <v>1722494</v>
      </c>
      <c r="Q631" s="1">
        <v>0</v>
      </c>
      <c r="S631" s="20">
        <f t="shared" si="34"/>
        <v>23830826</v>
      </c>
      <c r="U631" s="1">
        <v>1435401</v>
      </c>
      <c r="X631" s="1">
        <f>+'St of Net Assets - GA'!O631-'LT _Lia - GA'!U631</f>
        <v>0</v>
      </c>
    </row>
    <row r="632" spans="1:24">
      <c r="A632" s="12" t="s">
        <v>359</v>
      </c>
      <c r="B632" s="12"/>
      <c r="C632" s="12" t="s">
        <v>116</v>
      </c>
      <c r="D632" s="12"/>
      <c r="E632" s="13">
        <v>45674</v>
      </c>
      <c r="G632" s="1">
        <v>3515000</v>
      </c>
      <c r="I632" s="1">
        <v>0</v>
      </c>
      <c r="K632" s="1">
        <v>0</v>
      </c>
      <c r="M632" s="1">
        <v>0</v>
      </c>
      <c r="O632" s="1">
        <v>717441</v>
      </c>
      <c r="Q632" s="1">
        <v>0</v>
      </c>
      <c r="S632" s="20">
        <f t="shared" si="34"/>
        <v>4232441</v>
      </c>
      <c r="U632" s="1">
        <v>150000</v>
      </c>
      <c r="X632" s="1">
        <f>+'St of Net Assets - GA'!O632-'LT _Lia - GA'!U632</f>
        <v>0</v>
      </c>
    </row>
    <row r="633" spans="1:24">
      <c r="A633" s="12" t="s">
        <v>472</v>
      </c>
      <c r="B633" s="12"/>
      <c r="C633" s="12" t="s">
        <v>45</v>
      </c>
      <c r="D633" s="12"/>
      <c r="E633" s="13">
        <v>45161</v>
      </c>
      <c r="G633" s="1">
        <v>30590668</v>
      </c>
      <c r="I633" s="1">
        <v>0</v>
      </c>
      <c r="K633" s="1">
        <v>0</v>
      </c>
      <c r="M633" s="1">
        <v>5050000</v>
      </c>
      <c r="O633" s="1">
        <v>10658577</v>
      </c>
      <c r="Q633" s="1">
        <v>109782</v>
      </c>
      <c r="S633" s="20">
        <f t="shared" si="34"/>
        <v>46409027</v>
      </c>
      <c r="U633" s="1">
        <v>1789778</v>
      </c>
      <c r="X633" s="1">
        <f>+'St of Net Assets - GA'!O633-'LT _Lia - GA'!U633</f>
        <v>0</v>
      </c>
    </row>
    <row r="634" spans="1:24">
      <c r="A634" s="12" t="s">
        <v>554</v>
      </c>
      <c r="B634" s="12"/>
      <c r="C634" s="12" t="s">
        <v>58</v>
      </c>
      <c r="D634" s="12"/>
      <c r="E634" s="13">
        <v>49544</v>
      </c>
      <c r="G634" s="1">
        <v>2995000</v>
      </c>
      <c r="I634" s="1">
        <v>0</v>
      </c>
      <c r="K634" s="1">
        <v>0</v>
      </c>
      <c r="M634" s="1">
        <v>6326</v>
      </c>
      <c r="O634" s="1">
        <v>663370</v>
      </c>
      <c r="Q634" s="1">
        <v>2839000</v>
      </c>
      <c r="S634" s="20">
        <f t="shared" si="34"/>
        <v>6503696</v>
      </c>
      <c r="U634" s="1">
        <v>404419</v>
      </c>
      <c r="X634" s="1">
        <f>+'St of Net Assets - GA'!O634-'LT _Lia - GA'!U634</f>
        <v>0</v>
      </c>
    </row>
    <row r="635" spans="1:24">
      <c r="A635" s="12" t="s">
        <v>516</v>
      </c>
      <c r="B635" s="12"/>
      <c r="C635" s="12" t="s">
        <v>51</v>
      </c>
      <c r="D635" s="12"/>
      <c r="E635" s="13">
        <v>45179</v>
      </c>
      <c r="G635" s="1">
        <v>31306127</v>
      </c>
      <c r="I635" s="1">
        <v>0</v>
      </c>
      <c r="K635" s="1">
        <v>0</v>
      </c>
      <c r="M635" s="1">
        <v>325634</v>
      </c>
      <c r="O635" s="1">
        <v>1762438</v>
      </c>
      <c r="Q635" s="1">
        <v>234003</v>
      </c>
      <c r="S635" s="20">
        <f t="shared" si="34"/>
        <v>33628202</v>
      </c>
      <c r="U635" s="1">
        <v>1119794</v>
      </c>
      <c r="X635" s="1">
        <f>+'St of Net Assets - GA'!O635-'LT _Lia - GA'!U635</f>
        <v>0</v>
      </c>
    </row>
    <row r="636" spans="1:24">
      <c r="A636" s="12"/>
      <c r="B636" s="12"/>
      <c r="C636" s="12"/>
      <c r="D636" s="12"/>
    </row>
  </sheetData>
  <phoneticPr fontId="3" type="noConversion"/>
  <pageMargins left="0.9" right="0.75" top="0.5" bottom="0.5" header="0.25" footer="0.25"/>
  <pageSetup scale="77" firstPageNumber="198" pageOrder="overThenDown" orientation="portrait" useFirstPageNumber="1" r:id="rId1"/>
  <headerFooter scaleWithDoc="0" alignWithMargins="0">
    <oddFooter>&amp;C&amp;"Times New Roman,Regular"&amp;11&amp;P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N753"/>
  <sheetViews>
    <sheetView zoomScaleNormal="100" zoomScaleSheetLayoutView="10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G10" sqref="G10"/>
    </sheetView>
  </sheetViews>
  <sheetFormatPr defaultColWidth="9.140625" defaultRowHeight="12.75"/>
  <cols>
    <col min="1" max="1" width="32" style="18" customWidth="1"/>
    <col min="2" max="2" width="1.7109375" style="18" customWidth="1"/>
    <col min="3" max="3" width="10.140625" style="18" bestFit="1" customWidth="1"/>
    <col min="4" max="4" width="1.7109375" style="18" hidden="1" customWidth="1"/>
    <col min="5" max="5" width="11.7109375" style="3" hidden="1" customWidth="1"/>
    <col min="6" max="6" width="1.7109375" style="18" customWidth="1"/>
    <col min="7" max="7" width="9.28515625" style="1" bestFit="1" customWidth="1"/>
    <col min="8" max="8" width="1.7109375" style="1" customWidth="1"/>
    <col min="9" max="9" width="10.5703125" style="1" bestFit="1" customWidth="1"/>
    <col min="10" max="10" width="1.7109375" style="1" customWidth="1"/>
    <col min="11" max="11" width="9.28515625" style="1" bestFit="1" customWidth="1"/>
    <col min="12" max="12" width="1.7109375" style="1" customWidth="1"/>
    <col min="13" max="13" width="10.140625" style="1" bestFit="1" customWidth="1"/>
    <col min="14" max="14" width="1.7109375" style="1" customWidth="1"/>
    <col min="15" max="15" width="11" style="1" bestFit="1" customWidth="1"/>
    <col min="16" max="16" width="1.7109375" style="1" customWidth="1"/>
    <col min="17" max="17" width="9.28515625" style="1" bestFit="1" customWidth="1"/>
    <col min="18" max="18" width="1.7109375" style="1" customWidth="1"/>
    <col min="19" max="19" width="10.140625" style="1" bestFit="1" customWidth="1"/>
    <col min="20" max="20" width="2.140625" style="1" customWidth="1"/>
    <col min="21" max="21" width="9" style="1" bestFit="1" customWidth="1"/>
    <col min="22" max="22" width="1.7109375" style="1" customWidth="1"/>
    <col min="23" max="23" width="9.5703125" style="1" bestFit="1" customWidth="1"/>
    <col min="24" max="24" width="1.7109375" style="1" customWidth="1"/>
    <col min="25" max="25" width="10.5703125" style="1" bestFit="1" customWidth="1"/>
    <col min="26" max="26" width="1.7109375" style="1" customWidth="1"/>
    <col min="27" max="27" width="10.85546875" style="1" bestFit="1" customWidth="1"/>
    <col min="28" max="28" width="1.7109375" style="4" customWidth="1"/>
    <col min="29" max="29" width="9" style="1" customWidth="1"/>
    <col min="30" max="30" width="1.7109375" style="1" customWidth="1"/>
    <col min="31" max="31" width="10.85546875" style="1" bestFit="1" customWidth="1"/>
    <col min="32" max="32" width="1.7109375" style="1" customWidth="1"/>
    <col min="33" max="33" width="11" style="1" hidden="1" customWidth="1"/>
    <col min="34" max="34" width="3.140625" style="18" hidden="1" customWidth="1"/>
    <col min="35" max="35" width="11.7109375" style="1" customWidth="1"/>
    <col min="36" max="36" width="1.7109375" style="18" customWidth="1"/>
    <col min="37" max="37" width="9.140625" style="18"/>
    <col min="38" max="38" width="11.7109375" style="18" customWidth="1"/>
    <col min="39" max="39" width="9.140625" style="18"/>
    <col min="40" max="40" width="11.7109375" style="18" customWidth="1"/>
    <col min="41" max="16384" width="9.140625" style="18"/>
  </cols>
  <sheetData>
    <row r="1" spans="1:35" ht="12" customHeight="1">
      <c r="A1" s="5" t="s">
        <v>132</v>
      </c>
      <c r="B1" s="5"/>
      <c r="C1" s="5"/>
      <c r="D1" s="5"/>
      <c r="E1" s="21"/>
    </row>
    <row r="2" spans="1:35" ht="12" customHeight="1">
      <c r="A2" s="5" t="s">
        <v>919</v>
      </c>
      <c r="B2" s="5"/>
      <c r="C2" s="5"/>
      <c r="D2" s="5"/>
      <c r="E2" s="21"/>
    </row>
    <row r="3" spans="1:35" ht="12" customHeight="1">
      <c r="A3" s="5"/>
      <c r="AI3" s="103" t="s">
        <v>3</v>
      </c>
    </row>
    <row r="4" spans="1:35" ht="12" customHeight="1">
      <c r="A4" s="5" t="s">
        <v>171</v>
      </c>
      <c r="B4" s="5"/>
      <c r="C4" s="5"/>
      <c r="D4" s="5"/>
      <c r="E4" s="21"/>
      <c r="O4" s="106" t="s">
        <v>957</v>
      </c>
      <c r="P4" s="106"/>
      <c r="Q4" s="106"/>
      <c r="S4" s="107" t="s">
        <v>958</v>
      </c>
      <c r="T4" s="107"/>
      <c r="U4" s="107"/>
      <c r="V4" s="107"/>
      <c r="W4" s="107"/>
      <c r="X4" s="107"/>
      <c r="Y4" s="107"/>
      <c r="Z4" s="107"/>
      <c r="AA4" s="107"/>
      <c r="AI4" s="103" t="s">
        <v>143</v>
      </c>
    </row>
    <row r="5" spans="1:35" ht="12" customHeight="1">
      <c r="A5" s="5"/>
      <c r="G5" s="22" t="s">
        <v>106</v>
      </c>
      <c r="H5" s="22"/>
      <c r="I5" s="22"/>
      <c r="J5" s="22"/>
      <c r="K5" s="22"/>
      <c r="L5" s="9" t="s">
        <v>131</v>
      </c>
      <c r="M5" s="9"/>
      <c r="O5" s="105" t="s">
        <v>956</v>
      </c>
      <c r="P5" s="105"/>
      <c r="Q5" s="105"/>
      <c r="R5" s="9"/>
      <c r="S5" s="105" t="s">
        <v>959</v>
      </c>
      <c r="T5" s="105"/>
      <c r="U5" s="105"/>
      <c r="V5" s="105"/>
      <c r="W5" s="105"/>
      <c r="X5" s="105"/>
      <c r="Y5" s="105"/>
      <c r="Z5" s="105"/>
      <c r="AA5" s="105"/>
      <c r="AG5" s="103" t="s">
        <v>3</v>
      </c>
      <c r="AI5" s="102" t="s">
        <v>81</v>
      </c>
    </row>
    <row r="6" spans="1:35" ht="12" customHeight="1">
      <c r="A6" s="77" t="s">
        <v>912</v>
      </c>
      <c r="B6" s="23"/>
      <c r="C6" s="23"/>
      <c r="D6" s="23"/>
      <c r="E6" s="23"/>
      <c r="F6" s="23"/>
      <c r="G6" s="23"/>
      <c r="H6" s="23"/>
      <c r="I6" s="23"/>
      <c r="J6" s="23"/>
      <c r="K6" s="23"/>
      <c r="O6" s="8"/>
      <c r="P6" s="8"/>
      <c r="AC6" s="8"/>
      <c r="AG6" s="103" t="s">
        <v>81</v>
      </c>
      <c r="AI6" s="102" t="s">
        <v>711</v>
      </c>
    </row>
    <row r="7" spans="1:35" ht="12" customHeight="1">
      <c r="A7" s="24"/>
      <c r="I7" s="103" t="s">
        <v>125</v>
      </c>
      <c r="M7" s="103" t="s">
        <v>3</v>
      </c>
      <c r="O7" s="24"/>
      <c r="P7" s="24"/>
      <c r="Q7" s="24"/>
      <c r="R7" s="24"/>
      <c r="S7" s="24" t="s">
        <v>105</v>
      </c>
      <c r="T7" s="24"/>
      <c r="U7" s="24"/>
      <c r="V7" s="24"/>
      <c r="W7" s="24" t="s">
        <v>141</v>
      </c>
      <c r="X7" s="24"/>
      <c r="Y7" s="25" t="s">
        <v>111</v>
      </c>
      <c r="Z7" s="24"/>
      <c r="AA7" s="24"/>
      <c r="AC7" s="18"/>
      <c r="AD7" s="9"/>
      <c r="AF7" s="9"/>
      <c r="AG7" s="102" t="s">
        <v>9</v>
      </c>
      <c r="AI7" s="103" t="s">
        <v>749</v>
      </c>
    </row>
    <row r="8" spans="1:35" ht="12" customHeight="1">
      <c r="A8" s="25"/>
      <c r="B8" s="25"/>
      <c r="C8" s="25"/>
      <c r="D8" s="25"/>
      <c r="E8" s="26"/>
      <c r="F8" s="25"/>
      <c r="G8" s="103" t="s">
        <v>0</v>
      </c>
      <c r="H8" s="103"/>
      <c r="I8" s="103" t="s">
        <v>111</v>
      </c>
      <c r="J8" s="103"/>
      <c r="K8" s="103" t="s">
        <v>73</v>
      </c>
      <c r="L8" s="103"/>
      <c r="M8" s="103" t="s">
        <v>138</v>
      </c>
      <c r="O8" s="102" t="s">
        <v>107</v>
      </c>
      <c r="P8" s="102"/>
      <c r="Q8" s="102" t="s">
        <v>668</v>
      </c>
      <c r="R8" s="102"/>
      <c r="S8" s="102" t="s">
        <v>139</v>
      </c>
      <c r="T8" s="102"/>
      <c r="U8" s="103" t="s">
        <v>108</v>
      </c>
      <c r="V8" s="103"/>
      <c r="W8" s="102" t="s">
        <v>142</v>
      </c>
      <c r="X8" s="102"/>
      <c r="Y8" s="25" t="s">
        <v>179</v>
      </c>
      <c r="Z8" s="102"/>
      <c r="AA8" s="103"/>
      <c r="AC8" s="102" t="s">
        <v>164</v>
      </c>
      <c r="AD8" s="103"/>
      <c r="AE8" s="102" t="s">
        <v>673</v>
      </c>
      <c r="AF8" s="103"/>
      <c r="AG8" s="102" t="s">
        <v>670</v>
      </c>
      <c r="AI8" s="102" t="s">
        <v>673</v>
      </c>
    </row>
    <row r="9" spans="1:35" ht="12" customHeight="1">
      <c r="A9" s="27" t="s">
        <v>202</v>
      </c>
      <c r="B9" s="24"/>
      <c r="C9" s="27" t="s">
        <v>4</v>
      </c>
      <c r="D9" s="24"/>
      <c r="E9" s="11" t="s">
        <v>201</v>
      </c>
      <c r="F9" s="25"/>
      <c r="G9" s="101" t="s">
        <v>6</v>
      </c>
      <c r="I9" s="101" t="s">
        <v>122</v>
      </c>
      <c r="K9" s="101" t="s">
        <v>109</v>
      </c>
      <c r="L9" s="102"/>
      <c r="M9" s="101" t="s">
        <v>9</v>
      </c>
      <c r="O9" s="101" t="s">
        <v>5</v>
      </c>
      <c r="P9" s="103"/>
      <c r="Q9" s="101" t="s">
        <v>5</v>
      </c>
      <c r="R9" s="103"/>
      <c r="S9" s="101" t="s">
        <v>140</v>
      </c>
      <c r="T9" s="101"/>
      <c r="U9" s="101" t="s">
        <v>110</v>
      </c>
      <c r="V9" s="102"/>
      <c r="W9" s="101" t="s">
        <v>5</v>
      </c>
      <c r="X9" s="102"/>
      <c r="Y9" s="28" t="s">
        <v>180</v>
      </c>
      <c r="Z9" s="103"/>
      <c r="AA9" s="101" t="s">
        <v>674</v>
      </c>
      <c r="AC9" s="101" t="s">
        <v>701</v>
      </c>
      <c r="AE9" s="101" t="s">
        <v>692</v>
      </c>
      <c r="AG9" s="101" t="s">
        <v>671</v>
      </c>
      <c r="AI9" s="101" t="s">
        <v>692</v>
      </c>
    </row>
    <row r="10" spans="1:35" ht="12" customHeight="1">
      <c r="A10" s="17"/>
      <c r="B10" s="17"/>
      <c r="C10" s="17"/>
      <c r="D10" s="17"/>
      <c r="E10" s="13"/>
      <c r="F10" s="25"/>
      <c r="G10" s="102"/>
      <c r="I10" s="102"/>
      <c r="K10" s="102"/>
      <c r="L10" s="102"/>
      <c r="M10" s="102"/>
      <c r="O10" s="102"/>
      <c r="S10" s="102"/>
      <c r="T10" s="102"/>
      <c r="U10" s="102"/>
      <c r="V10" s="102"/>
      <c r="W10" s="102"/>
      <c r="X10" s="102"/>
      <c r="Y10" s="102"/>
      <c r="AA10" s="102"/>
      <c r="AC10" s="102"/>
      <c r="AG10" s="102"/>
    </row>
    <row r="11" spans="1:35" s="16" customFormat="1" ht="12" customHeight="1">
      <c r="A11" s="14" t="s">
        <v>920</v>
      </c>
      <c r="B11" s="14"/>
      <c r="C11" s="14" t="s">
        <v>203</v>
      </c>
      <c r="D11" s="14"/>
      <c r="E11" s="13">
        <v>61903</v>
      </c>
      <c r="F11" s="15"/>
      <c r="G11" s="16">
        <v>2163383</v>
      </c>
      <c r="I11" s="16">
        <v>11391353</v>
      </c>
      <c r="K11" s="16">
        <v>0</v>
      </c>
      <c r="M11" s="16">
        <f>SUM(G11:L11)</f>
        <v>13554736</v>
      </c>
      <c r="O11" s="16">
        <v>8951522</v>
      </c>
      <c r="Q11" s="16">
        <v>0</v>
      </c>
      <c r="S11" s="16">
        <v>22717176</v>
      </c>
      <c r="U11" s="16">
        <v>0</v>
      </c>
      <c r="W11" s="16">
        <v>0</v>
      </c>
      <c r="Y11" s="16">
        <v>0</v>
      </c>
      <c r="AA11" s="16">
        <v>1894592</v>
      </c>
      <c r="AB11" s="29"/>
      <c r="AC11" s="16">
        <v>0</v>
      </c>
      <c r="AE11" s="16">
        <v>0</v>
      </c>
      <c r="AG11" s="16">
        <f>SUM(O11:AE11)</f>
        <v>33563290</v>
      </c>
      <c r="AI11" s="16">
        <f>+AG11+M11</f>
        <v>47118026</v>
      </c>
    </row>
    <row r="12" spans="1:35" ht="12" customHeight="1">
      <c r="A12" s="17" t="s">
        <v>549</v>
      </c>
      <c r="B12" s="17"/>
      <c r="C12" s="17" t="s">
        <v>58</v>
      </c>
      <c r="D12" s="17"/>
      <c r="E12" s="13">
        <v>49494</v>
      </c>
      <c r="G12" s="1">
        <v>887886</v>
      </c>
      <c r="I12" s="1">
        <v>2240456</v>
      </c>
      <c r="K12" s="1">
        <v>0</v>
      </c>
      <c r="M12" s="1">
        <f t="shared" ref="M12:M77" si="0">SUM(G12:L12)</f>
        <v>3128342</v>
      </c>
      <c r="O12" s="1">
        <v>3743426</v>
      </c>
      <c r="Q12" s="1">
        <v>0</v>
      </c>
      <c r="S12" s="1">
        <v>6525779</v>
      </c>
      <c r="U12" s="1">
        <v>24000</v>
      </c>
      <c r="W12" s="1">
        <v>0</v>
      </c>
      <c r="Y12" s="1">
        <v>98679</v>
      </c>
      <c r="AA12" s="1">
        <v>49635</v>
      </c>
      <c r="AB12" s="30"/>
      <c r="AC12" s="1">
        <v>0</v>
      </c>
      <c r="AE12" s="1">
        <v>0</v>
      </c>
      <c r="AG12" s="1">
        <f t="shared" ref="AG12:AG77" si="1">SUM(O12:AE12)</f>
        <v>10441519</v>
      </c>
      <c r="AH12" s="1"/>
      <c r="AI12" s="1">
        <f t="shared" ref="AI12:AI78" si="2">+AG12+M12</f>
        <v>13569861</v>
      </c>
    </row>
    <row r="13" spans="1:35" ht="12" customHeight="1">
      <c r="A13" s="17" t="s">
        <v>586</v>
      </c>
      <c r="B13" s="17"/>
      <c r="C13" s="17" t="s">
        <v>63</v>
      </c>
      <c r="D13" s="17"/>
      <c r="E13" s="13">
        <v>43489</v>
      </c>
      <c r="G13" s="1">
        <v>14100000</v>
      </c>
      <c r="I13" s="1">
        <v>64300000</v>
      </c>
      <c r="K13" s="1">
        <v>17700000</v>
      </c>
      <c r="M13" s="1">
        <f t="shared" si="0"/>
        <v>96100000</v>
      </c>
      <c r="O13" s="1">
        <v>107900000</v>
      </c>
      <c r="Q13" s="1">
        <v>0</v>
      </c>
      <c r="S13" s="1">
        <v>176400000</v>
      </c>
      <c r="U13" s="1">
        <v>500000</v>
      </c>
      <c r="W13" s="1">
        <v>500000</v>
      </c>
      <c r="Y13" s="1">
        <v>0</v>
      </c>
      <c r="AA13" s="1">
        <v>4000000</v>
      </c>
      <c r="AB13" s="30"/>
      <c r="AC13" s="1">
        <v>0</v>
      </c>
      <c r="AE13" s="1">
        <v>0</v>
      </c>
      <c r="AG13" s="1">
        <f t="shared" si="1"/>
        <v>289300000</v>
      </c>
      <c r="AH13" s="1"/>
      <c r="AI13" s="1">
        <f t="shared" si="2"/>
        <v>385400000</v>
      </c>
    </row>
    <row r="14" spans="1:35" ht="12" hidden="1" customHeight="1">
      <c r="A14" s="12" t="s">
        <v>738</v>
      </c>
      <c r="B14" s="17"/>
      <c r="C14" s="17" t="s">
        <v>13</v>
      </c>
      <c r="D14" s="17"/>
      <c r="E14" s="13">
        <v>45906</v>
      </c>
      <c r="F14" s="31"/>
      <c r="M14" s="1">
        <f t="shared" si="0"/>
        <v>0</v>
      </c>
      <c r="AB14" s="30"/>
      <c r="AG14" s="1">
        <f t="shared" si="1"/>
        <v>0</v>
      </c>
      <c r="AH14" s="1"/>
      <c r="AI14" s="1">
        <f t="shared" si="2"/>
        <v>0</v>
      </c>
    </row>
    <row r="15" spans="1:35" ht="12" customHeight="1">
      <c r="A15" s="17" t="s">
        <v>572</v>
      </c>
      <c r="B15" s="17"/>
      <c r="C15" s="17" t="s">
        <v>62</v>
      </c>
      <c r="D15" s="17"/>
      <c r="E15" s="13">
        <v>43497</v>
      </c>
      <c r="G15" s="1">
        <v>1572598</v>
      </c>
      <c r="I15" s="1">
        <v>6024308</v>
      </c>
      <c r="K15" s="1">
        <v>82257</v>
      </c>
      <c r="M15" s="1">
        <f t="shared" si="0"/>
        <v>7679163</v>
      </c>
      <c r="O15" s="1">
        <f>6323459+788037+214718+86386</f>
        <v>7412600</v>
      </c>
      <c r="Q15" s="1">
        <v>0</v>
      </c>
      <c r="S15" s="1">
        <v>19025804</v>
      </c>
      <c r="U15" s="1">
        <v>60095</v>
      </c>
      <c r="W15" s="1">
        <v>0</v>
      </c>
      <c r="Y15" s="1">
        <v>0</v>
      </c>
      <c r="AA15" s="1">
        <v>157131</v>
      </c>
      <c r="AB15" s="30"/>
      <c r="AC15" s="1">
        <v>0</v>
      </c>
      <c r="AE15" s="1">
        <v>0</v>
      </c>
      <c r="AG15" s="1">
        <f t="shared" si="1"/>
        <v>26655630</v>
      </c>
      <c r="AH15" s="1"/>
      <c r="AI15" s="1">
        <f t="shared" si="2"/>
        <v>34334793</v>
      </c>
    </row>
    <row r="16" spans="1:35" ht="12" customHeight="1">
      <c r="A16" s="17" t="s">
        <v>321</v>
      </c>
      <c r="B16" s="17"/>
      <c r="C16" s="17" t="s">
        <v>25</v>
      </c>
      <c r="D16" s="17"/>
      <c r="E16" s="13">
        <v>46847</v>
      </c>
      <c r="G16" s="1">
        <v>1219303</v>
      </c>
      <c r="I16" s="1">
        <v>2689150</v>
      </c>
      <c r="K16" s="1">
        <v>0</v>
      </c>
      <c r="M16" s="1">
        <f t="shared" si="0"/>
        <v>3908453</v>
      </c>
      <c r="O16" s="1">
        <v>2922696</v>
      </c>
      <c r="Q16" s="1">
        <v>0</v>
      </c>
      <c r="S16" s="1">
        <v>8574302</v>
      </c>
      <c r="U16" s="1">
        <v>35083</v>
      </c>
      <c r="W16" s="1">
        <v>0</v>
      </c>
      <c r="Y16" s="1">
        <v>0</v>
      </c>
      <c r="AA16" s="1">
        <v>475046</v>
      </c>
      <c r="AB16" s="30"/>
      <c r="AC16" s="1">
        <v>0</v>
      </c>
      <c r="AE16" s="1">
        <v>0</v>
      </c>
      <c r="AG16" s="1">
        <f t="shared" si="1"/>
        <v>12007127</v>
      </c>
      <c r="AH16" s="1"/>
      <c r="AI16" s="1">
        <f t="shared" si="2"/>
        <v>15915580</v>
      </c>
    </row>
    <row r="17" spans="1:35" s="1" customFormat="1" ht="12" customHeight="1">
      <c r="A17" s="12" t="s">
        <v>685</v>
      </c>
      <c r="B17" s="12"/>
      <c r="C17" s="12" t="s">
        <v>44</v>
      </c>
      <c r="D17" s="12"/>
      <c r="E17" s="13">
        <v>45195</v>
      </c>
      <c r="F17" s="102"/>
      <c r="G17" s="1">
        <v>2038600</v>
      </c>
      <c r="I17" s="1">
        <v>3558264</v>
      </c>
      <c r="K17" s="1">
        <v>0</v>
      </c>
      <c r="M17" s="1">
        <f>SUM(G17:L17)</f>
        <v>5596864</v>
      </c>
      <c r="O17" s="1">
        <v>17087698</v>
      </c>
      <c r="Q17" s="1">
        <v>0</v>
      </c>
      <c r="S17" s="1">
        <v>18771498</v>
      </c>
      <c r="U17" s="1">
        <v>57045</v>
      </c>
      <c r="W17" s="1">
        <v>0</v>
      </c>
      <c r="Y17" s="1">
        <v>3000</v>
      </c>
      <c r="AA17" s="1">
        <v>349769</v>
      </c>
      <c r="AB17" s="30"/>
      <c r="AC17" s="1">
        <v>0</v>
      </c>
      <c r="AE17" s="1">
        <v>0</v>
      </c>
      <c r="AG17" s="1">
        <f>SUM(O17:AE17)</f>
        <v>36269010</v>
      </c>
      <c r="AI17" s="1">
        <f>+AG17+M17</f>
        <v>41865874</v>
      </c>
    </row>
    <row r="18" spans="1:35" ht="12" hidden="1" customHeight="1">
      <c r="A18" s="12" t="s">
        <v>921</v>
      </c>
      <c r="B18" s="17"/>
      <c r="C18" s="17" t="s">
        <v>61</v>
      </c>
      <c r="D18" s="17"/>
      <c r="E18" s="13">
        <v>49759</v>
      </c>
      <c r="M18" s="1">
        <f t="shared" si="0"/>
        <v>0</v>
      </c>
      <c r="AB18" s="30"/>
      <c r="AG18" s="1">
        <f t="shared" si="1"/>
        <v>0</v>
      </c>
      <c r="AH18" s="1"/>
      <c r="AI18" s="1">
        <f t="shared" si="2"/>
        <v>0</v>
      </c>
    </row>
    <row r="19" spans="1:35" ht="12" hidden="1" customHeight="1">
      <c r="A19" s="12" t="s">
        <v>860</v>
      </c>
      <c r="B19" s="12"/>
      <c r="C19" s="12" t="s">
        <v>718</v>
      </c>
      <c r="D19" s="17"/>
      <c r="E19" s="13"/>
      <c r="M19" s="1">
        <f t="shared" si="0"/>
        <v>0</v>
      </c>
      <c r="AB19" s="30"/>
      <c r="AG19" s="1">
        <f t="shared" si="1"/>
        <v>0</v>
      </c>
      <c r="AH19" s="1"/>
      <c r="AI19" s="1">
        <f t="shared" si="2"/>
        <v>0</v>
      </c>
    </row>
    <row r="20" spans="1:35" ht="12" customHeight="1">
      <c r="A20" s="17" t="s">
        <v>449</v>
      </c>
      <c r="B20" s="17"/>
      <c r="C20" s="17" t="s">
        <v>117</v>
      </c>
      <c r="D20" s="17"/>
      <c r="E20" s="13">
        <v>48207</v>
      </c>
      <c r="G20" s="1">
        <v>2097118</v>
      </c>
      <c r="I20" s="1">
        <v>2597853</v>
      </c>
      <c r="K20" s="1">
        <v>0</v>
      </c>
      <c r="M20" s="1">
        <f t="shared" si="0"/>
        <v>4694971</v>
      </c>
      <c r="O20" s="1">
        <v>22696777</v>
      </c>
      <c r="Q20" s="1">
        <v>0</v>
      </c>
      <c r="S20" s="1">
        <v>12423870</v>
      </c>
      <c r="U20" s="1">
        <v>43457</v>
      </c>
      <c r="W20" s="1">
        <v>746781</v>
      </c>
      <c r="Y20" s="1">
        <v>0</v>
      </c>
      <c r="AA20" s="1">
        <v>74054</v>
      </c>
      <c r="AB20" s="30"/>
      <c r="AC20" s="1">
        <v>0</v>
      </c>
      <c r="AE20" s="1">
        <v>0</v>
      </c>
      <c r="AG20" s="1">
        <f t="shared" si="1"/>
        <v>35984939</v>
      </c>
      <c r="AH20" s="1"/>
      <c r="AI20" s="1">
        <f t="shared" si="2"/>
        <v>40679910</v>
      </c>
    </row>
    <row r="21" spans="1:35" ht="12" customHeight="1">
      <c r="A21" s="17" t="s">
        <v>378</v>
      </c>
      <c r="B21" s="17"/>
      <c r="C21" s="17" t="s">
        <v>33</v>
      </c>
      <c r="D21" s="17"/>
      <c r="E21" s="13">
        <v>47415</v>
      </c>
      <c r="G21" s="1">
        <v>878852</v>
      </c>
      <c r="I21" s="1">
        <v>639183</v>
      </c>
      <c r="K21" s="1">
        <v>0</v>
      </c>
      <c r="M21" s="1">
        <f t="shared" si="0"/>
        <v>1518035</v>
      </c>
      <c r="O21" s="1">
        <v>1972589</v>
      </c>
      <c r="Q21" s="1">
        <v>651689</v>
      </c>
      <c r="S21" s="1">
        <v>2251575</v>
      </c>
      <c r="U21" s="1">
        <v>7664</v>
      </c>
      <c r="W21" s="1">
        <v>0</v>
      </c>
      <c r="Y21" s="1">
        <v>1753</v>
      </c>
      <c r="AA21" s="1">
        <v>6539</v>
      </c>
      <c r="AB21" s="30"/>
      <c r="AC21" s="1">
        <v>0</v>
      </c>
      <c r="AE21" s="1">
        <v>0</v>
      </c>
      <c r="AG21" s="1">
        <f t="shared" si="1"/>
        <v>4891809</v>
      </c>
      <c r="AH21" s="1"/>
      <c r="AI21" s="1">
        <f t="shared" si="2"/>
        <v>6409844</v>
      </c>
    </row>
    <row r="22" spans="1:35" ht="12" hidden="1" customHeight="1">
      <c r="A22" s="12" t="s">
        <v>823</v>
      </c>
      <c r="B22" s="17"/>
      <c r="C22" s="17" t="s">
        <v>21</v>
      </c>
      <c r="D22" s="17"/>
      <c r="E22" s="13">
        <v>46631</v>
      </c>
      <c r="M22" s="1">
        <f t="shared" si="0"/>
        <v>0</v>
      </c>
      <c r="AB22" s="30"/>
      <c r="AG22" s="1">
        <f t="shared" si="1"/>
        <v>0</v>
      </c>
      <c r="AH22" s="1"/>
      <c r="AI22" s="1">
        <f t="shared" si="2"/>
        <v>0</v>
      </c>
    </row>
    <row r="23" spans="1:35" ht="12" customHeight="1">
      <c r="A23" s="12" t="s">
        <v>922</v>
      </c>
      <c r="B23" s="17"/>
      <c r="C23" s="17" t="s">
        <v>28</v>
      </c>
      <c r="D23" s="17"/>
      <c r="E23" s="13">
        <v>47043</v>
      </c>
      <c r="G23" s="1">
        <v>854631</v>
      </c>
      <c r="I23" s="1">
        <v>1295985</v>
      </c>
      <c r="K23" s="1">
        <v>0</v>
      </c>
      <c r="M23" s="1">
        <f t="shared" si="0"/>
        <v>2150616</v>
      </c>
      <c r="O23" s="1">
        <f>5178966+368844+885869</f>
        <v>6433679</v>
      </c>
      <c r="Q23" s="1">
        <v>0</v>
      </c>
      <c r="S23" s="1">
        <v>6395620</v>
      </c>
      <c r="U23" s="1">
        <v>72603</v>
      </c>
      <c r="W23" s="1">
        <v>0</v>
      </c>
      <c r="Y23" s="1">
        <v>10067</v>
      </c>
      <c r="AA23" s="1">
        <f>104058+100</f>
        <v>104158</v>
      </c>
      <c r="AB23" s="30"/>
      <c r="AC23" s="1">
        <v>0</v>
      </c>
      <c r="AE23" s="1">
        <v>0</v>
      </c>
      <c r="AG23" s="1">
        <f t="shared" si="1"/>
        <v>13016127</v>
      </c>
      <c r="AH23" s="1"/>
      <c r="AI23" s="1">
        <f t="shared" si="2"/>
        <v>15166743</v>
      </c>
    </row>
    <row r="24" spans="1:35" ht="12" customHeight="1">
      <c r="A24" s="17" t="s">
        <v>379</v>
      </c>
      <c r="B24" s="17"/>
      <c r="C24" s="17" t="s">
        <v>33</v>
      </c>
      <c r="D24" s="17"/>
      <c r="E24" s="13">
        <v>47423</v>
      </c>
      <c r="G24" s="1">
        <v>484997</v>
      </c>
      <c r="I24" s="1">
        <v>844227</v>
      </c>
      <c r="K24" s="1">
        <v>49535</v>
      </c>
      <c r="M24" s="1">
        <f t="shared" si="0"/>
        <v>1378759</v>
      </c>
      <c r="O24" s="1">
        <f>1094781+100551</f>
        <v>1195332</v>
      </c>
      <c r="Q24" s="1">
        <v>903867</v>
      </c>
      <c r="S24" s="1">
        <v>3110165</v>
      </c>
      <c r="U24" s="1">
        <v>23143</v>
      </c>
      <c r="W24" s="1">
        <v>0</v>
      </c>
      <c r="Y24" s="1">
        <v>16942</v>
      </c>
      <c r="AA24" s="1">
        <v>66703</v>
      </c>
      <c r="AB24" s="30"/>
      <c r="AC24" s="1">
        <v>0</v>
      </c>
      <c r="AE24" s="1">
        <v>0</v>
      </c>
      <c r="AG24" s="1">
        <f t="shared" si="1"/>
        <v>5316152</v>
      </c>
      <c r="AH24" s="1"/>
      <c r="AI24" s="1">
        <f t="shared" si="2"/>
        <v>6694911</v>
      </c>
    </row>
    <row r="25" spans="1:35" ht="12" customHeight="1">
      <c r="A25" s="17" t="s">
        <v>206</v>
      </c>
      <c r="B25" s="17"/>
      <c r="C25" s="17" t="s">
        <v>11</v>
      </c>
      <c r="D25" s="17"/>
      <c r="E25" s="13">
        <v>43505</v>
      </c>
      <c r="F25" s="31"/>
      <c r="G25" s="1">
        <v>2107337</v>
      </c>
      <c r="I25" s="1">
        <v>3487213</v>
      </c>
      <c r="K25" s="1">
        <v>0</v>
      </c>
      <c r="M25" s="1">
        <f t="shared" si="0"/>
        <v>5594550</v>
      </c>
      <c r="O25" s="1">
        <v>14283215</v>
      </c>
      <c r="Q25" s="1">
        <v>0</v>
      </c>
      <c r="S25" s="1">
        <v>15268606</v>
      </c>
      <c r="U25" s="1">
        <v>150076</v>
      </c>
      <c r="W25" s="1">
        <v>252742</v>
      </c>
      <c r="Y25" s="1">
        <v>0</v>
      </c>
      <c r="AA25" s="1">
        <v>124607</v>
      </c>
      <c r="AB25" s="30"/>
      <c r="AC25" s="1">
        <v>0</v>
      </c>
      <c r="AE25" s="1">
        <v>0</v>
      </c>
      <c r="AG25" s="1">
        <f t="shared" si="1"/>
        <v>30079246</v>
      </c>
      <c r="AH25" s="1"/>
      <c r="AI25" s="1">
        <f t="shared" si="2"/>
        <v>35673796</v>
      </c>
    </row>
    <row r="26" spans="1:35" ht="12" customHeight="1">
      <c r="A26" s="12" t="s">
        <v>672</v>
      </c>
      <c r="B26" s="12"/>
      <c r="C26" s="12" t="s">
        <v>12</v>
      </c>
      <c r="D26" s="12"/>
      <c r="E26" s="13">
        <v>43513</v>
      </c>
      <c r="F26" s="31"/>
      <c r="G26" s="1">
        <v>807760</v>
      </c>
      <c r="I26" s="1">
        <v>6446886</v>
      </c>
      <c r="K26" s="1">
        <v>0</v>
      </c>
      <c r="M26" s="1">
        <f t="shared" si="0"/>
        <v>7254646</v>
      </c>
      <c r="O26" s="1">
        <f>9450520+3040568+1359921+198072</f>
        <v>14049081</v>
      </c>
      <c r="Q26" s="1">
        <v>0</v>
      </c>
      <c r="S26" s="1">
        <f>29169119+4512979</f>
        <v>33682098</v>
      </c>
      <c r="U26" s="1">
        <v>175581</v>
      </c>
      <c r="W26" s="1">
        <v>0</v>
      </c>
      <c r="Y26" s="1">
        <v>0</v>
      </c>
      <c r="AA26" s="1">
        <f>953462-6145</f>
        <v>947317</v>
      </c>
      <c r="AB26" s="30"/>
      <c r="AC26" s="1">
        <v>0</v>
      </c>
      <c r="AE26" s="1">
        <v>0</v>
      </c>
      <c r="AG26" s="1">
        <f t="shared" si="1"/>
        <v>48854077</v>
      </c>
      <c r="AH26" s="1"/>
      <c r="AI26" s="1">
        <f t="shared" si="2"/>
        <v>56108723</v>
      </c>
    </row>
    <row r="27" spans="1:35" ht="12" customHeight="1">
      <c r="A27" s="17" t="s">
        <v>214</v>
      </c>
      <c r="B27" s="17"/>
      <c r="C27" s="17" t="s">
        <v>13</v>
      </c>
      <c r="D27" s="17"/>
      <c r="E27" s="13">
        <v>43521</v>
      </c>
      <c r="F27" s="31"/>
      <c r="G27" s="1">
        <v>3144587</v>
      </c>
      <c r="I27" s="1">
        <v>7441736</v>
      </c>
      <c r="K27" s="1">
        <v>0</v>
      </c>
      <c r="M27" s="1">
        <f t="shared" si="0"/>
        <v>10586323</v>
      </c>
      <c r="O27" s="1">
        <v>15384638</v>
      </c>
      <c r="Q27" s="1">
        <v>3378878</v>
      </c>
      <c r="S27" s="1">
        <v>6181952</v>
      </c>
      <c r="U27" s="1">
        <v>217871</v>
      </c>
      <c r="W27" s="1">
        <v>165468</v>
      </c>
      <c r="Y27" s="1">
        <v>0</v>
      </c>
      <c r="AA27" s="1">
        <v>85752</v>
      </c>
      <c r="AB27" s="30"/>
      <c r="AC27" s="1">
        <v>0</v>
      </c>
      <c r="AE27" s="1">
        <v>0</v>
      </c>
      <c r="AG27" s="1">
        <f t="shared" si="1"/>
        <v>25414559</v>
      </c>
      <c r="AH27" s="1"/>
      <c r="AI27" s="1">
        <f t="shared" si="2"/>
        <v>36000882</v>
      </c>
    </row>
    <row r="28" spans="1:35" ht="12" customHeight="1">
      <c r="A28" s="17" t="s">
        <v>532</v>
      </c>
      <c r="B28" s="17"/>
      <c r="C28" s="17" t="s">
        <v>56</v>
      </c>
      <c r="D28" s="17"/>
      <c r="E28" s="13">
        <v>49171</v>
      </c>
      <c r="G28" s="1">
        <v>1320788</v>
      </c>
      <c r="I28" s="1">
        <v>1648412</v>
      </c>
      <c r="K28" s="1">
        <v>0</v>
      </c>
      <c r="M28" s="1">
        <f t="shared" si="0"/>
        <v>2969200</v>
      </c>
      <c r="O28" s="1">
        <v>22431212</v>
      </c>
      <c r="Q28" s="1">
        <v>0</v>
      </c>
      <c r="S28" s="1">
        <v>8901143</v>
      </c>
      <c r="U28" s="1">
        <v>230508</v>
      </c>
      <c r="W28" s="1">
        <v>0</v>
      </c>
      <c r="Y28" s="1">
        <v>0</v>
      </c>
      <c r="AA28" s="1">
        <v>90956</v>
      </c>
      <c r="AB28" s="30"/>
      <c r="AC28" s="1">
        <v>0</v>
      </c>
      <c r="AE28" s="1">
        <v>0</v>
      </c>
      <c r="AG28" s="1">
        <f t="shared" si="1"/>
        <v>31653819</v>
      </c>
      <c r="AH28" s="1"/>
      <c r="AI28" s="1">
        <f t="shared" si="2"/>
        <v>34623019</v>
      </c>
    </row>
    <row r="29" spans="1:35" ht="12" customHeight="1">
      <c r="A29" s="17" t="s">
        <v>461</v>
      </c>
      <c r="B29" s="17"/>
      <c r="C29" s="17" t="s">
        <v>45</v>
      </c>
      <c r="D29" s="17"/>
      <c r="E29" s="13">
        <v>48298</v>
      </c>
      <c r="G29" s="1">
        <v>2891665</v>
      </c>
      <c r="I29" s="1">
        <v>5649580</v>
      </c>
      <c r="K29" s="1">
        <v>0</v>
      </c>
      <c r="M29" s="1">
        <f t="shared" si="0"/>
        <v>8541245</v>
      </c>
      <c r="O29" s="1">
        <v>17460846</v>
      </c>
      <c r="Q29" s="1">
        <v>0</v>
      </c>
      <c r="S29" s="1">
        <v>23272435</v>
      </c>
      <c r="U29" s="1">
        <v>89584</v>
      </c>
      <c r="W29" s="1">
        <v>0</v>
      </c>
      <c r="Y29" s="1">
        <v>0</v>
      </c>
      <c r="AA29" s="1">
        <v>48791</v>
      </c>
      <c r="AB29" s="30"/>
      <c r="AC29" s="1">
        <v>0</v>
      </c>
      <c r="AE29" s="1">
        <v>0</v>
      </c>
      <c r="AG29" s="1">
        <f t="shared" si="1"/>
        <v>40871656</v>
      </c>
      <c r="AH29" s="1"/>
      <c r="AI29" s="1">
        <f t="shared" si="2"/>
        <v>49412901</v>
      </c>
    </row>
    <row r="30" spans="1:35" ht="12" customHeight="1">
      <c r="A30" s="17" t="s">
        <v>436</v>
      </c>
      <c r="B30" s="17"/>
      <c r="C30" s="17" t="s">
        <v>44</v>
      </c>
      <c r="D30" s="17"/>
      <c r="E30" s="13">
        <v>48124</v>
      </c>
      <c r="G30" s="1">
        <v>2246915</v>
      </c>
      <c r="I30" s="1">
        <v>1743573</v>
      </c>
      <c r="K30" s="1">
        <v>0</v>
      </c>
      <c r="M30" s="1">
        <f t="shared" si="0"/>
        <v>3990488</v>
      </c>
      <c r="O30" s="1">
        <f>25322233+3484747+570598</f>
        <v>29377578</v>
      </c>
      <c r="Q30" s="1">
        <v>0</v>
      </c>
      <c r="S30" s="1">
        <v>11093394</v>
      </c>
      <c r="U30" s="1">
        <v>305142</v>
      </c>
      <c r="W30" s="1">
        <v>0</v>
      </c>
      <c r="Y30" s="1">
        <v>0</v>
      </c>
      <c r="AA30" s="1">
        <v>326290</v>
      </c>
      <c r="AB30" s="30"/>
      <c r="AC30" s="1">
        <v>0</v>
      </c>
      <c r="AE30" s="1">
        <v>0</v>
      </c>
      <c r="AG30" s="1">
        <f t="shared" si="1"/>
        <v>41102404</v>
      </c>
      <c r="AH30" s="1"/>
      <c r="AI30" s="1">
        <f t="shared" si="2"/>
        <v>45092892</v>
      </c>
    </row>
    <row r="31" spans="1:35" ht="12" customHeight="1">
      <c r="A31" s="17" t="s">
        <v>437</v>
      </c>
      <c r="B31" s="17"/>
      <c r="C31" s="17" t="s">
        <v>44</v>
      </c>
      <c r="D31" s="17"/>
      <c r="E31" s="13">
        <v>48116</v>
      </c>
      <c r="G31" s="1">
        <v>1317367</v>
      </c>
      <c r="I31" s="1">
        <v>2063025</v>
      </c>
      <c r="K31" s="1">
        <v>0</v>
      </c>
      <c r="M31" s="1">
        <f t="shared" si="0"/>
        <v>3380392</v>
      </c>
      <c r="O31" s="1">
        <f>17430281+3176887+659953</f>
        <v>21267121</v>
      </c>
      <c r="Q31" s="1">
        <v>0</v>
      </c>
      <c r="S31" s="1">
        <v>7221032</v>
      </c>
      <c r="U31" s="1">
        <v>190773</v>
      </c>
      <c r="W31" s="1">
        <v>0</v>
      </c>
      <c r="Y31" s="1">
        <v>0</v>
      </c>
      <c r="AA31" s="1">
        <v>1112958</v>
      </c>
      <c r="AB31" s="30"/>
      <c r="AC31" s="1">
        <v>0</v>
      </c>
      <c r="AE31" s="1">
        <v>0</v>
      </c>
      <c r="AG31" s="1">
        <f t="shared" si="1"/>
        <v>29791884</v>
      </c>
      <c r="AH31" s="1"/>
      <c r="AI31" s="1">
        <f t="shared" si="2"/>
        <v>33172276</v>
      </c>
    </row>
    <row r="32" spans="1:35" ht="12" customHeight="1">
      <c r="A32" s="17" t="s">
        <v>310</v>
      </c>
      <c r="B32" s="17"/>
      <c r="C32" s="17" t="s">
        <v>22</v>
      </c>
      <c r="D32" s="17"/>
      <c r="E32" s="13">
        <v>46706</v>
      </c>
      <c r="G32" s="1">
        <v>1557980</v>
      </c>
      <c r="I32" s="1">
        <v>633874</v>
      </c>
      <c r="K32" s="1">
        <v>0</v>
      </c>
      <c r="M32" s="1">
        <f t="shared" si="0"/>
        <v>2191854</v>
      </c>
      <c r="O32" s="1">
        <v>2292298</v>
      </c>
      <c r="Q32" s="1">
        <v>712542</v>
      </c>
      <c r="S32" s="1">
        <v>3339464</v>
      </c>
      <c r="U32" s="1">
        <v>6443</v>
      </c>
      <c r="W32" s="1">
        <v>52090</v>
      </c>
      <c r="Y32" s="1">
        <v>0</v>
      </c>
      <c r="AA32" s="1">
        <v>6365</v>
      </c>
      <c r="AB32" s="30"/>
      <c r="AC32" s="1">
        <v>0</v>
      </c>
      <c r="AE32" s="1">
        <v>0</v>
      </c>
      <c r="AG32" s="1">
        <f t="shared" si="1"/>
        <v>6409202</v>
      </c>
      <c r="AH32" s="1"/>
      <c r="AI32" s="1">
        <f t="shared" si="2"/>
        <v>8601056</v>
      </c>
    </row>
    <row r="33" spans="1:35" ht="12" customHeight="1">
      <c r="A33" s="17" t="s">
        <v>587</v>
      </c>
      <c r="B33" s="17"/>
      <c r="C33" s="17" t="s">
        <v>63</v>
      </c>
      <c r="D33" s="17"/>
      <c r="E33" s="13">
        <v>43539</v>
      </c>
      <c r="G33" s="1">
        <v>1915210</v>
      </c>
      <c r="I33" s="1">
        <v>12030077</v>
      </c>
      <c r="K33" s="1">
        <v>0</v>
      </c>
      <c r="M33" s="1">
        <f t="shared" si="0"/>
        <v>13945287</v>
      </c>
      <c r="O33" s="1">
        <v>12141668</v>
      </c>
      <c r="Q33" s="1">
        <v>0</v>
      </c>
      <c r="S33" s="1">
        <v>24532350</v>
      </c>
      <c r="U33" s="1">
        <v>174227</v>
      </c>
      <c r="W33" s="1">
        <v>0</v>
      </c>
      <c r="Y33" s="1">
        <v>0</v>
      </c>
      <c r="AA33" s="1">
        <v>282915</v>
      </c>
      <c r="AB33" s="30"/>
      <c r="AC33" s="1">
        <v>0</v>
      </c>
      <c r="AE33" s="1">
        <v>0</v>
      </c>
      <c r="AG33" s="1">
        <f t="shared" si="1"/>
        <v>37131160</v>
      </c>
      <c r="AH33" s="1"/>
      <c r="AI33" s="1">
        <f t="shared" si="2"/>
        <v>51076447</v>
      </c>
    </row>
    <row r="34" spans="1:35" ht="12" customHeight="1">
      <c r="A34" s="17" t="s">
        <v>719</v>
      </c>
      <c r="B34" s="17"/>
      <c r="C34" s="17" t="s">
        <v>15</v>
      </c>
      <c r="D34" s="17"/>
      <c r="E34" s="13"/>
      <c r="G34" s="1">
        <v>810348</v>
      </c>
      <c r="I34" s="1">
        <v>2177751</v>
      </c>
      <c r="K34" s="1">
        <v>0</v>
      </c>
      <c r="M34" s="1">
        <f t="shared" si="0"/>
        <v>2988099</v>
      </c>
      <c r="O34" s="1">
        <v>2354276</v>
      </c>
      <c r="Q34" s="1">
        <v>0</v>
      </c>
      <c r="S34" s="1">
        <v>5905052</v>
      </c>
      <c r="U34" s="1">
        <v>0</v>
      </c>
      <c r="W34" s="1">
        <v>0</v>
      </c>
      <c r="Y34" s="1">
        <v>0</v>
      </c>
      <c r="AA34" s="1">
        <v>236862</v>
      </c>
      <c r="AB34" s="30"/>
      <c r="AC34" s="1">
        <v>0</v>
      </c>
      <c r="AE34" s="1">
        <v>0</v>
      </c>
      <c r="AG34" s="1">
        <f t="shared" si="1"/>
        <v>8496190</v>
      </c>
      <c r="AH34" s="1"/>
      <c r="AI34" s="1">
        <f t="shared" si="2"/>
        <v>11484289</v>
      </c>
    </row>
    <row r="35" spans="1:35" ht="12" customHeight="1">
      <c r="A35" s="17" t="s">
        <v>251</v>
      </c>
      <c r="B35" s="17"/>
      <c r="C35" s="17" t="s">
        <v>115</v>
      </c>
      <c r="D35" s="17"/>
      <c r="E35" s="13">
        <v>46300</v>
      </c>
      <c r="F35" s="31"/>
      <c r="G35" s="1">
        <v>1531657</v>
      </c>
      <c r="I35" s="1">
        <v>2476628</v>
      </c>
      <c r="K35" s="1">
        <v>0</v>
      </c>
      <c r="M35" s="1">
        <f t="shared" si="0"/>
        <v>4008285</v>
      </c>
      <c r="O35" s="1">
        <f>6421931+432525</f>
        <v>6854456</v>
      </c>
      <c r="Q35" s="1">
        <v>0</v>
      </c>
      <c r="S35" s="1">
        <v>9184338</v>
      </c>
      <c r="U35" s="1">
        <v>4566</v>
      </c>
      <c r="W35" s="1">
        <v>662197</v>
      </c>
      <c r="Y35" s="1">
        <v>0</v>
      </c>
      <c r="AA35" s="1">
        <v>77876</v>
      </c>
      <c r="AB35" s="30"/>
      <c r="AC35" s="1">
        <v>0</v>
      </c>
      <c r="AE35" s="1">
        <v>0</v>
      </c>
      <c r="AG35" s="1">
        <f t="shared" si="1"/>
        <v>16783433</v>
      </c>
      <c r="AH35" s="1"/>
      <c r="AI35" s="1">
        <f t="shared" si="2"/>
        <v>20791718</v>
      </c>
    </row>
    <row r="36" spans="1:35" ht="12" hidden="1" customHeight="1">
      <c r="A36" s="12" t="s">
        <v>824</v>
      </c>
      <c r="B36" s="17"/>
      <c r="C36" s="17" t="s">
        <v>10</v>
      </c>
      <c r="D36" s="17"/>
      <c r="E36" s="13">
        <v>45765</v>
      </c>
      <c r="F36" s="31"/>
      <c r="M36" s="1">
        <f t="shared" si="0"/>
        <v>0</v>
      </c>
      <c r="AB36" s="30"/>
      <c r="AG36" s="1">
        <f t="shared" si="1"/>
        <v>0</v>
      </c>
      <c r="AH36" s="1"/>
      <c r="AI36" s="1">
        <f t="shared" si="2"/>
        <v>0</v>
      </c>
    </row>
    <row r="37" spans="1:35">
      <c r="A37" s="17" t="s">
        <v>280</v>
      </c>
      <c r="B37" s="17"/>
      <c r="C37" s="17" t="s">
        <v>20</v>
      </c>
      <c r="D37" s="17"/>
      <c r="E37" s="13">
        <v>43547</v>
      </c>
      <c r="G37" s="1">
        <v>2190743</v>
      </c>
      <c r="I37" s="1">
        <v>2076289</v>
      </c>
      <c r="K37" s="1">
        <v>173145</v>
      </c>
      <c r="M37" s="1">
        <f t="shared" si="0"/>
        <v>4440177</v>
      </c>
      <c r="O37" s="1">
        <f>18098458+1565502</f>
        <v>19663960</v>
      </c>
      <c r="Q37" s="1">
        <v>0</v>
      </c>
      <c r="S37" s="1">
        <v>7443057</v>
      </c>
      <c r="U37" s="1">
        <v>92822</v>
      </c>
      <c r="W37" s="1">
        <v>0</v>
      </c>
      <c r="Y37" s="1">
        <v>0</v>
      </c>
      <c r="AA37" s="1">
        <v>632477</v>
      </c>
      <c r="AB37" s="30"/>
      <c r="AC37" s="1">
        <v>0</v>
      </c>
      <c r="AE37" s="1">
        <v>0</v>
      </c>
      <c r="AG37" s="1">
        <f t="shared" si="1"/>
        <v>27832316</v>
      </c>
      <c r="AH37" s="1"/>
      <c r="AI37" s="1">
        <f t="shared" si="2"/>
        <v>32272493</v>
      </c>
    </row>
    <row r="38" spans="1:35" ht="12" customHeight="1">
      <c r="A38" s="17" t="s">
        <v>281</v>
      </c>
      <c r="B38" s="17"/>
      <c r="C38" s="17" t="s">
        <v>20</v>
      </c>
      <c r="D38" s="17"/>
      <c r="E38" s="13">
        <v>43554</v>
      </c>
      <c r="G38" s="1">
        <v>3900838</v>
      </c>
      <c r="I38" s="1">
        <v>2726566</v>
      </c>
      <c r="K38" s="1">
        <v>0</v>
      </c>
      <c r="M38" s="1">
        <f t="shared" si="0"/>
        <v>6627404</v>
      </c>
      <c r="O38" s="1">
        <v>23881579</v>
      </c>
      <c r="Q38" s="1">
        <v>0</v>
      </c>
      <c r="S38" s="1">
        <v>6141675</v>
      </c>
      <c r="U38" s="1">
        <v>241009</v>
      </c>
      <c r="W38" s="1">
        <v>0</v>
      </c>
      <c r="Y38" s="1">
        <v>0</v>
      </c>
      <c r="AA38" s="1">
        <v>257895</v>
      </c>
      <c r="AB38" s="30"/>
      <c r="AC38" s="1">
        <v>0</v>
      </c>
      <c r="AE38" s="1">
        <v>0</v>
      </c>
      <c r="AG38" s="1">
        <f t="shared" si="1"/>
        <v>30522158</v>
      </c>
      <c r="AH38" s="1"/>
      <c r="AI38" s="1">
        <f>+AG38+M38</f>
        <v>37149562</v>
      </c>
    </row>
    <row r="39" spans="1:35" ht="12" customHeight="1">
      <c r="A39" s="17" t="s">
        <v>263</v>
      </c>
      <c r="B39" s="17"/>
      <c r="C39" s="17" t="s">
        <v>114</v>
      </c>
      <c r="D39" s="17"/>
      <c r="E39" s="13">
        <v>46425</v>
      </c>
      <c r="F39" s="31"/>
      <c r="G39" s="1">
        <v>2103034</v>
      </c>
      <c r="I39" s="1">
        <v>2761290</v>
      </c>
      <c r="K39" s="1">
        <v>0</v>
      </c>
      <c r="M39" s="1">
        <f t="shared" si="0"/>
        <v>4864324</v>
      </c>
      <c r="O39" s="1">
        <v>5987436</v>
      </c>
      <c r="Q39" s="1">
        <v>0</v>
      </c>
      <c r="S39" s="1">
        <v>10386756</v>
      </c>
      <c r="U39" s="1">
        <v>3719</v>
      </c>
      <c r="W39" s="1">
        <v>0</v>
      </c>
      <c r="Y39" s="1">
        <v>0</v>
      </c>
      <c r="AA39" s="1">
        <f>11850+2904</f>
        <v>14754</v>
      </c>
      <c r="AB39" s="30"/>
      <c r="AC39" s="1">
        <v>0</v>
      </c>
      <c r="AE39" s="1">
        <v>0</v>
      </c>
      <c r="AG39" s="1">
        <f t="shared" si="1"/>
        <v>16392665</v>
      </c>
      <c r="AH39" s="1"/>
      <c r="AI39" s="1">
        <f>+AG39+M39</f>
        <v>21256989</v>
      </c>
    </row>
    <row r="40" spans="1:35" ht="12" customHeight="1">
      <c r="A40" s="17" t="s">
        <v>357</v>
      </c>
      <c r="B40" s="17"/>
      <c r="C40" s="17" t="s">
        <v>116</v>
      </c>
      <c r="D40" s="17"/>
      <c r="E40" s="13">
        <v>47241</v>
      </c>
      <c r="G40" s="1">
        <v>4342800</v>
      </c>
      <c r="I40" s="1">
        <v>7667504</v>
      </c>
      <c r="K40" s="1">
        <v>0</v>
      </c>
      <c r="M40" s="1">
        <f t="shared" si="0"/>
        <v>12010304</v>
      </c>
      <c r="O40" s="1">
        <v>57621343</v>
      </c>
      <c r="Q40" s="1">
        <v>0</v>
      </c>
      <c r="S40" s="1">
        <v>19427200</v>
      </c>
      <c r="U40" s="1">
        <v>1226841</v>
      </c>
      <c r="W40" s="1">
        <v>0</v>
      </c>
      <c r="Y40" s="1">
        <v>0</v>
      </c>
      <c r="AA40" s="1">
        <v>1301537</v>
      </c>
      <c r="AB40" s="30"/>
      <c r="AC40" s="1">
        <v>0</v>
      </c>
      <c r="AE40" s="1">
        <v>0</v>
      </c>
      <c r="AG40" s="1">
        <f t="shared" si="1"/>
        <v>79576921</v>
      </c>
      <c r="AH40" s="1"/>
      <c r="AI40" s="1">
        <f t="shared" si="2"/>
        <v>91587225</v>
      </c>
    </row>
    <row r="41" spans="1:35" ht="12" customHeight="1">
      <c r="A41" s="17" t="s">
        <v>282</v>
      </c>
      <c r="B41" s="17"/>
      <c r="C41" s="17" t="s">
        <v>20</v>
      </c>
      <c r="D41" s="17"/>
      <c r="E41" s="13">
        <v>43562</v>
      </c>
      <c r="G41" s="1">
        <v>2491151</v>
      </c>
      <c r="I41" s="1">
        <v>4476557</v>
      </c>
      <c r="K41" s="1">
        <v>226177</v>
      </c>
      <c r="M41" s="1">
        <f t="shared" si="0"/>
        <v>7193885</v>
      </c>
      <c r="O41" s="1">
        <v>27523388</v>
      </c>
      <c r="Q41" s="1">
        <v>0</v>
      </c>
      <c r="S41" s="1">
        <v>17563453</v>
      </c>
      <c r="U41" s="1">
        <v>27574</v>
      </c>
      <c r="W41" s="1">
        <v>0</v>
      </c>
      <c r="Y41" s="1">
        <v>0</v>
      </c>
      <c r="AA41" s="1">
        <v>433459</v>
      </c>
      <c r="AB41" s="30"/>
      <c r="AC41" s="1">
        <v>0</v>
      </c>
      <c r="AE41" s="1">
        <v>0</v>
      </c>
      <c r="AG41" s="1">
        <f t="shared" si="1"/>
        <v>45547874</v>
      </c>
      <c r="AH41" s="1"/>
      <c r="AI41" s="1">
        <f t="shared" si="2"/>
        <v>52741759</v>
      </c>
    </row>
    <row r="42" spans="1:35" ht="12" customHeight="1">
      <c r="A42" s="17" t="s">
        <v>219</v>
      </c>
      <c r="B42" s="17"/>
      <c r="C42" s="17" t="s">
        <v>15</v>
      </c>
      <c r="D42" s="17"/>
      <c r="E42" s="13">
        <v>43570</v>
      </c>
      <c r="F42" s="31"/>
      <c r="G42" s="1">
        <v>1149843</v>
      </c>
      <c r="I42" s="1">
        <v>2430617</v>
      </c>
      <c r="K42" s="1">
        <v>3889</v>
      </c>
      <c r="M42" s="1">
        <f t="shared" si="0"/>
        <v>3584349</v>
      </c>
      <c r="O42" s="1">
        <v>2592743</v>
      </c>
      <c r="Q42" s="1">
        <v>0</v>
      </c>
      <c r="S42" s="1">
        <v>9918210</v>
      </c>
      <c r="U42" s="1">
        <v>34787</v>
      </c>
      <c r="W42" s="1">
        <v>0</v>
      </c>
      <c r="Y42" s="1">
        <v>13000</v>
      </c>
      <c r="AA42" s="1">
        <v>52606</v>
      </c>
      <c r="AB42" s="30"/>
      <c r="AC42" s="1">
        <v>0</v>
      </c>
      <c r="AE42" s="1">
        <v>0</v>
      </c>
      <c r="AG42" s="1">
        <f t="shared" si="1"/>
        <v>12611346</v>
      </c>
      <c r="AH42" s="1"/>
      <c r="AI42" s="1">
        <f t="shared" si="2"/>
        <v>16195695</v>
      </c>
    </row>
    <row r="43" spans="1:35" ht="12" customHeight="1">
      <c r="A43" s="17" t="s">
        <v>951</v>
      </c>
      <c r="B43" s="17"/>
      <c r="C43" s="17" t="s">
        <v>116</v>
      </c>
      <c r="D43" s="17"/>
      <c r="E43" s="13">
        <v>47274</v>
      </c>
      <c r="G43" s="1">
        <v>1526713</v>
      </c>
      <c r="I43" s="1">
        <v>1838518</v>
      </c>
      <c r="K43" s="1">
        <v>63989</v>
      </c>
      <c r="M43" s="1">
        <f t="shared" ref="M43" si="3">SUM(G43:L43)</f>
        <v>3429220</v>
      </c>
      <c r="O43" s="1">
        <f>14288437+2969111+658932</f>
        <v>17916480</v>
      </c>
      <c r="Q43" s="1">
        <v>0</v>
      </c>
      <c r="S43" s="1">
        <v>8632686</v>
      </c>
      <c r="U43" s="1">
        <v>1840</v>
      </c>
      <c r="W43" s="1">
        <v>0</v>
      </c>
      <c r="Y43" s="1">
        <v>0</v>
      </c>
      <c r="AA43" s="1">
        <v>287600</v>
      </c>
      <c r="AB43" s="32"/>
      <c r="AC43" s="1">
        <v>0</v>
      </c>
      <c r="AE43" s="1">
        <v>0</v>
      </c>
      <c r="AG43" s="1">
        <f t="shared" ref="AG43" si="4">SUM(O43:AE43)</f>
        <v>26838606</v>
      </c>
      <c r="AH43" s="1"/>
      <c r="AI43" s="1">
        <f t="shared" si="2"/>
        <v>30267826</v>
      </c>
    </row>
    <row r="44" spans="1:35" ht="12" customHeight="1">
      <c r="A44" s="17" t="s">
        <v>403</v>
      </c>
      <c r="B44" s="17"/>
      <c r="C44" s="17" t="s">
        <v>37</v>
      </c>
      <c r="D44" s="17"/>
      <c r="E44" s="13">
        <v>43596</v>
      </c>
      <c r="G44" s="1">
        <v>1028458</v>
      </c>
      <c r="I44" s="1">
        <v>2689449</v>
      </c>
      <c r="K44" s="1">
        <v>887881</v>
      </c>
      <c r="M44" s="1">
        <f t="shared" si="0"/>
        <v>4605788</v>
      </c>
      <c r="O44" s="1">
        <v>7474303</v>
      </c>
      <c r="Q44" s="1">
        <v>1560972</v>
      </c>
      <c r="S44" s="1">
        <v>26489921</v>
      </c>
      <c r="U44" s="1">
        <v>94024</v>
      </c>
      <c r="W44" s="1">
        <v>0</v>
      </c>
      <c r="Y44" s="1">
        <v>0</v>
      </c>
      <c r="AA44" s="1">
        <v>247012</v>
      </c>
      <c r="AB44" s="30"/>
      <c r="AC44" s="1">
        <v>0</v>
      </c>
      <c r="AE44" s="1">
        <v>0</v>
      </c>
      <c r="AG44" s="1">
        <f t="shared" si="1"/>
        <v>35866232</v>
      </c>
      <c r="AH44" s="1"/>
      <c r="AI44" s="1">
        <f t="shared" si="2"/>
        <v>40472020</v>
      </c>
    </row>
    <row r="45" spans="1:35" ht="12" customHeight="1">
      <c r="A45" s="17" t="s">
        <v>636</v>
      </c>
      <c r="B45" s="17"/>
      <c r="C45" s="17" t="s">
        <v>70</v>
      </c>
      <c r="D45" s="17"/>
      <c r="E45" s="13">
        <v>43604</v>
      </c>
      <c r="G45" s="1">
        <v>616731</v>
      </c>
      <c r="I45" s="1">
        <v>2149679</v>
      </c>
      <c r="K45" s="1">
        <v>0</v>
      </c>
      <c r="M45" s="1">
        <f t="shared" si="0"/>
        <v>2766410</v>
      </c>
      <c r="O45" s="1">
        <v>3209975</v>
      </c>
      <c r="Q45" s="1">
        <v>0</v>
      </c>
      <c r="S45" s="1">
        <v>5762016</v>
      </c>
      <c r="U45" s="1">
        <v>62177</v>
      </c>
      <c r="W45" s="1">
        <v>0</v>
      </c>
      <c r="Y45" s="1">
        <v>0</v>
      </c>
      <c r="AA45" s="1">
        <v>17651</v>
      </c>
      <c r="AB45" s="30"/>
      <c r="AC45" s="1">
        <v>0</v>
      </c>
      <c r="AE45" s="1">
        <v>0</v>
      </c>
      <c r="AG45" s="1">
        <f t="shared" si="1"/>
        <v>9051819</v>
      </c>
      <c r="AH45" s="1"/>
      <c r="AI45" s="1">
        <f t="shared" si="2"/>
        <v>11818229</v>
      </c>
    </row>
    <row r="46" spans="1:35" ht="12" customHeight="1">
      <c r="A46" s="17" t="s">
        <v>519</v>
      </c>
      <c r="B46" s="17"/>
      <c r="C46" s="17" t="s">
        <v>53</v>
      </c>
      <c r="D46" s="17"/>
      <c r="E46" s="13">
        <v>48926</v>
      </c>
      <c r="G46" s="1">
        <v>1520489</v>
      </c>
      <c r="I46" s="1">
        <v>1629548</v>
      </c>
      <c r="K46" s="1">
        <v>0</v>
      </c>
      <c r="M46" s="1">
        <f t="shared" si="0"/>
        <v>3150037</v>
      </c>
      <c r="O46" s="1">
        <v>8424602</v>
      </c>
      <c r="Q46" s="1">
        <v>0</v>
      </c>
      <c r="S46" s="1">
        <v>9855959</v>
      </c>
      <c r="U46" s="1">
        <v>111124</v>
      </c>
      <c r="W46" s="1">
        <v>0</v>
      </c>
      <c r="Y46" s="1">
        <v>0</v>
      </c>
      <c r="AA46" s="1">
        <v>2242</v>
      </c>
      <c r="AB46" s="30"/>
      <c r="AC46" s="1">
        <v>0</v>
      </c>
      <c r="AE46" s="1">
        <v>0</v>
      </c>
      <c r="AG46" s="1">
        <f t="shared" si="1"/>
        <v>18393927</v>
      </c>
      <c r="AH46" s="1"/>
      <c r="AI46" s="1">
        <f t="shared" si="2"/>
        <v>21543964</v>
      </c>
    </row>
    <row r="47" spans="1:35" ht="12" customHeight="1">
      <c r="A47" s="17" t="s">
        <v>283</v>
      </c>
      <c r="B47" s="17"/>
      <c r="C47" s="17" t="s">
        <v>20</v>
      </c>
      <c r="D47" s="17"/>
      <c r="E47" s="13">
        <v>43612</v>
      </c>
      <c r="G47" s="1">
        <v>5811629</v>
      </c>
      <c r="I47" s="1">
        <v>6253075</v>
      </c>
      <c r="K47" s="1">
        <v>25149</v>
      </c>
      <c r="M47" s="1">
        <f t="shared" si="0"/>
        <v>12089853</v>
      </c>
      <c r="O47" s="1">
        <f>49940417+1068671+1294683</f>
        <v>52303771</v>
      </c>
      <c r="Q47" s="1">
        <v>0</v>
      </c>
      <c r="S47" s="1">
        <v>26020444</v>
      </c>
      <c r="U47" s="1">
        <v>307078</v>
      </c>
      <c r="W47" s="1">
        <v>0</v>
      </c>
      <c r="Y47" s="1">
        <v>0</v>
      </c>
      <c r="AA47" s="1">
        <v>1248683</v>
      </c>
      <c r="AB47" s="30"/>
      <c r="AC47" s="1">
        <v>0</v>
      </c>
      <c r="AE47" s="1">
        <v>0</v>
      </c>
      <c r="AG47" s="1">
        <f t="shared" si="1"/>
        <v>79879976</v>
      </c>
      <c r="AH47" s="1"/>
      <c r="AI47" s="1">
        <f t="shared" si="2"/>
        <v>91969829</v>
      </c>
    </row>
    <row r="48" spans="1:35" ht="12" customHeight="1">
      <c r="A48" s="17" t="s">
        <v>351</v>
      </c>
      <c r="B48" s="17"/>
      <c r="C48" s="17" t="s">
        <v>30</v>
      </c>
      <c r="D48" s="17"/>
      <c r="E48" s="13">
        <v>47167</v>
      </c>
      <c r="G48" s="1">
        <v>559716</v>
      </c>
      <c r="I48" s="1">
        <v>959797</v>
      </c>
      <c r="K48" s="1">
        <v>0</v>
      </c>
      <c r="M48" s="1">
        <f t="shared" si="0"/>
        <v>1519513</v>
      </c>
      <c r="O48" s="1">
        <v>4039665</v>
      </c>
      <c r="Q48" s="1">
        <v>1536729</v>
      </c>
      <c r="S48" s="1">
        <v>4650889</v>
      </c>
      <c r="U48" s="1">
        <v>13083</v>
      </c>
      <c r="W48" s="1">
        <v>0</v>
      </c>
      <c r="Y48" s="1">
        <v>0</v>
      </c>
      <c r="AA48" s="1">
        <v>19758</v>
      </c>
      <c r="AB48" s="30"/>
      <c r="AC48" s="1">
        <v>0</v>
      </c>
      <c r="AE48" s="1">
        <v>0</v>
      </c>
      <c r="AG48" s="1">
        <f t="shared" si="1"/>
        <v>10260124</v>
      </c>
      <c r="AH48" s="1"/>
      <c r="AI48" s="1">
        <f t="shared" si="2"/>
        <v>11779637</v>
      </c>
    </row>
    <row r="49" spans="1:35" ht="12" customHeight="1">
      <c r="A49" s="17" t="s">
        <v>314</v>
      </c>
      <c r="B49" s="17"/>
      <c r="C49" s="17" t="s">
        <v>24</v>
      </c>
      <c r="D49" s="17"/>
      <c r="E49" s="13">
        <v>46789</v>
      </c>
      <c r="G49" s="1">
        <v>1284508</v>
      </c>
      <c r="I49" s="1">
        <v>1667786</v>
      </c>
      <c r="K49" s="1">
        <v>0</v>
      </c>
      <c r="M49" s="1">
        <f t="shared" si="0"/>
        <v>2952294</v>
      </c>
      <c r="O49" s="1">
        <v>6190282</v>
      </c>
      <c r="Q49" s="1">
        <v>0</v>
      </c>
      <c r="S49" s="1">
        <v>7837500</v>
      </c>
      <c r="U49" s="1">
        <v>43920</v>
      </c>
      <c r="W49" s="1">
        <v>0</v>
      </c>
      <c r="Y49" s="1">
        <v>0</v>
      </c>
      <c r="AA49" s="1">
        <v>22098</v>
      </c>
      <c r="AB49" s="30"/>
      <c r="AC49" s="1">
        <v>0</v>
      </c>
      <c r="AE49" s="1">
        <v>0</v>
      </c>
      <c r="AG49" s="1">
        <f t="shared" si="1"/>
        <v>14093800</v>
      </c>
      <c r="AH49" s="1"/>
      <c r="AI49" s="1">
        <f t="shared" si="2"/>
        <v>17046094</v>
      </c>
    </row>
    <row r="50" spans="1:35" ht="12" customHeight="1">
      <c r="A50" s="17" t="s">
        <v>322</v>
      </c>
      <c r="B50" s="17"/>
      <c r="C50" s="17" t="s">
        <v>25</v>
      </c>
      <c r="D50" s="17"/>
      <c r="E50" s="13">
        <v>46854</v>
      </c>
      <c r="G50" s="1">
        <v>933516</v>
      </c>
      <c r="I50" s="1">
        <v>3958410</v>
      </c>
      <c r="K50" s="1">
        <v>0</v>
      </c>
      <c r="M50" s="1">
        <f t="shared" si="0"/>
        <v>4891926</v>
      </c>
      <c r="O50" s="1">
        <v>3105383</v>
      </c>
      <c r="Q50" s="1">
        <v>931362</v>
      </c>
      <c r="S50" s="1">
        <v>1291276</v>
      </c>
      <c r="U50" s="1">
        <v>10957</v>
      </c>
      <c r="W50" s="1">
        <v>0</v>
      </c>
      <c r="Y50" s="1">
        <v>0</v>
      </c>
      <c r="AA50" s="1">
        <v>78262</v>
      </c>
      <c r="AB50" s="30"/>
      <c r="AC50" s="1">
        <v>0</v>
      </c>
      <c r="AE50" s="1">
        <v>0</v>
      </c>
      <c r="AG50" s="1">
        <f t="shared" si="1"/>
        <v>5417240</v>
      </c>
      <c r="AH50" s="1"/>
      <c r="AI50" s="1">
        <f t="shared" si="2"/>
        <v>10309166</v>
      </c>
    </row>
    <row r="51" spans="1:35" ht="12" customHeight="1">
      <c r="A51" s="17" t="s">
        <v>487</v>
      </c>
      <c r="B51" s="17"/>
      <c r="C51" s="17" t="s">
        <v>48</v>
      </c>
      <c r="D51" s="17"/>
      <c r="E51" s="13">
        <v>48611</v>
      </c>
      <c r="G51" s="1">
        <v>780926</v>
      </c>
      <c r="I51" s="1">
        <v>582661</v>
      </c>
      <c r="K51" s="1">
        <v>0</v>
      </c>
      <c r="M51" s="1">
        <f t="shared" si="0"/>
        <v>1363587</v>
      </c>
      <c r="O51" s="1">
        <v>3504843</v>
      </c>
      <c r="Q51" s="1">
        <v>0</v>
      </c>
      <c r="S51" s="1">
        <v>3366031</v>
      </c>
      <c r="U51" s="1">
        <v>0</v>
      </c>
      <c r="W51" s="1">
        <v>0</v>
      </c>
      <c r="Y51" s="1">
        <v>0</v>
      </c>
      <c r="AA51" s="1">
        <v>214543</v>
      </c>
      <c r="AB51" s="30"/>
      <c r="AC51" s="1">
        <v>0</v>
      </c>
      <c r="AE51" s="1">
        <v>0</v>
      </c>
      <c r="AG51" s="1">
        <f t="shared" si="1"/>
        <v>7085417</v>
      </c>
      <c r="AH51" s="1"/>
      <c r="AI51" s="1">
        <f t="shared" si="2"/>
        <v>8449004</v>
      </c>
    </row>
    <row r="52" spans="1:35" ht="12" customHeight="1">
      <c r="A52" s="17" t="s">
        <v>252</v>
      </c>
      <c r="B52" s="17"/>
      <c r="C52" s="17" t="s">
        <v>115</v>
      </c>
      <c r="D52" s="17"/>
      <c r="E52" s="13">
        <v>46318</v>
      </c>
      <c r="F52" s="31"/>
      <c r="G52" s="1">
        <v>2008996</v>
      </c>
      <c r="I52" s="1">
        <v>2190354</v>
      </c>
      <c r="K52" s="1">
        <v>0</v>
      </c>
      <c r="M52" s="1">
        <f t="shared" si="0"/>
        <v>4199350</v>
      </c>
      <c r="O52" s="1">
        <v>3703220</v>
      </c>
      <c r="Q52" s="1">
        <v>0</v>
      </c>
      <c r="S52" s="1">
        <v>9653908</v>
      </c>
      <c r="U52" s="1">
        <v>11802</v>
      </c>
      <c r="W52" s="1">
        <v>0</v>
      </c>
      <c r="Y52" s="1">
        <v>993</v>
      </c>
      <c r="AA52" s="1">
        <f>160044+21513</f>
        <v>181557</v>
      </c>
      <c r="AB52" s="30"/>
      <c r="AC52" s="1">
        <v>0</v>
      </c>
      <c r="AE52" s="1">
        <v>0</v>
      </c>
      <c r="AG52" s="1">
        <f t="shared" si="1"/>
        <v>13551480</v>
      </c>
      <c r="AH52" s="1"/>
      <c r="AI52" s="1">
        <f t="shared" si="2"/>
        <v>17750830</v>
      </c>
    </row>
    <row r="53" spans="1:35" ht="12" hidden="1" customHeight="1">
      <c r="A53" s="12" t="s">
        <v>825</v>
      </c>
      <c r="B53" s="17"/>
      <c r="C53" s="17" t="s">
        <v>60</v>
      </c>
      <c r="D53" s="17"/>
      <c r="E53" s="13">
        <v>49692</v>
      </c>
      <c r="M53" s="1">
        <f>SUM(G53:L53)</f>
        <v>0</v>
      </c>
      <c r="AB53" s="30"/>
      <c r="AG53" s="1">
        <f>SUM(O53:AE53)</f>
        <v>0</v>
      </c>
      <c r="AH53" s="1"/>
      <c r="AI53" s="1">
        <f>+AG53+M53</f>
        <v>0</v>
      </c>
    </row>
    <row r="54" spans="1:35" ht="12" customHeight="1">
      <c r="A54" s="17" t="s">
        <v>329</v>
      </c>
      <c r="B54" s="17"/>
      <c r="C54" s="17" t="s">
        <v>27</v>
      </c>
      <c r="D54" s="17"/>
      <c r="E54" s="13">
        <v>43620</v>
      </c>
      <c r="G54" s="1">
        <v>754774</v>
      </c>
      <c r="I54" s="1">
        <v>2241075</v>
      </c>
      <c r="K54" s="1">
        <v>0</v>
      </c>
      <c r="M54" s="1">
        <f>SUM(G54:L54)</f>
        <v>2995849</v>
      </c>
      <c r="O54" s="1">
        <v>20095240</v>
      </c>
      <c r="Q54" s="1">
        <v>4484689</v>
      </c>
      <c r="S54" s="1">
        <v>7105366</v>
      </c>
      <c r="U54" s="1">
        <v>217454</v>
      </c>
      <c r="W54" s="1">
        <v>0</v>
      </c>
      <c r="Y54" s="1">
        <v>0</v>
      </c>
      <c r="AA54" s="1">
        <v>506069</v>
      </c>
      <c r="AB54" s="30"/>
      <c r="AC54" s="1">
        <v>0</v>
      </c>
      <c r="AE54" s="1">
        <v>0</v>
      </c>
      <c r="AG54" s="1">
        <f>SUM(O54:AE54)</f>
        <v>32408818</v>
      </c>
      <c r="AH54" s="1"/>
      <c r="AI54" s="1">
        <f>+AG54+M54</f>
        <v>35404667</v>
      </c>
    </row>
    <row r="55" spans="1:35" ht="12" customHeight="1">
      <c r="A55" s="17" t="s">
        <v>311</v>
      </c>
      <c r="B55" s="17"/>
      <c r="C55" s="17" t="s">
        <v>23</v>
      </c>
      <c r="D55" s="17"/>
      <c r="E55" s="13">
        <v>46748</v>
      </c>
      <c r="G55" s="1">
        <v>1181433</v>
      </c>
      <c r="I55" s="1">
        <v>2222925</v>
      </c>
      <c r="K55" s="1">
        <v>0</v>
      </c>
      <c r="M55" s="1">
        <f>SUM(G55:L55)</f>
        <v>3404358</v>
      </c>
      <c r="O55" s="1">
        <f>12632397+3017525</f>
        <v>15649922</v>
      </c>
      <c r="Q55" s="1">
        <v>4418135</v>
      </c>
      <c r="S55" s="1">
        <v>7851550</v>
      </c>
      <c r="U55" s="1">
        <v>102607</v>
      </c>
      <c r="W55" s="1">
        <v>0</v>
      </c>
      <c r="Y55" s="1">
        <v>150323</v>
      </c>
      <c r="AA55" s="1">
        <v>414056</v>
      </c>
      <c r="AB55" s="30"/>
      <c r="AC55" s="1">
        <v>0</v>
      </c>
      <c r="AE55" s="1">
        <v>0</v>
      </c>
      <c r="AG55" s="1">
        <f t="shared" si="1"/>
        <v>28586593</v>
      </c>
      <c r="AH55" s="1"/>
      <c r="AI55" s="1">
        <f>+AG55+M55</f>
        <v>31990951</v>
      </c>
    </row>
    <row r="56" spans="1:35" ht="12" customHeight="1">
      <c r="A56" s="17" t="s">
        <v>478</v>
      </c>
      <c r="B56" s="17"/>
      <c r="C56" s="17" t="s">
        <v>47</v>
      </c>
      <c r="D56" s="17"/>
      <c r="E56" s="13">
        <v>48462</v>
      </c>
      <c r="G56" s="1">
        <v>1023645</v>
      </c>
      <c r="I56" s="1">
        <v>1864780</v>
      </c>
      <c r="K56" s="1">
        <v>207214</v>
      </c>
      <c r="M56" s="1">
        <f>SUM(G56:L56)</f>
        <v>3095639</v>
      </c>
      <c r="O56" s="1">
        <f>3849746+476852</f>
        <v>4326598</v>
      </c>
      <c r="Q56" s="1">
        <v>0</v>
      </c>
      <c r="S56" s="1">
        <v>8116016</v>
      </c>
      <c r="U56" s="1">
        <v>34538</v>
      </c>
      <c r="W56" s="1">
        <v>0</v>
      </c>
      <c r="Y56" s="1">
        <v>0</v>
      </c>
      <c r="AA56" s="1">
        <v>4250</v>
      </c>
      <c r="AB56" s="30"/>
      <c r="AC56" s="1">
        <v>0</v>
      </c>
      <c r="AE56" s="1">
        <v>393998</v>
      </c>
      <c r="AG56" s="1">
        <f t="shared" si="1"/>
        <v>12875400</v>
      </c>
      <c r="AH56" s="1"/>
      <c r="AI56" s="1">
        <f>+AG56+M56</f>
        <v>15971039</v>
      </c>
    </row>
    <row r="57" spans="1:35" ht="12" customHeight="1">
      <c r="A57" s="17" t="s">
        <v>259</v>
      </c>
      <c r="B57" s="17"/>
      <c r="C57" s="17" t="s">
        <v>18</v>
      </c>
      <c r="D57" s="17"/>
      <c r="E57" s="13">
        <v>46383</v>
      </c>
      <c r="F57" s="31"/>
      <c r="G57" s="1">
        <v>1642679</v>
      </c>
      <c r="I57" s="1">
        <v>3432219</v>
      </c>
      <c r="K57" s="1">
        <v>0</v>
      </c>
      <c r="M57" s="1">
        <f t="shared" si="0"/>
        <v>5074898</v>
      </c>
      <c r="O57" s="1">
        <f>2676663+92283+356343+115031</f>
        <v>3240320</v>
      </c>
      <c r="Q57" s="1">
        <v>0</v>
      </c>
      <c r="S57" s="1">
        <v>8191357</v>
      </c>
      <c r="U57" s="1">
        <v>44089</v>
      </c>
      <c r="W57" s="1">
        <v>0</v>
      </c>
      <c r="Y57" s="1">
        <v>14673</v>
      </c>
      <c r="AA57" s="1">
        <v>120444</v>
      </c>
      <c r="AB57" s="30"/>
      <c r="AC57" s="1">
        <v>0</v>
      </c>
      <c r="AE57" s="1">
        <v>0</v>
      </c>
      <c r="AG57" s="1">
        <f t="shared" si="1"/>
        <v>11610883</v>
      </c>
      <c r="AH57" s="1"/>
      <c r="AI57" s="1">
        <f t="shared" si="2"/>
        <v>16685781</v>
      </c>
    </row>
    <row r="58" spans="1:35" ht="12" customHeight="1">
      <c r="A58" s="17" t="s">
        <v>323</v>
      </c>
      <c r="B58" s="17"/>
      <c r="C58" s="17" t="s">
        <v>25</v>
      </c>
      <c r="D58" s="17"/>
      <c r="E58" s="13">
        <v>46862</v>
      </c>
      <c r="G58" s="1">
        <v>1348678</v>
      </c>
      <c r="I58" s="1">
        <v>2574753</v>
      </c>
      <c r="K58" s="1">
        <v>0</v>
      </c>
      <c r="M58" s="1">
        <f t="shared" si="0"/>
        <v>3923431</v>
      </c>
      <c r="O58" s="1">
        <v>5881489</v>
      </c>
      <c r="Q58" s="1">
        <v>3261404</v>
      </c>
      <c r="S58" s="1">
        <v>2663526</v>
      </c>
      <c r="U58" s="1">
        <v>179941</v>
      </c>
      <c r="W58" s="1">
        <v>0</v>
      </c>
      <c r="Y58" s="1">
        <v>0</v>
      </c>
      <c r="AA58" s="1">
        <v>52810</v>
      </c>
      <c r="AB58" s="30"/>
      <c r="AC58" s="1">
        <v>0</v>
      </c>
      <c r="AE58" s="1">
        <v>0</v>
      </c>
      <c r="AG58" s="1">
        <f>SUM(O58:AE58)</f>
        <v>12039170</v>
      </c>
      <c r="AH58" s="1"/>
      <c r="AI58" s="1">
        <f t="shared" si="2"/>
        <v>15962601</v>
      </c>
    </row>
    <row r="59" spans="1:35" ht="12" customHeight="1">
      <c r="A59" s="17" t="s">
        <v>599</v>
      </c>
      <c r="B59" s="17"/>
      <c r="C59" s="17" t="s">
        <v>64</v>
      </c>
      <c r="D59" s="17"/>
      <c r="E59" s="13">
        <v>50096</v>
      </c>
      <c r="G59" s="1">
        <v>297244</v>
      </c>
      <c r="I59" s="1">
        <v>1119696</v>
      </c>
      <c r="K59" s="1">
        <v>0</v>
      </c>
      <c r="M59" s="1">
        <f t="shared" si="0"/>
        <v>1416940</v>
      </c>
      <c r="O59" s="1">
        <v>1300253</v>
      </c>
      <c r="Q59" s="1">
        <v>0</v>
      </c>
      <c r="S59" s="1">
        <v>1584225</v>
      </c>
      <c r="U59" s="1">
        <v>1658</v>
      </c>
      <c r="W59" s="1">
        <v>0</v>
      </c>
      <c r="Y59" s="1">
        <v>0</v>
      </c>
      <c r="AA59" s="1">
        <v>39745</v>
      </c>
      <c r="AB59" s="30"/>
      <c r="AC59" s="1">
        <v>0</v>
      </c>
      <c r="AE59" s="1">
        <v>0</v>
      </c>
      <c r="AG59" s="1">
        <f t="shared" si="1"/>
        <v>2925881</v>
      </c>
      <c r="AH59" s="1"/>
      <c r="AI59" s="1">
        <f t="shared" si="2"/>
        <v>4342821</v>
      </c>
    </row>
    <row r="60" spans="1:35" ht="12" customHeight="1">
      <c r="A60" s="17" t="s">
        <v>559</v>
      </c>
      <c r="B60" s="17"/>
      <c r="C60" s="17" t="s">
        <v>59</v>
      </c>
      <c r="D60" s="17"/>
      <c r="E60" s="13">
        <v>49593</v>
      </c>
      <c r="G60" s="1">
        <v>1033841</v>
      </c>
      <c r="I60" s="1">
        <v>1808217</v>
      </c>
      <c r="K60" s="1">
        <v>0</v>
      </c>
      <c r="M60" s="1">
        <f>SUM(G60:L60)</f>
        <v>2842058</v>
      </c>
      <c r="O60" s="1">
        <v>1242095</v>
      </c>
      <c r="Q60" s="1">
        <v>0</v>
      </c>
      <c r="S60" s="1">
        <v>6007603</v>
      </c>
      <c r="U60" s="1">
        <v>13587</v>
      </c>
      <c r="W60" s="1">
        <v>0</v>
      </c>
      <c r="Y60" s="1">
        <v>12500</v>
      </c>
      <c r="AA60" s="1">
        <f>2250+116774</f>
        <v>119024</v>
      </c>
      <c r="AB60" s="30"/>
      <c r="AC60" s="1">
        <v>0</v>
      </c>
      <c r="AE60" s="1">
        <v>0</v>
      </c>
      <c r="AG60" s="1">
        <f>SUM(O60:AE60)</f>
        <v>7394809</v>
      </c>
      <c r="AH60" s="1"/>
      <c r="AI60" s="1">
        <f>+AG60+M60</f>
        <v>10236867</v>
      </c>
    </row>
    <row r="61" spans="1:35" ht="12" hidden="1" customHeight="1">
      <c r="A61" s="12" t="s">
        <v>791</v>
      </c>
      <c r="B61" s="17"/>
      <c r="C61" s="17" t="s">
        <v>10</v>
      </c>
      <c r="D61" s="17"/>
      <c r="E61" s="13">
        <v>49593</v>
      </c>
      <c r="M61" s="1">
        <f t="shared" si="0"/>
        <v>0</v>
      </c>
      <c r="AB61" s="30"/>
      <c r="AG61" s="1">
        <f t="shared" si="1"/>
        <v>0</v>
      </c>
      <c r="AH61" s="1"/>
      <c r="AI61" s="1">
        <f t="shared" si="2"/>
        <v>0</v>
      </c>
    </row>
    <row r="62" spans="1:35" ht="12" customHeight="1">
      <c r="A62" s="17" t="s">
        <v>462</v>
      </c>
      <c r="B62" s="17"/>
      <c r="C62" s="17" t="s">
        <v>45</v>
      </c>
      <c r="D62" s="17"/>
      <c r="E62" s="13">
        <v>48306</v>
      </c>
      <c r="G62" s="1">
        <v>2027063</v>
      </c>
      <c r="I62" s="1">
        <v>3962268</v>
      </c>
      <c r="K62" s="1">
        <v>0</v>
      </c>
      <c r="M62" s="1">
        <f t="shared" si="0"/>
        <v>5989331</v>
      </c>
      <c r="O62" s="1">
        <v>27573532</v>
      </c>
      <c r="Q62" s="1">
        <v>0</v>
      </c>
      <c r="S62" s="1">
        <v>14004067</v>
      </c>
      <c r="U62" s="1">
        <v>113146</v>
      </c>
      <c r="W62" s="1">
        <v>0</v>
      </c>
      <c r="Y62" s="1">
        <v>0</v>
      </c>
      <c r="AA62" s="1">
        <v>204724</v>
      </c>
      <c r="AB62" s="30"/>
      <c r="AC62" s="1">
        <v>0</v>
      </c>
      <c r="AE62" s="1">
        <v>0</v>
      </c>
      <c r="AG62" s="1">
        <f t="shared" si="1"/>
        <v>41895469</v>
      </c>
      <c r="AH62" s="1"/>
      <c r="AI62" s="1">
        <f t="shared" si="2"/>
        <v>47884800</v>
      </c>
    </row>
    <row r="63" spans="1:35" ht="12" hidden="1" customHeight="1">
      <c r="A63" s="12" t="s">
        <v>923</v>
      </c>
      <c r="B63" s="17"/>
      <c r="C63" s="17" t="s">
        <v>61</v>
      </c>
      <c r="D63" s="17"/>
      <c r="E63" s="13">
        <v>49767</v>
      </c>
      <c r="M63" s="1">
        <f t="shared" si="0"/>
        <v>0</v>
      </c>
      <c r="AB63" s="30"/>
      <c r="AG63" s="1">
        <f t="shared" si="1"/>
        <v>0</v>
      </c>
      <c r="AH63" s="1"/>
      <c r="AI63" s="1">
        <f t="shared" si="2"/>
        <v>0</v>
      </c>
    </row>
    <row r="64" spans="1:35" ht="12" customHeight="1">
      <c r="A64" s="17" t="s">
        <v>646</v>
      </c>
      <c r="B64" s="17"/>
      <c r="C64" s="17" t="s">
        <v>72</v>
      </c>
      <c r="D64" s="17"/>
      <c r="E64" s="13">
        <v>43638</v>
      </c>
      <c r="G64" s="1">
        <f>1507915</f>
        <v>1507915</v>
      </c>
      <c r="I64" s="1">
        <v>2743059</v>
      </c>
      <c r="K64" s="1">
        <v>0</v>
      </c>
      <c r="M64" s="1">
        <f t="shared" si="0"/>
        <v>4250974</v>
      </c>
      <c r="O64" s="1">
        <f>14455226+1659722+456708</f>
        <v>16571656</v>
      </c>
      <c r="Q64" s="1">
        <v>2569973</v>
      </c>
      <c r="S64" s="1">
        <v>10893459</v>
      </c>
      <c r="U64" s="1">
        <f>135939+569</f>
        <v>136508</v>
      </c>
      <c r="W64" s="1">
        <v>208129</v>
      </c>
      <c r="Y64" s="1">
        <v>0</v>
      </c>
      <c r="AA64" s="1">
        <f>73072+3946</f>
        <v>77018</v>
      </c>
      <c r="AB64" s="30"/>
      <c r="AC64" s="1">
        <v>0</v>
      </c>
      <c r="AE64" s="1">
        <v>0</v>
      </c>
      <c r="AG64" s="1">
        <f t="shared" si="1"/>
        <v>30456743</v>
      </c>
      <c r="AH64" s="1"/>
      <c r="AI64" s="1">
        <f t="shared" si="2"/>
        <v>34707717</v>
      </c>
    </row>
    <row r="65" spans="1:35" ht="12" hidden="1" customHeight="1">
      <c r="A65" s="12" t="s">
        <v>832</v>
      </c>
      <c r="B65" s="17"/>
      <c r="C65" s="17" t="s">
        <v>48</v>
      </c>
      <c r="D65" s="17"/>
      <c r="E65" s="13">
        <v>43646</v>
      </c>
      <c r="M65" s="1">
        <f>SUM(G65:L65)</f>
        <v>0</v>
      </c>
      <c r="AB65" s="30"/>
      <c r="AG65" s="1">
        <f>SUM(O65:AE65)</f>
        <v>0</v>
      </c>
      <c r="AH65" s="1"/>
      <c r="AI65" s="1">
        <f>+AG65+M65</f>
        <v>0</v>
      </c>
    </row>
    <row r="66" spans="1:35" ht="12" customHeight="1">
      <c r="A66" s="17" t="s">
        <v>772</v>
      </c>
      <c r="B66" s="17"/>
      <c r="C66" s="17" t="s">
        <v>20</v>
      </c>
      <c r="D66" s="17"/>
      <c r="E66" s="13">
        <v>43646</v>
      </c>
      <c r="G66" s="1">
        <v>3204897</v>
      </c>
      <c r="I66" s="1">
        <v>3398552</v>
      </c>
      <c r="K66" s="1">
        <v>337559</v>
      </c>
      <c r="M66" s="1">
        <f t="shared" si="0"/>
        <v>6941008</v>
      </c>
      <c r="O66" s="1">
        <v>35794715</v>
      </c>
      <c r="Q66" s="1">
        <v>0</v>
      </c>
      <c r="S66" s="1">
        <v>13450346</v>
      </c>
      <c r="U66" s="1">
        <v>66358</v>
      </c>
      <c r="W66" s="1">
        <v>1884</v>
      </c>
      <c r="Y66" s="1">
        <v>12879</v>
      </c>
      <c r="AA66" s="1">
        <v>140952</v>
      </c>
      <c r="AB66" s="30"/>
      <c r="AC66" s="1">
        <v>0</v>
      </c>
      <c r="AE66" s="1">
        <v>0</v>
      </c>
      <c r="AG66" s="1">
        <f t="shared" si="1"/>
        <v>49467134</v>
      </c>
      <c r="AH66" s="1"/>
      <c r="AI66" s="1">
        <f t="shared" si="2"/>
        <v>56408142</v>
      </c>
    </row>
    <row r="67" spans="1:35" ht="12" customHeight="1">
      <c r="A67" s="17" t="s">
        <v>220</v>
      </c>
      <c r="B67" s="17"/>
      <c r="C67" s="17" t="s">
        <v>15</v>
      </c>
      <c r="D67" s="17"/>
      <c r="E67" s="13">
        <v>45237</v>
      </c>
      <c r="F67" s="31"/>
      <c r="G67" s="1">
        <v>590003</v>
      </c>
      <c r="I67" s="1">
        <v>1605676</v>
      </c>
      <c r="K67" s="1">
        <v>0</v>
      </c>
      <c r="M67" s="1">
        <f t="shared" si="0"/>
        <v>2195679</v>
      </c>
      <c r="O67" s="1">
        <v>2022769</v>
      </c>
      <c r="Q67" s="1">
        <v>0</v>
      </c>
      <c r="S67" s="1">
        <v>4639673</v>
      </c>
      <c r="U67" s="1">
        <v>10080</v>
      </c>
      <c r="W67" s="1">
        <v>0</v>
      </c>
      <c r="Y67" s="1">
        <v>0</v>
      </c>
      <c r="AA67" s="1">
        <v>30875</v>
      </c>
      <c r="AB67" s="30"/>
      <c r="AC67" s="1">
        <v>0</v>
      </c>
      <c r="AE67" s="1">
        <v>0</v>
      </c>
      <c r="AG67" s="1">
        <f t="shared" si="1"/>
        <v>6703397</v>
      </c>
      <c r="AH67" s="1"/>
      <c r="AI67" s="1">
        <f t="shared" si="2"/>
        <v>8899076</v>
      </c>
    </row>
    <row r="68" spans="1:35" ht="12" customHeight="1">
      <c r="A68" s="17" t="s">
        <v>394</v>
      </c>
      <c r="B68" s="17"/>
      <c r="C68" s="17" t="s">
        <v>395</v>
      </c>
      <c r="D68" s="17"/>
      <c r="E68" s="13">
        <v>47613</v>
      </c>
      <c r="G68" s="1">
        <v>600446</v>
      </c>
      <c r="I68" s="1">
        <v>1432358</v>
      </c>
      <c r="K68" s="1">
        <v>6859</v>
      </c>
      <c r="M68" s="1">
        <f t="shared" si="0"/>
        <v>2039663</v>
      </c>
      <c r="O68" s="1">
        <v>1556858</v>
      </c>
      <c r="Q68" s="1">
        <v>0</v>
      </c>
      <c r="S68" s="1">
        <v>4812575</v>
      </c>
      <c r="U68" s="1">
        <v>29234</v>
      </c>
      <c r="W68" s="1">
        <v>0</v>
      </c>
      <c r="Y68" s="1">
        <v>0</v>
      </c>
      <c r="AA68" s="1">
        <v>29584</v>
      </c>
      <c r="AB68" s="30"/>
      <c r="AC68" s="1">
        <v>0</v>
      </c>
      <c r="AE68" s="1">
        <v>0</v>
      </c>
      <c r="AG68" s="1">
        <f t="shared" si="1"/>
        <v>6428251</v>
      </c>
      <c r="AH68" s="1"/>
      <c r="AI68" s="1">
        <f t="shared" si="2"/>
        <v>8467914</v>
      </c>
    </row>
    <row r="69" spans="1:35" ht="12" customHeight="1">
      <c r="A69" s="17" t="s">
        <v>600</v>
      </c>
      <c r="B69" s="17"/>
      <c r="C69" s="17" t="s">
        <v>64</v>
      </c>
      <c r="D69" s="17"/>
      <c r="E69" s="13">
        <v>50112</v>
      </c>
      <c r="G69" s="1">
        <v>541343</v>
      </c>
      <c r="I69" s="1">
        <v>980170</v>
      </c>
      <c r="K69" s="1">
        <v>0</v>
      </c>
      <c r="M69" s="1">
        <f t="shared" si="0"/>
        <v>1521513</v>
      </c>
      <c r="O69" s="1">
        <v>2590057</v>
      </c>
      <c r="Q69" s="1">
        <v>0</v>
      </c>
      <c r="S69" s="1">
        <v>3838299</v>
      </c>
      <c r="U69" s="1">
        <v>3900</v>
      </c>
      <c r="W69" s="1">
        <v>0</v>
      </c>
      <c r="Y69" s="1">
        <v>0</v>
      </c>
      <c r="AA69" s="1">
        <v>13190</v>
      </c>
      <c r="AB69" s="30"/>
      <c r="AC69" s="1">
        <v>0</v>
      </c>
      <c r="AE69" s="1">
        <v>0</v>
      </c>
      <c r="AG69" s="1">
        <f t="shared" si="1"/>
        <v>6445446</v>
      </c>
      <c r="AH69" s="1"/>
      <c r="AI69" s="1">
        <f t="shared" si="2"/>
        <v>7966959</v>
      </c>
    </row>
    <row r="70" spans="1:35" ht="12" customHeight="1">
      <c r="A70" s="12" t="s">
        <v>601</v>
      </c>
      <c r="B70" s="17"/>
      <c r="C70" s="17" t="s">
        <v>64</v>
      </c>
      <c r="D70" s="17"/>
      <c r="E70" s="13">
        <v>50120</v>
      </c>
      <c r="G70" s="1">
        <v>610649</v>
      </c>
      <c r="I70" s="1">
        <v>1738752</v>
      </c>
      <c r="K70" s="1">
        <v>15584</v>
      </c>
      <c r="M70" s="1">
        <f t="shared" si="0"/>
        <v>2364985</v>
      </c>
      <c r="O70" s="1">
        <v>3605249</v>
      </c>
      <c r="Q70" s="1">
        <v>0</v>
      </c>
      <c r="S70" s="1">
        <v>6437827</v>
      </c>
      <c r="U70" s="1">
        <v>179878</v>
      </c>
      <c r="W70" s="1">
        <v>0</v>
      </c>
      <c r="Y70" s="1">
        <v>0</v>
      </c>
      <c r="AA70" s="1">
        <v>27365</v>
      </c>
      <c r="AB70" s="30"/>
      <c r="AC70" s="1">
        <v>0</v>
      </c>
      <c r="AE70" s="1">
        <v>0</v>
      </c>
      <c r="AG70" s="1">
        <f t="shared" si="1"/>
        <v>10250319</v>
      </c>
      <c r="AH70" s="1"/>
      <c r="AI70" s="1">
        <f t="shared" si="2"/>
        <v>12615304</v>
      </c>
    </row>
    <row r="71" spans="1:35" ht="12" customHeight="1">
      <c r="A71" s="17" t="s">
        <v>284</v>
      </c>
      <c r="B71" s="17"/>
      <c r="C71" s="17" t="s">
        <v>20</v>
      </c>
      <c r="D71" s="17"/>
      <c r="E71" s="13">
        <v>43653</v>
      </c>
      <c r="G71" s="1">
        <v>787543</v>
      </c>
      <c r="I71" s="1">
        <v>1524866</v>
      </c>
      <c r="K71" s="1">
        <v>0</v>
      </c>
      <c r="M71" s="1">
        <f t="shared" si="0"/>
        <v>2312409</v>
      </c>
      <c r="O71" s="1">
        <v>10579029</v>
      </c>
      <c r="Q71" s="1">
        <v>0</v>
      </c>
      <c r="S71" s="1">
        <v>4549525</v>
      </c>
      <c r="U71" s="1">
        <v>319</v>
      </c>
      <c r="W71" s="1">
        <v>0</v>
      </c>
      <c r="Y71" s="1">
        <v>0</v>
      </c>
      <c r="AA71" s="1">
        <v>166528</v>
      </c>
      <c r="AB71" s="30"/>
      <c r="AC71" s="1">
        <v>0</v>
      </c>
      <c r="AE71" s="1">
        <v>0</v>
      </c>
      <c r="AG71" s="1">
        <f t="shared" si="1"/>
        <v>15295401</v>
      </c>
      <c r="AH71" s="1"/>
      <c r="AI71" s="1">
        <f t="shared" si="2"/>
        <v>17607810</v>
      </c>
    </row>
    <row r="72" spans="1:35" ht="12" customHeight="1">
      <c r="A72" s="12" t="s">
        <v>494</v>
      </c>
      <c r="B72" s="17"/>
      <c r="C72" s="17" t="s">
        <v>50</v>
      </c>
      <c r="D72" s="17"/>
      <c r="E72" s="13">
        <v>48678</v>
      </c>
      <c r="G72" s="1">
        <v>1083842</v>
      </c>
      <c r="I72" s="1">
        <v>1836240</v>
      </c>
      <c r="K72" s="1">
        <v>10000</v>
      </c>
      <c r="M72" s="1">
        <f t="shared" si="0"/>
        <v>2930082</v>
      </c>
      <c r="O72" s="1">
        <f>5127795+1313479+34801</f>
        <v>6476075</v>
      </c>
      <c r="Q72" s="1">
        <v>0</v>
      </c>
      <c r="S72" s="1">
        <v>6136083</v>
      </c>
      <c r="U72" s="1">
        <v>189797</v>
      </c>
      <c r="W72" s="1">
        <v>138359</v>
      </c>
      <c r="Y72" s="1">
        <v>88</v>
      </c>
      <c r="AA72" s="1">
        <v>141394</v>
      </c>
      <c r="AB72" s="30"/>
      <c r="AC72" s="1">
        <v>0</v>
      </c>
      <c r="AE72" s="1">
        <v>0</v>
      </c>
      <c r="AG72" s="1">
        <f t="shared" si="1"/>
        <v>13081796</v>
      </c>
      <c r="AH72" s="1"/>
      <c r="AI72" s="1">
        <f t="shared" si="2"/>
        <v>16011878</v>
      </c>
    </row>
    <row r="73" spans="1:35" ht="12" customHeight="1">
      <c r="A73" s="17" t="s">
        <v>237</v>
      </c>
      <c r="B73" s="17"/>
      <c r="C73" s="17" t="s">
        <v>16</v>
      </c>
      <c r="D73" s="17"/>
      <c r="E73" s="13">
        <v>46177</v>
      </c>
      <c r="F73" s="31"/>
      <c r="G73" s="1">
        <v>578206</v>
      </c>
      <c r="I73" s="1">
        <v>1131817</v>
      </c>
      <c r="K73" s="1">
        <v>9592</v>
      </c>
      <c r="M73" s="1">
        <f t="shared" si="0"/>
        <v>1719615</v>
      </c>
      <c r="O73" s="1">
        <v>2562190</v>
      </c>
      <c r="Q73" s="1">
        <v>0</v>
      </c>
      <c r="S73" s="1">
        <v>3081475</v>
      </c>
      <c r="U73" s="1">
        <v>58965</v>
      </c>
      <c r="W73" s="1">
        <v>0</v>
      </c>
      <c r="Y73" s="1">
        <v>0</v>
      </c>
      <c r="AA73" s="1">
        <v>26370</v>
      </c>
      <c r="AB73" s="30"/>
      <c r="AC73" s="1">
        <v>0</v>
      </c>
      <c r="AE73" s="1">
        <v>0</v>
      </c>
      <c r="AG73" s="1">
        <f t="shared" si="1"/>
        <v>5729000</v>
      </c>
      <c r="AH73" s="1"/>
      <c r="AI73" s="1">
        <f t="shared" si="2"/>
        <v>7448615</v>
      </c>
    </row>
    <row r="74" spans="1:35" ht="12" customHeight="1">
      <c r="A74" s="17" t="s">
        <v>479</v>
      </c>
      <c r="B74" s="17"/>
      <c r="C74" s="17" t="s">
        <v>47</v>
      </c>
      <c r="D74" s="17"/>
      <c r="E74" s="13">
        <v>43661</v>
      </c>
      <c r="G74" s="1">
        <v>2962522</v>
      </c>
      <c r="I74" s="1">
        <v>4934539</v>
      </c>
      <c r="K74" s="1">
        <v>220433</v>
      </c>
      <c r="M74" s="1">
        <f t="shared" si="0"/>
        <v>8117494</v>
      </c>
      <c r="O74" s="1">
        <v>39017344</v>
      </c>
      <c r="Q74" s="1">
        <v>0</v>
      </c>
      <c r="S74" s="1">
        <v>31094588</v>
      </c>
      <c r="U74" s="1">
        <v>29060</v>
      </c>
      <c r="W74" s="1">
        <v>0</v>
      </c>
      <c r="Y74" s="1">
        <v>0</v>
      </c>
      <c r="AA74" s="1">
        <v>278680</v>
      </c>
      <c r="AB74" s="30"/>
      <c r="AC74" s="1">
        <v>0</v>
      </c>
      <c r="AE74" s="1">
        <v>0</v>
      </c>
      <c r="AG74" s="1">
        <f t="shared" si="1"/>
        <v>70419672</v>
      </c>
      <c r="AH74" s="1"/>
      <c r="AI74" s="1">
        <f t="shared" si="2"/>
        <v>78537166</v>
      </c>
    </row>
    <row r="75" spans="1:35" ht="12" hidden="1" customHeight="1">
      <c r="A75" s="12" t="s">
        <v>829</v>
      </c>
      <c r="B75" s="17"/>
      <c r="C75" s="17" t="s">
        <v>643</v>
      </c>
      <c r="D75" s="17"/>
      <c r="E75" s="13">
        <v>43679</v>
      </c>
      <c r="M75" s="1">
        <f t="shared" si="0"/>
        <v>0</v>
      </c>
      <c r="AB75" s="30"/>
      <c r="AG75" s="1">
        <f t="shared" si="1"/>
        <v>0</v>
      </c>
      <c r="AH75" s="1"/>
      <c r="AI75" s="1">
        <f t="shared" si="2"/>
        <v>0</v>
      </c>
    </row>
    <row r="76" spans="1:35" ht="12" customHeight="1">
      <c r="A76" s="17" t="s">
        <v>275</v>
      </c>
      <c r="B76" s="17"/>
      <c r="C76" s="17" t="s">
        <v>113</v>
      </c>
      <c r="D76" s="17"/>
      <c r="E76" s="13">
        <v>46508</v>
      </c>
      <c r="G76" s="1">
        <v>559896</v>
      </c>
      <c r="I76" s="1">
        <v>1065748</v>
      </c>
      <c r="K76" s="1">
        <v>0</v>
      </c>
      <c r="M76" s="1">
        <f t="shared" si="0"/>
        <v>1625644</v>
      </c>
      <c r="O76" s="1">
        <v>2821725</v>
      </c>
      <c r="Q76" s="1">
        <v>910176</v>
      </c>
      <c r="S76" s="1">
        <v>4614078</v>
      </c>
      <c r="U76" s="1">
        <v>39712</v>
      </c>
      <c r="W76" s="1">
        <v>0</v>
      </c>
      <c r="Y76" s="1">
        <v>0</v>
      </c>
      <c r="AA76" s="1">
        <v>1849</v>
      </c>
      <c r="AB76" s="30"/>
      <c r="AC76" s="1">
        <v>0</v>
      </c>
      <c r="AE76" s="1">
        <v>0</v>
      </c>
      <c r="AG76" s="1">
        <f t="shared" si="1"/>
        <v>8387540</v>
      </c>
      <c r="AH76" s="1"/>
      <c r="AI76" s="1">
        <f t="shared" si="2"/>
        <v>10013184</v>
      </c>
    </row>
    <row r="77" spans="1:35" ht="12" customHeight="1">
      <c r="A77" s="17" t="s">
        <v>209</v>
      </c>
      <c r="B77" s="17"/>
      <c r="C77" s="17" t="s">
        <v>12</v>
      </c>
      <c r="D77" s="17"/>
      <c r="E77" s="13">
        <v>45856</v>
      </c>
      <c r="F77" s="31"/>
      <c r="G77" s="1">
        <v>1691764</v>
      </c>
      <c r="I77" s="1">
        <v>1722798</v>
      </c>
      <c r="K77" s="1">
        <v>0</v>
      </c>
      <c r="M77" s="1">
        <f t="shared" si="0"/>
        <v>3414562</v>
      </c>
      <c r="O77" s="1">
        <v>7170370</v>
      </c>
      <c r="Q77" s="1">
        <v>0</v>
      </c>
      <c r="S77" s="1">
        <v>10262289</v>
      </c>
      <c r="U77" s="1">
        <v>39754</v>
      </c>
      <c r="W77" s="1">
        <v>0</v>
      </c>
      <c r="Y77" s="1">
        <v>0</v>
      </c>
      <c r="AA77" s="1">
        <v>24226</v>
      </c>
      <c r="AB77" s="30"/>
      <c r="AC77" s="1">
        <v>0</v>
      </c>
      <c r="AE77" s="1">
        <v>0</v>
      </c>
      <c r="AG77" s="1">
        <f t="shared" si="1"/>
        <v>17496639</v>
      </c>
      <c r="AH77" s="1"/>
      <c r="AI77" s="1">
        <f t="shared" si="2"/>
        <v>20911201</v>
      </c>
    </row>
    <row r="78" spans="1:35" s="1" customFormat="1" ht="12" customHeight="1">
      <c r="A78" s="12" t="s">
        <v>209</v>
      </c>
      <c r="B78" s="12"/>
      <c r="C78" s="12" t="s">
        <v>39</v>
      </c>
      <c r="D78" s="12"/>
      <c r="E78" s="13">
        <v>47787</v>
      </c>
      <c r="G78" s="1">
        <v>948560</v>
      </c>
      <c r="I78" s="1">
        <v>4311209</v>
      </c>
      <c r="K78" s="1">
        <v>0</v>
      </c>
      <c r="M78" s="1">
        <f t="shared" ref="M78:M82" si="5">SUM(G78:L78)</f>
        <v>5259769</v>
      </c>
      <c r="O78" s="1">
        <v>6781428</v>
      </c>
      <c r="Q78" s="1">
        <v>0</v>
      </c>
      <c r="S78" s="1">
        <v>10735892</v>
      </c>
      <c r="U78" s="1">
        <v>0</v>
      </c>
      <c r="W78" s="1">
        <v>0</v>
      </c>
      <c r="Y78" s="1">
        <v>0</v>
      </c>
      <c r="AA78" s="1">
        <v>72780</v>
      </c>
      <c r="AB78" s="30"/>
      <c r="AC78" s="1">
        <v>0</v>
      </c>
      <c r="AE78" s="1">
        <v>0</v>
      </c>
      <c r="AG78" s="1">
        <f t="shared" ref="AG78:AG82" si="6">SUM(O78:AE78)</f>
        <v>17590100</v>
      </c>
      <c r="AI78" s="1">
        <f t="shared" si="2"/>
        <v>22849869</v>
      </c>
    </row>
    <row r="79" spans="1:35" s="1" customFormat="1" ht="12" customHeight="1">
      <c r="A79" s="12" t="s">
        <v>830</v>
      </c>
      <c r="B79" s="12"/>
      <c r="C79" s="12" t="s">
        <v>47</v>
      </c>
      <c r="D79" s="12"/>
      <c r="E79" s="13">
        <v>48470</v>
      </c>
      <c r="G79" s="1">
        <v>1136723</v>
      </c>
      <c r="I79" s="1">
        <v>1562727</v>
      </c>
      <c r="K79" s="1">
        <v>0</v>
      </c>
      <c r="M79" s="1">
        <f t="shared" si="5"/>
        <v>2699450</v>
      </c>
      <c r="O79" s="1">
        <f>9081825+1556139+420577</f>
        <v>11058541</v>
      </c>
      <c r="Q79" s="1">
        <v>0</v>
      </c>
      <c r="S79" s="1">
        <f>9174365+648047</f>
        <v>9822412</v>
      </c>
      <c r="U79" s="1">
        <v>7920</v>
      </c>
      <c r="W79" s="1">
        <v>0</v>
      </c>
      <c r="Y79" s="1">
        <v>0</v>
      </c>
      <c r="AA79" s="1">
        <v>356363</v>
      </c>
      <c r="AB79" s="30"/>
      <c r="AC79" s="1">
        <v>0</v>
      </c>
      <c r="AE79" s="1">
        <v>0</v>
      </c>
      <c r="AG79" s="1">
        <f t="shared" si="6"/>
        <v>21245236</v>
      </c>
      <c r="AI79" s="1">
        <f>+AG79+M79</f>
        <v>23944686</v>
      </c>
    </row>
    <row r="80" spans="1:35" ht="12" customHeight="1">
      <c r="A80" s="1" t="s">
        <v>775</v>
      </c>
      <c r="B80" s="17"/>
      <c r="C80" s="17" t="s">
        <v>114</v>
      </c>
      <c r="D80" s="17"/>
      <c r="E80" s="13">
        <v>46755</v>
      </c>
      <c r="G80" s="1">
        <v>8791004</v>
      </c>
      <c r="I80" s="1">
        <f>940550+1712233+3423</f>
        <v>2656206</v>
      </c>
      <c r="K80" s="1">
        <v>0</v>
      </c>
      <c r="M80" s="1">
        <f t="shared" si="5"/>
        <v>11447210</v>
      </c>
      <c r="O80" s="1">
        <v>0</v>
      </c>
      <c r="Q80" s="1">
        <v>0</v>
      </c>
      <c r="S80" s="1">
        <v>0</v>
      </c>
      <c r="U80" s="1">
        <v>0</v>
      </c>
      <c r="W80" s="1">
        <v>0</v>
      </c>
      <c r="Y80" s="1">
        <v>0</v>
      </c>
      <c r="AA80" s="1">
        <v>0</v>
      </c>
      <c r="AB80" s="30"/>
      <c r="AC80" s="1">
        <v>0</v>
      </c>
      <c r="AE80" s="1">
        <v>0</v>
      </c>
      <c r="AG80" s="1">
        <f t="shared" si="6"/>
        <v>0</v>
      </c>
      <c r="AH80" s="1"/>
      <c r="AI80" s="1">
        <f>+AG80+M80</f>
        <v>11447210</v>
      </c>
    </row>
    <row r="81" spans="1:35" ht="12" customHeight="1">
      <c r="A81" s="17" t="s">
        <v>312</v>
      </c>
      <c r="B81" s="17"/>
      <c r="C81" s="17" t="s">
        <v>23</v>
      </c>
      <c r="D81" s="17"/>
      <c r="E81" s="13">
        <v>46755</v>
      </c>
      <c r="G81" s="1">
        <v>1921877</v>
      </c>
      <c r="I81" s="1">
        <v>1834129</v>
      </c>
      <c r="K81" s="1">
        <v>0</v>
      </c>
      <c r="M81" s="1">
        <f t="shared" si="5"/>
        <v>3756006</v>
      </c>
      <c r="O81" s="1">
        <v>11352570</v>
      </c>
      <c r="Q81" s="1">
        <v>4363146</v>
      </c>
      <c r="S81" s="1">
        <v>6798810</v>
      </c>
      <c r="U81" s="1">
        <v>236682</v>
      </c>
      <c r="W81" s="1">
        <v>0</v>
      </c>
      <c r="Y81" s="1">
        <v>0</v>
      </c>
      <c r="AA81" s="1">
        <v>42024</v>
      </c>
      <c r="AB81" s="30"/>
      <c r="AC81" s="1">
        <v>0</v>
      </c>
      <c r="AE81" s="1">
        <v>0</v>
      </c>
      <c r="AG81" s="1">
        <f t="shared" si="6"/>
        <v>22793232</v>
      </c>
      <c r="AH81" s="1"/>
      <c r="AI81" s="1">
        <f>+AG81+M81</f>
        <v>26549238</v>
      </c>
    </row>
    <row r="82" spans="1:35" ht="12" customHeight="1">
      <c r="A82" s="17" t="s">
        <v>276</v>
      </c>
      <c r="B82" s="17"/>
      <c r="C82" s="17" t="s">
        <v>113</v>
      </c>
      <c r="D82" s="17"/>
      <c r="E82" s="13">
        <v>43687</v>
      </c>
      <c r="G82" s="1">
        <v>970051</v>
      </c>
      <c r="I82" s="1">
        <v>3957371</v>
      </c>
      <c r="K82" s="1">
        <v>24523</v>
      </c>
      <c r="M82" s="1">
        <f t="shared" si="5"/>
        <v>4951945</v>
      </c>
      <c r="O82" s="1">
        <f>4007576+58091+679951+58091</f>
        <v>4803709</v>
      </c>
      <c r="Q82" s="1">
        <v>0</v>
      </c>
      <c r="S82" s="1">
        <v>8918449</v>
      </c>
      <c r="U82" s="1">
        <v>77048</v>
      </c>
      <c r="W82" s="1">
        <v>46689</v>
      </c>
      <c r="Y82" s="1">
        <v>3189</v>
      </c>
      <c r="AA82" s="1">
        <v>199478</v>
      </c>
      <c r="AB82" s="30"/>
      <c r="AC82" s="1">
        <v>0</v>
      </c>
      <c r="AE82" s="1">
        <v>0</v>
      </c>
      <c r="AG82" s="1">
        <f t="shared" si="6"/>
        <v>14048562</v>
      </c>
      <c r="AH82" s="1"/>
      <c r="AI82" s="1">
        <f>+AG82+M82</f>
        <v>19000507</v>
      </c>
    </row>
    <row r="83" spans="1:35" ht="12" customHeight="1">
      <c r="A83" s="17" t="s">
        <v>517</v>
      </c>
      <c r="B83" s="17"/>
      <c r="C83" s="17" t="s">
        <v>52</v>
      </c>
      <c r="D83" s="17"/>
      <c r="E83" s="13">
        <v>45252</v>
      </c>
      <c r="G83" s="1">
        <v>635621</v>
      </c>
      <c r="I83" s="1">
        <v>963619</v>
      </c>
      <c r="K83" s="1">
        <v>0</v>
      </c>
      <c r="M83" s="1">
        <f t="shared" ref="M83:M152" si="7">SUM(G83:L83)</f>
        <v>1599240</v>
      </c>
      <c r="O83" s="1">
        <v>2583225</v>
      </c>
      <c r="Q83" s="1">
        <v>0</v>
      </c>
      <c r="S83" s="1">
        <v>4670050</v>
      </c>
      <c r="U83" s="1">
        <v>0</v>
      </c>
      <c r="W83" s="1">
        <v>0</v>
      </c>
      <c r="Y83" s="1">
        <v>0</v>
      </c>
      <c r="AA83" s="1">
        <v>107361</v>
      </c>
      <c r="AB83" s="30"/>
      <c r="AC83" s="1">
        <v>0</v>
      </c>
      <c r="AE83" s="1">
        <v>0</v>
      </c>
      <c r="AG83" s="1">
        <f t="shared" ref="AG83" si="8">SUM(O83:AE83)</f>
        <v>7360636</v>
      </c>
      <c r="AH83" s="1"/>
      <c r="AI83" s="1">
        <f t="shared" ref="AI83" si="9">+AG83+M83</f>
        <v>8959876</v>
      </c>
    </row>
    <row r="84" spans="1:35" ht="12" customHeight="1">
      <c r="A84" s="17" t="s">
        <v>360</v>
      </c>
      <c r="B84" s="17"/>
      <c r="C84" s="17" t="s">
        <v>31</v>
      </c>
      <c r="D84" s="17"/>
      <c r="E84" s="13">
        <v>43695</v>
      </c>
      <c r="G84" s="1">
        <v>1184253</v>
      </c>
      <c r="I84" s="1">
        <v>3720320</v>
      </c>
      <c r="K84" s="1">
        <v>0</v>
      </c>
      <c r="M84" s="1">
        <f t="shared" si="7"/>
        <v>4904573</v>
      </c>
      <c r="O84" s="1">
        <v>5793740</v>
      </c>
      <c r="Q84" s="1">
        <v>0</v>
      </c>
      <c r="S84" s="1">
        <v>13810264</v>
      </c>
      <c r="U84" s="1">
        <v>42359</v>
      </c>
      <c r="W84" s="1">
        <v>0</v>
      </c>
      <c r="Y84" s="1">
        <v>24529</v>
      </c>
      <c r="AA84" s="1">
        <v>49508</v>
      </c>
      <c r="AB84" s="30"/>
      <c r="AC84" s="1">
        <v>0</v>
      </c>
      <c r="AE84" s="1">
        <v>0</v>
      </c>
      <c r="AG84" s="1">
        <f t="shared" ref="AG84:AG149" si="10">SUM(O84:AE84)</f>
        <v>19720400</v>
      </c>
      <c r="AH84" s="1"/>
      <c r="AI84" s="1">
        <f t="shared" ref="AI84:AI148" si="11">+AG84+M84</f>
        <v>24624973</v>
      </c>
    </row>
    <row r="85" spans="1:35" ht="12" customHeight="1">
      <c r="A85" s="17" t="s">
        <v>463</v>
      </c>
      <c r="B85" s="17"/>
      <c r="C85" s="17" t="s">
        <v>45</v>
      </c>
      <c r="D85" s="17"/>
      <c r="E85" s="13">
        <v>43703</v>
      </c>
      <c r="G85" s="1">
        <v>293500</v>
      </c>
      <c r="I85" s="1">
        <v>2948470</v>
      </c>
      <c r="K85" s="1">
        <v>548582</v>
      </c>
      <c r="M85" s="1">
        <f t="shared" si="7"/>
        <v>3790552</v>
      </c>
      <c r="O85" s="1">
        <v>2244176</v>
      </c>
      <c r="Q85" s="1">
        <v>0</v>
      </c>
      <c r="S85" s="1">
        <v>10553870</v>
      </c>
      <c r="U85" s="1">
        <v>3697</v>
      </c>
      <c r="W85" s="1">
        <v>0</v>
      </c>
      <c r="Y85" s="1">
        <v>0</v>
      </c>
      <c r="AA85" s="1">
        <v>29524</v>
      </c>
      <c r="AB85" s="30"/>
      <c r="AC85" s="1">
        <v>0</v>
      </c>
      <c r="AE85" s="1">
        <v>0</v>
      </c>
      <c r="AG85" s="1">
        <f t="shared" si="10"/>
        <v>12831267</v>
      </c>
      <c r="AH85" s="1"/>
      <c r="AI85" s="1">
        <f t="shared" si="11"/>
        <v>16621819</v>
      </c>
    </row>
    <row r="86" spans="1:35" ht="12" customHeight="1">
      <c r="A86" s="17" t="s">
        <v>330</v>
      </c>
      <c r="B86" s="17"/>
      <c r="C86" s="17" t="s">
        <v>27</v>
      </c>
      <c r="D86" s="17"/>
      <c r="E86" s="13">
        <v>46946</v>
      </c>
      <c r="G86" s="1">
        <v>1686230</v>
      </c>
      <c r="I86" s="1">
        <v>3680073</v>
      </c>
      <c r="K86" s="1">
        <v>0</v>
      </c>
      <c r="M86" s="1">
        <f t="shared" si="7"/>
        <v>5366303</v>
      </c>
      <c r="O86" s="1">
        <v>18143820</v>
      </c>
      <c r="Q86" s="1">
        <v>2968716</v>
      </c>
      <c r="S86" s="1">
        <v>15169153</v>
      </c>
      <c r="U86" s="1">
        <v>50027</v>
      </c>
      <c r="W86" s="1">
        <v>0</v>
      </c>
      <c r="Y86" s="1">
        <v>0</v>
      </c>
      <c r="AA86" s="1">
        <v>260579</v>
      </c>
      <c r="AB86" s="30"/>
      <c r="AC86" s="1">
        <v>0</v>
      </c>
      <c r="AE86" s="1">
        <v>0</v>
      </c>
      <c r="AG86" s="1">
        <f t="shared" si="10"/>
        <v>36592295</v>
      </c>
      <c r="AH86" s="1"/>
      <c r="AI86" s="1">
        <f t="shared" si="11"/>
        <v>41958598</v>
      </c>
    </row>
    <row r="87" spans="1:35" ht="12" customHeight="1">
      <c r="A87" s="17"/>
      <c r="B87" s="17"/>
      <c r="C87" s="17"/>
      <c r="D87" s="17"/>
      <c r="E87" s="13"/>
      <c r="AB87" s="30"/>
      <c r="AH87" s="1"/>
    </row>
    <row r="88" spans="1:35" ht="12" customHeight="1">
      <c r="A88" s="17"/>
      <c r="B88" s="17"/>
      <c r="C88" s="17"/>
      <c r="D88" s="17"/>
      <c r="E88" s="13"/>
      <c r="AB88" s="30"/>
      <c r="AH88" s="1"/>
      <c r="AI88" s="20" t="s">
        <v>709</v>
      </c>
    </row>
    <row r="89" spans="1:35" ht="12" customHeight="1">
      <c r="A89" s="17"/>
      <c r="B89" s="17"/>
      <c r="C89" s="17"/>
      <c r="D89" s="17"/>
      <c r="E89" s="13"/>
      <c r="AB89" s="30"/>
      <c r="AH89" s="1"/>
    </row>
    <row r="90" spans="1:35" ht="12" customHeight="1">
      <c r="A90" s="17" t="s">
        <v>464</v>
      </c>
      <c r="B90" s="17"/>
      <c r="C90" s="17" t="s">
        <v>45</v>
      </c>
      <c r="D90" s="17"/>
      <c r="E90" s="13">
        <v>48314</v>
      </c>
      <c r="G90" s="16">
        <v>1265210</v>
      </c>
      <c r="H90" s="16"/>
      <c r="I90" s="16">
        <v>1926636</v>
      </c>
      <c r="J90" s="16"/>
      <c r="K90" s="16">
        <v>550</v>
      </c>
      <c r="L90" s="16"/>
      <c r="M90" s="16">
        <f t="shared" si="7"/>
        <v>3192396</v>
      </c>
      <c r="N90" s="16"/>
      <c r="O90" s="16">
        <v>16192690</v>
      </c>
      <c r="P90" s="16"/>
      <c r="Q90" s="16">
        <v>0</v>
      </c>
      <c r="R90" s="16"/>
      <c r="S90" s="16">
        <v>9296403</v>
      </c>
      <c r="T90" s="16"/>
      <c r="U90" s="16">
        <v>103917</v>
      </c>
      <c r="V90" s="16"/>
      <c r="W90" s="16">
        <v>0</v>
      </c>
      <c r="X90" s="16"/>
      <c r="Y90" s="16">
        <v>0</v>
      </c>
      <c r="Z90" s="16"/>
      <c r="AA90" s="16">
        <v>44123</v>
      </c>
      <c r="AB90" s="29"/>
      <c r="AC90" s="16">
        <v>0</v>
      </c>
      <c r="AD90" s="16"/>
      <c r="AE90" s="16">
        <v>0</v>
      </c>
      <c r="AF90" s="16"/>
      <c r="AG90" s="16">
        <f t="shared" si="10"/>
        <v>25637133</v>
      </c>
      <c r="AH90" s="16"/>
      <c r="AI90" s="16">
        <f t="shared" si="11"/>
        <v>28829529</v>
      </c>
    </row>
    <row r="91" spans="1:35" ht="12" customHeight="1">
      <c r="A91" s="17" t="s">
        <v>574</v>
      </c>
      <c r="B91" s="17"/>
      <c r="C91" s="17" t="s">
        <v>62</v>
      </c>
      <c r="D91" s="17"/>
      <c r="E91" s="13">
        <v>43711</v>
      </c>
      <c r="G91" s="1">
        <v>4371985</v>
      </c>
      <c r="I91" s="1">
        <v>3849192</v>
      </c>
      <c r="K91" s="1">
        <v>23841</v>
      </c>
      <c r="M91" s="1">
        <f>SUM(G91:L91)</f>
        <v>8245018</v>
      </c>
      <c r="O91" s="1">
        <v>7970524</v>
      </c>
      <c r="Q91" s="1">
        <v>0</v>
      </c>
      <c r="S91" s="1">
        <v>11957965</v>
      </c>
      <c r="U91" s="1">
        <v>1357</v>
      </c>
      <c r="W91" s="1">
        <v>0</v>
      </c>
      <c r="Y91" s="1">
        <v>0</v>
      </c>
      <c r="AA91" s="1">
        <v>147598</v>
      </c>
      <c r="AB91" s="30"/>
      <c r="AC91" s="1">
        <v>0</v>
      </c>
      <c r="AE91" s="1">
        <v>0</v>
      </c>
      <c r="AG91" s="1">
        <f>SUM(O91:AE91)</f>
        <v>20077444</v>
      </c>
      <c r="AH91" s="1"/>
      <c r="AI91" s="1">
        <f>+AG91+M91</f>
        <v>28322462</v>
      </c>
    </row>
    <row r="92" spans="1:35" ht="12" customHeight="1">
      <c r="A92" s="17" t="s">
        <v>573</v>
      </c>
      <c r="B92" s="17"/>
      <c r="C92" s="17" t="s">
        <v>62</v>
      </c>
      <c r="D92" s="17"/>
      <c r="E92" s="13">
        <v>43711</v>
      </c>
      <c r="G92" s="1">
        <v>3604000</v>
      </c>
      <c r="I92" s="1">
        <v>26805000</v>
      </c>
      <c r="K92" s="1">
        <v>73000</v>
      </c>
      <c r="M92" s="1">
        <f>SUM(G92:L92)</f>
        <v>30482000</v>
      </c>
      <c r="O92" s="1">
        <v>24513000</v>
      </c>
      <c r="Q92" s="1">
        <v>0</v>
      </c>
      <c r="S92" s="1">
        <v>75595000</v>
      </c>
      <c r="U92" s="1">
        <v>641000</v>
      </c>
      <c r="W92" s="1">
        <v>0</v>
      </c>
      <c r="Y92" s="1">
        <v>0</v>
      </c>
      <c r="AA92" s="1">
        <v>559000</v>
      </c>
      <c r="AB92" s="30"/>
      <c r="AC92" s="1">
        <v>0</v>
      </c>
      <c r="AE92" s="1">
        <v>0</v>
      </c>
      <c r="AG92" s="1">
        <f>SUM(O92:AE92)</f>
        <v>101308000</v>
      </c>
      <c r="AH92" s="1"/>
      <c r="AI92" s="1">
        <f>+AG92+M92</f>
        <v>131790000</v>
      </c>
    </row>
    <row r="93" spans="1:35" ht="12" customHeight="1">
      <c r="A93" s="17" t="s">
        <v>352</v>
      </c>
      <c r="B93" s="17"/>
      <c r="C93" s="17" t="s">
        <v>30</v>
      </c>
      <c r="D93" s="17"/>
      <c r="E93" s="13">
        <v>47175</v>
      </c>
      <c r="G93" s="1">
        <v>1113171</v>
      </c>
      <c r="I93" s="1">
        <v>2723174</v>
      </c>
      <c r="K93" s="1">
        <v>0</v>
      </c>
      <c r="M93" s="1">
        <f>SUM(G93:L93)</f>
        <v>3836345</v>
      </c>
      <c r="O93" s="1">
        <f>5871652+784281+245945</f>
        <v>6901878</v>
      </c>
      <c r="Q93" s="1">
        <v>0</v>
      </c>
      <c r="S93" s="1">
        <v>5286815</v>
      </c>
      <c r="U93" s="1">
        <v>14715</v>
      </c>
      <c r="W93" s="1">
        <v>0</v>
      </c>
      <c r="Y93" s="1">
        <v>0</v>
      </c>
      <c r="AA93" s="1">
        <v>109823</v>
      </c>
      <c r="AB93" s="30"/>
      <c r="AC93" s="1">
        <v>0</v>
      </c>
      <c r="AE93" s="1">
        <v>0</v>
      </c>
      <c r="AG93" s="1">
        <f>SUM(O93:AE93)</f>
        <v>12313231</v>
      </c>
      <c r="AH93" s="1"/>
      <c r="AI93" s="1">
        <f>+AG93+M93</f>
        <v>16149576</v>
      </c>
    </row>
    <row r="94" spans="1:35" ht="12" customHeight="1">
      <c r="A94" s="12" t="s">
        <v>924</v>
      </c>
      <c r="B94" s="17"/>
      <c r="C94" s="17" t="s">
        <v>78</v>
      </c>
      <c r="D94" s="17"/>
      <c r="E94" s="13">
        <v>48793</v>
      </c>
      <c r="G94" s="1">
        <v>1046228</v>
      </c>
      <c r="I94" s="1">
        <v>1394583</v>
      </c>
      <c r="K94" s="1">
        <v>0</v>
      </c>
      <c r="M94" s="1">
        <f>SUM(G94:L94)</f>
        <v>2440811</v>
      </c>
      <c r="O94" s="1">
        <v>2556228</v>
      </c>
      <c r="Q94" s="1">
        <v>0</v>
      </c>
      <c r="S94" s="1">
        <v>7232967</v>
      </c>
      <c r="U94" s="1">
        <v>131265</v>
      </c>
      <c r="W94" s="1">
        <v>127684</v>
      </c>
      <c r="Y94" s="1">
        <v>0</v>
      </c>
      <c r="AA94" s="1">
        <v>133449</v>
      </c>
      <c r="AB94" s="30"/>
      <c r="AC94" s="1">
        <v>0</v>
      </c>
      <c r="AE94" s="1">
        <v>0</v>
      </c>
      <c r="AG94" s="1">
        <f>SUM(O94:AE94)</f>
        <v>10181593</v>
      </c>
      <c r="AH94" s="1"/>
      <c r="AI94" s="1">
        <f>+AG94+M94</f>
        <v>12622404</v>
      </c>
    </row>
    <row r="95" spans="1:35" ht="12" hidden="1" customHeight="1">
      <c r="A95" s="12" t="s">
        <v>739</v>
      </c>
      <c r="B95" s="17"/>
      <c r="C95" s="17" t="s">
        <v>653</v>
      </c>
      <c r="D95" s="17"/>
      <c r="E95" s="13">
        <v>45260</v>
      </c>
      <c r="M95" s="1">
        <f t="shared" si="7"/>
        <v>0</v>
      </c>
      <c r="AB95" s="30"/>
      <c r="AG95" s="1">
        <f t="shared" si="10"/>
        <v>0</v>
      </c>
      <c r="AH95" s="1"/>
      <c r="AI95" s="1">
        <f t="shared" si="11"/>
        <v>0</v>
      </c>
    </row>
    <row r="96" spans="1:35" ht="12" customHeight="1">
      <c r="A96" s="17" t="s">
        <v>631</v>
      </c>
      <c r="B96" s="17"/>
      <c r="C96" s="17" t="s">
        <v>69</v>
      </c>
      <c r="D96" s="17"/>
      <c r="E96" s="13">
        <v>50419</v>
      </c>
      <c r="G96" s="1">
        <v>626425</v>
      </c>
      <c r="I96" s="1">
        <v>6455222</v>
      </c>
      <c r="K96" s="1">
        <v>0</v>
      </c>
      <c r="M96" s="1">
        <f t="shared" si="7"/>
        <v>7081647</v>
      </c>
      <c r="O96" s="1">
        <v>4505236</v>
      </c>
      <c r="Q96" s="1">
        <v>1682921</v>
      </c>
      <c r="S96" s="1">
        <v>3714890</v>
      </c>
      <c r="U96" s="1">
        <v>8047</v>
      </c>
      <c r="W96" s="1">
        <v>0</v>
      </c>
      <c r="Y96" s="1">
        <v>0</v>
      </c>
      <c r="AA96" s="1">
        <v>234112</v>
      </c>
      <c r="AB96" s="30"/>
      <c r="AC96" s="1">
        <v>0</v>
      </c>
      <c r="AE96" s="1">
        <v>0</v>
      </c>
      <c r="AG96" s="1">
        <f t="shared" si="10"/>
        <v>10145206</v>
      </c>
      <c r="AH96" s="1"/>
      <c r="AI96" s="1">
        <f t="shared" si="11"/>
        <v>17226853</v>
      </c>
    </row>
    <row r="97" spans="1:35" ht="12" customHeight="1">
      <c r="A97" s="17" t="s">
        <v>238</v>
      </c>
      <c r="B97" s="17"/>
      <c r="C97" s="17" t="s">
        <v>16</v>
      </c>
      <c r="D97" s="17"/>
      <c r="E97" s="13">
        <v>45278</v>
      </c>
      <c r="F97" s="31"/>
      <c r="G97" s="1">
        <v>926585</v>
      </c>
      <c r="I97" s="1">
        <v>2941215</v>
      </c>
      <c r="K97" s="1">
        <v>0</v>
      </c>
      <c r="M97" s="1">
        <f t="shared" si="7"/>
        <v>3867800</v>
      </c>
      <c r="O97" s="1">
        <v>5927894</v>
      </c>
      <c r="Q97" s="1">
        <v>0</v>
      </c>
      <c r="S97" s="1">
        <v>12824278</v>
      </c>
      <c r="U97" s="1">
        <v>68617</v>
      </c>
      <c r="W97" s="1">
        <v>0</v>
      </c>
      <c r="Y97" s="1">
        <v>0</v>
      </c>
      <c r="AA97" s="1">
        <v>48739</v>
      </c>
      <c r="AB97" s="30"/>
      <c r="AC97" s="1">
        <v>0</v>
      </c>
      <c r="AE97" s="1">
        <v>0</v>
      </c>
      <c r="AG97" s="1">
        <f t="shared" si="10"/>
        <v>18869528</v>
      </c>
      <c r="AH97" s="1"/>
      <c r="AI97" s="1">
        <f t="shared" si="11"/>
        <v>22737328</v>
      </c>
    </row>
    <row r="98" spans="1:35" ht="12" hidden="1" customHeight="1">
      <c r="A98" s="12" t="s">
        <v>925</v>
      </c>
      <c r="B98" s="17"/>
      <c r="C98" s="17" t="s">
        <v>116</v>
      </c>
      <c r="D98" s="17"/>
      <c r="E98" s="13">
        <v>47258</v>
      </c>
      <c r="M98" s="1">
        <f t="shared" si="7"/>
        <v>0</v>
      </c>
      <c r="AB98" s="30"/>
      <c r="AG98" s="1">
        <f t="shared" si="10"/>
        <v>0</v>
      </c>
      <c r="AH98" s="1"/>
      <c r="AI98" s="1">
        <f t="shared" si="11"/>
        <v>0</v>
      </c>
    </row>
    <row r="99" spans="1:35" ht="12" hidden="1" customHeight="1">
      <c r="A99" s="12" t="s">
        <v>740</v>
      </c>
      <c r="B99" s="17"/>
      <c r="C99" s="17" t="s">
        <v>486</v>
      </c>
      <c r="D99" s="17"/>
      <c r="E99" s="13">
        <v>43729</v>
      </c>
      <c r="M99" s="1">
        <f t="shared" si="7"/>
        <v>0</v>
      </c>
      <c r="AB99" s="30"/>
      <c r="AG99" s="1">
        <f t="shared" si="10"/>
        <v>0</v>
      </c>
      <c r="AH99" s="1"/>
      <c r="AI99" s="1">
        <f t="shared" si="11"/>
        <v>0</v>
      </c>
    </row>
    <row r="100" spans="1:35" ht="12" customHeight="1">
      <c r="A100" s="12" t="s">
        <v>794</v>
      </c>
      <c r="B100" s="17"/>
      <c r="C100" s="17" t="s">
        <v>40</v>
      </c>
      <c r="D100" s="17"/>
      <c r="E100" s="13">
        <v>47829</v>
      </c>
      <c r="G100" s="1">
        <v>352946</v>
      </c>
      <c r="I100" s="1">
        <v>1576110</v>
      </c>
      <c r="K100" s="1">
        <v>12023</v>
      </c>
      <c r="M100" s="1">
        <f t="shared" si="7"/>
        <v>1941079</v>
      </c>
      <c r="O100" s="1">
        <v>2814934</v>
      </c>
      <c r="Q100" s="1">
        <v>993383</v>
      </c>
      <c r="S100" s="1">
        <v>5209581</v>
      </c>
      <c r="U100" s="1">
        <v>22929</v>
      </c>
      <c r="W100" s="1">
        <v>0</v>
      </c>
      <c r="Y100" s="1">
        <v>0</v>
      </c>
      <c r="AA100" s="1">
        <v>3368</v>
      </c>
      <c r="AB100" s="30"/>
      <c r="AC100" s="1">
        <v>0</v>
      </c>
      <c r="AE100" s="1">
        <v>0</v>
      </c>
      <c r="AG100" s="1">
        <f t="shared" si="10"/>
        <v>9044195</v>
      </c>
      <c r="AH100" s="1"/>
      <c r="AI100" s="1">
        <f t="shared" si="11"/>
        <v>10985274</v>
      </c>
    </row>
    <row r="101" spans="1:35" ht="12" customHeight="1">
      <c r="A101" s="14" t="s">
        <v>795</v>
      </c>
      <c r="B101" s="17"/>
      <c r="C101" s="17" t="s">
        <v>50</v>
      </c>
      <c r="D101" s="17"/>
      <c r="E101" s="13">
        <v>43737</v>
      </c>
      <c r="G101" s="1">
        <v>4828165</v>
      </c>
      <c r="I101" s="1">
        <v>6499087</v>
      </c>
      <c r="K101" s="1">
        <v>0</v>
      </c>
      <c r="M101" s="1">
        <f t="shared" si="7"/>
        <v>11327252</v>
      </c>
      <c r="O101" s="1">
        <f>52768059+5420103+2048277</f>
        <v>60236439</v>
      </c>
      <c r="Q101" s="1">
        <v>0</v>
      </c>
      <c r="S101" s="1">
        <v>22666873</v>
      </c>
      <c r="U101" s="1">
        <v>388456</v>
      </c>
      <c r="W101" s="1">
        <v>0</v>
      </c>
      <c r="Y101" s="1">
        <v>63000</v>
      </c>
      <c r="AA101" s="1">
        <v>358326</v>
      </c>
      <c r="AB101" s="30"/>
      <c r="AC101" s="1">
        <v>0</v>
      </c>
      <c r="AE101" s="1">
        <v>0</v>
      </c>
      <c r="AG101" s="1">
        <f t="shared" si="10"/>
        <v>83713094</v>
      </c>
      <c r="AH101" s="1"/>
      <c r="AI101" s="1">
        <f t="shared" si="11"/>
        <v>95040346</v>
      </c>
    </row>
    <row r="102" spans="1:35" ht="12" hidden="1" customHeight="1">
      <c r="A102" s="12" t="s">
        <v>926</v>
      </c>
      <c r="B102" s="17"/>
      <c r="C102" s="17" t="s">
        <v>22</v>
      </c>
      <c r="D102" s="17"/>
      <c r="E102" s="13">
        <v>46714</v>
      </c>
      <c r="M102" s="1">
        <f t="shared" si="7"/>
        <v>0</v>
      </c>
      <c r="AB102" s="30"/>
      <c r="AG102" s="1">
        <f t="shared" si="10"/>
        <v>0</v>
      </c>
      <c r="AH102" s="1"/>
      <c r="AI102" s="1">
        <f t="shared" si="11"/>
        <v>0</v>
      </c>
    </row>
    <row r="103" spans="1:35" ht="12" customHeight="1">
      <c r="A103" s="17" t="s">
        <v>285</v>
      </c>
      <c r="B103" s="17"/>
      <c r="C103" s="17" t="s">
        <v>20</v>
      </c>
      <c r="D103" s="17"/>
      <c r="E103" s="13">
        <v>45286</v>
      </c>
      <c r="G103" s="1">
        <f>1809704</f>
        <v>1809704</v>
      </c>
      <c r="I103" s="1">
        <v>826831</v>
      </c>
      <c r="K103" s="1">
        <v>0</v>
      </c>
      <c r="M103" s="1">
        <f t="shared" si="7"/>
        <v>2636535</v>
      </c>
      <c r="O103" s="1">
        <f>18124570+2478184</f>
        <v>20602754</v>
      </c>
      <c r="Q103" s="1">
        <v>0</v>
      </c>
      <c r="S103" s="1">
        <v>5493978</v>
      </c>
      <c r="U103" s="1">
        <v>60186</v>
      </c>
      <c r="W103" s="1">
        <v>0</v>
      </c>
      <c r="Y103" s="1">
        <v>0</v>
      </c>
      <c r="AA103" s="1">
        <v>201566</v>
      </c>
      <c r="AB103" s="30"/>
      <c r="AC103" s="1">
        <v>0</v>
      </c>
      <c r="AE103" s="1">
        <v>0</v>
      </c>
      <c r="AG103" s="1">
        <f t="shared" si="10"/>
        <v>26358484</v>
      </c>
      <c r="AH103" s="1"/>
      <c r="AI103" s="1">
        <f t="shared" si="11"/>
        <v>28995019</v>
      </c>
    </row>
    <row r="104" spans="1:35" ht="12" customHeight="1">
      <c r="A104" s="17" t="s">
        <v>602</v>
      </c>
      <c r="B104" s="17"/>
      <c r="C104" s="17" t="s">
        <v>64</v>
      </c>
      <c r="D104" s="17"/>
      <c r="E104" s="13">
        <v>50138</v>
      </c>
      <c r="G104" s="1">
        <v>1300672</v>
      </c>
      <c r="I104" s="1">
        <v>1431891</v>
      </c>
      <c r="K104" s="1">
        <v>429</v>
      </c>
      <c r="M104" s="1">
        <f t="shared" si="7"/>
        <v>2732992</v>
      </c>
      <c r="O104" s="1">
        <v>4806344</v>
      </c>
      <c r="Q104" s="1">
        <v>0</v>
      </c>
      <c r="S104" s="1">
        <v>7717893</v>
      </c>
      <c r="U104" s="1">
        <v>4626</v>
      </c>
      <c r="W104" s="1">
        <v>0</v>
      </c>
      <c r="Y104" s="1">
        <v>0</v>
      </c>
      <c r="AA104" s="1">
        <v>57983</v>
      </c>
      <c r="AB104" s="30"/>
      <c r="AC104" s="1">
        <v>0</v>
      </c>
      <c r="AE104" s="1">
        <v>0</v>
      </c>
      <c r="AG104" s="1">
        <f t="shared" si="10"/>
        <v>12586846</v>
      </c>
      <c r="AH104" s="1"/>
      <c r="AI104" s="1">
        <f t="shared" si="11"/>
        <v>15319838</v>
      </c>
    </row>
    <row r="105" spans="1:35" s="16" customFormat="1" ht="12" hidden="1" customHeight="1">
      <c r="A105" s="12" t="s">
        <v>927</v>
      </c>
      <c r="B105" s="14"/>
      <c r="C105" s="14" t="s">
        <v>30</v>
      </c>
      <c r="D105" s="14"/>
      <c r="E105" s="13">
        <v>47183</v>
      </c>
      <c r="G105" s="1"/>
      <c r="H105" s="1"/>
      <c r="I105" s="1"/>
      <c r="J105" s="1"/>
      <c r="K105" s="1"/>
      <c r="L105" s="1"/>
      <c r="M105" s="1">
        <f t="shared" si="7"/>
        <v>0</v>
      </c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30"/>
      <c r="AC105" s="1"/>
      <c r="AD105" s="1"/>
      <c r="AE105" s="1"/>
      <c r="AF105" s="1"/>
      <c r="AG105" s="1">
        <f t="shared" si="10"/>
        <v>0</v>
      </c>
      <c r="AH105" s="1"/>
      <c r="AI105" s="1">
        <f t="shared" si="11"/>
        <v>0</v>
      </c>
    </row>
    <row r="106" spans="1:35" ht="12" customHeight="1">
      <c r="A106" s="17" t="s">
        <v>419</v>
      </c>
      <c r="B106" s="17"/>
      <c r="C106" s="17" t="s">
        <v>420</v>
      </c>
      <c r="D106" s="17"/>
      <c r="E106" s="13">
        <v>45294</v>
      </c>
      <c r="G106" s="1">
        <v>1387959</v>
      </c>
      <c r="I106" s="1">
        <v>2811290</v>
      </c>
      <c r="K106" s="1">
        <v>0</v>
      </c>
      <c r="M106" s="1">
        <f t="shared" si="7"/>
        <v>4199249</v>
      </c>
      <c r="O106" s="1">
        <v>2062240</v>
      </c>
      <c r="Q106" s="1">
        <v>0</v>
      </c>
      <c r="S106" s="1">
        <v>8327194</v>
      </c>
      <c r="U106" s="1">
        <v>3806</v>
      </c>
      <c r="W106" s="1">
        <v>0</v>
      </c>
      <c r="Y106" s="1">
        <v>21500</v>
      </c>
      <c r="AA106" s="1">
        <v>30016</v>
      </c>
      <c r="AB106" s="30"/>
      <c r="AC106" s="1">
        <v>0</v>
      </c>
      <c r="AE106" s="1">
        <v>0</v>
      </c>
      <c r="AG106" s="1">
        <f t="shared" si="10"/>
        <v>10444756</v>
      </c>
      <c r="AH106" s="1"/>
      <c r="AI106" s="1">
        <f t="shared" si="11"/>
        <v>14644005</v>
      </c>
    </row>
    <row r="107" spans="1:35" ht="12" customHeight="1">
      <c r="A107" s="17" t="s">
        <v>550</v>
      </c>
      <c r="B107" s="17"/>
      <c r="C107" s="17" t="s">
        <v>58</v>
      </c>
      <c r="D107" s="17"/>
      <c r="E107" s="13">
        <v>43745</v>
      </c>
      <c r="G107" s="1">
        <v>2079809</v>
      </c>
      <c r="I107" s="1">
        <v>5602710</v>
      </c>
      <c r="K107" s="1">
        <v>0</v>
      </c>
      <c r="M107" s="1">
        <f t="shared" si="7"/>
        <v>7682519</v>
      </c>
      <c r="O107" s="1">
        <v>13066025</v>
      </c>
      <c r="Q107" s="1">
        <v>0</v>
      </c>
      <c r="S107" s="1">
        <v>15719934</v>
      </c>
      <c r="U107" s="1">
        <v>57474</v>
      </c>
      <c r="W107" s="1">
        <v>95687</v>
      </c>
      <c r="Y107" s="1">
        <v>4350</v>
      </c>
      <c r="AA107" s="1">
        <v>94575</v>
      </c>
      <c r="AB107" s="30"/>
      <c r="AC107" s="1">
        <v>0</v>
      </c>
      <c r="AE107" s="1">
        <v>0</v>
      </c>
      <c r="AG107" s="1">
        <f t="shared" si="10"/>
        <v>29038045</v>
      </c>
      <c r="AH107" s="1"/>
      <c r="AI107" s="1">
        <f t="shared" si="11"/>
        <v>36720564</v>
      </c>
    </row>
    <row r="108" spans="1:35" ht="12" customHeight="1">
      <c r="A108" s="12" t="s">
        <v>640</v>
      </c>
      <c r="B108" s="17"/>
      <c r="C108" s="17" t="s">
        <v>71</v>
      </c>
      <c r="D108" s="17"/>
      <c r="E108" s="13">
        <v>50534</v>
      </c>
      <c r="G108" s="1">
        <v>686062</v>
      </c>
      <c r="I108" s="1">
        <v>1458628</v>
      </c>
      <c r="K108" s="1">
        <v>0</v>
      </c>
      <c r="M108" s="1">
        <f t="shared" si="7"/>
        <v>2144690</v>
      </c>
      <c r="O108" s="1">
        <v>3965043</v>
      </c>
      <c r="Q108" s="1">
        <v>1421594</v>
      </c>
      <c r="S108" s="1">
        <v>5357504</v>
      </c>
      <c r="U108" s="1">
        <v>48863</v>
      </c>
      <c r="W108" s="1">
        <v>0</v>
      </c>
      <c r="Y108" s="1">
        <v>0</v>
      </c>
      <c r="AA108" s="1">
        <v>32261</v>
      </c>
      <c r="AB108" s="30"/>
      <c r="AC108" s="1">
        <v>0</v>
      </c>
      <c r="AE108" s="1">
        <v>0</v>
      </c>
      <c r="AG108" s="1">
        <f t="shared" si="10"/>
        <v>10825265</v>
      </c>
      <c r="AH108" s="1"/>
      <c r="AI108" s="1">
        <f t="shared" si="11"/>
        <v>12969955</v>
      </c>
    </row>
    <row r="109" spans="1:35" ht="12" customHeight="1">
      <c r="A109" s="12" t="s">
        <v>928</v>
      </c>
      <c r="B109" s="17"/>
      <c r="C109" s="17" t="s">
        <v>32</v>
      </c>
      <c r="D109" s="17"/>
      <c r="E109" s="13">
        <v>43752</v>
      </c>
      <c r="G109" s="1">
        <v>18160734</v>
      </c>
      <c r="I109" s="1">
        <v>119193346</v>
      </c>
      <c r="K109" s="1">
        <v>11920000</v>
      </c>
      <c r="M109" s="1">
        <f t="shared" si="7"/>
        <v>149274080</v>
      </c>
      <c r="O109" s="1">
        <v>286554339</v>
      </c>
      <c r="Q109" s="1">
        <v>0</v>
      </c>
      <c r="S109" s="1">
        <v>192804062</v>
      </c>
      <c r="U109" s="1">
        <v>0</v>
      </c>
      <c r="W109" s="1">
        <v>17497711</v>
      </c>
      <c r="Y109" s="1">
        <v>0</v>
      </c>
      <c r="AA109" s="1">
        <v>5282866</v>
      </c>
      <c r="AB109" s="30"/>
      <c r="AC109" s="1">
        <v>0</v>
      </c>
      <c r="AE109" s="1">
        <v>0</v>
      </c>
      <c r="AG109" s="1">
        <f t="shared" si="10"/>
        <v>502138978</v>
      </c>
      <c r="AH109" s="1"/>
      <c r="AI109" s="1">
        <f t="shared" si="11"/>
        <v>651413058</v>
      </c>
    </row>
    <row r="110" spans="1:35" ht="12" customHeight="1">
      <c r="A110" s="17" t="s">
        <v>525</v>
      </c>
      <c r="B110" s="17"/>
      <c r="C110" s="17" t="s">
        <v>54</v>
      </c>
      <c r="D110" s="17"/>
      <c r="E110" s="13">
        <v>43760</v>
      </c>
      <c r="G110" s="1">
        <v>1090684</v>
      </c>
      <c r="I110" s="1">
        <v>3811022</v>
      </c>
      <c r="K110" s="1">
        <v>0</v>
      </c>
      <c r="M110" s="1">
        <f t="shared" si="7"/>
        <v>4901706</v>
      </c>
      <c r="O110" s="1">
        <v>8012585</v>
      </c>
      <c r="Q110" s="1">
        <v>1414108</v>
      </c>
      <c r="S110" s="1">
        <v>11611798</v>
      </c>
      <c r="U110" s="1">
        <v>128273</v>
      </c>
      <c r="W110" s="1">
        <v>56200</v>
      </c>
      <c r="Y110" s="1">
        <v>0</v>
      </c>
      <c r="AA110" s="1">
        <v>73395</v>
      </c>
      <c r="AB110" s="30"/>
      <c r="AC110" s="1">
        <v>0</v>
      </c>
      <c r="AE110" s="1">
        <v>0</v>
      </c>
      <c r="AG110" s="1">
        <f t="shared" si="10"/>
        <v>21296359</v>
      </c>
      <c r="AH110" s="1"/>
      <c r="AI110" s="1">
        <f t="shared" si="11"/>
        <v>26198065</v>
      </c>
    </row>
    <row r="111" spans="1:35" ht="12" customHeight="1">
      <c r="A111" s="17" t="s">
        <v>245</v>
      </c>
      <c r="B111" s="17"/>
      <c r="C111" s="17" t="s">
        <v>17</v>
      </c>
      <c r="D111" s="17"/>
      <c r="E111" s="13">
        <v>46284</v>
      </c>
      <c r="F111" s="31"/>
      <c r="G111" s="1">
        <v>3079308</v>
      </c>
      <c r="I111" s="1">
        <v>2040898</v>
      </c>
      <c r="K111" s="1">
        <v>0</v>
      </c>
      <c r="M111" s="1">
        <f t="shared" si="7"/>
        <v>5120206</v>
      </c>
      <c r="O111" s="1">
        <f>9626762+475627</f>
        <v>10102389</v>
      </c>
      <c r="Q111" s="1">
        <v>0</v>
      </c>
      <c r="S111" s="1">
        <v>7741545</v>
      </c>
      <c r="U111" s="1">
        <v>18547</v>
      </c>
      <c r="W111" s="1">
        <v>0</v>
      </c>
      <c r="Y111" s="1">
        <v>500</v>
      </c>
      <c r="AA111" s="1">
        <v>67828</v>
      </c>
      <c r="AB111" s="30"/>
      <c r="AC111" s="1">
        <v>0</v>
      </c>
      <c r="AE111" s="1">
        <v>0</v>
      </c>
      <c r="AG111" s="1">
        <f t="shared" si="10"/>
        <v>17930809</v>
      </c>
      <c r="AH111" s="1"/>
      <c r="AI111" s="1">
        <f t="shared" si="11"/>
        <v>23051015</v>
      </c>
    </row>
    <row r="112" spans="1:35" ht="12" customHeight="1">
      <c r="A112" s="17" t="s">
        <v>560</v>
      </c>
      <c r="B112" s="17"/>
      <c r="C112" s="17" t="s">
        <v>59</v>
      </c>
      <c r="D112" s="17"/>
      <c r="E112" s="13">
        <v>49601</v>
      </c>
      <c r="G112" s="1">
        <v>1266632</v>
      </c>
      <c r="I112" s="1">
        <v>1054627</v>
      </c>
      <c r="K112" s="1">
        <v>0</v>
      </c>
      <c r="M112" s="1">
        <f t="shared" si="7"/>
        <v>2321259</v>
      </c>
      <c r="O112" s="1">
        <f>938367+289132+22947</f>
        <v>1250446</v>
      </c>
      <c r="Q112" s="1">
        <v>0</v>
      </c>
      <c r="S112" s="1">
        <v>4260078</v>
      </c>
      <c r="U112" s="1">
        <v>39984</v>
      </c>
      <c r="W112" s="1">
        <v>0</v>
      </c>
      <c r="Y112" s="1">
        <v>6592</v>
      </c>
      <c r="AA112" s="1">
        <v>137923</v>
      </c>
      <c r="AB112" s="30"/>
      <c r="AC112" s="1">
        <v>0</v>
      </c>
      <c r="AE112" s="1">
        <v>0</v>
      </c>
      <c r="AG112" s="1">
        <f t="shared" si="10"/>
        <v>5695023</v>
      </c>
      <c r="AH112" s="1"/>
      <c r="AI112" s="1">
        <f t="shared" si="11"/>
        <v>8016282</v>
      </c>
    </row>
    <row r="113" spans="1:35" ht="12" customHeight="1">
      <c r="A113" s="17" t="s">
        <v>618</v>
      </c>
      <c r="B113" s="17"/>
      <c r="C113" s="17" t="s">
        <v>65</v>
      </c>
      <c r="D113" s="17"/>
      <c r="E113" s="13">
        <v>43778</v>
      </c>
      <c r="G113" s="1">
        <v>1323841</v>
      </c>
      <c r="I113" s="1">
        <v>3538039</v>
      </c>
      <c r="K113" s="1">
        <v>1082</v>
      </c>
      <c r="M113" s="1">
        <f t="shared" si="7"/>
        <v>4862962</v>
      </c>
      <c r="O113" s="1">
        <v>3673546</v>
      </c>
      <c r="Q113" s="1">
        <v>0</v>
      </c>
      <c r="S113" s="1">
        <v>12830531</v>
      </c>
      <c r="U113" s="1">
        <v>6071</v>
      </c>
      <c r="W113" s="1">
        <v>0</v>
      </c>
      <c r="Y113" s="1">
        <v>0</v>
      </c>
      <c r="AA113" s="1">
        <v>14188</v>
      </c>
      <c r="AB113" s="30"/>
      <c r="AC113" s="1">
        <v>0</v>
      </c>
      <c r="AE113" s="1">
        <v>0</v>
      </c>
      <c r="AG113" s="1">
        <f t="shared" si="10"/>
        <v>16524336</v>
      </c>
      <c r="AH113" s="1"/>
      <c r="AI113" s="1">
        <f t="shared" si="11"/>
        <v>21387298</v>
      </c>
    </row>
    <row r="114" spans="1:35" ht="12" customHeight="1">
      <c r="A114" s="17" t="s">
        <v>543</v>
      </c>
      <c r="B114" s="17"/>
      <c r="C114" s="17" t="s">
        <v>112</v>
      </c>
      <c r="D114" s="17"/>
      <c r="E114" s="13">
        <v>49411</v>
      </c>
      <c r="G114" s="1">
        <v>1385238</v>
      </c>
      <c r="I114" s="1">
        <v>1933856</v>
      </c>
      <c r="K114" s="1">
        <v>0</v>
      </c>
      <c r="M114" s="1">
        <f t="shared" si="7"/>
        <v>3319094</v>
      </c>
      <c r="O114" s="1">
        <v>4299661</v>
      </c>
      <c r="Q114" s="1">
        <v>0</v>
      </c>
      <c r="S114" s="1">
        <v>8597908</v>
      </c>
      <c r="U114" s="1">
        <v>251304</v>
      </c>
      <c r="W114" s="1">
        <v>0</v>
      </c>
      <c r="Y114" s="1">
        <v>0</v>
      </c>
      <c r="AA114" s="1">
        <v>18787</v>
      </c>
      <c r="AB114" s="30"/>
      <c r="AC114" s="1">
        <v>0</v>
      </c>
      <c r="AE114" s="1">
        <v>0</v>
      </c>
      <c r="AG114" s="1">
        <f t="shared" si="10"/>
        <v>13167660</v>
      </c>
      <c r="AH114" s="1"/>
      <c r="AI114" s="1">
        <f t="shared" si="11"/>
        <v>16486754</v>
      </c>
    </row>
    <row r="115" spans="1:35" ht="12" customHeight="1">
      <c r="A115" s="17" t="s">
        <v>438</v>
      </c>
      <c r="B115" s="17"/>
      <c r="C115" s="17" t="s">
        <v>44</v>
      </c>
      <c r="D115" s="17"/>
      <c r="E115" s="13">
        <v>48132</v>
      </c>
      <c r="G115" s="1">
        <v>3440814</v>
      </c>
      <c r="I115" s="1">
        <v>2306780</v>
      </c>
      <c r="K115" s="1">
        <v>0</v>
      </c>
      <c r="M115" s="1">
        <f t="shared" si="7"/>
        <v>5747594</v>
      </c>
      <c r="O115" s="1">
        <f>2398223+377830+33470</f>
        <v>2809523</v>
      </c>
      <c r="Q115" s="1">
        <v>0</v>
      </c>
      <c r="S115" s="1">
        <v>7818918</v>
      </c>
      <c r="U115" s="1">
        <v>17947</v>
      </c>
      <c r="W115" s="1">
        <v>0</v>
      </c>
      <c r="Y115" s="1">
        <v>0</v>
      </c>
      <c r="AA115" s="1">
        <v>16533</v>
      </c>
      <c r="AB115" s="30"/>
      <c r="AC115" s="1">
        <v>0</v>
      </c>
      <c r="AE115" s="1">
        <v>0</v>
      </c>
      <c r="AG115" s="1">
        <f t="shared" si="10"/>
        <v>10662921</v>
      </c>
      <c r="AH115" s="1"/>
      <c r="AI115" s="1">
        <f t="shared" si="11"/>
        <v>16410515</v>
      </c>
    </row>
    <row r="116" spans="1:35" ht="12" customHeight="1">
      <c r="A116" s="17" t="s">
        <v>797</v>
      </c>
      <c r="B116" s="17"/>
      <c r="C116" s="17" t="s">
        <v>115</v>
      </c>
      <c r="D116" s="17"/>
      <c r="E116" s="13"/>
      <c r="G116" s="1">
        <v>1377407</v>
      </c>
      <c r="I116" s="1">
        <v>1978961</v>
      </c>
      <c r="K116" s="1">
        <v>0</v>
      </c>
      <c r="M116" s="1">
        <f t="shared" si="7"/>
        <v>3356368</v>
      </c>
      <c r="O116" s="1">
        <f>5967007+562230</f>
        <v>6529237</v>
      </c>
      <c r="Q116" s="1">
        <v>2444494</v>
      </c>
      <c r="S116" s="1">
        <v>6570350</v>
      </c>
      <c r="U116" s="1">
        <v>41952</v>
      </c>
      <c r="W116" s="1">
        <v>0</v>
      </c>
      <c r="Y116" s="1">
        <v>0</v>
      </c>
      <c r="AA116" s="1">
        <v>86471</v>
      </c>
      <c r="AB116" s="30"/>
      <c r="AC116" s="1">
        <v>0</v>
      </c>
      <c r="AE116" s="1">
        <v>0</v>
      </c>
      <c r="AG116" s="1">
        <f t="shared" si="10"/>
        <v>15672504</v>
      </c>
      <c r="AH116" s="1"/>
      <c r="AI116" s="1">
        <f t="shared" si="11"/>
        <v>19028872</v>
      </c>
    </row>
    <row r="117" spans="1:35" ht="12" customHeight="1">
      <c r="A117" s="12" t="s">
        <v>796</v>
      </c>
      <c r="B117" s="17"/>
      <c r="C117" s="17" t="s">
        <v>20</v>
      </c>
      <c r="D117" s="17"/>
      <c r="E117" s="13">
        <v>43794</v>
      </c>
      <c r="G117" s="1">
        <f>2196809+3754548</f>
        <v>5951357</v>
      </c>
      <c r="I117" s="1">
        <f>10309433+1804716</f>
        <v>12114149</v>
      </c>
      <c r="K117" s="1">
        <v>116347</v>
      </c>
      <c r="M117" s="1">
        <f t="shared" si="7"/>
        <v>18181853</v>
      </c>
      <c r="O117" s="1">
        <v>59106439</v>
      </c>
      <c r="Q117" s="1">
        <v>0</v>
      </c>
      <c r="S117" s="1">
        <v>32788606</v>
      </c>
      <c r="U117" s="1">
        <v>489176</v>
      </c>
      <c r="W117" s="1">
        <v>1813</v>
      </c>
      <c r="Y117" s="1">
        <v>0</v>
      </c>
      <c r="AA117" s="1">
        <v>1116647</v>
      </c>
      <c r="AB117" s="30"/>
      <c r="AC117" s="1">
        <v>0</v>
      </c>
      <c r="AE117" s="1">
        <v>0</v>
      </c>
      <c r="AG117" s="1">
        <f t="shared" si="10"/>
        <v>93502681</v>
      </c>
      <c r="AH117" s="1"/>
      <c r="AI117" s="1">
        <f t="shared" si="11"/>
        <v>111684534</v>
      </c>
    </row>
    <row r="118" spans="1:35" ht="12" customHeight="1">
      <c r="A118" s="17" t="s">
        <v>286</v>
      </c>
      <c r="B118" s="17"/>
      <c r="C118" s="17" t="s">
        <v>20</v>
      </c>
      <c r="D118" s="17"/>
      <c r="E118" s="13">
        <v>43786</v>
      </c>
      <c r="G118" s="1">
        <v>2603944</v>
      </c>
      <c r="I118" s="1">
        <v>191686446</v>
      </c>
      <c r="K118" s="1">
        <v>3376765</v>
      </c>
      <c r="M118" s="1">
        <f t="shared" si="7"/>
        <v>197667155</v>
      </c>
      <c r="O118" s="1">
        <f>156893542+16654007+17391407</f>
        <v>190938956</v>
      </c>
      <c r="Q118" s="1">
        <v>0</v>
      </c>
      <c r="S118" s="1">
        <v>468463425</v>
      </c>
      <c r="U118" s="1">
        <v>5756808</v>
      </c>
      <c r="W118" s="1">
        <v>0</v>
      </c>
      <c r="Y118" s="1">
        <v>0</v>
      </c>
      <c r="AA118" s="1">
        <v>11268565</v>
      </c>
      <c r="AB118" s="30"/>
      <c r="AC118" s="1">
        <v>0</v>
      </c>
      <c r="AE118" s="1">
        <v>0</v>
      </c>
      <c r="AG118" s="1">
        <f t="shared" si="10"/>
        <v>676427754</v>
      </c>
      <c r="AH118" s="1"/>
      <c r="AI118" s="1">
        <f t="shared" si="11"/>
        <v>874094909</v>
      </c>
    </row>
    <row r="119" spans="1:35" ht="12" customHeight="1">
      <c r="A119" s="17" t="s">
        <v>260</v>
      </c>
      <c r="B119" s="17"/>
      <c r="C119" s="17" t="s">
        <v>18</v>
      </c>
      <c r="D119" s="17"/>
      <c r="E119" s="13">
        <v>46391</v>
      </c>
      <c r="F119" s="31"/>
      <c r="G119" s="1">
        <v>1370435</v>
      </c>
      <c r="I119" s="1">
        <v>1640843</v>
      </c>
      <c r="K119" s="1">
        <v>0</v>
      </c>
      <c r="M119" s="1">
        <f t="shared" si="7"/>
        <v>3011278</v>
      </c>
      <c r="O119" s="1">
        <v>5299437</v>
      </c>
      <c r="Q119" s="1">
        <v>0</v>
      </c>
      <c r="S119" s="1">
        <v>9211398</v>
      </c>
      <c r="U119" s="1">
        <v>25279</v>
      </c>
      <c r="W119" s="1">
        <v>0</v>
      </c>
      <c r="Y119" s="1">
        <v>0</v>
      </c>
      <c r="AA119" s="1">
        <v>28746</v>
      </c>
      <c r="AB119" s="30"/>
      <c r="AC119" s="1">
        <v>0</v>
      </c>
      <c r="AE119" s="1">
        <v>0</v>
      </c>
      <c r="AG119" s="1">
        <f t="shared" si="10"/>
        <v>14564860</v>
      </c>
      <c r="AH119" s="1"/>
      <c r="AI119" s="1">
        <f t="shared" si="11"/>
        <v>17576138</v>
      </c>
    </row>
    <row r="120" spans="1:35" ht="12" customHeight="1">
      <c r="A120" s="17" t="s">
        <v>480</v>
      </c>
      <c r="B120" s="17"/>
      <c r="C120" s="17" t="s">
        <v>47</v>
      </c>
      <c r="D120" s="17"/>
      <c r="E120" s="13">
        <v>48488</v>
      </c>
      <c r="G120" s="1">
        <v>1707647</v>
      </c>
      <c r="I120" s="1">
        <v>2311815</v>
      </c>
      <c r="K120" s="1">
        <v>896704</v>
      </c>
      <c r="M120" s="1">
        <f t="shared" si="7"/>
        <v>4916166</v>
      </c>
      <c r="O120" s="1">
        <f>12189679+856002+1847422</f>
        <v>14893103</v>
      </c>
      <c r="Q120" s="1">
        <v>0</v>
      </c>
      <c r="S120" s="1">
        <v>13020573</v>
      </c>
      <c r="U120" s="1">
        <v>12092</v>
      </c>
      <c r="W120" s="1">
        <v>0</v>
      </c>
      <c r="Y120" s="1">
        <v>0</v>
      </c>
      <c r="AA120" s="1">
        <v>291226</v>
      </c>
      <c r="AB120" s="30"/>
      <c r="AC120" s="1">
        <v>0</v>
      </c>
      <c r="AE120" s="1">
        <v>0</v>
      </c>
      <c r="AG120" s="1">
        <f t="shared" si="10"/>
        <v>28216994</v>
      </c>
      <c r="AH120" s="1"/>
      <c r="AI120" s="1">
        <f t="shared" si="11"/>
        <v>33133160</v>
      </c>
    </row>
    <row r="121" spans="1:35" ht="12" customHeight="1">
      <c r="A121" s="17" t="s">
        <v>555</v>
      </c>
      <c r="B121" s="17"/>
      <c r="C121" s="17" t="s">
        <v>79</v>
      </c>
      <c r="D121" s="17"/>
      <c r="E121" s="13">
        <v>45302</v>
      </c>
      <c r="G121" s="1">
        <v>1675946</v>
      </c>
      <c r="I121" s="1">
        <v>2591671</v>
      </c>
      <c r="K121" s="1">
        <v>0</v>
      </c>
      <c r="M121" s="1">
        <f t="shared" si="7"/>
        <v>4267617</v>
      </c>
      <c r="O121" s="1">
        <v>6073082</v>
      </c>
      <c r="Q121" s="1">
        <v>1819106</v>
      </c>
      <c r="S121" s="1">
        <v>11081171</v>
      </c>
      <c r="U121" s="1">
        <v>130903</v>
      </c>
      <c r="W121" s="1">
        <v>203391</v>
      </c>
      <c r="Y121" s="1">
        <v>0</v>
      </c>
      <c r="AA121" s="1">
        <v>600741</v>
      </c>
      <c r="AB121" s="30"/>
      <c r="AC121" s="1">
        <v>0</v>
      </c>
      <c r="AE121" s="1">
        <v>0</v>
      </c>
      <c r="AG121" s="1">
        <f t="shared" si="10"/>
        <v>19908394</v>
      </c>
      <c r="AH121" s="1"/>
      <c r="AI121" s="1">
        <f t="shared" si="11"/>
        <v>24176011</v>
      </c>
    </row>
    <row r="122" spans="1:35" ht="12" hidden="1" customHeight="1">
      <c r="A122" s="12" t="s">
        <v>798</v>
      </c>
      <c r="B122" s="17"/>
      <c r="C122" s="17" t="s">
        <v>486</v>
      </c>
      <c r="D122" s="17"/>
      <c r="E122" s="13"/>
      <c r="M122" s="1">
        <f t="shared" si="7"/>
        <v>0</v>
      </c>
      <c r="AB122" s="30"/>
      <c r="AG122" s="1">
        <f t="shared" si="10"/>
        <v>0</v>
      </c>
      <c r="AH122" s="1"/>
      <c r="AI122" s="1">
        <f t="shared" si="11"/>
        <v>0</v>
      </c>
    </row>
    <row r="123" spans="1:35" ht="12" hidden="1" customHeight="1">
      <c r="A123" s="12" t="s">
        <v>929</v>
      </c>
      <c r="B123" s="17"/>
      <c r="C123" s="17" t="s">
        <v>57</v>
      </c>
      <c r="D123" s="17"/>
      <c r="E123" s="13">
        <v>64964</v>
      </c>
      <c r="M123" s="1">
        <f t="shared" si="7"/>
        <v>0</v>
      </c>
      <c r="AB123" s="30"/>
      <c r="AG123" s="1">
        <f t="shared" si="10"/>
        <v>0</v>
      </c>
      <c r="AH123" s="1"/>
      <c r="AI123" s="1">
        <f t="shared" si="11"/>
        <v>0</v>
      </c>
    </row>
    <row r="124" spans="1:35" ht="12" customHeight="1">
      <c r="A124" s="17" t="s">
        <v>277</v>
      </c>
      <c r="B124" s="17"/>
      <c r="C124" s="17" t="s">
        <v>113</v>
      </c>
      <c r="D124" s="17"/>
      <c r="E124" s="13">
        <v>46516</v>
      </c>
      <c r="G124" s="1">
        <v>1381409</v>
      </c>
      <c r="I124" s="1">
        <v>834908</v>
      </c>
      <c r="K124" s="1">
        <v>5694</v>
      </c>
      <c r="M124" s="1">
        <f t="shared" si="7"/>
        <v>2222011</v>
      </c>
      <c r="O124" s="1">
        <v>2881204</v>
      </c>
      <c r="Q124" s="1">
        <v>1278237</v>
      </c>
      <c r="S124" s="1">
        <v>4130673</v>
      </c>
      <c r="U124" s="1">
        <v>14644</v>
      </c>
      <c r="W124" s="1">
        <v>0</v>
      </c>
      <c r="Y124" s="1">
        <v>0</v>
      </c>
      <c r="AA124" s="1">
        <v>5888</v>
      </c>
      <c r="AB124" s="30"/>
      <c r="AC124" s="1">
        <v>0</v>
      </c>
      <c r="AE124" s="1">
        <v>0</v>
      </c>
      <c r="AG124" s="1">
        <f t="shared" si="10"/>
        <v>8310646</v>
      </c>
      <c r="AH124" s="1"/>
      <c r="AI124" s="1">
        <f t="shared" si="11"/>
        <v>10532657</v>
      </c>
    </row>
    <row r="125" spans="1:35" ht="12" customHeight="1">
      <c r="A125" s="17" t="s">
        <v>439</v>
      </c>
      <c r="B125" s="17"/>
      <c r="C125" s="17" t="s">
        <v>44</v>
      </c>
      <c r="D125" s="17"/>
      <c r="E125" s="13">
        <v>48140</v>
      </c>
      <c r="G125" s="1">
        <v>1063494</v>
      </c>
      <c r="I125" s="1">
        <v>892880</v>
      </c>
      <c r="K125" s="1">
        <v>0</v>
      </c>
      <c r="M125" s="1">
        <f t="shared" si="7"/>
        <v>1956374</v>
      </c>
      <c r="O125" s="1">
        <v>5569867</v>
      </c>
      <c r="Q125" s="1">
        <v>0</v>
      </c>
      <c r="S125" s="1">
        <v>3450791</v>
      </c>
      <c r="U125" s="1">
        <v>4771</v>
      </c>
      <c r="W125" s="1">
        <v>0</v>
      </c>
      <c r="Y125" s="1">
        <v>0</v>
      </c>
      <c r="AA125" s="1">
        <v>66191</v>
      </c>
      <c r="AB125" s="30"/>
      <c r="AC125" s="1">
        <v>0</v>
      </c>
      <c r="AE125" s="1">
        <v>0</v>
      </c>
      <c r="AG125" s="1">
        <f t="shared" si="10"/>
        <v>9091620</v>
      </c>
      <c r="AH125" s="1"/>
      <c r="AI125" s="1">
        <f t="shared" si="11"/>
        <v>11047994</v>
      </c>
    </row>
    <row r="126" spans="1:35" ht="12" customHeight="1">
      <c r="A126" s="17" t="s">
        <v>264</v>
      </c>
      <c r="B126" s="17"/>
      <c r="C126" s="17" t="s">
        <v>114</v>
      </c>
      <c r="D126" s="17"/>
      <c r="E126" s="13">
        <v>45328</v>
      </c>
      <c r="F126" s="31"/>
      <c r="G126" s="1">
        <f>1828035</f>
        <v>1828035</v>
      </c>
      <c r="I126" s="1">
        <f>1022942</f>
        <v>1022942</v>
      </c>
      <c r="K126" s="1">
        <v>164120</v>
      </c>
      <c r="M126" s="1">
        <f t="shared" si="7"/>
        <v>3015097</v>
      </c>
      <c r="O126" s="1">
        <f>3113492+702047+141773</f>
        <v>3957312</v>
      </c>
      <c r="Q126" s="1">
        <v>1343827</v>
      </c>
      <c r="S126" s="1">
        <v>3019516</v>
      </c>
      <c r="U126" s="1">
        <v>98302</v>
      </c>
      <c r="W126" s="1">
        <v>0</v>
      </c>
      <c r="Y126" s="1">
        <v>0</v>
      </c>
      <c r="AA126" s="1">
        <f>107500+102711</f>
        <v>210211</v>
      </c>
      <c r="AB126" s="30"/>
      <c r="AC126" s="1">
        <v>0</v>
      </c>
      <c r="AE126" s="1">
        <v>0</v>
      </c>
      <c r="AG126" s="1">
        <f t="shared" si="10"/>
        <v>8629168</v>
      </c>
      <c r="AH126" s="1"/>
      <c r="AI126" s="1">
        <f t="shared" si="11"/>
        <v>11644265</v>
      </c>
    </row>
    <row r="127" spans="1:35" ht="12" customHeight="1">
      <c r="A127" s="17" t="s">
        <v>331</v>
      </c>
      <c r="B127" s="17"/>
      <c r="C127" s="17" t="s">
        <v>27</v>
      </c>
      <c r="D127" s="17"/>
      <c r="E127" s="13">
        <v>43802</v>
      </c>
      <c r="G127" s="1">
        <v>14937700</v>
      </c>
      <c r="I127" s="1">
        <v>166043387</v>
      </c>
      <c r="K127" s="1">
        <v>0</v>
      </c>
      <c r="M127" s="1">
        <f t="shared" si="7"/>
        <v>180981087</v>
      </c>
      <c r="O127" s="1">
        <v>416322425</v>
      </c>
      <c r="Q127" s="1">
        <v>0</v>
      </c>
      <c r="S127" s="1">
        <v>352153201</v>
      </c>
      <c r="U127" s="1">
        <v>3145023</v>
      </c>
      <c r="W127" s="1">
        <v>40278643</v>
      </c>
      <c r="Y127" s="1">
        <v>70</v>
      </c>
      <c r="AA127" s="1">
        <v>6297186</v>
      </c>
      <c r="AB127" s="30"/>
      <c r="AC127" s="1">
        <v>0</v>
      </c>
      <c r="AE127" s="1">
        <v>0</v>
      </c>
      <c r="AG127" s="1">
        <f t="shared" si="10"/>
        <v>818196548</v>
      </c>
      <c r="AH127" s="1"/>
      <c r="AI127" s="1">
        <f t="shared" si="11"/>
        <v>999177635</v>
      </c>
    </row>
    <row r="128" spans="1:35" ht="12" hidden="1" customHeight="1">
      <c r="A128" s="17" t="s">
        <v>731</v>
      </c>
      <c r="B128" s="17"/>
      <c r="C128" s="17" t="s">
        <v>542</v>
      </c>
      <c r="D128" s="17"/>
      <c r="E128" s="13">
        <v>49312</v>
      </c>
      <c r="M128" s="1">
        <f t="shared" si="7"/>
        <v>0</v>
      </c>
      <c r="AB128" s="30"/>
      <c r="AG128" s="1">
        <f t="shared" si="10"/>
        <v>0</v>
      </c>
      <c r="AH128" s="1"/>
      <c r="AI128" s="1">
        <f t="shared" si="11"/>
        <v>0</v>
      </c>
    </row>
    <row r="129" spans="1:35" ht="12" customHeight="1">
      <c r="A129" s="17" t="s">
        <v>210</v>
      </c>
      <c r="B129" s="17"/>
      <c r="C129" s="17" t="s">
        <v>12</v>
      </c>
      <c r="D129" s="17"/>
      <c r="E129" s="13">
        <v>43810</v>
      </c>
      <c r="F129" s="31"/>
      <c r="G129" s="1">
        <v>404908</v>
      </c>
      <c r="I129" s="1">
        <v>4189077</v>
      </c>
      <c r="K129" s="1">
        <v>71683</v>
      </c>
      <c r="M129" s="1">
        <f t="shared" si="7"/>
        <v>4665668</v>
      </c>
      <c r="O129" s="1">
        <v>4440539</v>
      </c>
      <c r="Q129" s="1">
        <v>0</v>
      </c>
      <c r="S129" s="1">
        <v>12618331</v>
      </c>
      <c r="U129" s="1">
        <v>10242</v>
      </c>
      <c r="W129" s="1">
        <v>0</v>
      </c>
      <c r="Y129" s="1">
        <v>0</v>
      </c>
      <c r="AA129" s="1">
        <v>55630</v>
      </c>
      <c r="AB129" s="30"/>
      <c r="AC129" s="1">
        <v>0</v>
      </c>
      <c r="AE129" s="1">
        <v>0</v>
      </c>
      <c r="AG129" s="1">
        <f t="shared" si="10"/>
        <v>17124742</v>
      </c>
      <c r="AH129" s="1"/>
      <c r="AI129" s="1">
        <f t="shared" si="11"/>
        <v>21790410</v>
      </c>
    </row>
    <row r="130" spans="1:35" ht="12" customHeight="1">
      <c r="A130" s="17" t="s">
        <v>387</v>
      </c>
      <c r="B130" s="17"/>
      <c r="C130" s="17" t="s">
        <v>388</v>
      </c>
      <c r="D130" s="17"/>
      <c r="E130" s="13">
        <v>47548</v>
      </c>
      <c r="G130" s="1">
        <v>432745</v>
      </c>
      <c r="I130" s="1">
        <v>770268</v>
      </c>
      <c r="K130" s="1">
        <v>0</v>
      </c>
      <c r="M130" s="1">
        <f t="shared" si="7"/>
        <v>1203013</v>
      </c>
      <c r="O130" s="1">
        <v>1918434</v>
      </c>
      <c r="Q130" s="1">
        <v>0</v>
      </c>
      <c r="S130" s="1">
        <v>2720109</v>
      </c>
      <c r="U130" s="1">
        <v>3625</v>
      </c>
      <c r="W130" s="1">
        <v>0</v>
      </c>
      <c r="Y130" s="1">
        <v>0</v>
      </c>
      <c r="AA130" s="1">
        <v>4317</v>
      </c>
      <c r="AB130" s="30"/>
      <c r="AC130" s="1">
        <v>0</v>
      </c>
      <c r="AE130" s="1">
        <v>0</v>
      </c>
      <c r="AG130" s="1">
        <f t="shared" si="10"/>
        <v>4646485</v>
      </c>
      <c r="AH130" s="1"/>
      <c r="AI130" s="1">
        <f t="shared" si="11"/>
        <v>5849498</v>
      </c>
    </row>
    <row r="131" spans="1:35" ht="12" hidden="1" customHeight="1">
      <c r="A131" s="12" t="s">
        <v>831</v>
      </c>
      <c r="B131" s="17"/>
      <c r="C131" s="17" t="s">
        <v>542</v>
      </c>
      <c r="D131" s="17"/>
      <c r="E131" s="13">
        <v>49320</v>
      </c>
      <c r="M131" s="1">
        <f t="shared" si="7"/>
        <v>0</v>
      </c>
      <c r="AB131" s="30"/>
      <c r="AG131" s="1">
        <f t="shared" si="10"/>
        <v>0</v>
      </c>
      <c r="AH131" s="1"/>
      <c r="AI131" s="1">
        <f t="shared" si="11"/>
        <v>0</v>
      </c>
    </row>
    <row r="132" spans="1:35" ht="12" customHeight="1">
      <c r="A132" s="17" t="s">
        <v>588</v>
      </c>
      <c r="B132" s="17"/>
      <c r="C132" s="17" t="s">
        <v>63</v>
      </c>
      <c r="D132" s="17"/>
      <c r="E132" s="13">
        <v>49981</v>
      </c>
      <c r="G132" s="1">
        <v>1424156</v>
      </c>
      <c r="I132" s="1">
        <v>2692945</v>
      </c>
      <c r="K132" s="1">
        <v>0</v>
      </c>
      <c r="M132" s="1">
        <f t="shared" si="7"/>
        <v>4117101</v>
      </c>
      <c r="O132" s="1">
        <v>24247425</v>
      </c>
      <c r="Q132" s="1">
        <v>0</v>
      </c>
      <c r="S132" s="1">
        <v>7280372</v>
      </c>
      <c r="U132" s="1">
        <v>17369</v>
      </c>
      <c r="W132" s="1">
        <v>0</v>
      </c>
      <c r="Y132" s="1">
        <v>111793</v>
      </c>
      <c r="AA132" s="1">
        <v>137606</v>
      </c>
      <c r="AB132" s="30"/>
      <c r="AC132" s="1">
        <v>0</v>
      </c>
      <c r="AE132" s="1">
        <v>0</v>
      </c>
      <c r="AG132" s="1">
        <f t="shared" si="10"/>
        <v>31794565</v>
      </c>
      <c r="AH132" s="1"/>
      <c r="AI132" s="1">
        <f t="shared" si="11"/>
        <v>35911666</v>
      </c>
    </row>
    <row r="133" spans="1:35" ht="12" customHeight="1">
      <c r="A133" s="12" t="s">
        <v>930</v>
      </c>
      <c r="B133" s="17"/>
      <c r="C133" s="17" t="s">
        <v>33</v>
      </c>
      <c r="D133" s="17"/>
      <c r="E133" s="13">
        <v>47431</v>
      </c>
      <c r="G133" s="1">
        <v>536990</v>
      </c>
      <c r="I133" s="1">
        <v>804914</v>
      </c>
      <c r="K133" s="1">
        <v>0</v>
      </c>
      <c r="M133" s="1">
        <f t="shared" si="7"/>
        <v>1341904</v>
      </c>
      <c r="O133" s="1">
        <f>1433678+23949+228742+74802</f>
        <v>1761171</v>
      </c>
      <c r="Q133" s="1">
        <v>1374312</v>
      </c>
      <c r="S133" s="1">
        <v>9913093</v>
      </c>
      <c r="U133" s="1">
        <v>12590</v>
      </c>
      <c r="W133" s="1">
        <v>0</v>
      </c>
      <c r="Y133" s="1">
        <v>31501</v>
      </c>
      <c r="AA133" s="1">
        <v>37350</v>
      </c>
      <c r="AB133" s="30"/>
      <c r="AC133" s="1">
        <v>0</v>
      </c>
      <c r="AE133" s="1">
        <v>0</v>
      </c>
      <c r="AG133" s="1">
        <f t="shared" si="10"/>
        <v>13130017</v>
      </c>
      <c r="AH133" s="1"/>
      <c r="AI133" s="1">
        <f t="shared" si="11"/>
        <v>14471921</v>
      </c>
    </row>
    <row r="134" spans="1:35" ht="12" customHeight="1">
      <c r="A134" s="17" t="s">
        <v>272</v>
      </c>
      <c r="B134" s="17"/>
      <c r="C134" s="17" t="s">
        <v>19</v>
      </c>
      <c r="D134" s="17"/>
      <c r="E134" s="13">
        <v>43828</v>
      </c>
      <c r="G134" s="1">
        <v>1310283</v>
      </c>
      <c r="I134" s="1">
        <v>2956496</v>
      </c>
      <c r="K134" s="1">
        <v>0</v>
      </c>
      <c r="M134" s="1">
        <f t="shared" si="7"/>
        <v>4266779</v>
      </c>
      <c r="O134" s="1">
        <f>5088822+180774</f>
        <v>5269596</v>
      </c>
      <c r="Q134" s="1">
        <v>0</v>
      </c>
      <c r="S134" s="1">
        <v>9476030</v>
      </c>
      <c r="U134" s="1">
        <v>122419</v>
      </c>
      <c r="W134" s="1">
        <v>0</v>
      </c>
      <c r="Y134" s="1">
        <v>0</v>
      </c>
      <c r="AA134" s="1">
        <v>153922</v>
      </c>
      <c r="AB134" s="30"/>
      <c r="AC134" s="1">
        <v>0</v>
      </c>
      <c r="AE134" s="1">
        <v>0</v>
      </c>
      <c r="AG134" s="1">
        <f t="shared" si="10"/>
        <v>15021967</v>
      </c>
      <c r="AH134" s="1"/>
      <c r="AI134" s="1">
        <f t="shared" si="11"/>
        <v>19288746</v>
      </c>
    </row>
    <row r="135" spans="1:35" ht="12" customHeight="1">
      <c r="A135" s="17" t="s">
        <v>720</v>
      </c>
      <c r="B135" s="17"/>
      <c r="C135" s="17" t="s">
        <v>63</v>
      </c>
      <c r="D135" s="17"/>
      <c r="E135" s="13"/>
      <c r="G135" s="1">
        <v>5815486</v>
      </c>
      <c r="I135" s="1">
        <v>2466748</v>
      </c>
      <c r="K135" s="1">
        <v>0</v>
      </c>
      <c r="M135" s="1">
        <f t="shared" si="7"/>
        <v>8282234</v>
      </c>
      <c r="O135" s="1">
        <f>8111760+315426</f>
        <v>8427186</v>
      </c>
      <c r="Q135" s="1">
        <v>0</v>
      </c>
      <c r="S135" s="1">
        <v>5423456</v>
      </c>
      <c r="U135" s="1">
        <v>2082</v>
      </c>
      <c r="W135" s="1">
        <v>64220</v>
      </c>
      <c r="Y135" s="1">
        <v>0</v>
      </c>
      <c r="AA135" s="1">
        <v>59477</v>
      </c>
      <c r="AB135" s="30"/>
      <c r="AC135" s="1">
        <v>0</v>
      </c>
      <c r="AE135" s="1">
        <v>0</v>
      </c>
      <c r="AG135" s="1">
        <f t="shared" si="10"/>
        <v>13976421</v>
      </c>
      <c r="AH135" s="1"/>
      <c r="AI135" s="1">
        <f t="shared" si="11"/>
        <v>22258655</v>
      </c>
    </row>
    <row r="136" spans="1:35" ht="12" customHeight="1">
      <c r="A136" s="12" t="s">
        <v>799</v>
      </c>
      <c r="B136" s="17"/>
      <c r="C136" s="17" t="s">
        <v>48</v>
      </c>
      <c r="D136" s="17"/>
      <c r="E136" s="13">
        <v>45336</v>
      </c>
      <c r="G136" s="1">
        <v>775985</v>
      </c>
      <c r="I136" s="1">
        <v>874551</v>
      </c>
      <c r="K136" s="1">
        <v>0</v>
      </c>
      <c r="M136" s="1">
        <f t="shared" si="7"/>
        <v>1650536</v>
      </c>
      <c r="O136" s="1">
        <v>1712679</v>
      </c>
      <c r="Q136" s="1">
        <v>1502914</v>
      </c>
      <c r="S136" s="1">
        <v>3420275</v>
      </c>
      <c r="U136" s="1">
        <v>6762</v>
      </c>
      <c r="W136" s="1">
        <v>0</v>
      </c>
      <c r="Y136" s="1">
        <v>0</v>
      </c>
      <c r="AA136" s="1">
        <v>20077</v>
      </c>
      <c r="AB136" s="30"/>
      <c r="AC136" s="1">
        <v>0</v>
      </c>
      <c r="AE136" s="1">
        <v>0</v>
      </c>
      <c r="AG136" s="1">
        <f t="shared" si="10"/>
        <v>6662707</v>
      </c>
      <c r="AH136" s="1"/>
      <c r="AI136" s="1">
        <f t="shared" si="11"/>
        <v>8313243</v>
      </c>
    </row>
    <row r="137" spans="1:35" ht="12" customHeight="1">
      <c r="A137" s="12" t="s">
        <v>800</v>
      </c>
      <c r="B137" s="17"/>
      <c r="C137" s="17" t="s">
        <v>113</v>
      </c>
      <c r="D137" s="17"/>
      <c r="E137" s="13">
        <v>45344</v>
      </c>
      <c r="G137" s="1">
        <v>362323</v>
      </c>
      <c r="I137" s="1">
        <v>1502550</v>
      </c>
      <c r="K137" s="1">
        <v>0</v>
      </c>
      <c r="M137" s="1">
        <f t="shared" si="7"/>
        <v>1864873</v>
      </c>
      <c r="O137" s="1">
        <v>2633402</v>
      </c>
      <c r="Q137" s="1">
        <v>30846</v>
      </c>
      <c r="S137" s="1">
        <f>4403117+14869726</f>
        <v>19272843</v>
      </c>
      <c r="U137" s="1">
        <v>78667</v>
      </c>
      <c r="W137" s="1">
        <v>0</v>
      </c>
      <c r="Y137" s="1">
        <v>0</v>
      </c>
      <c r="AA137" s="1">
        <v>34185</v>
      </c>
      <c r="AB137" s="30"/>
      <c r="AC137" s="1">
        <v>0</v>
      </c>
      <c r="AE137" s="1">
        <v>0</v>
      </c>
      <c r="AG137" s="1">
        <f t="shared" si="10"/>
        <v>22049943</v>
      </c>
      <c r="AH137" s="1"/>
      <c r="AI137" s="1">
        <f t="shared" si="11"/>
        <v>23914816</v>
      </c>
    </row>
    <row r="138" spans="1:35" ht="12" customHeight="1">
      <c r="A138" s="17" t="s">
        <v>265</v>
      </c>
      <c r="B138" s="17"/>
      <c r="C138" s="17" t="s">
        <v>114</v>
      </c>
      <c r="D138" s="17"/>
      <c r="E138" s="13">
        <v>46433</v>
      </c>
      <c r="F138" s="31"/>
      <c r="G138" s="1">
        <v>2536176</v>
      </c>
      <c r="I138" s="1">
        <v>1002536</v>
      </c>
      <c r="K138" s="1">
        <v>0</v>
      </c>
      <c r="M138" s="1">
        <f t="shared" si="7"/>
        <v>3538712</v>
      </c>
      <c r="O138" s="1">
        <f>1867086+277866+304240+36058</f>
        <v>2485250</v>
      </c>
      <c r="Q138" s="1">
        <v>986986</v>
      </c>
      <c r="S138" s="1">
        <v>4969102</v>
      </c>
      <c r="U138" s="1">
        <v>50114</v>
      </c>
      <c r="W138" s="1">
        <v>0</v>
      </c>
      <c r="Y138" s="1">
        <v>0</v>
      </c>
      <c r="AA138" s="1">
        <v>92559</v>
      </c>
      <c r="AB138" s="30"/>
      <c r="AC138" s="1">
        <v>0</v>
      </c>
      <c r="AE138" s="1">
        <v>0</v>
      </c>
      <c r="AG138" s="1">
        <f t="shared" si="10"/>
        <v>8584011</v>
      </c>
      <c r="AH138" s="1"/>
      <c r="AI138" s="1">
        <f t="shared" si="11"/>
        <v>12122723</v>
      </c>
    </row>
    <row r="139" spans="1:35" ht="12" customHeight="1">
      <c r="A139" s="17" t="s">
        <v>265</v>
      </c>
      <c r="B139" s="17"/>
      <c r="C139" s="17" t="s">
        <v>112</v>
      </c>
      <c r="D139" s="17"/>
      <c r="E139" s="13">
        <v>49429</v>
      </c>
      <c r="G139" s="1">
        <v>593018</v>
      </c>
      <c r="I139" s="1">
        <v>1774737</v>
      </c>
      <c r="K139" s="1">
        <v>0</v>
      </c>
      <c r="M139" s="1">
        <f t="shared" si="7"/>
        <v>2367755</v>
      </c>
      <c r="O139" s="1">
        <v>2814053</v>
      </c>
      <c r="Q139" s="1">
        <v>0</v>
      </c>
      <c r="S139" s="1">
        <v>7187886</v>
      </c>
      <c r="U139" s="1">
        <v>121027</v>
      </c>
      <c r="W139" s="1">
        <v>0</v>
      </c>
      <c r="Y139" s="1">
        <v>0</v>
      </c>
      <c r="AA139" s="1">
        <v>47036</v>
      </c>
      <c r="AB139" s="30"/>
      <c r="AC139" s="1">
        <v>0</v>
      </c>
      <c r="AE139" s="1">
        <v>0</v>
      </c>
      <c r="AG139" s="1">
        <f t="shared" si="10"/>
        <v>10170002</v>
      </c>
      <c r="AH139" s="1"/>
      <c r="AI139" s="1">
        <f t="shared" si="11"/>
        <v>12537757</v>
      </c>
    </row>
    <row r="140" spans="1:35" ht="12" hidden="1" customHeight="1">
      <c r="A140" s="12" t="s">
        <v>801</v>
      </c>
      <c r="B140" s="12"/>
      <c r="C140" s="12" t="s">
        <v>67</v>
      </c>
      <c r="D140" s="17"/>
      <c r="E140" s="13"/>
      <c r="M140" s="1">
        <f t="shared" si="7"/>
        <v>0</v>
      </c>
      <c r="AB140" s="30"/>
      <c r="AG140" s="1">
        <f t="shared" si="10"/>
        <v>0</v>
      </c>
      <c r="AH140" s="1"/>
      <c r="AI140" s="1">
        <f t="shared" si="11"/>
        <v>0</v>
      </c>
    </row>
    <row r="141" spans="1:35" ht="12" customHeight="1">
      <c r="A141" s="17" t="s">
        <v>533</v>
      </c>
      <c r="B141" s="17"/>
      <c r="C141" s="17" t="s">
        <v>56</v>
      </c>
      <c r="D141" s="17"/>
      <c r="E141" s="13">
        <v>49189</v>
      </c>
      <c r="G141" s="1">
        <v>1953739</v>
      </c>
      <c r="I141" s="1">
        <v>1831880</v>
      </c>
      <c r="K141" s="1">
        <v>99081</v>
      </c>
      <c r="M141" s="1">
        <f t="shared" si="7"/>
        <v>3884700</v>
      </c>
      <c r="O141" s="1">
        <v>7463413</v>
      </c>
      <c r="Q141" s="1">
        <v>0</v>
      </c>
      <c r="S141" s="1">
        <v>13226049</v>
      </c>
      <c r="U141" s="1">
        <v>24621</v>
      </c>
      <c r="W141" s="1">
        <v>0</v>
      </c>
      <c r="Y141" s="1">
        <v>0</v>
      </c>
      <c r="AA141" s="1">
        <v>81194</v>
      </c>
      <c r="AB141" s="30"/>
      <c r="AC141" s="1">
        <v>0</v>
      </c>
      <c r="AE141" s="1">
        <v>0</v>
      </c>
      <c r="AG141" s="1">
        <f t="shared" si="10"/>
        <v>20795277</v>
      </c>
      <c r="AH141" s="1"/>
      <c r="AI141" s="1">
        <f t="shared" si="11"/>
        <v>24679977</v>
      </c>
    </row>
    <row r="142" spans="1:35" ht="12" customHeight="1">
      <c r="A142" s="17" t="s">
        <v>721</v>
      </c>
      <c r="B142" s="17"/>
      <c r="C142" s="17" t="s">
        <v>524</v>
      </c>
      <c r="D142" s="17"/>
      <c r="E142" s="13"/>
      <c r="G142" s="1">
        <v>959776</v>
      </c>
      <c r="I142" s="1">
        <v>2344395</v>
      </c>
      <c r="K142" s="1">
        <v>0</v>
      </c>
      <c r="M142" s="1">
        <f t="shared" si="7"/>
        <v>3304171</v>
      </c>
      <c r="O142" s="1">
        <f>1142764+53231+22394</f>
        <v>1218389</v>
      </c>
      <c r="Q142" s="1">
        <v>0</v>
      </c>
      <c r="S142" s="1">
        <v>7227176</v>
      </c>
      <c r="U142" s="1">
        <v>35261</v>
      </c>
      <c r="W142" s="1">
        <v>0</v>
      </c>
      <c r="Y142" s="1">
        <v>0</v>
      </c>
      <c r="AA142" s="1">
        <v>143511</v>
      </c>
      <c r="AB142" s="30"/>
      <c r="AC142" s="1">
        <v>0</v>
      </c>
      <c r="AE142" s="1">
        <v>0</v>
      </c>
      <c r="AG142" s="1">
        <f t="shared" si="10"/>
        <v>8624337</v>
      </c>
      <c r="AH142" s="1"/>
      <c r="AI142" s="1">
        <f t="shared" si="11"/>
        <v>11928508</v>
      </c>
    </row>
    <row r="143" spans="1:35" ht="12" customHeight="1">
      <c r="A143" s="17" t="s">
        <v>589</v>
      </c>
      <c r="B143" s="17"/>
      <c r="C143" s="17" t="s">
        <v>63</v>
      </c>
      <c r="D143" s="17"/>
      <c r="E143" s="13">
        <v>43836</v>
      </c>
      <c r="G143" s="1">
        <v>4956263</v>
      </c>
      <c r="I143" s="1">
        <v>7093856</v>
      </c>
      <c r="K143" s="1">
        <v>0</v>
      </c>
      <c r="M143" s="1">
        <f t="shared" si="7"/>
        <v>12050119</v>
      </c>
      <c r="O143" s="1">
        <v>25577124</v>
      </c>
      <c r="Q143" s="1">
        <v>0</v>
      </c>
      <c r="S143" s="1">
        <v>17452617</v>
      </c>
      <c r="U143" s="1">
        <v>22365</v>
      </c>
      <c r="W143" s="1">
        <v>38498</v>
      </c>
      <c r="Y143" s="1">
        <v>0</v>
      </c>
      <c r="AA143" s="1">
        <v>9701</v>
      </c>
      <c r="AB143" s="30"/>
      <c r="AC143" s="1">
        <v>0</v>
      </c>
      <c r="AE143" s="1">
        <v>0</v>
      </c>
      <c r="AG143" s="1">
        <f t="shared" si="10"/>
        <v>43100305</v>
      </c>
      <c r="AH143" s="1"/>
      <c r="AI143" s="1">
        <f t="shared" si="11"/>
        <v>55150424</v>
      </c>
    </row>
    <row r="144" spans="1:35" ht="12" customHeight="1">
      <c r="A144" s="12" t="s">
        <v>890</v>
      </c>
      <c r="B144" s="17"/>
      <c r="C144" s="17" t="s">
        <v>20</v>
      </c>
      <c r="D144" s="17"/>
      <c r="E144" s="13">
        <v>46557</v>
      </c>
      <c r="G144" s="1">
        <v>999944</v>
      </c>
      <c r="I144" s="1">
        <v>235701</v>
      </c>
      <c r="K144" s="1">
        <v>0</v>
      </c>
      <c r="M144" s="1">
        <f t="shared" si="7"/>
        <v>1235645</v>
      </c>
      <c r="O144" s="1">
        <v>8491523</v>
      </c>
      <c r="Q144" s="1">
        <v>0</v>
      </c>
      <c r="S144" s="1">
        <v>5119148</v>
      </c>
      <c r="U144" s="1">
        <v>30679</v>
      </c>
      <c r="W144" s="1">
        <v>0</v>
      </c>
      <c r="Y144" s="1">
        <v>0</v>
      </c>
      <c r="AA144" s="1">
        <v>135983</v>
      </c>
      <c r="AB144" s="30"/>
      <c r="AC144" s="1">
        <v>0</v>
      </c>
      <c r="AE144" s="1">
        <v>0</v>
      </c>
      <c r="AG144" s="1">
        <f t="shared" si="10"/>
        <v>13777333</v>
      </c>
      <c r="AH144" s="1"/>
      <c r="AI144" s="1">
        <f t="shared" si="11"/>
        <v>15012978</v>
      </c>
    </row>
    <row r="145" spans="1:36" ht="12" customHeight="1">
      <c r="A145" s="17" t="s">
        <v>730</v>
      </c>
      <c r="B145" s="17"/>
      <c r="C145" s="17" t="s">
        <v>71</v>
      </c>
      <c r="D145" s="17"/>
      <c r="E145" s="13">
        <v>48934</v>
      </c>
      <c r="G145" s="1">
        <v>625009</v>
      </c>
      <c r="I145" s="1">
        <v>1071078</v>
      </c>
      <c r="K145" s="1">
        <v>0</v>
      </c>
      <c r="M145" s="1">
        <f t="shared" si="7"/>
        <v>1696087</v>
      </c>
      <c r="O145" s="1">
        <f>2680707+174920</f>
        <v>2855627</v>
      </c>
      <c r="Q145" s="1">
        <v>909145</v>
      </c>
      <c r="S145" s="1">
        <v>3728151</v>
      </c>
      <c r="U145" s="1">
        <v>4096</v>
      </c>
      <c r="W145" s="1">
        <v>0</v>
      </c>
      <c r="Y145" s="1">
        <v>0</v>
      </c>
      <c r="AA145" s="1">
        <v>106165</v>
      </c>
      <c r="AB145" s="30"/>
      <c r="AC145" s="1">
        <v>0</v>
      </c>
      <c r="AE145" s="1">
        <v>0</v>
      </c>
      <c r="AG145" s="1">
        <f t="shared" si="10"/>
        <v>7603184</v>
      </c>
      <c r="AH145" s="1"/>
      <c r="AI145" s="1">
        <f t="shared" si="11"/>
        <v>9299271</v>
      </c>
    </row>
    <row r="146" spans="1:36" ht="12" customHeight="1">
      <c r="A146" s="17" t="s">
        <v>520</v>
      </c>
      <c r="B146" s="17"/>
      <c r="C146" s="17" t="s">
        <v>53</v>
      </c>
      <c r="D146" s="17"/>
      <c r="E146" s="13">
        <v>48934</v>
      </c>
      <c r="G146" s="1">
        <v>482630</v>
      </c>
      <c r="I146" s="1">
        <v>520966</v>
      </c>
      <c r="K146" s="1">
        <v>0</v>
      </c>
      <c r="M146" s="1">
        <f t="shared" si="7"/>
        <v>1003596</v>
      </c>
      <c r="O146" s="1">
        <v>7674966</v>
      </c>
      <c r="Q146" s="1">
        <v>0</v>
      </c>
      <c r="S146" s="1">
        <v>1803566</v>
      </c>
      <c r="U146" s="1">
        <v>65322</v>
      </c>
      <c r="W146" s="1">
        <v>0</v>
      </c>
      <c r="Y146" s="1">
        <v>0</v>
      </c>
      <c r="AA146" s="1">
        <v>39267</v>
      </c>
      <c r="AB146" s="30"/>
      <c r="AC146" s="1">
        <v>0</v>
      </c>
      <c r="AE146" s="1">
        <v>0</v>
      </c>
      <c r="AG146" s="1">
        <f t="shared" si="10"/>
        <v>9583121</v>
      </c>
      <c r="AH146" s="1"/>
      <c r="AI146" s="1">
        <f t="shared" si="11"/>
        <v>10586717</v>
      </c>
    </row>
    <row r="147" spans="1:36" ht="12" hidden="1" customHeight="1">
      <c r="A147" s="12" t="s">
        <v>803</v>
      </c>
      <c r="B147" s="17"/>
      <c r="C147" s="17" t="s">
        <v>40</v>
      </c>
      <c r="D147" s="17"/>
      <c r="E147" s="13">
        <v>47837</v>
      </c>
      <c r="M147" s="1">
        <f t="shared" si="7"/>
        <v>0</v>
      </c>
      <c r="AB147" s="30"/>
      <c r="AG147" s="1">
        <f t="shared" si="10"/>
        <v>0</v>
      </c>
      <c r="AH147" s="1"/>
      <c r="AI147" s="1">
        <f t="shared" si="11"/>
        <v>0</v>
      </c>
    </row>
    <row r="148" spans="1:36" ht="12" customHeight="1">
      <c r="A148" s="17" t="s">
        <v>421</v>
      </c>
      <c r="B148" s="17"/>
      <c r="C148" s="17" t="s">
        <v>420</v>
      </c>
      <c r="D148" s="17"/>
      <c r="E148" s="13">
        <v>47928</v>
      </c>
      <c r="G148" s="1">
        <v>1201951</v>
      </c>
      <c r="I148" s="1">
        <v>2502246</v>
      </c>
      <c r="K148" s="1">
        <v>31</v>
      </c>
      <c r="M148" s="1">
        <f t="shared" si="7"/>
        <v>3704228</v>
      </c>
      <c r="O148" s="1">
        <f>1065811+140058+15828</f>
        <v>1221697</v>
      </c>
      <c r="Q148" s="1">
        <v>0</v>
      </c>
      <c r="S148" s="1">
        <v>8295329</v>
      </c>
      <c r="U148" s="1">
        <v>23639</v>
      </c>
      <c r="W148" s="1">
        <v>0</v>
      </c>
      <c r="Y148" s="1">
        <v>0</v>
      </c>
      <c r="AA148" s="1">
        <v>15106</v>
      </c>
      <c r="AB148" s="30"/>
      <c r="AC148" s="1">
        <v>0</v>
      </c>
      <c r="AE148" s="1">
        <v>0</v>
      </c>
      <c r="AG148" s="1">
        <f t="shared" si="10"/>
        <v>9555771</v>
      </c>
      <c r="AH148" s="1"/>
      <c r="AI148" s="1">
        <f t="shared" si="11"/>
        <v>13259999</v>
      </c>
    </row>
    <row r="149" spans="1:36" ht="12" customHeight="1">
      <c r="A149" s="17" t="s">
        <v>496</v>
      </c>
      <c r="B149" s="17"/>
      <c r="C149" s="17" t="s">
        <v>50</v>
      </c>
      <c r="D149" s="17"/>
      <c r="E149" s="13">
        <v>43844</v>
      </c>
      <c r="G149" s="1">
        <v>4639046</v>
      </c>
      <c r="I149" s="1">
        <v>57533689</v>
      </c>
      <c r="K149" s="1">
        <v>0</v>
      </c>
      <c r="M149" s="1">
        <f t="shared" si="7"/>
        <v>62172735</v>
      </c>
      <c r="O149" s="1">
        <f>63864510+11412497+654684+654683</f>
        <v>76586374</v>
      </c>
      <c r="Q149" s="1">
        <v>0</v>
      </c>
      <c r="S149" s="1">
        <v>166650134</v>
      </c>
      <c r="U149" s="1">
        <v>-6557960</v>
      </c>
      <c r="W149" s="1">
        <v>0</v>
      </c>
      <c r="Y149" s="1">
        <v>131000</v>
      </c>
      <c r="AA149" s="1">
        <v>4493342</v>
      </c>
      <c r="AB149" s="30"/>
      <c r="AC149" s="1">
        <v>0</v>
      </c>
      <c r="AE149" s="1">
        <v>0</v>
      </c>
      <c r="AG149" s="1">
        <f t="shared" si="10"/>
        <v>241302890</v>
      </c>
      <c r="AH149" s="1"/>
      <c r="AI149" s="1">
        <f>+AG149+M149</f>
        <v>303475625</v>
      </c>
    </row>
    <row r="150" spans="1:36" ht="12" customHeight="1">
      <c r="A150" s="12" t="s">
        <v>804</v>
      </c>
      <c r="B150" s="17"/>
      <c r="C150" s="17" t="s">
        <v>32</v>
      </c>
      <c r="D150" s="17"/>
      <c r="E150" s="13">
        <v>43851</v>
      </c>
      <c r="G150" s="1">
        <v>557826</v>
      </c>
      <c r="I150" s="1">
        <v>1669531</v>
      </c>
      <c r="K150" s="1">
        <v>0</v>
      </c>
      <c r="M150" s="1">
        <f t="shared" si="7"/>
        <v>2227357</v>
      </c>
      <c r="O150" s="1">
        <f>8636302+412849</f>
        <v>9049151</v>
      </c>
      <c r="Q150" s="1">
        <v>0</v>
      </c>
      <c r="S150" s="1">
        <v>4760605</v>
      </c>
      <c r="U150" s="1">
        <v>17928</v>
      </c>
      <c r="W150" s="1">
        <v>637078</v>
      </c>
      <c r="Y150" s="1">
        <v>14700</v>
      </c>
      <c r="AA150" s="1">
        <v>111397</v>
      </c>
      <c r="AB150" s="30"/>
      <c r="AC150" s="1">
        <v>0</v>
      </c>
      <c r="AE150" s="1">
        <v>0</v>
      </c>
      <c r="AG150" s="1">
        <f>SUM(O150:AE150)</f>
        <v>14590859</v>
      </c>
      <c r="AH150" s="1"/>
      <c r="AI150" s="1">
        <f>+AG150+M150</f>
        <v>16818216</v>
      </c>
    </row>
    <row r="151" spans="1:36" ht="12" hidden="1" customHeight="1">
      <c r="A151" s="12" t="s">
        <v>805</v>
      </c>
      <c r="B151" s="17"/>
      <c r="C151" s="17" t="s">
        <v>22</v>
      </c>
      <c r="D151" s="17"/>
      <c r="E151" s="13">
        <v>43869</v>
      </c>
      <c r="M151" s="1">
        <f t="shared" si="7"/>
        <v>0</v>
      </c>
      <c r="AB151" s="30"/>
      <c r="AG151" s="1">
        <f>SUM(O151:AE151)</f>
        <v>0</v>
      </c>
      <c r="AH151" s="1"/>
      <c r="AI151" s="1">
        <f>+AG151+M151</f>
        <v>0</v>
      </c>
    </row>
    <row r="152" spans="1:36" ht="12" customHeight="1">
      <c r="A152" s="12" t="s">
        <v>806</v>
      </c>
      <c r="B152" s="12"/>
      <c r="C152" s="12" t="s">
        <v>23</v>
      </c>
      <c r="D152" s="17"/>
      <c r="E152" s="13"/>
      <c r="G152" s="1">
        <v>2785195</v>
      </c>
      <c r="I152" s="1">
        <v>5389975</v>
      </c>
      <c r="K152" s="1">
        <v>0</v>
      </c>
      <c r="M152" s="1">
        <f t="shared" si="7"/>
        <v>8175170</v>
      </c>
      <c r="O152" s="1">
        <f>22450075+2972585+1746642</f>
        <v>27169302</v>
      </c>
      <c r="Q152" s="1">
        <v>0</v>
      </c>
      <c r="S152" s="1">
        <v>17780710</v>
      </c>
      <c r="U152" s="1">
        <v>16871</v>
      </c>
      <c r="W152" s="1">
        <v>0</v>
      </c>
      <c r="Y152" s="1">
        <v>0</v>
      </c>
      <c r="AA152" s="1">
        <v>420930</v>
      </c>
      <c r="AB152" s="30"/>
      <c r="AC152" s="1">
        <v>0</v>
      </c>
      <c r="AE152" s="1">
        <v>0</v>
      </c>
      <c r="AG152" s="1">
        <f t="shared" ref="AG152:AG153" si="12">SUM(O152:AE152)</f>
        <v>45387813</v>
      </c>
      <c r="AH152" s="1"/>
      <c r="AI152" s="1">
        <f t="shared" ref="AI152:AI154" si="13">+AG152+M152</f>
        <v>53562983</v>
      </c>
    </row>
    <row r="153" spans="1:36" s="1" customFormat="1" ht="12" customHeight="1">
      <c r="A153" s="12" t="s">
        <v>204</v>
      </c>
      <c r="B153" s="12"/>
      <c r="C153" s="12" t="s">
        <v>10</v>
      </c>
      <c r="D153" s="12"/>
      <c r="E153" s="13">
        <v>43885</v>
      </c>
      <c r="F153" s="8"/>
      <c r="G153" s="1">
        <v>1115732</v>
      </c>
      <c r="I153" s="1">
        <v>2247605</v>
      </c>
      <c r="K153" s="1">
        <v>4970</v>
      </c>
      <c r="M153" s="1">
        <f t="shared" ref="M153:M226" si="14">SUM(G153:L153)</f>
        <v>3368307</v>
      </c>
      <c r="O153" s="1">
        <v>4334569</v>
      </c>
      <c r="Q153" s="1">
        <v>0</v>
      </c>
      <c r="S153" s="1">
        <v>3968720</v>
      </c>
      <c r="U153" s="1">
        <v>21522</v>
      </c>
      <c r="W153" s="1">
        <v>38562</v>
      </c>
      <c r="Y153" s="1">
        <v>0</v>
      </c>
      <c r="AA153" s="1">
        <v>55293</v>
      </c>
      <c r="AB153" s="30"/>
      <c r="AC153" s="1">
        <v>0</v>
      </c>
      <c r="AE153" s="1">
        <v>0</v>
      </c>
      <c r="AG153" s="1">
        <f t="shared" si="12"/>
        <v>8418666</v>
      </c>
      <c r="AI153" s="1">
        <f t="shared" si="13"/>
        <v>11786973</v>
      </c>
    </row>
    <row r="154" spans="1:36" ht="12" customHeight="1">
      <c r="A154" s="17" t="s">
        <v>619</v>
      </c>
      <c r="B154" s="17"/>
      <c r="C154" s="17" t="s">
        <v>65</v>
      </c>
      <c r="D154" s="17"/>
      <c r="E154" s="13">
        <v>43893</v>
      </c>
      <c r="G154" s="1">
        <v>1035233</v>
      </c>
      <c r="I154" s="1">
        <v>2190340</v>
      </c>
      <c r="K154" s="1">
        <v>27614</v>
      </c>
      <c r="M154" s="1">
        <f t="shared" si="14"/>
        <v>3253187</v>
      </c>
      <c r="O154" s="1">
        <f>11652287+569324+110002</f>
        <v>12331613</v>
      </c>
      <c r="Q154" s="1">
        <v>0</v>
      </c>
      <c r="S154" s="1">
        <v>10135289</v>
      </c>
      <c r="U154" s="1">
        <v>6593</v>
      </c>
      <c r="W154" s="1">
        <v>0</v>
      </c>
      <c r="Y154" s="1">
        <v>0</v>
      </c>
      <c r="AA154" s="1">
        <v>84849</v>
      </c>
      <c r="AB154" s="30"/>
      <c r="AC154" s="1">
        <v>0</v>
      </c>
      <c r="AE154" s="1">
        <v>0</v>
      </c>
      <c r="AG154" s="1">
        <f t="shared" ref="AG154:AG226" si="15">SUM(O154:AE154)</f>
        <v>22558344</v>
      </c>
      <c r="AH154" s="1"/>
      <c r="AI154" s="1">
        <f t="shared" si="13"/>
        <v>25811531</v>
      </c>
      <c r="AJ154" s="18" t="s">
        <v>131</v>
      </c>
    </row>
    <row r="155" spans="1:36" s="1" customFormat="1" ht="12" customHeight="1">
      <c r="A155" s="12" t="s">
        <v>332</v>
      </c>
      <c r="B155" s="12"/>
      <c r="C155" s="12" t="s">
        <v>27</v>
      </c>
      <c r="D155" s="12"/>
      <c r="E155" s="13">
        <v>47027</v>
      </c>
      <c r="G155" s="1">
        <v>2791000</v>
      </c>
      <c r="I155" s="1">
        <v>5774000</v>
      </c>
      <c r="K155" s="1">
        <v>0</v>
      </c>
      <c r="M155" s="1">
        <f t="shared" si="14"/>
        <v>8565000</v>
      </c>
      <c r="O155" s="1">
        <v>143894000</v>
      </c>
      <c r="Q155" s="1">
        <v>0</v>
      </c>
      <c r="S155" s="1">
        <v>35714000</v>
      </c>
      <c r="U155" s="1">
        <v>916000</v>
      </c>
      <c r="W155" s="1">
        <v>0</v>
      </c>
      <c r="Y155" s="1">
        <v>0</v>
      </c>
      <c r="AA155" s="1">
        <v>225000</v>
      </c>
      <c r="AB155" s="30"/>
      <c r="AC155" s="1">
        <v>-263000</v>
      </c>
      <c r="AE155" s="1">
        <v>0</v>
      </c>
      <c r="AG155" s="1">
        <f t="shared" si="15"/>
        <v>180486000</v>
      </c>
      <c r="AI155" s="1">
        <f t="shared" ref="AI155:AI226" si="16">+AG155+M155</f>
        <v>189051000</v>
      </c>
    </row>
    <row r="156" spans="1:36" ht="12" customHeight="1">
      <c r="A156" s="12" t="s">
        <v>288</v>
      </c>
      <c r="B156" s="17"/>
      <c r="C156" s="17" t="s">
        <v>20</v>
      </c>
      <c r="D156" s="17"/>
      <c r="E156" s="13">
        <v>43901</v>
      </c>
      <c r="G156" s="1">
        <v>4438531</v>
      </c>
      <c r="I156" s="1">
        <v>12201512</v>
      </c>
      <c r="K156" s="1">
        <v>0</v>
      </c>
      <c r="M156" s="1">
        <f t="shared" si="14"/>
        <v>16640043</v>
      </c>
      <c r="O156" s="1">
        <f>9508431+855217+46538</f>
        <v>10410186</v>
      </c>
      <c r="Q156" s="1">
        <v>0</v>
      </c>
      <c r="S156" s="1">
        <v>36235501</v>
      </c>
      <c r="U156" s="1">
        <v>248263</v>
      </c>
      <c r="W156" s="1">
        <v>0</v>
      </c>
      <c r="Y156" s="1">
        <v>0</v>
      </c>
      <c r="AA156" s="1">
        <v>234736</v>
      </c>
      <c r="AB156" s="30"/>
      <c r="AC156" s="1">
        <v>0</v>
      </c>
      <c r="AE156" s="1">
        <v>0</v>
      </c>
      <c r="AG156" s="1">
        <f t="shared" si="15"/>
        <v>47128686</v>
      </c>
      <c r="AH156" s="1"/>
      <c r="AI156" s="1">
        <f t="shared" si="16"/>
        <v>63768729</v>
      </c>
    </row>
    <row r="157" spans="1:36" ht="12" customHeight="1">
      <c r="A157" s="17" t="s">
        <v>261</v>
      </c>
      <c r="B157" s="17"/>
      <c r="C157" s="17" t="s">
        <v>18</v>
      </c>
      <c r="D157" s="17"/>
      <c r="E157" s="13">
        <v>46409</v>
      </c>
      <c r="F157" s="31"/>
      <c r="G157" s="1">
        <v>1024917</v>
      </c>
      <c r="I157" s="1">
        <v>2280155</v>
      </c>
      <c r="K157" s="1">
        <v>115158</v>
      </c>
      <c r="M157" s="1">
        <f t="shared" si="14"/>
        <v>3420230</v>
      </c>
      <c r="O157" s="1">
        <f>2481184+217933+309339+50367</f>
        <v>3058823</v>
      </c>
      <c r="Q157" s="1">
        <v>0</v>
      </c>
      <c r="S157" s="1">
        <v>7732180</v>
      </c>
      <c r="U157" s="1">
        <v>58853</v>
      </c>
      <c r="W157" s="1">
        <v>0</v>
      </c>
      <c r="Y157" s="1">
        <v>5800</v>
      </c>
      <c r="AA157" s="1">
        <v>114645</v>
      </c>
      <c r="AB157" s="30"/>
      <c r="AC157" s="1">
        <v>0</v>
      </c>
      <c r="AE157" s="1">
        <v>0</v>
      </c>
      <c r="AG157" s="1">
        <f t="shared" si="15"/>
        <v>10970301</v>
      </c>
      <c r="AH157" s="1"/>
      <c r="AI157" s="1">
        <f t="shared" si="16"/>
        <v>14390531</v>
      </c>
    </row>
    <row r="158" spans="1:36" ht="12.75" customHeight="1">
      <c r="A158" s="17" t="s">
        <v>361</v>
      </c>
      <c r="B158" s="17"/>
      <c r="C158" s="17" t="s">
        <v>31</v>
      </c>
      <c r="D158" s="17"/>
      <c r="E158" s="13">
        <v>69682</v>
      </c>
      <c r="G158" s="1">
        <v>1243137</v>
      </c>
      <c r="I158" s="1">
        <v>1929450</v>
      </c>
      <c r="K158" s="1">
        <v>0</v>
      </c>
      <c r="M158" s="1">
        <f t="shared" si="14"/>
        <v>3172587</v>
      </c>
      <c r="O158" s="1">
        <f>1862263+559764+35754</f>
        <v>2457781</v>
      </c>
      <c r="Q158" s="1">
        <v>0</v>
      </c>
      <c r="S158" s="1">
        <f>6599422+1038863</f>
        <v>7638285</v>
      </c>
      <c r="U158" s="1">
        <v>39564</v>
      </c>
      <c r="W158" s="1">
        <v>0</v>
      </c>
      <c r="Y158" s="1">
        <v>36079</v>
      </c>
      <c r="AA158" s="1">
        <v>56768</v>
      </c>
      <c r="AB158" s="30"/>
      <c r="AC158" s="1">
        <v>0</v>
      </c>
      <c r="AE158" s="1">
        <v>0</v>
      </c>
      <c r="AG158" s="1">
        <f t="shared" si="15"/>
        <v>10228477</v>
      </c>
      <c r="AH158" s="1"/>
      <c r="AI158" s="1">
        <f t="shared" si="16"/>
        <v>13401064</v>
      </c>
    </row>
    <row r="159" spans="1:36" ht="12" customHeight="1">
      <c r="A159" s="17" t="s">
        <v>401</v>
      </c>
      <c r="B159" s="17"/>
      <c r="C159" s="17" t="s">
        <v>36</v>
      </c>
      <c r="D159" s="17"/>
      <c r="E159" s="13">
        <v>47688</v>
      </c>
      <c r="G159" s="1">
        <v>1368233</v>
      </c>
      <c r="I159" s="1">
        <v>3053614</v>
      </c>
      <c r="K159" s="1">
        <v>0</v>
      </c>
      <c r="M159" s="1">
        <f t="shared" si="14"/>
        <v>4421847</v>
      </c>
      <c r="O159" s="1">
        <f>7353626+236250+320646</f>
        <v>7910522</v>
      </c>
      <c r="Q159" s="1">
        <v>0</v>
      </c>
      <c r="S159" s="1">
        <v>6678898</v>
      </c>
      <c r="U159" s="1">
        <v>105866</v>
      </c>
      <c r="W159" s="1">
        <v>0</v>
      </c>
      <c r="Y159" s="1">
        <v>0</v>
      </c>
      <c r="AA159" s="1">
        <v>67075</v>
      </c>
      <c r="AB159" s="30"/>
      <c r="AC159" s="1">
        <v>0</v>
      </c>
      <c r="AE159" s="1">
        <v>0</v>
      </c>
      <c r="AG159" s="1">
        <f t="shared" si="15"/>
        <v>14762361</v>
      </c>
      <c r="AH159" s="1"/>
      <c r="AI159" s="1">
        <f t="shared" si="16"/>
        <v>19184208</v>
      </c>
    </row>
    <row r="160" spans="1:36" ht="12" hidden="1" customHeight="1">
      <c r="A160" s="12" t="s">
        <v>807</v>
      </c>
      <c r="B160" s="12"/>
      <c r="C160" s="12" t="s">
        <v>40</v>
      </c>
      <c r="D160" s="17"/>
      <c r="E160" s="13"/>
      <c r="M160" s="1">
        <f t="shared" si="14"/>
        <v>0</v>
      </c>
      <c r="AB160" s="30"/>
      <c r="AG160" s="1">
        <f t="shared" si="15"/>
        <v>0</v>
      </c>
      <c r="AH160" s="1"/>
      <c r="AI160" s="1">
        <f t="shared" si="16"/>
        <v>0</v>
      </c>
    </row>
    <row r="161" spans="1:35" ht="12" customHeight="1">
      <c r="A161" s="17" t="s">
        <v>266</v>
      </c>
      <c r="B161" s="17"/>
      <c r="C161" s="17" t="s">
        <v>114</v>
      </c>
      <c r="D161" s="17"/>
      <c r="E161" s="13">
        <v>43919</v>
      </c>
      <c r="F161" s="31"/>
      <c r="G161" s="1">
        <v>1246059</v>
      </c>
      <c r="I161" s="1">
        <v>6019211</v>
      </c>
      <c r="K161" s="1">
        <v>0</v>
      </c>
      <c r="M161" s="1">
        <f t="shared" si="14"/>
        <v>7265270</v>
      </c>
      <c r="O161" s="1">
        <f>3781621+248011+62351</f>
        <v>4091983</v>
      </c>
      <c r="Q161" s="1">
        <v>0</v>
      </c>
      <c r="S161" s="1">
        <v>16722446</v>
      </c>
      <c r="U161" s="1">
        <v>57228</v>
      </c>
      <c r="W161" s="1">
        <v>0</v>
      </c>
      <c r="Y161" s="1">
        <v>0</v>
      </c>
      <c r="AA161" s="1">
        <v>67357</v>
      </c>
      <c r="AB161" s="30"/>
      <c r="AC161" s="1">
        <v>0</v>
      </c>
      <c r="AE161" s="1">
        <v>0</v>
      </c>
      <c r="AG161" s="1">
        <f t="shared" si="15"/>
        <v>20939014</v>
      </c>
      <c r="AH161" s="1"/>
      <c r="AI161" s="1">
        <f t="shared" si="16"/>
        <v>28204284</v>
      </c>
    </row>
    <row r="162" spans="1:35" ht="12" customHeight="1">
      <c r="A162" s="17" t="s">
        <v>511</v>
      </c>
      <c r="B162" s="17"/>
      <c r="C162" s="17" t="s">
        <v>51</v>
      </c>
      <c r="D162" s="17"/>
      <c r="E162" s="13">
        <v>48835</v>
      </c>
      <c r="G162" s="1">
        <v>1959950</v>
      </c>
      <c r="I162" s="1">
        <v>1886303</v>
      </c>
      <c r="K162" s="1">
        <v>0</v>
      </c>
      <c r="M162" s="1">
        <f t="shared" si="14"/>
        <v>3846253</v>
      </c>
      <c r="O162" s="1">
        <f>4328824+427713+509393+78951</f>
        <v>5344881</v>
      </c>
      <c r="Q162" s="1">
        <v>0</v>
      </c>
      <c r="S162" s="1">
        <v>10076084</v>
      </c>
      <c r="U162" s="1">
        <v>128606</v>
      </c>
      <c r="W162" s="1">
        <v>0</v>
      </c>
      <c r="Y162" s="1">
        <v>3544</v>
      </c>
      <c r="AA162" s="1">
        <v>93408</v>
      </c>
      <c r="AB162" s="30"/>
      <c r="AC162" s="1">
        <v>0</v>
      </c>
      <c r="AE162" s="1">
        <v>0</v>
      </c>
      <c r="AG162" s="1">
        <f t="shared" si="15"/>
        <v>15646523</v>
      </c>
      <c r="AH162" s="1"/>
      <c r="AI162" s="1">
        <f t="shared" si="16"/>
        <v>19492776</v>
      </c>
    </row>
    <row r="163" spans="1:35" ht="12" customHeight="1">
      <c r="A163" s="17" t="s">
        <v>267</v>
      </c>
      <c r="B163" s="17"/>
      <c r="C163" s="17" t="s">
        <v>114</v>
      </c>
      <c r="D163" s="17"/>
      <c r="E163" s="13">
        <v>43927</v>
      </c>
      <c r="F163" s="31"/>
      <c r="G163" s="1">
        <v>690863</v>
      </c>
      <c r="I163" s="1">
        <v>1185986</v>
      </c>
      <c r="K163" s="1">
        <v>119673</v>
      </c>
      <c r="M163" s="1">
        <f t="shared" si="14"/>
        <v>1996522</v>
      </c>
      <c r="O163" s="1">
        <f>2110620+333563+491856+41084</f>
        <v>2977123</v>
      </c>
      <c r="Q163" s="1">
        <v>0</v>
      </c>
      <c r="S163" s="1">
        <v>7427315</v>
      </c>
      <c r="U163" s="1">
        <v>14921</v>
      </c>
      <c r="W163" s="1">
        <v>0</v>
      </c>
      <c r="Y163" s="1">
        <v>0</v>
      </c>
      <c r="AA163" s="1">
        <v>10393</v>
      </c>
      <c r="AB163" s="30"/>
      <c r="AC163" s="1">
        <v>0</v>
      </c>
      <c r="AE163" s="1">
        <v>0</v>
      </c>
      <c r="AG163" s="1">
        <f t="shared" si="15"/>
        <v>10429752</v>
      </c>
      <c r="AH163" s="1"/>
      <c r="AI163" s="1">
        <f t="shared" si="16"/>
        <v>12426274</v>
      </c>
    </row>
    <row r="164" spans="1:35" ht="12" customHeight="1">
      <c r="A164" s="17" t="s">
        <v>223</v>
      </c>
      <c r="B164" s="17"/>
      <c r="C164" s="17" t="s">
        <v>77</v>
      </c>
      <c r="D164" s="17"/>
      <c r="E164" s="13">
        <v>46037</v>
      </c>
      <c r="F164" s="31"/>
      <c r="G164" s="1">
        <v>1161161</v>
      </c>
      <c r="I164" s="1">
        <v>2181055</v>
      </c>
      <c r="K164" s="1">
        <v>0</v>
      </c>
      <c r="M164" s="1">
        <f t="shared" si="14"/>
        <v>3342216</v>
      </c>
      <c r="O164" s="1">
        <f>2887003+52417+672042+110234</f>
        <v>3721696</v>
      </c>
      <c r="Q164" s="1">
        <v>0</v>
      </c>
      <c r="S164" s="1">
        <f>7669419+7743402</f>
        <v>15412821</v>
      </c>
      <c r="U164" s="1">
        <v>31412</v>
      </c>
      <c r="W164" s="1">
        <v>55617</v>
      </c>
      <c r="Y164" s="1">
        <v>24907</v>
      </c>
      <c r="AA164" s="1">
        <v>133960</v>
      </c>
      <c r="AB164" s="30"/>
      <c r="AC164" s="1">
        <v>0</v>
      </c>
      <c r="AE164" s="1">
        <v>-830825</v>
      </c>
      <c r="AG164" s="1">
        <f t="shared" si="15"/>
        <v>18549588</v>
      </c>
      <c r="AH164" s="1"/>
      <c r="AI164" s="1">
        <f t="shared" si="16"/>
        <v>21891804</v>
      </c>
    </row>
    <row r="165" spans="1:35" ht="12" customHeight="1">
      <c r="A165" s="17" t="s">
        <v>223</v>
      </c>
      <c r="B165" s="17"/>
      <c r="C165" s="17" t="s">
        <v>484</v>
      </c>
      <c r="D165" s="17"/>
      <c r="E165" s="13">
        <v>48512</v>
      </c>
      <c r="F165" s="31"/>
      <c r="G165" s="1">
        <v>858098</v>
      </c>
      <c r="I165" s="1">
        <v>5234476</v>
      </c>
      <c r="K165" s="1">
        <v>0</v>
      </c>
      <c r="M165" s="1">
        <f t="shared" si="14"/>
        <v>6092574</v>
      </c>
      <c r="O165" s="1">
        <f>534644+58777+9738</f>
        <v>603159</v>
      </c>
      <c r="Q165" s="1">
        <v>0</v>
      </c>
      <c r="S165" s="1">
        <v>1264024</v>
      </c>
      <c r="U165" s="1">
        <v>18009</v>
      </c>
      <c r="W165" s="1">
        <v>0</v>
      </c>
      <c r="Y165" s="1">
        <v>0</v>
      </c>
      <c r="AA165" s="1">
        <v>31703</v>
      </c>
      <c r="AB165" s="30"/>
      <c r="AC165" s="1">
        <v>0</v>
      </c>
      <c r="AE165" s="1">
        <v>0</v>
      </c>
      <c r="AG165" s="1">
        <f t="shared" si="15"/>
        <v>1916895</v>
      </c>
      <c r="AH165" s="1"/>
      <c r="AI165" s="1">
        <f t="shared" si="16"/>
        <v>8009469</v>
      </c>
    </row>
    <row r="166" spans="1:35" ht="12" hidden="1" customHeight="1">
      <c r="A166" s="12" t="s">
        <v>808</v>
      </c>
      <c r="B166" s="17"/>
      <c r="C166" s="17" t="s">
        <v>55</v>
      </c>
      <c r="D166" s="17"/>
      <c r="E166" s="13">
        <v>49122</v>
      </c>
      <c r="M166" s="1">
        <f t="shared" si="14"/>
        <v>0</v>
      </c>
      <c r="AB166" s="30"/>
      <c r="AG166" s="1">
        <f t="shared" si="15"/>
        <v>0</v>
      </c>
      <c r="AH166" s="1"/>
      <c r="AI166" s="1">
        <f t="shared" si="16"/>
        <v>0</v>
      </c>
    </row>
    <row r="167" spans="1:35" ht="12" customHeight="1">
      <c r="A167" s="17" t="s">
        <v>647</v>
      </c>
      <c r="B167" s="17"/>
      <c r="C167" s="17" t="s">
        <v>72</v>
      </c>
      <c r="D167" s="17"/>
      <c r="E167" s="13">
        <v>50674</v>
      </c>
      <c r="G167" s="1">
        <v>1356189</v>
      </c>
      <c r="I167" s="1">
        <v>1452021</v>
      </c>
      <c r="K167" s="1">
        <v>0</v>
      </c>
      <c r="M167" s="1">
        <f t="shared" si="14"/>
        <v>2808210</v>
      </c>
      <c r="O167" s="1">
        <f>4530973+290576+217466</f>
        <v>5039015</v>
      </c>
      <c r="Q167" s="1">
        <v>1731990</v>
      </c>
      <c r="S167" s="1">
        <v>7392334</v>
      </c>
      <c r="U167" s="1">
        <v>206231</v>
      </c>
      <c r="W167" s="1">
        <v>480000</v>
      </c>
      <c r="Y167" s="1">
        <v>0</v>
      </c>
      <c r="AA167" s="1">
        <v>72046</v>
      </c>
      <c r="AB167" s="30"/>
      <c r="AC167" s="1">
        <v>0</v>
      </c>
      <c r="AE167" s="1">
        <v>0</v>
      </c>
      <c r="AG167" s="1">
        <f t="shared" si="15"/>
        <v>14921616</v>
      </c>
      <c r="AH167" s="1"/>
      <c r="AI167" s="1">
        <f t="shared" si="16"/>
        <v>17729826</v>
      </c>
    </row>
    <row r="168" spans="1:35" ht="12" customHeight="1">
      <c r="A168" s="17" t="s">
        <v>835</v>
      </c>
      <c r="B168" s="17"/>
      <c r="C168" s="17" t="s">
        <v>57</v>
      </c>
      <c r="D168" s="17"/>
      <c r="E168" s="13">
        <v>43935</v>
      </c>
      <c r="G168" s="1">
        <v>1154033</v>
      </c>
      <c r="I168" s="1">
        <v>2128487</v>
      </c>
      <c r="K168" s="1">
        <v>0</v>
      </c>
      <c r="M168" s="1">
        <f t="shared" si="14"/>
        <v>3282520</v>
      </c>
      <c r="O168" s="1">
        <f>4892892+1391315</f>
        <v>6284207</v>
      </c>
      <c r="Q168" s="1">
        <v>3568402</v>
      </c>
      <c r="S168" s="1">
        <v>9296383</v>
      </c>
      <c r="U168" s="1">
        <v>51355</v>
      </c>
      <c r="W168" s="1">
        <v>0</v>
      </c>
      <c r="Y168" s="1">
        <v>0</v>
      </c>
      <c r="AA168" s="1">
        <v>141400</v>
      </c>
      <c r="AB168" s="30"/>
      <c r="AC168" s="1">
        <v>0</v>
      </c>
      <c r="AE168" s="1">
        <v>0</v>
      </c>
      <c r="AG168" s="1">
        <f t="shared" si="15"/>
        <v>19341747</v>
      </c>
      <c r="AH168" s="1"/>
      <c r="AI168" s="1">
        <f t="shared" si="16"/>
        <v>22624267</v>
      </c>
    </row>
    <row r="169" spans="1:35" ht="12" hidden="1" customHeight="1">
      <c r="A169" s="17" t="s">
        <v>809</v>
      </c>
      <c r="B169" s="17"/>
      <c r="C169" s="17" t="s">
        <v>643</v>
      </c>
      <c r="D169" s="17"/>
      <c r="E169" s="13">
        <v>50617</v>
      </c>
      <c r="M169" s="1">
        <f t="shared" si="14"/>
        <v>0</v>
      </c>
      <c r="AB169" s="30"/>
      <c r="AG169" s="1">
        <f t="shared" si="15"/>
        <v>0</v>
      </c>
      <c r="AH169" s="1"/>
      <c r="AI169" s="1">
        <f t="shared" si="16"/>
        <v>0</v>
      </c>
    </row>
    <row r="170" spans="1:35" ht="12" customHeight="1">
      <c r="A170" s="17" t="s">
        <v>226</v>
      </c>
      <c r="B170" s="17"/>
      <c r="C170" s="17" t="s">
        <v>227</v>
      </c>
      <c r="D170" s="17"/>
      <c r="E170" s="13">
        <v>46094</v>
      </c>
      <c r="F170" s="31"/>
      <c r="G170" s="1">
        <v>1722503</v>
      </c>
      <c r="I170" s="1">
        <v>3889367</v>
      </c>
      <c r="K170" s="1">
        <v>25000</v>
      </c>
      <c r="M170" s="1">
        <f t="shared" si="14"/>
        <v>5636870</v>
      </c>
      <c r="O170" s="1">
        <f>9725584+1834067+801946</f>
        <v>12361597</v>
      </c>
      <c r="Q170" s="1">
        <v>0</v>
      </c>
      <c r="S170" s="1">
        <f>16814317+20651699</f>
        <v>37466016</v>
      </c>
      <c r="U170" s="1">
        <v>214329</v>
      </c>
      <c r="W170" s="1">
        <v>701266</v>
      </c>
      <c r="Y170" s="1">
        <v>0</v>
      </c>
      <c r="AA170" s="1">
        <v>37186</v>
      </c>
      <c r="AB170" s="30"/>
      <c r="AC170" s="1">
        <v>0</v>
      </c>
      <c r="AE170" s="1">
        <v>0</v>
      </c>
      <c r="AG170" s="1">
        <f t="shared" si="15"/>
        <v>50780394</v>
      </c>
      <c r="AH170" s="1"/>
      <c r="AI170" s="1">
        <f t="shared" si="16"/>
        <v>56417264</v>
      </c>
    </row>
    <row r="171" spans="1:35" ht="12" customHeight="1">
      <c r="A171" s="17"/>
      <c r="B171" s="17"/>
      <c r="C171" s="17"/>
      <c r="D171" s="17"/>
      <c r="E171" s="13"/>
      <c r="F171" s="31"/>
      <c r="AB171" s="30"/>
      <c r="AH171" s="1"/>
    </row>
    <row r="172" spans="1:35" ht="12" customHeight="1">
      <c r="A172" s="17"/>
      <c r="B172" s="17"/>
      <c r="C172" s="17"/>
      <c r="D172" s="17"/>
      <c r="E172" s="13"/>
      <c r="F172" s="31"/>
      <c r="AB172" s="30"/>
      <c r="AH172" s="1"/>
      <c r="AI172" s="20" t="s">
        <v>709</v>
      </c>
    </row>
    <row r="173" spans="1:35" ht="12" customHeight="1">
      <c r="A173" s="17"/>
      <c r="B173" s="17"/>
      <c r="C173" s="17"/>
      <c r="D173" s="17"/>
      <c r="E173" s="13"/>
      <c r="F173" s="31"/>
      <c r="AB173" s="30"/>
      <c r="AH173" s="1"/>
    </row>
    <row r="174" spans="1:35" ht="12" customHeight="1">
      <c r="A174" s="17" t="s">
        <v>410</v>
      </c>
      <c r="B174" s="17"/>
      <c r="C174" s="17" t="s">
        <v>39</v>
      </c>
      <c r="D174" s="17"/>
      <c r="E174" s="13">
        <v>47795</v>
      </c>
      <c r="G174" s="16">
        <v>1132022</v>
      </c>
      <c r="H174" s="16"/>
      <c r="I174" s="16">
        <v>3669978</v>
      </c>
      <c r="J174" s="16"/>
      <c r="K174" s="16">
        <v>0</v>
      </c>
      <c r="L174" s="16"/>
      <c r="M174" s="16">
        <f t="shared" si="14"/>
        <v>4802000</v>
      </c>
      <c r="N174" s="16"/>
      <c r="O174" s="16">
        <v>8200456</v>
      </c>
      <c r="P174" s="16"/>
      <c r="Q174" s="16">
        <v>0</v>
      </c>
      <c r="R174" s="16"/>
      <c r="S174" s="16">
        <v>9208687</v>
      </c>
      <c r="T174" s="16"/>
      <c r="U174" s="16">
        <v>2518</v>
      </c>
      <c r="V174" s="16"/>
      <c r="W174" s="16">
        <v>0</v>
      </c>
      <c r="X174" s="16"/>
      <c r="Y174" s="16">
        <v>0</v>
      </c>
      <c r="Z174" s="16"/>
      <c r="AA174" s="16">
        <v>172444</v>
      </c>
      <c r="AB174" s="29"/>
      <c r="AC174" s="16">
        <v>0</v>
      </c>
      <c r="AD174" s="16"/>
      <c r="AE174" s="16">
        <v>0</v>
      </c>
      <c r="AF174" s="16"/>
      <c r="AG174" s="16">
        <f t="shared" si="15"/>
        <v>17584105</v>
      </c>
      <c r="AH174" s="16"/>
      <c r="AI174" s="16">
        <f t="shared" si="16"/>
        <v>22386105</v>
      </c>
    </row>
    <row r="175" spans="1:35" ht="12" customHeight="1">
      <c r="A175" s="17" t="s">
        <v>644</v>
      </c>
      <c r="B175" s="17"/>
      <c r="C175" s="17" t="s">
        <v>643</v>
      </c>
      <c r="D175" s="17"/>
      <c r="E175" s="13">
        <v>50625</v>
      </c>
      <c r="G175" s="1">
        <v>786331</v>
      </c>
      <c r="I175" s="1">
        <v>1007831</v>
      </c>
      <c r="K175" s="1">
        <v>63688</v>
      </c>
      <c r="M175" s="1">
        <f t="shared" si="14"/>
        <v>1857850</v>
      </c>
      <c r="O175" s="1">
        <f>1210292+86438+299653+24481</f>
        <v>1620864</v>
      </c>
      <c r="Q175" s="1">
        <v>0</v>
      </c>
      <c r="S175" s="1">
        <v>3368154</v>
      </c>
      <c r="U175" s="1">
        <v>16495</v>
      </c>
      <c r="W175" s="1">
        <v>0</v>
      </c>
      <c r="Y175" s="1">
        <v>21199</v>
      </c>
      <c r="AA175" s="1">
        <f>37250+36</f>
        <v>37286</v>
      </c>
      <c r="AB175" s="30"/>
      <c r="AC175" s="1">
        <v>0</v>
      </c>
      <c r="AE175" s="1">
        <v>0</v>
      </c>
      <c r="AG175" s="1">
        <f t="shared" si="15"/>
        <v>5063998</v>
      </c>
      <c r="AH175" s="1"/>
      <c r="AI175" s="1">
        <f t="shared" si="16"/>
        <v>6921848</v>
      </c>
    </row>
    <row r="176" spans="1:35" ht="12" customHeight="1">
      <c r="A176" s="17" t="s">
        <v>836</v>
      </c>
      <c r="B176" s="17"/>
      <c r="C176" s="17" t="s">
        <v>46</v>
      </c>
      <c r="D176" s="17"/>
      <c r="E176" s="13">
        <v>48413</v>
      </c>
      <c r="G176" s="1">
        <v>1786088</v>
      </c>
      <c r="I176" s="1">
        <v>2167701</v>
      </c>
      <c r="K176" s="1">
        <v>9145</v>
      </c>
      <c r="M176" s="1">
        <f t="shared" ref="M176" si="17">SUM(G176:L176)</f>
        <v>3962934</v>
      </c>
      <c r="O176" s="1">
        <f>3782277+31848+335190+174553</f>
        <v>4323868</v>
      </c>
      <c r="Q176" s="1">
        <v>167057</v>
      </c>
      <c r="S176" s="1">
        <v>26921547</v>
      </c>
      <c r="U176" s="1">
        <v>71438</v>
      </c>
      <c r="W176" s="1">
        <v>28000</v>
      </c>
      <c r="Y176" s="1">
        <v>6937</v>
      </c>
      <c r="AA176" s="1">
        <v>238235</v>
      </c>
      <c r="AB176" s="30"/>
      <c r="AC176" s="1">
        <v>0</v>
      </c>
      <c r="AE176" s="1">
        <v>0</v>
      </c>
      <c r="AG176" s="1">
        <f t="shared" ref="AG176" si="18">SUM(O176:AE176)</f>
        <v>31757082</v>
      </c>
      <c r="AH176" s="1"/>
      <c r="AI176" s="1">
        <f t="shared" ref="AI176" si="19">+AG176+M176</f>
        <v>35720016</v>
      </c>
    </row>
    <row r="177" spans="1:35" ht="12" hidden="1" customHeight="1">
      <c r="A177" s="12" t="s">
        <v>811</v>
      </c>
      <c r="B177" s="12"/>
      <c r="C177" s="12" t="s">
        <v>10</v>
      </c>
      <c r="D177" s="17"/>
      <c r="E177" s="13"/>
      <c r="M177" s="1">
        <f t="shared" si="14"/>
        <v>0</v>
      </c>
      <c r="AB177" s="30"/>
      <c r="AG177" s="1">
        <f t="shared" si="15"/>
        <v>0</v>
      </c>
      <c r="AH177" s="1"/>
      <c r="AI177" s="1">
        <f t="shared" si="16"/>
        <v>0</v>
      </c>
    </row>
    <row r="178" spans="1:35" ht="12" hidden="1" customHeight="1">
      <c r="A178" s="17" t="s">
        <v>861</v>
      </c>
      <c r="B178" s="17"/>
      <c r="C178" s="17" t="s">
        <v>72</v>
      </c>
      <c r="D178" s="17"/>
      <c r="E178" s="13"/>
      <c r="M178" s="1">
        <f>SUM(G178:L178)</f>
        <v>0</v>
      </c>
      <c r="AB178" s="30"/>
      <c r="AG178" s="1">
        <f>SUM(O178:AE178)</f>
        <v>0</v>
      </c>
      <c r="AH178" s="1"/>
      <c r="AI178" s="1">
        <f>+AG178+M178</f>
        <v>0</v>
      </c>
    </row>
    <row r="179" spans="1:35" ht="12" customHeight="1">
      <c r="A179" s="17" t="s">
        <v>440</v>
      </c>
      <c r="B179" s="17"/>
      <c r="C179" s="17" t="s">
        <v>44</v>
      </c>
      <c r="D179" s="17"/>
      <c r="E179" s="13">
        <v>43943</v>
      </c>
      <c r="G179" s="1">
        <v>2727445</v>
      </c>
      <c r="I179" s="1">
        <v>11817061</v>
      </c>
      <c r="K179" s="1">
        <v>1745879</v>
      </c>
      <c r="M179" s="1">
        <f t="shared" si="14"/>
        <v>16290385</v>
      </c>
      <c r="O179" s="1">
        <f>25298002+2456971+412893</f>
        <v>28167866</v>
      </c>
      <c r="Q179" s="1">
        <v>0</v>
      </c>
      <c r="S179" s="1">
        <v>43594198</v>
      </c>
      <c r="U179" s="1">
        <v>86725</v>
      </c>
      <c r="W179" s="1">
        <v>0</v>
      </c>
      <c r="Y179" s="1">
        <v>0</v>
      </c>
      <c r="AA179" s="1">
        <v>784003</v>
      </c>
      <c r="AB179" s="30"/>
      <c r="AC179" s="1">
        <v>0</v>
      </c>
      <c r="AE179" s="1">
        <v>0</v>
      </c>
      <c r="AG179" s="1">
        <f t="shared" si="15"/>
        <v>72632792</v>
      </c>
      <c r="AH179" s="1"/>
      <c r="AI179" s="1">
        <f t="shared" si="16"/>
        <v>88923177</v>
      </c>
    </row>
    <row r="180" spans="1:35" ht="12" customHeight="1">
      <c r="A180" s="17" t="s">
        <v>289</v>
      </c>
      <c r="B180" s="17"/>
      <c r="C180" s="17" t="s">
        <v>20</v>
      </c>
      <c r="D180" s="17"/>
      <c r="E180" s="13">
        <v>43950</v>
      </c>
      <c r="G180" s="1">
        <v>2077756</v>
      </c>
      <c r="I180" s="1">
        <v>10756622</v>
      </c>
      <c r="K180" s="1">
        <v>0</v>
      </c>
      <c r="M180" s="1">
        <f t="shared" si="14"/>
        <v>12834378</v>
      </c>
      <c r="O180" s="1">
        <f>34566784+4709405+758942</f>
        <v>40035131</v>
      </c>
      <c r="Q180" s="1">
        <v>5232280</v>
      </c>
      <c r="S180" s="1">
        <v>31539926</v>
      </c>
      <c r="U180" s="1">
        <v>244365</v>
      </c>
      <c r="W180" s="1">
        <v>58214</v>
      </c>
      <c r="Y180" s="1">
        <v>0</v>
      </c>
      <c r="AA180" s="1">
        <v>92190</v>
      </c>
      <c r="AB180" s="30"/>
      <c r="AC180" s="1">
        <v>0</v>
      </c>
      <c r="AE180" s="1">
        <v>0</v>
      </c>
      <c r="AG180" s="1">
        <f t="shared" si="15"/>
        <v>77202106</v>
      </c>
      <c r="AH180" s="1"/>
      <c r="AI180" s="1">
        <f t="shared" si="16"/>
        <v>90036484</v>
      </c>
    </row>
    <row r="181" spans="1:35" ht="12" hidden="1" customHeight="1">
      <c r="A181" s="12" t="s">
        <v>741</v>
      </c>
      <c r="B181" s="17"/>
      <c r="C181" s="17" t="s">
        <v>28</v>
      </c>
      <c r="D181" s="17"/>
      <c r="E181" s="13">
        <v>47050</v>
      </c>
      <c r="M181" s="1">
        <f t="shared" si="14"/>
        <v>0</v>
      </c>
      <c r="AB181" s="30"/>
      <c r="AG181" s="1">
        <f t="shared" si="15"/>
        <v>0</v>
      </c>
      <c r="AH181" s="1"/>
      <c r="AI181" s="1">
        <f t="shared" si="16"/>
        <v>0</v>
      </c>
    </row>
    <row r="182" spans="1:35" ht="12" customHeight="1">
      <c r="A182" s="17" t="s">
        <v>625</v>
      </c>
      <c r="B182" s="17"/>
      <c r="C182" s="17" t="s">
        <v>66</v>
      </c>
      <c r="D182" s="17"/>
      <c r="E182" s="13">
        <v>50328</v>
      </c>
      <c r="G182" s="1">
        <v>520432</v>
      </c>
      <c r="I182" s="1">
        <v>896628</v>
      </c>
      <c r="K182" s="1">
        <v>0</v>
      </c>
      <c r="M182" s="1">
        <f t="shared" si="14"/>
        <v>1417060</v>
      </c>
      <c r="O182" s="1">
        <f>5076783+750716</f>
        <v>5827499</v>
      </c>
      <c r="Q182" s="1">
        <v>1595096</v>
      </c>
      <c r="S182" s="1">
        <v>3195177</v>
      </c>
      <c r="U182" s="1">
        <v>50683</v>
      </c>
      <c r="W182" s="1">
        <v>0</v>
      </c>
      <c r="Y182" s="1">
        <v>0</v>
      </c>
      <c r="AA182" s="1">
        <v>34910</v>
      </c>
      <c r="AB182" s="30"/>
      <c r="AC182" s="1">
        <v>0</v>
      </c>
      <c r="AE182" s="1">
        <v>0</v>
      </c>
      <c r="AG182" s="1">
        <f t="shared" si="15"/>
        <v>10703365</v>
      </c>
      <c r="AH182" s="1"/>
      <c r="AI182" s="1">
        <f t="shared" si="16"/>
        <v>12120425</v>
      </c>
    </row>
    <row r="183" spans="1:35" ht="12" customHeight="1">
      <c r="A183" s="17" t="s">
        <v>751</v>
      </c>
      <c r="B183" s="17"/>
      <c r="C183" s="17" t="s">
        <v>116</v>
      </c>
      <c r="D183" s="17"/>
      <c r="E183" s="13">
        <v>46102</v>
      </c>
      <c r="F183" s="31"/>
      <c r="G183" s="1">
        <v>1399203</v>
      </c>
      <c r="I183" s="1">
        <v>6102913</v>
      </c>
      <c r="K183" s="1">
        <v>0</v>
      </c>
      <c r="M183" s="1">
        <f>SUM(G183:L183)</f>
        <v>7502116</v>
      </c>
      <c r="O183" s="1">
        <v>18042975</v>
      </c>
      <c r="Q183" s="1">
        <v>3074800</v>
      </c>
      <c r="S183" s="1">
        <v>21492871</v>
      </c>
      <c r="U183" s="1">
        <v>203274</v>
      </c>
      <c r="W183" s="1">
        <v>249048</v>
      </c>
      <c r="Y183" s="1">
        <v>0</v>
      </c>
      <c r="AA183" s="1">
        <v>287367</v>
      </c>
      <c r="AB183" s="30"/>
      <c r="AC183" s="1">
        <v>0</v>
      </c>
      <c r="AE183" s="1">
        <v>0</v>
      </c>
      <c r="AG183" s="1">
        <f>SUM(O183:AE183)</f>
        <v>43350335</v>
      </c>
      <c r="AH183" s="1"/>
      <c r="AI183" s="1">
        <f>+AG183+M183</f>
        <v>50852451</v>
      </c>
    </row>
    <row r="184" spans="1:35" ht="12" customHeight="1">
      <c r="A184" s="17" t="s">
        <v>228</v>
      </c>
      <c r="B184" s="17"/>
      <c r="C184" s="17" t="s">
        <v>227</v>
      </c>
      <c r="D184" s="17"/>
      <c r="E184" s="13">
        <v>46102</v>
      </c>
      <c r="F184" s="31"/>
      <c r="G184" s="1">
        <v>5073891</v>
      </c>
      <c r="I184" s="1">
        <v>10845762</v>
      </c>
      <c r="K184" s="1">
        <v>0</v>
      </c>
      <c r="M184" s="1">
        <f t="shared" si="14"/>
        <v>15919653</v>
      </c>
      <c r="O184" s="1">
        <f>35601225+3465655+999</f>
        <v>39067879</v>
      </c>
      <c r="Q184" s="1">
        <v>0</v>
      </c>
      <c r="S184" s="1">
        <v>30424823</v>
      </c>
      <c r="U184" s="1">
        <v>54314</v>
      </c>
      <c r="W184" s="1">
        <v>1764418</v>
      </c>
      <c r="Y184" s="1">
        <v>2422</v>
      </c>
      <c r="AA184" s="1">
        <v>667587</v>
      </c>
      <c r="AB184" s="30"/>
      <c r="AC184" s="1">
        <v>0</v>
      </c>
      <c r="AE184" s="1">
        <v>0</v>
      </c>
      <c r="AG184" s="1">
        <f t="shared" ref="AG184:AG187" si="20">SUM(O184:AE184)</f>
        <v>71981443</v>
      </c>
      <c r="AH184" s="1"/>
      <c r="AI184" s="1">
        <f t="shared" ref="AI184:AI187" si="21">+AG184+M184</f>
        <v>87901096</v>
      </c>
    </row>
    <row r="185" spans="1:35" ht="12" customHeight="1">
      <c r="A185" s="17" t="s">
        <v>396</v>
      </c>
      <c r="B185" s="17"/>
      <c r="C185" s="17" t="s">
        <v>395</v>
      </c>
      <c r="D185" s="17"/>
      <c r="E185" s="13">
        <v>47621</v>
      </c>
      <c r="G185" s="1">
        <v>637761</v>
      </c>
      <c r="I185" s="1">
        <v>1114450</v>
      </c>
      <c r="K185" s="1">
        <v>0</v>
      </c>
      <c r="M185" s="1">
        <f t="shared" si="14"/>
        <v>1752211</v>
      </c>
      <c r="O185" s="1">
        <f>1452074+168181+324332</f>
        <v>1944587</v>
      </c>
      <c r="Q185" s="1">
        <v>0</v>
      </c>
      <c r="S185" s="1">
        <v>5065892</v>
      </c>
      <c r="U185" s="1">
        <v>10024</v>
      </c>
      <c r="W185" s="1">
        <v>0</v>
      </c>
      <c r="Y185" s="1">
        <v>4008</v>
      </c>
      <c r="AA185" s="1">
        <v>49583</v>
      </c>
      <c r="AB185" s="30"/>
      <c r="AC185" s="1">
        <v>0</v>
      </c>
      <c r="AE185" s="1">
        <v>0</v>
      </c>
      <c r="AG185" s="1">
        <f t="shared" si="20"/>
        <v>7074094</v>
      </c>
      <c r="AH185" s="1"/>
      <c r="AI185" s="1">
        <f t="shared" si="21"/>
        <v>8826305</v>
      </c>
    </row>
    <row r="186" spans="1:35" ht="12" customHeight="1">
      <c r="A186" s="17" t="s">
        <v>324</v>
      </c>
      <c r="B186" s="17"/>
      <c r="C186" s="17" t="s">
        <v>25</v>
      </c>
      <c r="D186" s="17"/>
      <c r="E186" s="13">
        <v>46870</v>
      </c>
      <c r="G186" s="1">
        <v>2007594</v>
      </c>
      <c r="I186" s="1">
        <v>8789128</v>
      </c>
      <c r="K186" s="1">
        <v>2727738</v>
      </c>
      <c r="M186" s="1">
        <f t="shared" si="14"/>
        <v>13524460</v>
      </c>
      <c r="O186" s="1">
        <f>3408586+433373+192964</f>
        <v>4034923</v>
      </c>
      <c r="Q186" s="1">
        <v>4092299</v>
      </c>
      <c r="S186" s="1">
        <v>2778414</v>
      </c>
      <c r="U186" s="1">
        <v>616455</v>
      </c>
      <c r="W186" s="1">
        <v>0</v>
      </c>
      <c r="Y186" s="1">
        <v>0</v>
      </c>
      <c r="AA186" s="1">
        <v>151783</v>
      </c>
      <c r="AB186" s="30"/>
      <c r="AC186" s="1">
        <v>0</v>
      </c>
      <c r="AE186" s="1">
        <v>0</v>
      </c>
      <c r="AG186" s="1">
        <f t="shared" si="20"/>
        <v>11673874</v>
      </c>
      <c r="AH186" s="1"/>
      <c r="AI186" s="1">
        <f t="shared" si="21"/>
        <v>25198334</v>
      </c>
    </row>
    <row r="187" spans="1:35" ht="12" customHeight="1">
      <c r="A187" s="17" t="s">
        <v>422</v>
      </c>
      <c r="B187" s="17"/>
      <c r="C187" s="17" t="s">
        <v>420</v>
      </c>
      <c r="D187" s="17"/>
      <c r="E187" s="13">
        <v>47936</v>
      </c>
      <c r="G187" s="1">
        <v>1371081</v>
      </c>
      <c r="I187" s="1">
        <v>2662408</v>
      </c>
      <c r="K187" s="1">
        <v>0</v>
      </c>
      <c r="M187" s="1">
        <f t="shared" si="14"/>
        <v>4033489</v>
      </c>
      <c r="O187" s="1">
        <f>3081494+366730+56534</f>
        <v>3504758</v>
      </c>
      <c r="Q187" s="1">
        <v>0</v>
      </c>
      <c r="S187" s="1">
        <v>9154852</v>
      </c>
      <c r="U187" s="1">
        <v>44630</v>
      </c>
      <c r="W187" s="1">
        <v>0</v>
      </c>
      <c r="Y187" s="1">
        <v>1845</v>
      </c>
      <c r="AA187" s="1">
        <v>49006</v>
      </c>
      <c r="AB187" s="30"/>
      <c r="AC187" s="1">
        <v>0</v>
      </c>
      <c r="AE187" s="1">
        <v>0</v>
      </c>
      <c r="AG187" s="1">
        <f t="shared" si="20"/>
        <v>12755091</v>
      </c>
      <c r="AH187" s="1"/>
      <c r="AI187" s="1">
        <f t="shared" si="21"/>
        <v>16788580</v>
      </c>
    </row>
    <row r="188" spans="1:35" ht="12" hidden="1" customHeight="1">
      <c r="A188" s="17" t="s">
        <v>742</v>
      </c>
      <c r="B188" s="17"/>
      <c r="C188" s="17" t="s">
        <v>61</v>
      </c>
      <c r="D188" s="17"/>
      <c r="E188" s="13">
        <v>49775</v>
      </c>
      <c r="K188" s="1">
        <v>0</v>
      </c>
      <c r="M188" s="1">
        <f t="shared" si="14"/>
        <v>0</v>
      </c>
      <c r="Q188" s="1">
        <v>0</v>
      </c>
      <c r="W188" s="1">
        <v>0</v>
      </c>
      <c r="Y188" s="1">
        <v>0</v>
      </c>
      <c r="AB188" s="30"/>
      <c r="AG188" s="1">
        <f t="shared" si="15"/>
        <v>0</v>
      </c>
      <c r="AH188" s="1"/>
      <c r="AI188" s="1">
        <f t="shared" si="16"/>
        <v>0</v>
      </c>
    </row>
    <row r="189" spans="1:35" ht="12" customHeight="1">
      <c r="A189" s="17" t="s">
        <v>575</v>
      </c>
      <c r="B189" s="17"/>
      <c r="C189" s="17" t="s">
        <v>62</v>
      </c>
      <c r="D189" s="17"/>
      <c r="E189" s="13">
        <v>49841</v>
      </c>
      <c r="G189" s="1">
        <v>1147002</v>
      </c>
      <c r="I189" s="1">
        <v>2446924</v>
      </c>
      <c r="K189" s="1">
        <v>0</v>
      </c>
      <c r="M189" s="1">
        <f t="shared" si="14"/>
        <v>3593926</v>
      </c>
      <c r="O189" s="1">
        <v>5290447</v>
      </c>
      <c r="Q189" s="1">
        <v>0</v>
      </c>
      <c r="S189" s="1">
        <v>9181691</v>
      </c>
      <c r="U189" s="1">
        <v>7025</v>
      </c>
      <c r="W189" s="1">
        <v>0</v>
      </c>
      <c r="Y189" s="1">
        <v>0</v>
      </c>
      <c r="AA189" s="1">
        <v>189931</v>
      </c>
      <c r="AB189" s="30"/>
      <c r="AC189" s="1">
        <v>0</v>
      </c>
      <c r="AE189" s="1">
        <v>0</v>
      </c>
      <c r="AG189" s="1">
        <f t="shared" si="15"/>
        <v>14669094</v>
      </c>
      <c r="AH189" s="1"/>
      <c r="AI189" s="1">
        <f t="shared" si="16"/>
        <v>18263020</v>
      </c>
    </row>
    <row r="190" spans="1:35" ht="12" hidden="1" customHeight="1">
      <c r="A190" s="17" t="s">
        <v>834</v>
      </c>
      <c r="B190" s="17"/>
      <c r="C190" s="17" t="s">
        <v>41</v>
      </c>
      <c r="D190" s="17"/>
      <c r="E190" s="13">
        <v>45369</v>
      </c>
      <c r="M190" s="1">
        <f t="shared" si="14"/>
        <v>0</v>
      </c>
      <c r="AB190" s="30"/>
      <c r="AG190" s="1">
        <f t="shared" si="15"/>
        <v>0</v>
      </c>
      <c r="AH190" s="1"/>
      <c r="AI190" s="1">
        <f t="shared" si="16"/>
        <v>0</v>
      </c>
    </row>
    <row r="191" spans="1:35" ht="12" customHeight="1">
      <c r="A191" s="17" t="s">
        <v>290</v>
      </c>
      <c r="B191" s="17"/>
      <c r="C191" s="17" t="s">
        <v>20</v>
      </c>
      <c r="D191" s="17"/>
      <c r="E191" s="13">
        <v>43976</v>
      </c>
      <c r="G191" s="1">
        <v>1432701</v>
      </c>
      <c r="I191" s="1">
        <v>1846842</v>
      </c>
      <c r="K191" s="1">
        <v>0</v>
      </c>
      <c r="M191" s="1">
        <f t="shared" si="14"/>
        <v>3279543</v>
      </c>
      <c r="O191" s="1">
        <f>15773158+2117387</f>
        <v>17890545</v>
      </c>
      <c r="Q191" s="1">
        <v>0</v>
      </c>
      <c r="S191" s="1">
        <v>5217461</v>
      </c>
      <c r="U191" s="1">
        <v>223267</v>
      </c>
      <c r="W191" s="1">
        <v>0</v>
      </c>
      <c r="Y191" s="1">
        <v>0</v>
      </c>
      <c r="AA191" s="1">
        <v>107219</v>
      </c>
      <c r="AB191" s="30"/>
      <c r="AC191" s="1">
        <v>0</v>
      </c>
      <c r="AE191" s="1">
        <v>0</v>
      </c>
      <c r="AG191" s="1">
        <f t="shared" si="15"/>
        <v>23438492</v>
      </c>
      <c r="AH191" s="1"/>
      <c r="AI191" s="1">
        <f t="shared" si="16"/>
        <v>26718035</v>
      </c>
    </row>
    <row r="192" spans="1:35" ht="12" customHeight="1">
      <c r="A192" s="17" t="s">
        <v>812</v>
      </c>
      <c r="B192" s="17"/>
      <c r="C192" s="17" t="s">
        <v>28</v>
      </c>
      <c r="D192" s="17"/>
      <c r="E192" s="13"/>
      <c r="G192" s="1">
        <v>246475</v>
      </c>
      <c r="I192" s="1">
        <v>705983</v>
      </c>
      <c r="K192" s="1">
        <v>0</v>
      </c>
      <c r="M192" s="1">
        <f t="shared" si="14"/>
        <v>952458</v>
      </c>
      <c r="O192" s="1">
        <f>1025576+252397+16399</f>
        <v>1294372</v>
      </c>
      <c r="Q192" s="1">
        <v>355411</v>
      </c>
      <c r="S192" s="1">
        <v>2654628</v>
      </c>
      <c r="U192" s="1">
        <v>14106</v>
      </c>
      <c r="W192" s="1">
        <v>0</v>
      </c>
      <c r="Y192" s="1">
        <v>180</v>
      </c>
      <c r="AA192" s="1">
        <v>37258</v>
      </c>
      <c r="AB192" s="30"/>
      <c r="AC192" s="1">
        <v>0</v>
      </c>
      <c r="AE192" s="1">
        <v>0</v>
      </c>
      <c r="AG192" s="1">
        <f t="shared" si="15"/>
        <v>4355955</v>
      </c>
      <c r="AH192" s="1"/>
      <c r="AI192" s="1">
        <f t="shared" si="16"/>
        <v>5308413</v>
      </c>
    </row>
    <row r="193" spans="1:35" ht="12" customHeight="1">
      <c r="A193" s="17" t="s">
        <v>224</v>
      </c>
      <c r="B193" s="17"/>
      <c r="C193" s="17" t="s">
        <v>77</v>
      </c>
      <c r="D193" s="17"/>
      <c r="E193" s="13">
        <v>46045</v>
      </c>
      <c r="F193" s="31"/>
      <c r="G193" s="1">
        <v>1131308</v>
      </c>
      <c r="I193" s="1">
        <v>1145352</v>
      </c>
      <c r="K193" s="1">
        <v>0</v>
      </c>
      <c r="M193" s="1">
        <f t="shared" si="14"/>
        <v>2276660</v>
      </c>
      <c r="O193" s="1">
        <f>1605458+686710+78932+30272</f>
        <v>2401372</v>
      </c>
      <c r="Q193" s="1">
        <v>0</v>
      </c>
      <c r="S193" s="1">
        <v>4790435</v>
      </c>
      <c r="U193" s="1">
        <v>46053</v>
      </c>
      <c r="W193" s="1">
        <v>0</v>
      </c>
      <c r="Y193" s="1">
        <v>0</v>
      </c>
      <c r="AA193" s="1">
        <v>89647</v>
      </c>
      <c r="AB193" s="30"/>
      <c r="AC193" s="1">
        <v>0</v>
      </c>
      <c r="AE193" s="1">
        <v>0</v>
      </c>
      <c r="AG193" s="1">
        <f t="shared" si="15"/>
        <v>7327507</v>
      </c>
      <c r="AH193" s="1"/>
      <c r="AI193" s="1">
        <f t="shared" si="16"/>
        <v>9604167</v>
      </c>
    </row>
    <row r="194" spans="1:35" ht="12" customHeight="1">
      <c r="A194" s="12" t="s">
        <v>813</v>
      </c>
      <c r="B194" s="12"/>
      <c r="C194" s="12" t="s">
        <v>13</v>
      </c>
      <c r="D194" s="17"/>
      <c r="E194" s="13"/>
      <c r="F194" s="31"/>
      <c r="G194" s="1">
        <v>537264</v>
      </c>
      <c r="I194" s="1">
        <v>2517165</v>
      </c>
      <c r="K194" s="1">
        <v>0</v>
      </c>
      <c r="M194" s="1">
        <f t="shared" si="14"/>
        <v>3054429</v>
      </c>
      <c r="O194" s="1">
        <f>2540774+68599+426582+41625</f>
        <v>3077580</v>
      </c>
      <c r="Q194" s="1">
        <v>0</v>
      </c>
      <c r="S194" s="1">
        <v>8322635</v>
      </c>
      <c r="U194" s="1">
        <v>38590</v>
      </c>
      <c r="W194" s="1">
        <v>0</v>
      </c>
      <c r="Y194" s="1">
        <v>2000</v>
      </c>
      <c r="AA194" s="1">
        <f>33353+1047</f>
        <v>34400</v>
      </c>
      <c r="AB194" s="30"/>
      <c r="AC194" s="1">
        <v>0</v>
      </c>
      <c r="AE194" s="1">
        <v>0</v>
      </c>
      <c r="AG194" s="1">
        <f t="shared" si="15"/>
        <v>11475205</v>
      </c>
      <c r="AH194" s="1"/>
      <c r="AI194" s="1">
        <f t="shared" si="16"/>
        <v>14529634</v>
      </c>
    </row>
    <row r="195" spans="1:35" ht="12" customHeight="1">
      <c r="A195" s="17" t="s">
        <v>253</v>
      </c>
      <c r="B195" s="17"/>
      <c r="C195" s="17" t="s">
        <v>115</v>
      </c>
      <c r="D195" s="17"/>
      <c r="E195" s="13">
        <v>46334</v>
      </c>
      <c r="F195" s="31"/>
      <c r="G195" s="1">
        <v>698499</v>
      </c>
      <c r="I195" s="1">
        <v>2011105</v>
      </c>
      <c r="K195" s="1">
        <v>0</v>
      </c>
      <c r="M195" s="1">
        <f t="shared" si="14"/>
        <v>2709604</v>
      </c>
      <c r="O195" s="1">
        <f>1612073+225667</f>
        <v>1837740</v>
      </c>
      <c r="Q195" s="1">
        <v>0</v>
      </c>
      <c r="S195" s="1">
        <v>6904212</v>
      </c>
      <c r="U195" s="1">
        <v>6039</v>
      </c>
      <c r="W195" s="1">
        <v>0</v>
      </c>
      <c r="Y195" s="1">
        <v>0</v>
      </c>
      <c r="AA195" s="1">
        <v>129747</v>
      </c>
      <c r="AB195" s="30"/>
      <c r="AC195" s="1">
        <v>0</v>
      </c>
      <c r="AE195" s="1">
        <v>0</v>
      </c>
      <c r="AG195" s="1">
        <f t="shared" si="15"/>
        <v>8877738</v>
      </c>
      <c r="AH195" s="1"/>
      <c r="AI195" s="1">
        <f t="shared" si="16"/>
        <v>11587342</v>
      </c>
    </row>
    <row r="196" spans="1:35" s="16" customFormat="1" ht="12" customHeight="1">
      <c r="A196" s="17" t="s">
        <v>891</v>
      </c>
      <c r="B196" s="14"/>
      <c r="C196" s="14" t="s">
        <v>56</v>
      </c>
      <c r="D196" s="14"/>
      <c r="E196" s="14">
        <v>49197</v>
      </c>
      <c r="G196" s="1">
        <v>1869457</v>
      </c>
      <c r="H196" s="1"/>
      <c r="I196" s="1">
        <v>1382078</v>
      </c>
      <c r="J196" s="1"/>
      <c r="K196" s="1">
        <v>26662</v>
      </c>
      <c r="L196" s="1"/>
      <c r="M196" s="1">
        <f t="shared" si="14"/>
        <v>3278197</v>
      </c>
      <c r="N196" s="1"/>
      <c r="O196" s="1">
        <f>9174254+1160860</f>
        <v>10335114</v>
      </c>
      <c r="P196" s="1"/>
      <c r="Q196" s="1">
        <v>0</v>
      </c>
      <c r="R196" s="1"/>
      <c r="S196" s="1">
        <v>8643160</v>
      </c>
      <c r="T196" s="1"/>
      <c r="U196" s="1">
        <v>41626</v>
      </c>
      <c r="V196" s="1"/>
      <c r="W196" s="1">
        <v>343108</v>
      </c>
      <c r="X196" s="1"/>
      <c r="Y196" s="1">
        <v>0</v>
      </c>
      <c r="Z196" s="1"/>
      <c r="AA196" s="1">
        <v>60893</v>
      </c>
      <c r="AB196" s="30"/>
      <c r="AC196" s="1">
        <v>0</v>
      </c>
      <c r="AD196" s="1"/>
      <c r="AE196" s="1">
        <v>0</v>
      </c>
      <c r="AF196" s="1"/>
      <c r="AG196" s="1">
        <f t="shared" si="15"/>
        <v>19423901</v>
      </c>
      <c r="AH196" s="1"/>
      <c r="AI196" s="1">
        <f t="shared" si="16"/>
        <v>22702098</v>
      </c>
    </row>
    <row r="197" spans="1:35" ht="12" customHeight="1">
      <c r="A197" s="17" t="s">
        <v>380</v>
      </c>
      <c r="B197" s="17"/>
      <c r="C197" s="17" t="s">
        <v>33</v>
      </c>
      <c r="D197" s="17"/>
      <c r="E197" s="13">
        <v>43984</v>
      </c>
      <c r="G197" s="1">
        <v>5097747</v>
      </c>
      <c r="I197" s="1">
        <v>7405706</v>
      </c>
      <c r="K197" s="1">
        <v>0</v>
      </c>
      <c r="M197" s="1">
        <f t="shared" si="14"/>
        <v>12503453</v>
      </c>
      <c r="O197" s="1">
        <f>22896396+1702134+1622185</f>
        <v>26220715</v>
      </c>
      <c r="Q197" s="1">
        <v>0</v>
      </c>
      <c r="S197" s="1">
        <f>27944202+18410485</f>
        <v>46354687</v>
      </c>
      <c r="U197" s="1">
        <v>854036</v>
      </c>
      <c r="W197" s="1">
        <v>0</v>
      </c>
      <c r="Y197" s="1">
        <v>0</v>
      </c>
      <c r="AA197" s="1">
        <f>144042+560085</f>
        <v>704127</v>
      </c>
      <c r="AB197" s="30"/>
      <c r="AC197" s="1">
        <v>0</v>
      </c>
      <c r="AE197" s="1">
        <v>0</v>
      </c>
      <c r="AG197" s="1">
        <f t="shared" si="15"/>
        <v>74133565</v>
      </c>
      <c r="AH197" s="1"/>
      <c r="AI197" s="1">
        <f t="shared" si="16"/>
        <v>86637018</v>
      </c>
    </row>
    <row r="198" spans="1:35" ht="12" customHeight="1">
      <c r="A198" s="17" t="s">
        <v>363</v>
      </c>
      <c r="B198" s="17"/>
      <c r="C198" s="17" t="s">
        <v>32</v>
      </c>
      <c r="D198" s="17"/>
      <c r="E198" s="13">
        <v>47332</v>
      </c>
      <c r="G198" s="1">
        <v>937409</v>
      </c>
      <c r="I198" s="1">
        <v>3893044</v>
      </c>
      <c r="K198" s="1">
        <v>0</v>
      </c>
      <c r="M198" s="1">
        <f t="shared" si="14"/>
        <v>4830453</v>
      </c>
      <c r="O198" s="1">
        <f>8989705+528700+221552</f>
        <v>9739957</v>
      </c>
      <c r="Q198" s="1">
        <v>0</v>
      </c>
      <c r="S198" s="1">
        <v>6956065</v>
      </c>
      <c r="U198" s="1">
        <v>22101</v>
      </c>
      <c r="W198" s="1">
        <v>236238</v>
      </c>
      <c r="Y198" s="1">
        <v>0</v>
      </c>
      <c r="AA198" s="1">
        <v>122350</v>
      </c>
      <c r="AB198" s="30"/>
      <c r="AC198" s="1">
        <v>0</v>
      </c>
      <c r="AE198" s="1">
        <v>0</v>
      </c>
      <c r="AG198" s="1">
        <f t="shared" si="15"/>
        <v>17076711</v>
      </c>
      <c r="AH198" s="1"/>
      <c r="AI198" s="1">
        <f t="shared" si="16"/>
        <v>21907164</v>
      </c>
    </row>
    <row r="199" spans="1:35" ht="12" customHeight="1">
      <c r="A199" s="17" t="s">
        <v>441</v>
      </c>
      <c r="B199" s="17"/>
      <c r="C199" s="17" t="s">
        <v>44</v>
      </c>
      <c r="D199" s="17"/>
      <c r="E199" s="13">
        <v>48157</v>
      </c>
      <c r="G199" s="1">
        <v>1701810</v>
      </c>
      <c r="I199" s="1">
        <v>1560806</v>
      </c>
      <c r="K199" s="1">
        <v>0</v>
      </c>
      <c r="M199" s="1">
        <f t="shared" si="14"/>
        <v>3262616</v>
      </c>
      <c r="O199" s="1">
        <f>6388793+369053</f>
        <v>6757846</v>
      </c>
      <c r="Q199" s="1">
        <v>0</v>
      </c>
      <c r="S199" s="1">
        <v>8722316</v>
      </c>
      <c r="U199" s="1">
        <v>139471</v>
      </c>
      <c r="W199" s="1">
        <v>0</v>
      </c>
      <c r="Y199" s="1">
        <v>0</v>
      </c>
      <c r="AA199" s="1">
        <v>79993</v>
      </c>
      <c r="AB199" s="30"/>
      <c r="AC199" s="1">
        <v>0</v>
      </c>
      <c r="AE199" s="1">
        <v>0</v>
      </c>
      <c r="AG199" s="1">
        <f t="shared" si="15"/>
        <v>15699626</v>
      </c>
      <c r="AH199" s="1"/>
      <c r="AI199" s="1">
        <f t="shared" si="16"/>
        <v>18962242</v>
      </c>
    </row>
    <row r="200" spans="1:35" ht="12" customHeight="1">
      <c r="A200" s="17" t="s">
        <v>364</v>
      </c>
      <c r="B200" s="17"/>
      <c r="C200" s="17" t="s">
        <v>32</v>
      </c>
      <c r="D200" s="17"/>
      <c r="E200" s="13">
        <v>47340</v>
      </c>
      <c r="G200" s="1">
        <v>3284386</v>
      </c>
      <c r="I200" s="1">
        <v>5389172</v>
      </c>
      <c r="K200" s="1">
        <v>0</v>
      </c>
      <c r="M200" s="1">
        <f t="shared" si="14"/>
        <v>8673558</v>
      </c>
      <c r="O200" s="1">
        <f>38303112+2010922</f>
        <v>40314034</v>
      </c>
      <c r="Q200" s="1">
        <v>0</v>
      </c>
      <c r="S200" s="1">
        <v>25443306</v>
      </c>
      <c r="U200" s="1">
        <v>58128</v>
      </c>
      <c r="W200" s="1">
        <v>6849634</v>
      </c>
      <c r="Y200" s="1">
        <v>0</v>
      </c>
      <c r="AA200" s="1">
        <v>1168159</v>
      </c>
      <c r="AB200" s="30"/>
      <c r="AC200" s="1">
        <v>0</v>
      </c>
      <c r="AE200" s="1">
        <v>0</v>
      </c>
      <c r="AG200" s="1">
        <f t="shared" si="15"/>
        <v>73833261</v>
      </c>
      <c r="AH200" s="1"/>
      <c r="AI200" s="1">
        <f t="shared" si="16"/>
        <v>82506819</v>
      </c>
    </row>
    <row r="201" spans="1:35" hidden="1">
      <c r="A201" s="12" t="s">
        <v>737</v>
      </c>
      <c r="B201" s="17"/>
      <c r="C201" s="17" t="s">
        <v>70</v>
      </c>
      <c r="D201" s="17"/>
      <c r="E201" s="13">
        <v>50484</v>
      </c>
      <c r="M201" s="1">
        <f t="shared" si="14"/>
        <v>0</v>
      </c>
      <c r="AB201" s="30"/>
      <c r="AG201" s="1">
        <f t="shared" si="15"/>
        <v>0</v>
      </c>
      <c r="AH201" s="1"/>
      <c r="AI201" s="1">
        <f t="shared" si="16"/>
        <v>0</v>
      </c>
    </row>
    <row r="202" spans="1:35">
      <c r="A202" s="17" t="s">
        <v>569</v>
      </c>
      <c r="B202" s="17"/>
      <c r="C202" s="17" t="s">
        <v>61</v>
      </c>
      <c r="D202" s="17"/>
      <c r="E202" s="13">
        <v>49783</v>
      </c>
      <c r="G202" s="1">
        <v>581167</v>
      </c>
      <c r="I202" s="1">
        <v>889276</v>
      </c>
      <c r="K202" s="1">
        <v>28184</v>
      </c>
      <c r="M202" s="1">
        <f t="shared" si="14"/>
        <v>1498627</v>
      </c>
      <c r="O202" s="1">
        <f>1561357+640336+133700+35184</f>
        <v>2370577</v>
      </c>
      <c r="Q202" s="1">
        <v>1308933</v>
      </c>
      <c r="S202" s="1">
        <v>3625931</v>
      </c>
      <c r="U202" s="1">
        <v>57975</v>
      </c>
      <c r="W202" s="1">
        <v>0</v>
      </c>
      <c r="Y202" s="1">
        <v>0</v>
      </c>
      <c r="AA202" s="1">
        <v>15238</v>
      </c>
      <c r="AB202" s="30"/>
      <c r="AC202" s="1">
        <v>0</v>
      </c>
      <c r="AE202" s="1">
        <v>0</v>
      </c>
      <c r="AG202" s="1">
        <f t="shared" si="15"/>
        <v>7378654</v>
      </c>
      <c r="AH202" s="1"/>
      <c r="AI202" s="1">
        <f t="shared" si="16"/>
        <v>8877281</v>
      </c>
    </row>
    <row r="203" spans="1:35" hidden="1">
      <c r="A203" s="12" t="s">
        <v>814</v>
      </c>
      <c r="B203" s="12"/>
      <c r="C203" s="12" t="s">
        <v>486</v>
      </c>
      <c r="D203" s="17"/>
      <c r="E203" s="13"/>
      <c r="M203" s="1">
        <f t="shared" si="14"/>
        <v>0</v>
      </c>
      <c r="AB203" s="30"/>
      <c r="AG203" s="1">
        <f t="shared" si="15"/>
        <v>0</v>
      </c>
      <c r="AH203" s="1"/>
      <c r="AI203" s="1">
        <f t="shared" si="16"/>
        <v>0</v>
      </c>
    </row>
    <row r="204" spans="1:35" ht="12" hidden="1" customHeight="1">
      <c r="A204" s="12" t="s">
        <v>950</v>
      </c>
      <c r="B204" s="17"/>
      <c r="C204" s="17" t="s">
        <v>60</v>
      </c>
      <c r="D204" s="17"/>
      <c r="E204" s="13">
        <v>43992</v>
      </c>
      <c r="M204" s="1">
        <f t="shared" si="14"/>
        <v>0</v>
      </c>
      <c r="AB204" s="30"/>
      <c r="AG204" s="1">
        <f t="shared" si="15"/>
        <v>0</v>
      </c>
      <c r="AH204" s="1"/>
      <c r="AI204" s="1">
        <f t="shared" si="16"/>
        <v>0</v>
      </c>
    </row>
    <row r="205" spans="1:35" ht="12" customHeight="1">
      <c r="A205" s="17" t="s">
        <v>632</v>
      </c>
      <c r="B205" s="17"/>
      <c r="C205" s="17" t="s">
        <v>69</v>
      </c>
      <c r="D205" s="17"/>
      <c r="E205" s="13">
        <v>44008</v>
      </c>
      <c r="G205" s="1">
        <v>1878672</v>
      </c>
      <c r="I205" s="1">
        <v>4111095</v>
      </c>
      <c r="K205" s="1">
        <v>135000</v>
      </c>
      <c r="M205" s="1">
        <f t="shared" si="14"/>
        <v>6124767</v>
      </c>
      <c r="O205" s="1">
        <f>12697019+410543+371110</f>
        <v>13478672</v>
      </c>
      <c r="Q205" s="1">
        <v>0</v>
      </c>
      <c r="S205" s="1">
        <v>14162399</v>
      </c>
      <c r="U205" s="1">
        <v>23786</v>
      </c>
      <c r="W205" s="1">
        <v>246380</v>
      </c>
      <c r="Y205" s="1">
        <v>0</v>
      </c>
      <c r="AA205" s="1">
        <v>25490</v>
      </c>
      <c r="AB205" s="30"/>
      <c r="AC205" s="1">
        <v>0</v>
      </c>
      <c r="AE205" s="1">
        <v>0</v>
      </c>
      <c r="AG205" s="1">
        <f t="shared" si="15"/>
        <v>27936727</v>
      </c>
      <c r="AH205" s="1"/>
      <c r="AI205" s="1">
        <f t="shared" si="16"/>
        <v>34061494</v>
      </c>
    </row>
    <row r="206" spans="1:35" ht="12" customHeight="1">
      <c r="A206" s="17" t="s">
        <v>512</v>
      </c>
      <c r="B206" s="17"/>
      <c r="C206" s="17" t="s">
        <v>51</v>
      </c>
      <c r="D206" s="17"/>
      <c r="E206" s="13">
        <v>48843</v>
      </c>
      <c r="G206" s="1">
        <v>1823341</v>
      </c>
      <c r="I206" s="1">
        <v>3014045</v>
      </c>
      <c r="K206" s="1">
        <v>0</v>
      </c>
      <c r="M206" s="1">
        <f t="shared" si="14"/>
        <v>4837386</v>
      </c>
      <c r="O206" s="1">
        <f>3661237+643356+142612+71965</f>
        <v>4519170</v>
      </c>
      <c r="Q206" s="1">
        <v>0</v>
      </c>
      <c r="S206" s="1">
        <v>13720296</v>
      </c>
      <c r="U206" s="1">
        <v>207705</v>
      </c>
      <c r="W206" s="1">
        <v>0</v>
      </c>
      <c r="Y206" s="1">
        <v>100000</v>
      </c>
      <c r="AA206" s="1">
        <v>5090</v>
      </c>
      <c r="AB206" s="30"/>
      <c r="AC206" s="1">
        <v>0</v>
      </c>
      <c r="AE206" s="1">
        <v>0</v>
      </c>
      <c r="AG206" s="1">
        <f t="shared" si="15"/>
        <v>18552261</v>
      </c>
      <c r="AH206" s="1"/>
      <c r="AI206" s="1">
        <f t="shared" si="16"/>
        <v>23389647</v>
      </c>
    </row>
    <row r="207" spans="1:35" hidden="1">
      <c r="A207" s="17" t="s">
        <v>736</v>
      </c>
      <c r="B207" s="17"/>
      <c r="C207" s="17" t="s">
        <v>21</v>
      </c>
      <c r="D207" s="17"/>
      <c r="E207" s="13">
        <v>46649</v>
      </c>
      <c r="M207" s="1">
        <f t="shared" si="14"/>
        <v>0</v>
      </c>
      <c r="AB207" s="30"/>
      <c r="AG207" s="1">
        <f t="shared" si="15"/>
        <v>0</v>
      </c>
      <c r="AH207" s="1"/>
      <c r="AI207" s="1">
        <f t="shared" si="16"/>
        <v>0</v>
      </c>
    </row>
    <row r="208" spans="1:35" ht="12" hidden="1" customHeight="1">
      <c r="A208" s="17" t="s">
        <v>815</v>
      </c>
      <c r="B208" s="17"/>
      <c r="C208" s="17" t="s">
        <v>40</v>
      </c>
      <c r="D208" s="17"/>
      <c r="E208" s="13">
        <v>47852</v>
      </c>
      <c r="M208" s="1">
        <f t="shared" si="14"/>
        <v>0</v>
      </c>
      <c r="AB208" s="30"/>
      <c r="AG208" s="1">
        <f t="shared" si="15"/>
        <v>0</v>
      </c>
      <c r="AH208" s="1"/>
      <c r="AI208" s="1">
        <f t="shared" si="16"/>
        <v>0</v>
      </c>
    </row>
    <row r="209" spans="1:35" ht="12" customHeight="1">
      <c r="A209" s="17" t="s">
        <v>556</v>
      </c>
      <c r="B209" s="17"/>
      <c r="C209" s="17" t="s">
        <v>79</v>
      </c>
      <c r="D209" s="17"/>
      <c r="E209" s="13">
        <v>44016</v>
      </c>
      <c r="G209" s="1">
        <v>1631443</v>
      </c>
      <c r="I209" s="1">
        <v>4984095</v>
      </c>
      <c r="K209" s="1">
        <v>1064287</v>
      </c>
      <c r="M209" s="1">
        <f t="shared" si="14"/>
        <v>7679825</v>
      </c>
      <c r="O209" s="1">
        <f>11046809+560729+812046</f>
        <v>12419584</v>
      </c>
      <c r="Q209" s="1">
        <v>6446863</v>
      </c>
      <c r="S209" s="1">
        <v>16648112</v>
      </c>
      <c r="U209" s="1">
        <v>349018</v>
      </c>
      <c r="W209" s="1">
        <v>757595</v>
      </c>
      <c r="Y209" s="1">
        <v>0</v>
      </c>
      <c r="AA209" s="1">
        <v>170481</v>
      </c>
      <c r="AB209" s="30"/>
      <c r="AC209" s="1">
        <v>0</v>
      </c>
      <c r="AE209" s="1">
        <v>0</v>
      </c>
      <c r="AG209" s="1">
        <f t="shared" si="15"/>
        <v>36791653</v>
      </c>
      <c r="AH209" s="1"/>
      <c r="AI209" s="1">
        <f t="shared" si="16"/>
        <v>44471478</v>
      </c>
    </row>
    <row r="210" spans="1:35" ht="12" customHeight="1">
      <c r="A210" s="17" t="s">
        <v>637</v>
      </c>
      <c r="B210" s="17"/>
      <c r="C210" s="17" t="s">
        <v>70</v>
      </c>
      <c r="D210" s="17"/>
      <c r="E210" s="13">
        <v>50492</v>
      </c>
      <c r="G210" s="1">
        <v>313928</v>
      </c>
      <c r="I210" s="1">
        <v>2273588</v>
      </c>
      <c r="K210" s="1">
        <v>0</v>
      </c>
      <c r="M210" s="1">
        <f t="shared" si="14"/>
        <v>2587516</v>
      </c>
      <c r="O210" s="1">
        <f>1131868+20104+188489</f>
        <v>1340461</v>
      </c>
      <c r="Q210" s="1">
        <v>0</v>
      </c>
      <c r="S210" s="1">
        <v>5053737</v>
      </c>
      <c r="U210" s="1">
        <v>18818</v>
      </c>
      <c r="W210" s="1">
        <v>0</v>
      </c>
      <c r="Y210" s="1">
        <v>0</v>
      </c>
      <c r="AA210" s="1">
        <v>8480</v>
      </c>
      <c r="AB210" s="30"/>
      <c r="AC210" s="1">
        <v>0</v>
      </c>
      <c r="AE210" s="1">
        <v>0</v>
      </c>
      <c r="AG210" s="1">
        <f t="shared" si="15"/>
        <v>6421496</v>
      </c>
      <c r="AH210" s="1"/>
      <c r="AI210" s="1">
        <f t="shared" si="16"/>
        <v>9009012</v>
      </c>
    </row>
    <row r="211" spans="1:35" ht="12" customHeight="1">
      <c r="A211" s="17" t="s">
        <v>333</v>
      </c>
      <c r="B211" s="17"/>
      <c r="C211" s="17" t="s">
        <v>27</v>
      </c>
      <c r="D211" s="17"/>
      <c r="E211" s="13">
        <v>46961</v>
      </c>
      <c r="G211" s="1">
        <v>1985971</v>
      </c>
      <c r="I211" s="1">
        <v>4370505</v>
      </c>
      <c r="K211" s="1">
        <v>0</v>
      </c>
      <c r="M211" s="1">
        <f t="shared" si="14"/>
        <v>6356476</v>
      </c>
      <c r="O211" s="1">
        <f>45609078+2431184</f>
        <v>48040262</v>
      </c>
      <c r="Q211" s="1">
        <v>0</v>
      </c>
      <c r="S211" s="1">
        <v>21658340</v>
      </c>
      <c r="U211" s="1">
        <v>79545</v>
      </c>
      <c r="W211" s="1">
        <v>4698766</v>
      </c>
      <c r="Y211" s="1">
        <v>0</v>
      </c>
      <c r="AA211" s="1">
        <v>136191</v>
      </c>
      <c r="AB211" s="30"/>
      <c r="AC211" s="1">
        <v>-37000</v>
      </c>
      <c r="AE211" s="1">
        <v>0</v>
      </c>
      <c r="AG211" s="1">
        <f t="shared" si="15"/>
        <v>74576104</v>
      </c>
      <c r="AH211" s="1"/>
      <c r="AI211" s="1">
        <f t="shared" si="16"/>
        <v>80932580</v>
      </c>
    </row>
    <row r="212" spans="1:35" ht="12" customHeight="1">
      <c r="A212" s="17" t="s">
        <v>278</v>
      </c>
      <c r="B212" s="17"/>
      <c r="C212" s="17" t="s">
        <v>113</v>
      </c>
      <c r="D212" s="17"/>
      <c r="E212" s="13">
        <v>44024</v>
      </c>
      <c r="G212" s="1">
        <v>892265</v>
      </c>
      <c r="I212" s="1">
        <v>4275549</v>
      </c>
      <c r="K212" s="1">
        <v>10000</v>
      </c>
      <c r="M212" s="1">
        <f t="shared" si="14"/>
        <v>5177814</v>
      </c>
      <c r="O212" s="1">
        <f>4402517+74687+1010062</f>
        <v>5487266</v>
      </c>
      <c r="Q212" s="1">
        <v>0</v>
      </c>
      <c r="S212" s="1">
        <v>10764993</v>
      </c>
      <c r="U212" s="1">
        <v>24789</v>
      </c>
      <c r="W212" s="1">
        <v>36757</v>
      </c>
      <c r="Y212" s="1">
        <v>11983</v>
      </c>
      <c r="AA212" s="1">
        <v>177276</v>
      </c>
      <c r="AB212" s="30"/>
      <c r="AC212" s="1">
        <v>0</v>
      </c>
      <c r="AE212" s="1">
        <v>0</v>
      </c>
      <c r="AG212" s="1">
        <f t="shared" si="15"/>
        <v>16503064</v>
      </c>
      <c r="AH212" s="1"/>
      <c r="AI212" s="1">
        <f t="shared" si="16"/>
        <v>21680878</v>
      </c>
    </row>
    <row r="213" spans="1:35" ht="12" customHeight="1">
      <c r="A213" s="17" t="s">
        <v>349</v>
      </c>
      <c r="B213" s="17"/>
      <c r="C213" s="17" t="s">
        <v>29</v>
      </c>
      <c r="D213" s="17"/>
      <c r="E213" s="13">
        <v>65680</v>
      </c>
      <c r="G213" s="1">
        <v>1447886</v>
      </c>
      <c r="I213" s="1">
        <v>5654360</v>
      </c>
      <c r="K213" s="1">
        <v>0</v>
      </c>
      <c r="M213" s="1">
        <f t="shared" si="14"/>
        <v>7102246</v>
      </c>
      <c r="O213" s="1">
        <v>10849988</v>
      </c>
      <c r="Q213" s="1">
        <v>0</v>
      </c>
      <c r="S213" s="1">
        <v>12428955</v>
      </c>
      <c r="U213" s="1">
        <v>226417</v>
      </c>
      <c r="W213" s="1">
        <v>0</v>
      </c>
      <c r="Y213" s="1">
        <v>8300</v>
      </c>
      <c r="AA213" s="1">
        <v>298835</v>
      </c>
      <c r="AB213" s="30"/>
      <c r="AC213" s="1">
        <v>0</v>
      </c>
      <c r="AE213" s="1">
        <v>0</v>
      </c>
      <c r="AG213" s="1">
        <f t="shared" si="15"/>
        <v>23812495</v>
      </c>
      <c r="AH213" s="1"/>
      <c r="AI213" s="1">
        <f t="shared" si="16"/>
        <v>30914741</v>
      </c>
    </row>
    <row r="214" spans="1:35" ht="12" customHeight="1">
      <c r="A214" s="17" t="s">
        <v>350</v>
      </c>
      <c r="B214" s="17"/>
      <c r="C214" s="17" t="s">
        <v>29</v>
      </c>
      <c r="D214" s="17"/>
      <c r="E214" s="13">
        <v>44032</v>
      </c>
      <c r="G214" s="1">
        <v>1935191</v>
      </c>
      <c r="I214" s="1">
        <v>3745311</v>
      </c>
      <c r="K214" s="1">
        <v>301697</v>
      </c>
      <c r="M214" s="1">
        <f t="shared" si="14"/>
        <v>5982199</v>
      </c>
      <c r="O214" s="1">
        <v>6160818</v>
      </c>
      <c r="Q214" s="1">
        <v>0</v>
      </c>
      <c r="S214" s="1">
        <f>12821336+5716378</f>
        <v>18537714</v>
      </c>
      <c r="U214" s="1">
        <v>509647</v>
      </c>
      <c r="W214" s="1">
        <v>0</v>
      </c>
      <c r="Y214" s="1">
        <v>0</v>
      </c>
      <c r="AA214" s="1">
        <v>155352</v>
      </c>
      <c r="AB214" s="30"/>
      <c r="AC214" s="1">
        <v>0</v>
      </c>
      <c r="AE214" s="1">
        <v>0</v>
      </c>
      <c r="AG214" s="1">
        <f t="shared" si="15"/>
        <v>25363531</v>
      </c>
      <c r="AH214" s="1"/>
      <c r="AI214" s="1">
        <f t="shared" si="16"/>
        <v>31345730</v>
      </c>
    </row>
    <row r="215" spans="1:35" ht="12" customHeight="1">
      <c r="A215" s="17" t="s">
        <v>620</v>
      </c>
      <c r="B215" s="17"/>
      <c r="C215" s="17" t="s">
        <v>65</v>
      </c>
      <c r="D215" s="17"/>
      <c r="E215" s="13">
        <v>50278</v>
      </c>
      <c r="G215" s="1">
        <v>994413</v>
      </c>
      <c r="I215" s="1">
        <v>1536061</v>
      </c>
      <c r="K215" s="1">
        <v>0</v>
      </c>
      <c r="M215" s="1">
        <f t="shared" si="14"/>
        <v>2530474</v>
      </c>
      <c r="O215" s="1">
        <v>5398693</v>
      </c>
      <c r="Q215" s="1">
        <v>0</v>
      </c>
      <c r="S215" s="1">
        <v>4495888</v>
      </c>
      <c r="U215" s="1">
        <v>8315</v>
      </c>
      <c r="W215" s="1">
        <v>0</v>
      </c>
      <c r="Y215" s="1">
        <v>0</v>
      </c>
      <c r="AA215" s="1">
        <v>23599</v>
      </c>
      <c r="AB215" s="30"/>
      <c r="AC215" s="1">
        <v>0</v>
      </c>
      <c r="AE215" s="1">
        <v>0</v>
      </c>
      <c r="AG215" s="1">
        <f t="shared" si="15"/>
        <v>9926495</v>
      </c>
      <c r="AH215" s="1"/>
      <c r="AI215" s="1">
        <f t="shared" si="16"/>
        <v>12456969</v>
      </c>
    </row>
    <row r="216" spans="1:35" ht="12" customHeight="1">
      <c r="A216" s="17" t="s">
        <v>837</v>
      </c>
      <c r="B216" s="17"/>
      <c r="C216" s="17" t="s">
        <v>20</v>
      </c>
      <c r="D216" s="17"/>
      <c r="E216" s="13">
        <v>44040</v>
      </c>
      <c r="G216" s="1">
        <v>995192</v>
      </c>
      <c r="I216" s="1">
        <v>6801369</v>
      </c>
      <c r="K216" s="1">
        <v>143345</v>
      </c>
      <c r="M216" s="1">
        <f t="shared" si="14"/>
        <v>7939906</v>
      </c>
      <c r="O216" s="1">
        <v>17693180</v>
      </c>
      <c r="Q216" s="1">
        <v>0</v>
      </c>
      <c r="S216" s="1">
        <v>38126388</v>
      </c>
      <c r="U216" s="1">
        <v>124465</v>
      </c>
      <c r="W216" s="1">
        <v>667558</v>
      </c>
      <c r="Y216" s="1">
        <v>0</v>
      </c>
      <c r="AA216" s="1">
        <v>97452</v>
      </c>
      <c r="AB216" s="30"/>
      <c r="AC216" s="1">
        <v>0</v>
      </c>
      <c r="AE216" s="1">
        <v>0</v>
      </c>
      <c r="AG216" s="1">
        <f t="shared" si="15"/>
        <v>56709043</v>
      </c>
      <c r="AH216" s="1"/>
      <c r="AI216" s="1">
        <f t="shared" si="16"/>
        <v>64648949</v>
      </c>
    </row>
    <row r="217" spans="1:35" ht="12" customHeight="1">
      <c r="A217" s="17" t="s">
        <v>786</v>
      </c>
      <c r="B217" s="17"/>
      <c r="C217" s="17" t="s">
        <v>12</v>
      </c>
      <c r="D217" s="17"/>
      <c r="E217" s="13">
        <v>44057</v>
      </c>
      <c r="F217" s="31"/>
      <c r="G217" s="1">
        <v>1982192</v>
      </c>
      <c r="I217" s="1">
        <v>3784951</v>
      </c>
      <c r="K217" s="1">
        <v>22577043</v>
      </c>
      <c r="M217" s="1">
        <f t="shared" si="14"/>
        <v>28344186</v>
      </c>
      <c r="O217" s="1">
        <v>8480757</v>
      </c>
      <c r="Q217" s="1">
        <v>0</v>
      </c>
      <c r="S217" s="1">
        <v>13360373</v>
      </c>
      <c r="U217" s="1">
        <v>118103</v>
      </c>
      <c r="W217" s="1">
        <v>141103</v>
      </c>
      <c r="Y217" s="1">
        <v>0</v>
      </c>
      <c r="AA217" s="1">
        <v>96283</v>
      </c>
      <c r="AB217" s="30"/>
      <c r="AC217" s="1">
        <v>0</v>
      </c>
      <c r="AE217" s="1">
        <v>0</v>
      </c>
      <c r="AG217" s="1">
        <f t="shared" si="15"/>
        <v>22196619</v>
      </c>
      <c r="AH217" s="1"/>
      <c r="AI217" s="1">
        <f t="shared" si="16"/>
        <v>50540805</v>
      </c>
    </row>
    <row r="218" spans="1:35" ht="12" customHeight="1">
      <c r="A218" s="17" t="s">
        <v>521</v>
      </c>
      <c r="B218" s="17"/>
      <c r="C218" s="17" t="s">
        <v>53</v>
      </c>
      <c r="D218" s="17"/>
      <c r="E218" s="13">
        <v>48942</v>
      </c>
      <c r="G218" s="1">
        <v>965826</v>
      </c>
      <c r="I218" s="1">
        <v>1241306</v>
      </c>
      <c r="K218" s="1">
        <v>0</v>
      </c>
      <c r="M218" s="1">
        <f t="shared" si="14"/>
        <v>2207132</v>
      </c>
      <c r="O218" s="1">
        <v>4569621</v>
      </c>
      <c r="Q218" s="1">
        <v>0</v>
      </c>
      <c r="S218" s="1">
        <v>6763493</v>
      </c>
      <c r="U218" s="1">
        <v>83311</v>
      </c>
      <c r="W218" s="1">
        <v>0</v>
      </c>
      <c r="Y218" s="1">
        <v>0</v>
      </c>
      <c r="AA218" s="1">
        <v>16441</v>
      </c>
      <c r="AB218" s="30"/>
      <c r="AC218" s="1">
        <v>0</v>
      </c>
      <c r="AE218" s="1">
        <v>0</v>
      </c>
      <c r="AG218" s="1">
        <f t="shared" si="15"/>
        <v>11432866</v>
      </c>
      <c r="AH218" s="1"/>
      <c r="AI218" s="1">
        <f t="shared" si="16"/>
        <v>13639998</v>
      </c>
    </row>
    <row r="219" spans="1:35" ht="12" hidden="1" customHeight="1">
      <c r="A219" s="17" t="s">
        <v>816</v>
      </c>
      <c r="B219" s="17"/>
      <c r="C219" s="17" t="s">
        <v>77</v>
      </c>
      <c r="D219" s="17"/>
      <c r="E219" s="13">
        <v>45377</v>
      </c>
      <c r="F219" s="31"/>
      <c r="M219" s="1">
        <f t="shared" si="14"/>
        <v>0</v>
      </c>
      <c r="AB219" s="30"/>
      <c r="AG219" s="1">
        <f t="shared" si="15"/>
        <v>0</v>
      </c>
      <c r="AH219" s="1"/>
      <c r="AI219" s="1">
        <f t="shared" si="16"/>
        <v>0</v>
      </c>
    </row>
    <row r="220" spans="1:35" ht="12" customHeight="1">
      <c r="A220" s="17" t="s">
        <v>557</v>
      </c>
      <c r="B220" s="17"/>
      <c r="C220" s="17" t="s">
        <v>79</v>
      </c>
      <c r="D220" s="17"/>
      <c r="E220" s="13">
        <v>45385</v>
      </c>
      <c r="G220" s="1">
        <v>787700</v>
      </c>
      <c r="I220" s="1">
        <v>1234648</v>
      </c>
      <c r="K220" s="1">
        <v>649676</v>
      </c>
      <c r="M220" s="1">
        <f t="shared" si="14"/>
        <v>2672024</v>
      </c>
      <c r="O220" s="1">
        <v>2572431</v>
      </c>
      <c r="Q220" s="1">
        <v>0</v>
      </c>
      <c r="S220" s="1">
        <v>5721870</v>
      </c>
      <c r="U220" s="1">
        <v>22088</v>
      </c>
      <c r="W220" s="1">
        <v>0</v>
      </c>
      <c r="Y220" s="1">
        <v>0</v>
      </c>
      <c r="AA220" s="1">
        <v>5270</v>
      </c>
      <c r="AB220" s="30"/>
      <c r="AC220" s="1">
        <v>0</v>
      </c>
      <c r="AE220" s="1">
        <v>0</v>
      </c>
      <c r="AG220" s="1">
        <f t="shared" si="15"/>
        <v>8321659</v>
      </c>
      <c r="AH220" s="1"/>
      <c r="AI220" s="1">
        <f t="shared" si="16"/>
        <v>10993683</v>
      </c>
    </row>
    <row r="221" spans="1:35" ht="12" customHeight="1">
      <c r="A221" s="17" t="s">
        <v>603</v>
      </c>
      <c r="B221" s="17"/>
      <c r="C221" s="17" t="s">
        <v>64</v>
      </c>
      <c r="D221" s="17"/>
      <c r="E221" s="13">
        <v>44065</v>
      </c>
      <c r="G221" s="1">
        <v>808486</v>
      </c>
      <c r="I221" s="1">
        <v>2711182</v>
      </c>
      <c r="K221" s="1">
        <v>0</v>
      </c>
      <c r="M221" s="1">
        <f t="shared" si="14"/>
        <v>3519668</v>
      </c>
      <c r="O221" s="1">
        <v>4800955</v>
      </c>
      <c r="Q221" s="1">
        <v>0</v>
      </c>
      <c r="S221" s="1">
        <v>8705719</v>
      </c>
      <c r="U221" s="1">
        <v>131942</v>
      </c>
      <c r="W221" s="1">
        <v>0</v>
      </c>
      <c r="Y221" s="1">
        <v>0</v>
      </c>
      <c r="AA221" s="1">
        <v>88431</v>
      </c>
      <c r="AB221" s="30"/>
      <c r="AC221" s="1">
        <v>0</v>
      </c>
      <c r="AE221" s="1">
        <v>0</v>
      </c>
      <c r="AG221" s="1">
        <f t="shared" si="15"/>
        <v>13727047</v>
      </c>
      <c r="AH221" s="1"/>
      <c r="AI221" s="1">
        <f t="shared" si="16"/>
        <v>17246715</v>
      </c>
    </row>
    <row r="222" spans="1:35" ht="12" hidden="1" customHeight="1">
      <c r="A222" s="17" t="s">
        <v>869</v>
      </c>
      <c r="B222" s="17"/>
      <c r="C222" s="17" t="s">
        <v>28</v>
      </c>
      <c r="D222" s="17"/>
      <c r="E222" s="13">
        <v>47068</v>
      </c>
      <c r="M222" s="1">
        <f t="shared" si="14"/>
        <v>0</v>
      </c>
      <c r="AB222" s="30"/>
      <c r="AG222" s="1">
        <f t="shared" si="15"/>
        <v>0</v>
      </c>
      <c r="AH222" s="1"/>
      <c r="AI222" s="1">
        <f t="shared" si="16"/>
        <v>0</v>
      </c>
    </row>
    <row r="223" spans="1:35" ht="12" customHeight="1">
      <c r="A223" s="17" t="s">
        <v>254</v>
      </c>
      <c r="B223" s="17"/>
      <c r="C223" s="17" t="s">
        <v>115</v>
      </c>
      <c r="D223" s="17"/>
      <c r="E223" s="13">
        <v>46342</v>
      </c>
      <c r="F223" s="31"/>
      <c r="G223" s="1">
        <v>1759902</v>
      </c>
      <c r="I223" s="1">
        <v>4151445</v>
      </c>
      <c r="K223" s="1">
        <v>0</v>
      </c>
      <c r="M223" s="1">
        <f t="shared" si="14"/>
        <v>5911347</v>
      </c>
      <c r="O223" s="1">
        <v>6571750</v>
      </c>
      <c r="Q223" s="1">
        <v>2682880</v>
      </c>
      <c r="S223" s="1">
        <v>11893520</v>
      </c>
      <c r="U223" s="1">
        <v>11115</v>
      </c>
      <c r="W223" s="1">
        <v>106244</v>
      </c>
      <c r="Y223" s="1">
        <v>0</v>
      </c>
      <c r="AA223" s="1">
        <v>198265</v>
      </c>
      <c r="AB223" s="30"/>
      <c r="AC223" s="1">
        <v>0</v>
      </c>
      <c r="AE223" s="1">
        <v>0</v>
      </c>
      <c r="AG223" s="1">
        <f>SUM(O223:AE223)</f>
        <v>21463774</v>
      </c>
      <c r="AH223" s="1"/>
      <c r="AI223" s="1">
        <f t="shared" si="16"/>
        <v>27375121</v>
      </c>
    </row>
    <row r="224" spans="1:35" ht="12" customHeight="1">
      <c r="A224" s="17" t="s">
        <v>239</v>
      </c>
      <c r="B224" s="17"/>
      <c r="C224" s="17" t="s">
        <v>240</v>
      </c>
      <c r="D224" s="17"/>
      <c r="E224" s="13">
        <v>46193</v>
      </c>
      <c r="F224" s="31"/>
      <c r="G224" s="1">
        <v>1744374</v>
      </c>
      <c r="I224" s="1">
        <v>2219002</v>
      </c>
      <c r="K224" s="1">
        <v>0</v>
      </c>
      <c r="M224" s="1">
        <f t="shared" si="14"/>
        <v>3963376</v>
      </c>
      <c r="O224" s="1">
        <f>4356164+88693+1131676+242277</f>
        <v>5818810</v>
      </c>
      <c r="Q224" s="1">
        <v>0</v>
      </c>
      <c r="S224" s="1">
        <v>11680587</v>
      </c>
      <c r="U224" s="1">
        <v>38625</v>
      </c>
      <c r="W224" s="1">
        <v>0</v>
      </c>
      <c r="Y224" s="1">
        <v>0</v>
      </c>
      <c r="AA224" s="1">
        <v>280754</v>
      </c>
      <c r="AB224" s="30"/>
      <c r="AC224" s="1">
        <v>0</v>
      </c>
      <c r="AE224" s="1">
        <v>0</v>
      </c>
      <c r="AG224" s="1">
        <f t="shared" si="15"/>
        <v>17818776</v>
      </c>
      <c r="AH224" s="1"/>
      <c r="AI224" s="1">
        <f t="shared" si="16"/>
        <v>21782152</v>
      </c>
    </row>
    <row r="225" spans="1:35" ht="12" customHeight="1">
      <c r="A225" s="17" t="s">
        <v>211</v>
      </c>
      <c r="B225" s="17"/>
      <c r="C225" s="17" t="s">
        <v>12</v>
      </c>
      <c r="D225" s="17"/>
      <c r="E225" s="13">
        <v>45864</v>
      </c>
      <c r="F225" s="31"/>
      <c r="G225" s="1">
        <v>973374</v>
      </c>
      <c r="I225" s="1">
        <v>968590</v>
      </c>
      <c r="K225" s="1">
        <v>0</v>
      </c>
      <c r="M225" s="1">
        <f t="shared" si="14"/>
        <v>1941964</v>
      </c>
      <c r="O225" s="1">
        <v>4680312</v>
      </c>
      <c r="Q225" s="1">
        <v>0</v>
      </c>
      <c r="S225" s="1">
        <v>8974766</v>
      </c>
      <c r="U225" s="1">
        <v>96452</v>
      </c>
      <c r="W225" s="1">
        <v>0</v>
      </c>
      <c r="Y225" s="1">
        <v>0</v>
      </c>
      <c r="AA225" s="1">
        <v>117915</v>
      </c>
      <c r="AB225" s="30"/>
      <c r="AC225" s="1">
        <v>0</v>
      </c>
      <c r="AE225" s="1">
        <v>0</v>
      </c>
      <c r="AG225" s="1">
        <f t="shared" si="15"/>
        <v>13869445</v>
      </c>
      <c r="AH225" s="1"/>
      <c r="AI225" s="1">
        <f t="shared" si="16"/>
        <v>15811409</v>
      </c>
    </row>
    <row r="226" spans="1:35" ht="12" customHeight="1">
      <c r="A226" s="17" t="s">
        <v>334</v>
      </c>
      <c r="B226" s="17"/>
      <c r="C226" s="17" t="s">
        <v>27</v>
      </c>
      <c r="D226" s="17"/>
      <c r="E226" s="13">
        <v>44073</v>
      </c>
      <c r="G226" s="1">
        <v>443434</v>
      </c>
      <c r="I226" s="1">
        <v>572035</v>
      </c>
      <c r="K226" s="1">
        <v>0</v>
      </c>
      <c r="M226" s="1">
        <f t="shared" si="14"/>
        <v>1015469</v>
      </c>
      <c r="O226" s="1">
        <f>10646107+963167+333943</f>
        <v>11943217</v>
      </c>
      <c r="Q226" s="1">
        <v>0</v>
      </c>
      <c r="S226" s="1">
        <v>4508823</v>
      </c>
      <c r="U226" s="1">
        <v>38574</v>
      </c>
      <c r="W226" s="1">
        <v>0</v>
      </c>
      <c r="Y226" s="1">
        <v>0</v>
      </c>
      <c r="AA226" s="1">
        <v>66472</v>
      </c>
      <c r="AB226" s="30"/>
      <c r="AC226" s="1">
        <v>-45000</v>
      </c>
      <c r="AE226" s="1">
        <v>0</v>
      </c>
      <c r="AG226" s="1">
        <f t="shared" si="15"/>
        <v>16512086</v>
      </c>
      <c r="AH226" s="1"/>
      <c r="AI226" s="1">
        <f t="shared" si="16"/>
        <v>17527555</v>
      </c>
    </row>
    <row r="227" spans="1:35" ht="12" customHeight="1">
      <c r="A227" s="17" t="s">
        <v>817</v>
      </c>
      <c r="B227" s="17"/>
      <c r="C227" s="17" t="s">
        <v>42</v>
      </c>
      <c r="D227" s="17"/>
      <c r="E227" s="13">
        <v>45393</v>
      </c>
      <c r="G227" s="1">
        <v>1209179</v>
      </c>
      <c r="I227" s="1">
        <v>2041210</v>
      </c>
      <c r="K227" s="1">
        <v>26145</v>
      </c>
      <c r="M227" s="1">
        <f t="shared" ref="M227:M231" si="22">SUM(G227:L227)</f>
        <v>3276534</v>
      </c>
      <c r="O227" s="1">
        <f>13690792+3587543+628736+156354</f>
        <v>18063425</v>
      </c>
      <c r="Q227" s="1">
        <v>0</v>
      </c>
      <c r="S227" s="1">
        <v>7430574</v>
      </c>
      <c r="U227" s="1">
        <v>69859</v>
      </c>
      <c r="W227" s="1">
        <v>252440</v>
      </c>
      <c r="Y227" s="1">
        <v>0</v>
      </c>
      <c r="AA227" s="1">
        <v>34177</v>
      </c>
      <c r="AB227" s="30"/>
      <c r="AC227" s="1">
        <v>0</v>
      </c>
      <c r="AE227" s="1">
        <v>0</v>
      </c>
      <c r="AG227" s="1">
        <f>SUM(O227:AE227)</f>
        <v>25850475</v>
      </c>
      <c r="AH227" s="1"/>
      <c r="AI227" s="1">
        <f>+AG227+M227</f>
        <v>29127009</v>
      </c>
    </row>
    <row r="228" spans="1:35" ht="12" customHeight="1">
      <c r="A228" s="17" t="s">
        <v>561</v>
      </c>
      <c r="B228" s="17"/>
      <c r="C228" s="17" t="s">
        <v>59</v>
      </c>
      <c r="D228" s="17"/>
      <c r="E228" s="13">
        <v>49619</v>
      </c>
      <c r="G228" s="1">
        <v>634319</v>
      </c>
      <c r="I228" s="1">
        <v>1202145</v>
      </c>
      <c r="K228" s="1">
        <v>0</v>
      </c>
      <c r="M228" s="1">
        <f t="shared" si="22"/>
        <v>1836464</v>
      </c>
      <c r="O228" s="1">
        <v>1258368</v>
      </c>
      <c r="Q228" s="1">
        <v>0</v>
      </c>
      <c r="S228" s="1">
        <v>3678556</v>
      </c>
      <c r="U228" s="1">
        <v>2555</v>
      </c>
      <c r="W228" s="1">
        <v>180806</v>
      </c>
      <c r="Y228" s="1">
        <v>11804</v>
      </c>
      <c r="AA228" s="1">
        <v>107450</v>
      </c>
      <c r="AB228" s="30"/>
      <c r="AC228" s="1">
        <v>0</v>
      </c>
      <c r="AE228" s="1">
        <v>0</v>
      </c>
      <c r="AG228" s="1">
        <f>SUM(O228:AE228)</f>
        <v>5239539</v>
      </c>
      <c r="AH228" s="1"/>
      <c r="AI228" s="1">
        <f>+AG228+M228</f>
        <v>7076003</v>
      </c>
    </row>
    <row r="229" spans="1:35" ht="12" customHeight="1">
      <c r="A229" s="17" t="s">
        <v>561</v>
      </c>
      <c r="B229" s="17"/>
      <c r="C229" s="17" t="s">
        <v>63</v>
      </c>
      <c r="D229" s="17"/>
      <c r="E229" s="13">
        <v>50013</v>
      </c>
      <c r="G229" s="1">
        <v>2503679</v>
      </c>
      <c r="I229" s="1">
        <v>2599813</v>
      </c>
      <c r="K229" s="1">
        <v>373098</v>
      </c>
      <c r="M229" s="1">
        <f t="shared" si="22"/>
        <v>5476590</v>
      </c>
      <c r="O229" s="1">
        <f>16342198+1434535+2999433</f>
        <v>20776166</v>
      </c>
      <c r="Q229" s="1">
        <v>0</v>
      </c>
      <c r="S229" s="1">
        <v>15069053</v>
      </c>
      <c r="U229" s="1">
        <v>11284</v>
      </c>
      <c r="W229" s="1">
        <v>0</v>
      </c>
      <c r="Y229" s="1">
        <v>0</v>
      </c>
      <c r="AA229" s="1">
        <v>166036</v>
      </c>
      <c r="AB229" s="30"/>
      <c r="AC229" s="1">
        <v>0</v>
      </c>
      <c r="AE229" s="1">
        <v>0</v>
      </c>
      <c r="AG229" s="1">
        <f>SUM(O229:AE229)</f>
        <v>36022539</v>
      </c>
      <c r="AH229" s="1"/>
      <c r="AI229" s="1">
        <f>+AG229+M229</f>
        <v>41499129</v>
      </c>
    </row>
    <row r="230" spans="1:35" ht="12" hidden="1" customHeight="1">
      <c r="A230" s="17" t="s">
        <v>934</v>
      </c>
      <c r="B230" s="17"/>
      <c r="C230" s="17" t="s">
        <v>71</v>
      </c>
      <c r="D230" s="17"/>
      <c r="E230" s="13">
        <v>50559</v>
      </c>
      <c r="M230" s="1">
        <f t="shared" si="22"/>
        <v>0</v>
      </c>
      <c r="AB230" s="30"/>
      <c r="AG230" s="1">
        <f>SUM(O230:AE230)</f>
        <v>0</v>
      </c>
      <c r="AH230" s="1"/>
      <c r="AI230" s="1">
        <f>+AG230+M230</f>
        <v>0</v>
      </c>
    </row>
    <row r="231" spans="1:35" ht="12" customHeight="1">
      <c r="A231" s="17" t="s">
        <v>358</v>
      </c>
      <c r="B231" s="17"/>
      <c r="C231" s="17" t="s">
        <v>116</v>
      </c>
      <c r="D231" s="17"/>
      <c r="E231" s="13">
        <v>47266</v>
      </c>
      <c r="G231" s="1">
        <v>1009158</v>
      </c>
      <c r="I231" s="1">
        <v>1330737</v>
      </c>
      <c r="K231" s="1">
        <v>0</v>
      </c>
      <c r="M231" s="1">
        <f t="shared" si="22"/>
        <v>2339895</v>
      </c>
      <c r="O231" s="1">
        <v>4065855</v>
      </c>
      <c r="Q231" s="1">
        <v>1589909</v>
      </c>
      <c r="S231" s="1">
        <f>6174286+3321127</f>
        <v>9495413</v>
      </c>
      <c r="U231" s="1">
        <v>46415</v>
      </c>
      <c r="W231" s="1">
        <v>0</v>
      </c>
      <c r="Y231" s="1">
        <v>718</v>
      </c>
      <c r="AA231" s="1">
        <v>171096</v>
      </c>
      <c r="AB231" s="30"/>
      <c r="AC231" s="1">
        <v>0</v>
      </c>
      <c r="AE231" s="1">
        <v>0</v>
      </c>
      <c r="AG231" s="1">
        <f t="shared" ref="AG231:AG232" si="23">SUM(O231:AE231)</f>
        <v>15369406</v>
      </c>
      <c r="AH231" s="1"/>
      <c r="AI231" s="1">
        <f t="shared" ref="AI231:AI232" si="24">+AG231+M231</f>
        <v>17709301</v>
      </c>
    </row>
    <row r="232" spans="1:35" ht="12" customHeight="1">
      <c r="A232" s="17" t="s">
        <v>397</v>
      </c>
      <c r="B232" s="17"/>
      <c r="C232" s="17" t="s">
        <v>395</v>
      </c>
      <c r="D232" s="17"/>
      <c r="E232" s="13">
        <v>45401</v>
      </c>
      <c r="G232" s="1">
        <v>1005913</v>
      </c>
      <c r="I232" s="1">
        <v>3182532</v>
      </c>
      <c r="K232" s="1">
        <v>0</v>
      </c>
      <c r="M232" s="1">
        <f t="shared" ref="M232:M301" si="25">SUM(G232:L232)</f>
        <v>4188445</v>
      </c>
      <c r="O232" s="1">
        <v>3614351</v>
      </c>
      <c r="Q232" s="1">
        <v>1641099</v>
      </c>
      <c r="S232" s="1">
        <v>12361521</v>
      </c>
      <c r="U232" s="1">
        <v>112727</v>
      </c>
      <c r="W232" s="1">
        <v>0</v>
      </c>
      <c r="Y232" s="1">
        <v>0</v>
      </c>
      <c r="AA232" s="1">
        <v>186340</v>
      </c>
      <c r="AB232" s="30"/>
      <c r="AC232" s="1">
        <v>0</v>
      </c>
      <c r="AE232" s="1">
        <v>0</v>
      </c>
      <c r="AG232" s="1">
        <f t="shared" si="23"/>
        <v>17916038</v>
      </c>
      <c r="AH232" s="1"/>
      <c r="AI232" s="1">
        <f t="shared" si="24"/>
        <v>22104483</v>
      </c>
    </row>
    <row r="233" spans="1:35" s="1" customFormat="1" ht="12" customHeight="1">
      <c r="A233" s="12" t="s">
        <v>246</v>
      </c>
      <c r="B233" s="12"/>
      <c r="C233" s="12" t="s">
        <v>17</v>
      </c>
      <c r="D233" s="12"/>
      <c r="E233" s="12">
        <v>46235</v>
      </c>
      <c r="F233" s="8"/>
      <c r="G233" s="1">
        <v>1350000</v>
      </c>
      <c r="I233" s="1">
        <v>1880000</v>
      </c>
      <c r="K233" s="1">
        <v>0</v>
      </c>
      <c r="M233" s="1">
        <f t="shared" si="25"/>
        <v>3230000</v>
      </c>
      <c r="O233" s="1">
        <v>5780000</v>
      </c>
      <c r="Q233" s="1">
        <v>0</v>
      </c>
      <c r="S233" s="1">
        <v>7940000</v>
      </c>
      <c r="U233" s="1">
        <v>20000</v>
      </c>
      <c r="W233" s="1">
        <v>0</v>
      </c>
      <c r="Y233" s="1">
        <v>0</v>
      </c>
      <c r="AA233" s="1">
        <v>20000</v>
      </c>
      <c r="AB233" s="30"/>
      <c r="AC233" s="1">
        <v>0</v>
      </c>
      <c r="AE233" s="1">
        <v>0</v>
      </c>
      <c r="AG233" s="1">
        <f t="shared" ref="AG233:AG302" si="26">SUM(O233:AE233)</f>
        <v>13760000</v>
      </c>
      <c r="AI233" s="1">
        <f t="shared" ref="AI233:AI301" si="27">+AG233+M233</f>
        <v>16990000</v>
      </c>
    </row>
    <row r="234" spans="1:35" ht="12" customHeight="1">
      <c r="A234" s="17" t="s">
        <v>309</v>
      </c>
      <c r="B234" s="17"/>
      <c r="C234" s="17" t="s">
        <v>21</v>
      </c>
      <c r="D234" s="17"/>
      <c r="E234" s="13">
        <v>44099</v>
      </c>
      <c r="G234" s="1">
        <v>1232348</v>
      </c>
      <c r="I234" s="1">
        <v>3951460</v>
      </c>
      <c r="K234" s="1">
        <v>167578</v>
      </c>
      <c r="M234" s="1">
        <f t="shared" si="25"/>
        <v>5351386</v>
      </c>
      <c r="O234" s="1">
        <f>8395361+395086</f>
        <v>8790447</v>
      </c>
      <c r="Q234" s="1">
        <v>1709928</v>
      </c>
      <c r="S234" s="1">
        <v>13562824</v>
      </c>
      <c r="U234" s="1">
        <v>31849</v>
      </c>
      <c r="W234" s="1">
        <v>22301</v>
      </c>
      <c r="Y234" s="1">
        <v>4343</v>
      </c>
      <c r="AA234" s="1">
        <v>73169</v>
      </c>
      <c r="AB234" s="30"/>
      <c r="AC234" s="1">
        <v>0</v>
      </c>
      <c r="AE234" s="1">
        <v>0</v>
      </c>
      <c r="AG234" s="1">
        <f t="shared" si="26"/>
        <v>24194861</v>
      </c>
      <c r="AH234" s="1"/>
      <c r="AI234" s="1">
        <f t="shared" si="27"/>
        <v>29546247</v>
      </c>
    </row>
    <row r="235" spans="1:35" ht="12" customHeight="1">
      <c r="A235" s="17" t="s">
        <v>335</v>
      </c>
      <c r="B235" s="17"/>
      <c r="C235" s="17" t="s">
        <v>27</v>
      </c>
      <c r="D235" s="17"/>
      <c r="E235" s="13">
        <v>46979</v>
      </c>
      <c r="G235" s="1">
        <v>1489956</v>
      </c>
      <c r="I235" s="1">
        <v>9825033</v>
      </c>
      <c r="K235" s="1">
        <v>0</v>
      </c>
      <c r="M235" s="1">
        <f t="shared" si="25"/>
        <v>11314989</v>
      </c>
      <c r="O235" s="1">
        <f>23333583+1082842</f>
        <v>24416425</v>
      </c>
      <c r="Q235" s="1">
        <v>0</v>
      </c>
      <c r="S235" s="1">
        <v>33485527</v>
      </c>
      <c r="U235" s="1">
        <v>4896</v>
      </c>
      <c r="W235" s="1">
        <f>278042+1513431</f>
        <v>1791473</v>
      </c>
      <c r="Y235" s="1">
        <v>0</v>
      </c>
      <c r="AA235" s="1">
        <v>313130</v>
      </c>
      <c r="AB235" s="30"/>
      <c r="AC235" s="1">
        <v>0</v>
      </c>
      <c r="AE235" s="1">
        <v>0</v>
      </c>
      <c r="AG235" s="1">
        <f t="shared" si="26"/>
        <v>60011451</v>
      </c>
      <c r="AH235" s="1"/>
      <c r="AI235" s="1">
        <f t="shared" si="27"/>
        <v>71326440</v>
      </c>
    </row>
    <row r="236" spans="1:35" ht="12" customHeight="1">
      <c r="A236" s="17" t="s">
        <v>229</v>
      </c>
      <c r="B236" s="17"/>
      <c r="C236" s="17" t="s">
        <v>227</v>
      </c>
      <c r="D236" s="17"/>
      <c r="E236" s="13">
        <v>44107</v>
      </c>
      <c r="F236" s="31"/>
      <c r="G236" s="1">
        <v>746370</v>
      </c>
      <c r="I236" s="1">
        <v>18042444</v>
      </c>
      <c r="K236" s="1">
        <v>17863</v>
      </c>
      <c r="M236" s="1">
        <f>SUM(G236:L236)</f>
        <v>18806677</v>
      </c>
      <c r="O236" s="1">
        <f>16701523+2329306+6832113</f>
        <v>25862942</v>
      </c>
      <c r="Q236" s="1">
        <v>0</v>
      </c>
      <c r="S236" s="1">
        <v>51460353</v>
      </c>
      <c r="U236" s="1">
        <v>545341</v>
      </c>
      <c r="W236" s="1">
        <v>0</v>
      </c>
      <c r="Y236" s="1">
        <v>0</v>
      </c>
      <c r="AA236" s="1">
        <v>1775103</v>
      </c>
      <c r="AB236" s="30"/>
      <c r="AC236" s="1">
        <v>0</v>
      </c>
      <c r="AE236" s="1">
        <v>0</v>
      </c>
      <c r="AG236" s="1">
        <f>SUM(O236:AE236)</f>
        <v>79643739</v>
      </c>
      <c r="AH236" s="1"/>
      <c r="AI236" s="1">
        <f t="shared" si="27"/>
        <v>98450416</v>
      </c>
    </row>
    <row r="237" spans="1:35" ht="12" customHeight="1">
      <c r="A237" s="17" t="s">
        <v>935</v>
      </c>
      <c r="B237" s="17"/>
      <c r="C237" s="17" t="s">
        <v>27</v>
      </c>
      <c r="D237" s="17"/>
      <c r="E237" s="13">
        <v>46953</v>
      </c>
      <c r="G237" s="1">
        <v>899698</v>
      </c>
      <c r="I237" s="1">
        <v>4445969</v>
      </c>
      <c r="K237" s="1">
        <v>0</v>
      </c>
      <c r="M237" s="1">
        <f t="shared" ref="M237:M238" si="28">SUM(G237:L237)</f>
        <v>5345667</v>
      </c>
      <c r="O237" s="1">
        <f>4620293+1665683+340783</f>
        <v>6626759</v>
      </c>
      <c r="Q237" s="1">
        <v>0</v>
      </c>
      <c r="S237" s="1">
        <f>17972353+193027</f>
        <v>18165380</v>
      </c>
      <c r="U237" s="1">
        <v>8318</v>
      </c>
      <c r="W237" s="1">
        <v>0</v>
      </c>
      <c r="Y237" s="1">
        <v>0</v>
      </c>
      <c r="AA237" s="1">
        <v>126867</v>
      </c>
      <c r="AB237" s="30"/>
      <c r="AC237" s="1">
        <v>0</v>
      </c>
      <c r="AE237" s="1">
        <v>0</v>
      </c>
      <c r="AG237" s="1">
        <f t="shared" ref="AG237" si="29">SUM(O237:AE237)</f>
        <v>24927324</v>
      </c>
      <c r="AH237" s="1"/>
      <c r="AI237" s="1">
        <f t="shared" si="27"/>
        <v>30272991</v>
      </c>
    </row>
    <row r="238" spans="1:35" ht="12" customHeight="1">
      <c r="A238" s="17" t="s">
        <v>384</v>
      </c>
      <c r="B238" s="17"/>
      <c r="C238" s="17" t="s">
        <v>383</v>
      </c>
      <c r="D238" s="17"/>
      <c r="E238" s="13">
        <v>47498</v>
      </c>
      <c r="G238" s="1">
        <v>546664</v>
      </c>
      <c r="I238" s="1">
        <v>614772</v>
      </c>
      <c r="K238" s="1">
        <v>4180545</v>
      </c>
      <c r="M238" s="1">
        <f t="shared" si="28"/>
        <v>5341981</v>
      </c>
      <c r="O238" s="1">
        <f>904670+17901+192643+104338+816505</f>
        <v>2036057</v>
      </c>
      <c r="Q238" s="1">
        <v>0</v>
      </c>
      <c r="S238" s="1">
        <v>2452124</v>
      </c>
      <c r="U238" s="1">
        <v>53291</v>
      </c>
      <c r="W238" s="1">
        <v>0</v>
      </c>
      <c r="Y238" s="1">
        <v>0</v>
      </c>
      <c r="AA238" s="1">
        <f>11758+22271</f>
        <v>34029</v>
      </c>
      <c r="AB238" s="30"/>
      <c r="AC238" s="1">
        <v>0</v>
      </c>
      <c r="AE238" s="1">
        <v>0</v>
      </c>
      <c r="AG238" s="1">
        <f t="shared" si="26"/>
        <v>4575501</v>
      </c>
      <c r="AH238" s="1"/>
      <c r="AI238" s="1">
        <f t="shared" si="27"/>
        <v>9917482</v>
      </c>
    </row>
    <row r="239" spans="1:35" ht="12" hidden="1" customHeight="1">
      <c r="A239" s="17" t="s">
        <v>936</v>
      </c>
      <c r="B239" s="17"/>
      <c r="C239" s="17" t="s">
        <v>61</v>
      </c>
      <c r="D239" s="17"/>
      <c r="E239" s="13">
        <v>49791</v>
      </c>
      <c r="M239" s="1">
        <f t="shared" si="25"/>
        <v>0</v>
      </c>
      <c r="AB239" s="30"/>
      <c r="AE239" s="1">
        <v>0</v>
      </c>
      <c r="AG239" s="1">
        <f t="shared" si="26"/>
        <v>0</v>
      </c>
      <c r="AH239" s="1"/>
      <c r="AI239" s="1">
        <f t="shared" si="27"/>
        <v>0</v>
      </c>
    </row>
    <row r="240" spans="1:35" ht="12" customHeight="1">
      <c r="A240" s="17" t="s">
        <v>389</v>
      </c>
      <c r="B240" s="17"/>
      <c r="C240" s="17" t="s">
        <v>388</v>
      </c>
      <c r="D240" s="17"/>
      <c r="E240" s="13">
        <v>45245</v>
      </c>
      <c r="G240" s="1">
        <v>526358</v>
      </c>
      <c r="I240" s="1">
        <v>3492292</v>
      </c>
      <c r="K240" s="1">
        <v>0</v>
      </c>
      <c r="M240" s="1">
        <f t="shared" si="25"/>
        <v>4018650</v>
      </c>
      <c r="O240" s="1">
        <v>3838242</v>
      </c>
      <c r="Q240" s="1">
        <v>0</v>
      </c>
      <c r="S240" s="1">
        <v>11628560</v>
      </c>
      <c r="U240" s="1">
        <v>69904</v>
      </c>
      <c r="W240" s="1">
        <v>0</v>
      </c>
      <c r="Y240" s="1">
        <v>0</v>
      </c>
      <c r="AA240" s="1">
        <v>118591</v>
      </c>
      <c r="AB240" s="30"/>
      <c r="AC240" s="1">
        <v>0</v>
      </c>
      <c r="AE240" s="1">
        <v>0</v>
      </c>
      <c r="AG240" s="1">
        <f t="shared" si="26"/>
        <v>15655297</v>
      </c>
      <c r="AH240" s="1"/>
      <c r="AI240" s="1">
        <f t="shared" si="27"/>
        <v>19673947</v>
      </c>
    </row>
    <row r="241" spans="1:35" ht="12" customHeight="1">
      <c r="A241" s="17" t="s">
        <v>427</v>
      </c>
      <c r="B241" s="17"/>
      <c r="C241" s="17" t="s">
        <v>42</v>
      </c>
      <c r="D241" s="17"/>
      <c r="E241" s="13">
        <v>44115</v>
      </c>
      <c r="G241" s="1">
        <v>583873</v>
      </c>
      <c r="I241" s="1">
        <v>1564636</v>
      </c>
      <c r="K241" s="1">
        <v>0</v>
      </c>
      <c r="M241" s="1">
        <f t="shared" si="25"/>
        <v>2148509</v>
      </c>
      <c r="O241" s="1">
        <f>7924272+1332583+207989</f>
        <v>9464844</v>
      </c>
      <c r="Q241" s="1">
        <v>0</v>
      </c>
      <c r="S241" s="1">
        <v>6198597</v>
      </c>
      <c r="U241" s="1">
        <v>19132</v>
      </c>
      <c r="W241" s="1">
        <v>0</v>
      </c>
      <c r="Y241" s="1">
        <v>0</v>
      </c>
      <c r="AA241" s="1">
        <v>507269</v>
      </c>
      <c r="AB241" s="30"/>
      <c r="AC241" s="1">
        <v>0</v>
      </c>
      <c r="AE241" s="1">
        <v>0</v>
      </c>
      <c r="AG241" s="1">
        <f t="shared" si="26"/>
        <v>16189842</v>
      </c>
      <c r="AH241" s="1"/>
      <c r="AI241" s="1">
        <f t="shared" si="27"/>
        <v>18338351</v>
      </c>
    </row>
    <row r="242" spans="1:35" ht="12" hidden="1" customHeight="1">
      <c r="A242" s="17" t="s">
        <v>818</v>
      </c>
      <c r="B242" s="17"/>
      <c r="C242" s="17" t="s">
        <v>22</v>
      </c>
      <c r="D242" s="17"/>
      <c r="E242" s="13">
        <v>45419</v>
      </c>
      <c r="K242" s="1">
        <v>0</v>
      </c>
      <c r="M242" s="1">
        <f t="shared" si="25"/>
        <v>0</v>
      </c>
      <c r="AB242" s="30"/>
      <c r="AC242" s="1">
        <v>0</v>
      </c>
      <c r="AE242" s="1">
        <v>0</v>
      </c>
      <c r="AG242" s="1">
        <f t="shared" si="26"/>
        <v>0</v>
      </c>
      <c r="AH242" s="1"/>
      <c r="AI242" s="1">
        <f t="shared" si="27"/>
        <v>0</v>
      </c>
    </row>
    <row r="243" spans="1:35" ht="12" customHeight="1">
      <c r="A243" s="17" t="s">
        <v>481</v>
      </c>
      <c r="B243" s="17"/>
      <c r="C243" s="17" t="s">
        <v>47</v>
      </c>
      <c r="D243" s="17"/>
      <c r="E243" s="13">
        <v>48496</v>
      </c>
      <c r="G243" s="1">
        <v>1771687</v>
      </c>
      <c r="I243" s="1">
        <v>1619518</v>
      </c>
      <c r="K243" s="1">
        <v>0</v>
      </c>
      <c r="M243" s="1">
        <f t="shared" si="25"/>
        <v>3391205</v>
      </c>
      <c r="O243" s="1">
        <v>19097708</v>
      </c>
      <c r="Q243" s="1">
        <v>0</v>
      </c>
      <c r="S243" s="1">
        <v>8105796</v>
      </c>
      <c r="U243" s="1">
        <v>126571</v>
      </c>
      <c r="W243" s="1">
        <v>0</v>
      </c>
      <c r="Y243" s="1">
        <v>0</v>
      </c>
      <c r="AA243" s="1">
        <f>903935+104167</f>
        <v>1008102</v>
      </c>
      <c r="AB243" s="30"/>
      <c r="AC243" s="1">
        <v>0</v>
      </c>
      <c r="AE243" s="1">
        <v>0</v>
      </c>
      <c r="AG243" s="1">
        <f t="shared" si="26"/>
        <v>28338177</v>
      </c>
      <c r="AH243" s="1"/>
      <c r="AI243" s="1">
        <f t="shared" si="27"/>
        <v>31729382</v>
      </c>
    </row>
    <row r="244" spans="1:35" ht="12" customHeight="1">
      <c r="A244" s="17" t="s">
        <v>481</v>
      </c>
      <c r="B244" s="17"/>
      <c r="C244" s="17" t="s">
        <v>78</v>
      </c>
      <c r="D244" s="17"/>
      <c r="E244" s="13">
        <v>48801</v>
      </c>
      <c r="G244" s="1">
        <v>467640</v>
      </c>
      <c r="I244" s="1">
        <v>2870632</v>
      </c>
      <c r="K244" s="1">
        <v>0</v>
      </c>
      <c r="M244" s="1">
        <f t="shared" si="25"/>
        <v>3338272</v>
      </c>
      <c r="O244" s="1">
        <f>2898164+68532+796996+652087+894491</f>
        <v>5310270</v>
      </c>
      <c r="Q244" s="1">
        <v>0</v>
      </c>
      <c r="S244" s="1">
        <v>9192961</v>
      </c>
      <c r="U244" s="1">
        <v>231610</v>
      </c>
      <c r="W244" s="1">
        <v>0</v>
      </c>
      <c r="Y244" s="1">
        <v>9930</v>
      </c>
      <c r="AA244" s="1">
        <v>378486</v>
      </c>
      <c r="AB244" s="30"/>
      <c r="AC244" s="1">
        <v>0</v>
      </c>
      <c r="AE244" s="1">
        <v>0</v>
      </c>
      <c r="AG244" s="1">
        <f t="shared" si="26"/>
        <v>15123257</v>
      </c>
      <c r="AH244" s="1"/>
      <c r="AI244" s="1">
        <f t="shared" si="27"/>
        <v>18461529</v>
      </c>
    </row>
    <row r="245" spans="1:35" ht="12" customHeight="1">
      <c r="A245" s="17" t="s">
        <v>337</v>
      </c>
      <c r="B245" s="17"/>
      <c r="C245" s="17" t="s">
        <v>27</v>
      </c>
      <c r="D245" s="17"/>
      <c r="E245" s="13">
        <v>47019</v>
      </c>
      <c r="G245" s="1">
        <v>7910449</v>
      </c>
      <c r="I245" s="1">
        <v>11301014</v>
      </c>
      <c r="K245" s="1">
        <v>0</v>
      </c>
      <c r="M245" s="1">
        <f t="shared" si="25"/>
        <v>19211463</v>
      </c>
      <c r="O245" s="1">
        <f>93523208+13571060+4222950</f>
        <v>111317218</v>
      </c>
      <c r="Q245" s="1">
        <v>0</v>
      </c>
      <c r="S245" s="1">
        <v>59245699</v>
      </c>
      <c r="U245" s="1">
        <v>477848</v>
      </c>
      <c r="W245" s="1">
        <v>0</v>
      </c>
      <c r="Y245" s="1">
        <v>0</v>
      </c>
      <c r="AA245" s="1">
        <v>2335936</v>
      </c>
      <c r="AB245" s="30"/>
      <c r="AC245" s="1">
        <v>0</v>
      </c>
      <c r="AE245" s="1">
        <v>0</v>
      </c>
      <c r="AG245" s="1">
        <f t="shared" si="26"/>
        <v>173376701</v>
      </c>
      <c r="AH245" s="1"/>
      <c r="AI245" s="1">
        <f t="shared" si="27"/>
        <v>192588164</v>
      </c>
    </row>
    <row r="246" spans="1:35" ht="12" hidden="1" customHeight="1">
      <c r="A246" s="17" t="s">
        <v>398</v>
      </c>
      <c r="B246" s="17"/>
      <c r="C246" s="17" t="s">
        <v>395</v>
      </c>
      <c r="D246" s="17"/>
      <c r="E246" s="13">
        <v>44123</v>
      </c>
      <c r="M246" s="1">
        <f t="shared" si="25"/>
        <v>0</v>
      </c>
      <c r="AB246" s="30"/>
      <c r="AC246" s="1">
        <v>0</v>
      </c>
      <c r="AE246" s="1">
        <v>0</v>
      </c>
      <c r="AG246" s="1">
        <f t="shared" si="26"/>
        <v>0</v>
      </c>
      <c r="AH246" s="1"/>
      <c r="AI246" s="1">
        <f t="shared" si="27"/>
        <v>0</v>
      </c>
    </row>
    <row r="247" spans="1:35" ht="12" customHeight="1">
      <c r="A247" s="17" t="s">
        <v>207</v>
      </c>
      <c r="B247" s="17"/>
      <c r="C247" s="17" t="s">
        <v>11</v>
      </c>
      <c r="D247" s="17"/>
      <c r="E247" s="13">
        <v>45823</v>
      </c>
      <c r="F247" s="31"/>
      <c r="G247" s="1">
        <v>785777</v>
      </c>
      <c r="I247" s="1">
        <v>1034754</v>
      </c>
      <c r="K247" s="1">
        <v>0</v>
      </c>
      <c r="M247" s="1">
        <f t="shared" si="25"/>
        <v>1820531</v>
      </c>
      <c r="O247" s="1">
        <v>4174879</v>
      </c>
      <c r="Q247" s="1">
        <v>0</v>
      </c>
      <c r="S247" s="1">
        <v>4587955</v>
      </c>
      <c r="U247" s="1">
        <v>33978</v>
      </c>
      <c r="W247" s="1">
        <v>0</v>
      </c>
      <c r="Y247" s="1">
        <v>0</v>
      </c>
      <c r="AA247" s="1">
        <v>73576</v>
      </c>
      <c r="AB247" s="30"/>
      <c r="AC247" s="1">
        <v>0</v>
      </c>
      <c r="AE247" s="1">
        <v>0</v>
      </c>
      <c r="AG247" s="1">
        <f t="shared" si="26"/>
        <v>8870388</v>
      </c>
      <c r="AH247" s="1"/>
      <c r="AI247" s="1">
        <f t="shared" si="27"/>
        <v>10690919</v>
      </c>
    </row>
    <row r="248" spans="1:35" ht="12" customHeight="1">
      <c r="A248" s="17" t="s">
        <v>390</v>
      </c>
      <c r="B248" s="17"/>
      <c r="C248" s="17" t="s">
        <v>34</v>
      </c>
      <c r="D248" s="17"/>
      <c r="E248" s="13">
        <v>47571</v>
      </c>
      <c r="G248" s="1">
        <v>618109</v>
      </c>
      <c r="I248" s="1">
        <v>702770</v>
      </c>
      <c r="K248" s="1">
        <v>5000</v>
      </c>
      <c r="M248" s="1">
        <f t="shared" si="25"/>
        <v>1325879</v>
      </c>
      <c r="O248" s="1">
        <f>1028641+17497+416747+67982</f>
        <v>1530867</v>
      </c>
      <c r="Q248" s="1">
        <v>673531</v>
      </c>
      <c r="S248" s="1">
        <v>3502246</v>
      </c>
      <c r="U248" s="1">
        <v>44620</v>
      </c>
      <c r="W248" s="1">
        <v>1638</v>
      </c>
      <c r="Y248" s="1">
        <v>6100</v>
      </c>
      <c r="AA248" s="1">
        <v>79006</v>
      </c>
      <c r="AB248" s="30"/>
      <c r="AC248" s="1">
        <v>0</v>
      </c>
      <c r="AE248" s="1">
        <v>0</v>
      </c>
      <c r="AG248" s="1">
        <f t="shared" si="26"/>
        <v>5838008</v>
      </c>
      <c r="AH248" s="1"/>
      <c r="AI248" s="1">
        <f t="shared" si="27"/>
        <v>7163887</v>
      </c>
    </row>
    <row r="249" spans="1:35" ht="12" customHeight="1">
      <c r="A249" s="17" t="s">
        <v>604</v>
      </c>
      <c r="B249" s="17"/>
      <c r="C249" s="17" t="s">
        <v>64</v>
      </c>
      <c r="D249" s="17"/>
      <c r="E249" s="13">
        <v>50161</v>
      </c>
      <c r="G249" s="1">
        <v>2296791</v>
      </c>
      <c r="I249" s="1">
        <v>2934278</v>
      </c>
      <c r="K249" s="1">
        <v>0</v>
      </c>
      <c r="M249" s="1">
        <f t="shared" si="25"/>
        <v>5231069</v>
      </c>
      <c r="O249" s="1">
        <v>16878511</v>
      </c>
      <c r="Q249" s="1">
        <v>0</v>
      </c>
      <c r="S249" s="1">
        <v>10990854</v>
      </c>
      <c r="U249" s="1">
        <v>11796</v>
      </c>
      <c r="W249" s="1">
        <v>0</v>
      </c>
      <c r="Y249" s="1">
        <v>0</v>
      </c>
      <c r="AA249" s="1">
        <v>116369</v>
      </c>
      <c r="AB249" s="30"/>
      <c r="AC249" s="1">
        <v>0</v>
      </c>
      <c r="AE249" s="1">
        <v>0</v>
      </c>
      <c r="AG249" s="1">
        <f t="shared" si="26"/>
        <v>27997530</v>
      </c>
      <c r="AH249" s="1"/>
      <c r="AI249" s="1">
        <f t="shared" si="27"/>
        <v>33228599</v>
      </c>
    </row>
    <row r="250" spans="1:35" ht="12" customHeight="1">
      <c r="A250" s="17" t="s">
        <v>605</v>
      </c>
      <c r="B250" s="17"/>
      <c r="C250" s="17" t="s">
        <v>64</v>
      </c>
      <c r="D250" s="17"/>
      <c r="E250" s="13">
        <v>45427</v>
      </c>
      <c r="G250" s="1">
        <v>1496936</v>
      </c>
      <c r="I250" s="1">
        <v>2817767</v>
      </c>
      <c r="K250" s="1">
        <v>27501</v>
      </c>
      <c r="M250" s="1">
        <f t="shared" si="25"/>
        <v>4342204</v>
      </c>
      <c r="O250" s="1">
        <v>7167923</v>
      </c>
      <c r="Q250" s="1">
        <v>0</v>
      </c>
      <c r="S250" s="1">
        <v>11366392</v>
      </c>
      <c r="U250" s="1">
        <v>162838</v>
      </c>
      <c r="W250" s="1">
        <v>0</v>
      </c>
      <c r="Y250" s="1">
        <v>0</v>
      </c>
      <c r="AA250" s="1">
        <v>264317</v>
      </c>
      <c r="AB250" s="30"/>
      <c r="AC250" s="1">
        <v>0</v>
      </c>
      <c r="AE250" s="1">
        <v>0</v>
      </c>
      <c r="AG250" s="1">
        <f t="shared" si="26"/>
        <v>18961470</v>
      </c>
      <c r="AH250" s="1"/>
      <c r="AI250" s="1">
        <f t="shared" si="27"/>
        <v>23303674</v>
      </c>
    </row>
    <row r="251" spans="1:35" ht="12" customHeight="1">
      <c r="A251" s="17" t="s">
        <v>497</v>
      </c>
      <c r="B251" s="17"/>
      <c r="C251" s="17" t="s">
        <v>50</v>
      </c>
      <c r="D251" s="17"/>
      <c r="E251" s="13">
        <v>48751</v>
      </c>
      <c r="G251" s="1">
        <v>2812808</v>
      </c>
      <c r="I251" s="1">
        <v>7720686</v>
      </c>
      <c r="K251" s="1">
        <v>0</v>
      </c>
      <c r="M251" s="1">
        <f t="shared" si="25"/>
        <v>10533494</v>
      </c>
      <c r="O251" s="1">
        <f>26746656+4548899+977211</f>
        <v>32272766</v>
      </c>
      <c r="Q251" s="1">
        <v>0</v>
      </c>
      <c r="S251" s="1">
        <v>32303886</v>
      </c>
      <c r="U251" s="1">
        <v>573438</v>
      </c>
      <c r="W251" s="1">
        <v>0</v>
      </c>
      <c r="Y251" s="1">
        <v>0</v>
      </c>
      <c r="AA251" s="1">
        <v>317212</v>
      </c>
      <c r="AB251" s="30"/>
      <c r="AC251" s="1">
        <v>0</v>
      </c>
      <c r="AE251" s="1">
        <v>0</v>
      </c>
      <c r="AG251" s="1">
        <f t="shared" si="26"/>
        <v>65467302</v>
      </c>
      <c r="AH251" s="1"/>
      <c r="AI251" s="1">
        <f t="shared" si="27"/>
        <v>76000796</v>
      </c>
    </row>
    <row r="252" spans="1:35" ht="12" customHeight="1">
      <c r="A252" s="17" t="s">
        <v>590</v>
      </c>
      <c r="B252" s="17"/>
      <c r="C252" s="17" t="s">
        <v>63</v>
      </c>
      <c r="D252" s="17"/>
      <c r="E252" s="13">
        <v>50021</v>
      </c>
      <c r="G252" s="1">
        <v>3901282</v>
      </c>
      <c r="I252" s="1">
        <v>4964385</v>
      </c>
      <c r="K252" s="1">
        <v>54830</v>
      </c>
      <c r="M252" s="1">
        <f t="shared" si="25"/>
        <v>8920497</v>
      </c>
      <c r="O252" s="1">
        <v>39997078</v>
      </c>
      <c r="Q252" s="1">
        <v>0</v>
      </c>
      <c r="S252" s="1">
        <v>21020826</v>
      </c>
      <c r="U252" s="1">
        <v>303682</v>
      </c>
      <c r="W252" s="1">
        <v>314000</v>
      </c>
      <c r="Y252" s="1">
        <v>0</v>
      </c>
      <c r="AA252" s="1">
        <v>98706</v>
      </c>
      <c r="AB252" s="30"/>
      <c r="AC252" s="1">
        <v>0</v>
      </c>
      <c r="AE252" s="1">
        <v>0</v>
      </c>
      <c r="AG252" s="1">
        <f t="shared" si="26"/>
        <v>61734292</v>
      </c>
      <c r="AH252" s="1"/>
      <c r="AI252" s="1">
        <f t="shared" si="27"/>
        <v>70654789</v>
      </c>
    </row>
    <row r="253" spans="1:35" ht="12" customHeight="1">
      <c r="A253" s="17" t="s">
        <v>551</v>
      </c>
      <c r="B253" s="17"/>
      <c r="C253" s="17" t="s">
        <v>58</v>
      </c>
      <c r="D253" s="17"/>
      <c r="E253" s="13">
        <v>49502</v>
      </c>
      <c r="G253" s="1">
        <v>324496</v>
      </c>
      <c r="I253" s="1">
        <v>8648485</v>
      </c>
      <c r="K253" s="1">
        <v>0</v>
      </c>
      <c r="M253" s="1">
        <f t="shared" si="25"/>
        <v>8972981</v>
      </c>
      <c r="O253" s="1">
        <v>1282875</v>
      </c>
      <c r="Q253" s="1">
        <v>0</v>
      </c>
      <c r="S253" s="1">
        <v>2371642</v>
      </c>
      <c r="U253" s="1">
        <v>8184</v>
      </c>
      <c r="W253" s="1">
        <v>0</v>
      </c>
      <c r="Y253" s="1">
        <v>0</v>
      </c>
      <c r="AA253" s="1">
        <v>108905</v>
      </c>
      <c r="AB253" s="30"/>
      <c r="AC253" s="1">
        <v>0</v>
      </c>
      <c r="AE253" s="1">
        <v>0</v>
      </c>
      <c r="AG253" s="1">
        <f t="shared" si="26"/>
        <v>3771606</v>
      </c>
      <c r="AH253" s="1"/>
      <c r="AI253" s="1">
        <f t="shared" si="27"/>
        <v>12744587</v>
      </c>
    </row>
    <row r="254" spans="1:35" ht="12" customHeight="1">
      <c r="A254" s="17" t="s">
        <v>315</v>
      </c>
      <c r="B254" s="17"/>
      <c r="C254" s="17" t="s">
        <v>24</v>
      </c>
      <c r="D254" s="17"/>
      <c r="E254" s="13">
        <v>44131</v>
      </c>
      <c r="G254" s="1">
        <v>845961</v>
      </c>
      <c r="I254" s="1">
        <v>1625493</v>
      </c>
      <c r="K254" s="1">
        <v>104355</v>
      </c>
      <c r="M254" s="1">
        <f t="shared" si="25"/>
        <v>2575809</v>
      </c>
      <c r="O254" s="1">
        <v>10633359</v>
      </c>
      <c r="Q254" s="1">
        <v>0</v>
      </c>
      <c r="S254" s="1">
        <v>5492004</v>
      </c>
      <c r="U254" s="1">
        <v>50900</v>
      </c>
      <c r="W254" s="1">
        <v>0</v>
      </c>
      <c r="Y254" s="1">
        <v>0</v>
      </c>
      <c r="AA254" s="1">
        <v>87996</v>
      </c>
      <c r="AB254" s="30"/>
      <c r="AC254" s="1">
        <v>0</v>
      </c>
      <c r="AE254" s="1">
        <v>0</v>
      </c>
      <c r="AG254" s="1">
        <f t="shared" si="26"/>
        <v>16264259</v>
      </c>
      <c r="AH254" s="1"/>
      <c r="AI254" s="1">
        <f t="shared" si="27"/>
        <v>18840068</v>
      </c>
    </row>
    <row r="255" spans="1:35" ht="12" customHeight="1">
      <c r="A255" s="17" t="s">
        <v>292</v>
      </c>
      <c r="B255" s="17"/>
      <c r="C255" s="17" t="s">
        <v>20</v>
      </c>
      <c r="D255" s="17"/>
      <c r="E255" s="13">
        <v>46565</v>
      </c>
      <c r="G255" s="1">
        <v>554562</v>
      </c>
      <c r="I255" s="1">
        <v>534218</v>
      </c>
      <c r="K255" s="1">
        <v>0</v>
      </c>
      <c r="M255" s="1">
        <f t="shared" si="25"/>
        <v>1088780</v>
      </c>
      <c r="O255" s="1">
        <f>12908313+1265759+601789</f>
        <v>14775861</v>
      </c>
      <c r="Q255" s="1">
        <v>0</v>
      </c>
      <c r="S255" s="1">
        <v>3065660</v>
      </c>
      <c r="U255" s="1">
        <v>13489</v>
      </c>
      <c r="W255" s="1">
        <v>0</v>
      </c>
      <c r="Y255" s="1">
        <v>0</v>
      </c>
      <c r="AA255" s="1">
        <v>273957</v>
      </c>
      <c r="AB255" s="30"/>
      <c r="AC255" s="1">
        <v>0</v>
      </c>
      <c r="AE255" s="1">
        <v>0</v>
      </c>
      <c r="AG255" s="1">
        <f t="shared" si="26"/>
        <v>18128967</v>
      </c>
      <c r="AH255" s="1"/>
      <c r="AI255" s="1">
        <f t="shared" si="27"/>
        <v>19217747</v>
      </c>
    </row>
    <row r="256" spans="1:35" ht="12" customHeight="1">
      <c r="A256" s="17"/>
      <c r="B256" s="17"/>
      <c r="C256" s="17"/>
      <c r="D256" s="17"/>
      <c r="E256" s="13"/>
      <c r="AB256" s="30"/>
      <c r="AH256" s="1"/>
    </row>
    <row r="257" spans="1:35" ht="12" customHeight="1">
      <c r="A257" s="17"/>
      <c r="B257" s="17"/>
      <c r="C257" s="17"/>
      <c r="D257" s="17"/>
      <c r="E257" s="13"/>
      <c r="AB257" s="30"/>
      <c r="AH257" s="1"/>
      <c r="AI257" s="20" t="s">
        <v>709</v>
      </c>
    </row>
    <row r="258" spans="1:35" ht="12" customHeight="1">
      <c r="A258" s="17"/>
      <c r="B258" s="17"/>
      <c r="C258" s="17"/>
      <c r="D258" s="17"/>
      <c r="E258" s="13"/>
      <c r="AB258" s="30"/>
      <c r="AH258" s="1"/>
    </row>
    <row r="259" spans="1:35" ht="12" customHeight="1">
      <c r="A259" s="17" t="s">
        <v>411</v>
      </c>
      <c r="B259" s="17"/>
      <c r="C259" s="17" t="s">
        <v>39</v>
      </c>
      <c r="D259" s="17"/>
      <c r="E259" s="13">
        <v>47803</v>
      </c>
      <c r="G259" s="16">
        <v>2161686</v>
      </c>
      <c r="H259" s="16"/>
      <c r="I259" s="16">
        <v>3021286</v>
      </c>
      <c r="J259" s="16"/>
      <c r="K259" s="16">
        <v>3591033</v>
      </c>
      <c r="L259" s="16"/>
      <c r="M259" s="16">
        <f t="shared" si="25"/>
        <v>8774005</v>
      </c>
      <c r="N259" s="16"/>
      <c r="O259" s="16">
        <v>8242868</v>
      </c>
      <c r="P259" s="16"/>
      <c r="Q259" s="16">
        <v>0</v>
      </c>
      <c r="R259" s="16"/>
      <c r="S259" s="16">
        <v>10153633</v>
      </c>
      <c r="T259" s="16"/>
      <c r="U259" s="16">
        <v>185981</v>
      </c>
      <c r="V259" s="16"/>
      <c r="W259" s="16">
        <v>0</v>
      </c>
      <c r="X259" s="16"/>
      <c r="Y259" s="16">
        <v>0</v>
      </c>
      <c r="Z259" s="16"/>
      <c r="AA259" s="16">
        <v>94998</v>
      </c>
      <c r="AB259" s="29"/>
      <c r="AC259" s="16">
        <v>0</v>
      </c>
      <c r="AD259" s="16"/>
      <c r="AE259" s="16">
        <v>0</v>
      </c>
      <c r="AF259" s="16"/>
      <c r="AG259" s="16">
        <f t="shared" si="26"/>
        <v>18677480</v>
      </c>
      <c r="AH259" s="16"/>
      <c r="AI259" s="16">
        <f t="shared" si="27"/>
        <v>27451485</v>
      </c>
    </row>
    <row r="260" spans="1:35" ht="12" customHeight="1">
      <c r="A260" s="17" t="s">
        <v>365</v>
      </c>
      <c r="B260" s="17"/>
      <c r="C260" s="17" t="s">
        <v>32</v>
      </c>
      <c r="D260" s="17"/>
      <c r="E260" s="13">
        <v>45435</v>
      </c>
      <c r="G260" s="1">
        <v>869807</v>
      </c>
      <c r="I260" s="1">
        <v>2135488</v>
      </c>
      <c r="K260" s="1">
        <v>0</v>
      </c>
      <c r="M260" s="1">
        <f t="shared" si="25"/>
        <v>3005295</v>
      </c>
      <c r="O260" s="1">
        <v>28028139</v>
      </c>
      <c r="Q260" s="1">
        <v>0</v>
      </c>
      <c r="S260" s="1">
        <v>5762893</v>
      </c>
      <c r="U260" s="1">
        <v>92030</v>
      </c>
      <c r="W260" s="1">
        <v>2906540</v>
      </c>
      <c r="Y260" s="1">
        <v>0</v>
      </c>
      <c r="AA260" s="1">
        <v>60670</v>
      </c>
      <c r="AB260" s="30"/>
      <c r="AC260" s="1">
        <v>0</v>
      </c>
      <c r="AE260" s="1">
        <v>0</v>
      </c>
      <c r="AG260" s="1">
        <f t="shared" si="26"/>
        <v>36850272</v>
      </c>
      <c r="AH260" s="1"/>
      <c r="AI260" s="1">
        <f t="shared" si="27"/>
        <v>39855567</v>
      </c>
    </row>
    <row r="261" spans="1:35" ht="12" hidden="1" customHeight="1">
      <c r="A261" s="17" t="s">
        <v>937</v>
      </c>
      <c r="B261" s="17"/>
      <c r="C261" s="17" t="s">
        <v>43</v>
      </c>
      <c r="D261" s="17"/>
      <c r="E261" s="13"/>
      <c r="M261" s="1">
        <f t="shared" si="25"/>
        <v>0</v>
      </c>
      <c r="AB261" s="30"/>
      <c r="AC261" s="1">
        <v>0</v>
      </c>
      <c r="AE261" s="1">
        <v>0</v>
      </c>
      <c r="AG261" s="1">
        <f t="shared" si="26"/>
        <v>0</v>
      </c>
      <c r="AH261" s="1"/>
      <c r="AI261" s="1">
        <f t="shared" si="27"/>
        <v>0</v>
      </c>
    </row>
    <row r="262" spans="1:35" ht="12" customHeight="1">
      <c r="A262" s="17" t="s">
        <v>621</v>
      </c>
      <c r="B262" s="17"/>
      <c r="C262" s="17" t="s">
        <v>65</v>
      </c>
      <c r="D262" s="17"/>
      <c r="E262" s="13">
        <v>50286</v>
      </c>
      <c r="G262" s="1">
        <v>2056632</v>
      </c>
      <c r="I262" s="1">
        <v>2203039</v>
      </c>
      <c r="K262" s="1">
        <v>0</v>
      </c>
      <c r="M262" s="1">
        <f t="shared" si="25"/>
        <v>4259671</v>
      </c>
      <c r="O262" s="1">
        <f>3795474+1021701+70590</f>
        <v>4887765</v>
      </c>
      <c r="Q262" s="1">
        <v>0</v>
      </c>
      <c r="S262" s="1">
        <v>9450071</v>
      </c>
      <c r="U262" s="1">
        <v>6353</v>
      </c>
      <c r="W262" s="1">
        <v>0</v>
      </c>
      <c r="Y262" s="1">
        <v>0</v>
      </c>
      <c r="AA262" s="1">
        <v>14355</v>
      </c>
      <c r="AB262" s="30"/>
      <c r="AC262" s="1">
        <v>0</v>
      </c>
      <c r="AE262" s="1">
        <v>0</v>
      </c>
      <c r="AG262" s="1">
        <f t="shared" si="26"/>
        <v>14358544</v>
      </c>
      <c r="AH262" s="1"/>
      <c r="AI262" s="1">
        <f t="shared" si="27"/>
        <v>18618215</v>
      </c>
    </row>
    <row r="263" spans="1:35" ht="12" customHeight="1">
      <c r="A263" s="17" t="s">
        <v>423</v>
      </c>
      <c r="B263" s="17"/>
      <c r="C263" s="17" t="s">
        <v>420</v>
      </c>
      <c r="D263" s="17"/>
      <c r="E263" s="13">
        <v>44149</v>
      </c>
      <c r="G263" s="1">
        <v>1546177</v>
      </c>
      <c r="I263" s="1">
        <v>3284553</v>
      </c>
      <c r="K263" s="1">
        <v>0</v>
      </c>
      <c r="M263" s="1">
        <f t="shared" si="25"/>
        <v>4830730</v>
      </c>
      <c r="O263" s="1">
        <v>3214250</v>
      </c>
      <c r="Q263" s="1">
        <v>0</v>
      </c>
      <c r="S263" s="1">
        <v>8756900</v>
      </c>
      <c r="U263" s="1">
        <v>55809</v>
      </c>
      <c r="W263" s="1">
        <v>0</v>
      </c>
      <c r="Y263" s="1">
        <v>0</v>
      </c>
      <c r="AA263" s="1">
        <f>103580+131350</f>
        <v>234930</v>
      </c>
      <c r="AB263" s="30"/>
      <c r="AC263" s="1">
        <v>0</v>
      </c>
      <c r="AE263" s="1">
        <v>0</v>
      </c>
      <c r="AG263" s="1">
        <f t="shared" si="26"/>
        <v>12261889</v>
      </c>
      <c r="AH263" s="1"/>
      <c r="AI263" s="1">
        <f t="shared" si="27"/>
        <v>17092619</v>
      </c>
    </row>
    <row r="264" spans="1:35" ht="12" hidden="1" customHeight="1">
      <c r="A264" s="17" t="s">
        <v>820</v>
      </c>
      <c r="B264" s="17"/>
      <c r="C264" s="17" t="s">
        <v>61</v>
      </c>
      <c r="D264" s="17"/>
      <c r="E264" s="13">
        <v>49809</v>
      </c>
      <c r="M264" s="1">
        <f t="shared" si="25"/>
        <v>0</v>
      </c>
      <c r="AB264" s="30"/>
      <c r="AC264" s="1">
        <v>0</v>
      </c>
      <c r="AE264" s="1">
        <v>0</v>
      </c>
      <c r="AG264" s="1">
        <f t="shared" si="26"/>
        <v>0</v>
      </c>
      <c r="AH264" s="1"/>
      <c r="AI264" s="1">
        <f t="shared" si="27"/>
        <v>0</v>
      </c>
    </row>
    <row r="265" spans="1:35" ht="12" hidden="1" customHeight="1">
      <c r="A265" s="17" t="s">
        <v>838</v>
      </c>
      <c r="B265" s="17"/>
      <c r="C265" s="17" t="s">
        <v>38</v>
      </c>
      <c r="D265" s="17"/>
      <c r="E265" s="13"/>
      <c r="M265" s="1">
        <f>SUM(G265:L265)</f>
        <v>0</v>
      </c>
      <c r="AB265" s="30"/>
      <c r="AC265" s="1">
        <v>0</v>
      </c>
      <c r="AE265" s="1">
        <v>0</v>
      </c>
      <c r="AG265" s="1">
        <f t="shared" si="26"/>
        <v>0</v>
      </c>
      <c r="AH265" s="1"/>
      <c r="AI265" s="1">
        <f t="shared" si="27"/>
        <v>0</v>
      </c>
    </row>
    <row r="266" spans="1:35" ht="12" customHeight="1">
      <c r="A266" s="17" t="s">
        <v>576</v>
      </c>
      <c r="B266" s="17"/>
      <c r="C266" s="17" t="s">
        <v>62</v>
      </c>
      <c r="D266" s="17"/>
      <c r="E266" s="13">
        <v>49858</v>
      </c>
      <c r="G266" s="1">
        <v>3003476</v>
      </c>
      <c r="I266" s="1">
        <v>3731465</v>
      </c>
      <c r="K266" s="1">
        <v>0</v>
      </c>
      <c r="M266" s="1">
        <f t="shared" si="25"/>
        <v>6734941</v>
      </c>
      <c r="O266" s="1">
        <v>40107267</v>
      </c>
      <c r="Q266" s="1">
        <v>0</v>
      </c>
      <c r="S266" s="1">
        <v>14098580</v>
      </c>
      <c r="U266" s="1">
        <v>145834</v>
      </c>
      <c r="W266" s="1">
        <v>100536</v>
      </c>
      <c r="Y266" s="1">
        <v>0</v>
      </c>
      <c r="AA266" s="1">
        <v>37647</v>
      </c>
      <c r="AB266" s="30"/>
      <c r="AC266" s="1">
        <v>0</v>
      </c>
      <c r="AE266" s="1">
        <v>0</v>
      </c>
      <c r="AG266" s="1">
        <f t="shared" si="26"/>
        <v>54489864</v>
      </c>
      <c r="AH266" s="1"/>
      <c r="AI266" s="1">
        <f t="shared" si="27"/>
        <v>61224805</v>
      </c>
    </row>
    <row r="267" spans="1:35" ht="12" customHeight="1">
      <c r="A267" s="17" t="s">
        <v>465</v>
      </c>
      <c r="B267" s="17"/>
      <c r="C267" s="17" t="s">
        <v>45</v>
      </c>
      <c r="D267" s="17"/>
      <c r="E267" s="13">
        <v>48322</v>
      </c>
      <c r="G267" s="1">
        <v>684860</v>
      </c>
      <c r="I267" s="1">
        <v>931348</v>
      </c>
      <c r="K267" s="1">
        <v>0</v>
      </c>
      <c r="M267" s="1">
        <f t="shared" si="25"/>
        <v>1616208</v>
      </c>
      <c r="O267" s="1">
        <v>5222613</v>
      </c>
      <c r="Q267" s="1">
        <v>0</v>
      </c>
      <c r="S267" s="1">
        <v>3816481</v>
      </c>
      <c r="U267" s="1">
        <v>1001</v>
      </c>
      <c r="W267" s="1">
        <v>0</v>
      </c>
      <c r="Y267" s="1">
        <v>0</v>
      </c>
      <c r="AA267" s="1">
        <v>196320</v>
      </c>
      <c r="AB267" s="30"/>
      <c r="AC267" s="1">
        <v>0</v>
      </c>
      <c r="AE267" s="1">
        <v>0</v>
      </c>
      <c r="AG267" s="1">
        <f t="shared" si="26"/>
        <v>9236415</v>
      </c>
      <c r="AH267" s="1"/>
      <c r="AI267" s="1">
        <f t="shared" si="27"/>
        <v>10852623</v>
      </c>
    </row>
    <row r="268" spans="1:35" ht="12" customHeight="1">
      <c r="A268" s="17" t="s">
        <v>534</v>
      </c>
      <c r="B268" s="17"/>
      <c r="C268" s="17" t="s">
        <v>56</v>
      </c>
      <c r="D268" s="17"/>
      <c r="E268" s="13">
        <v>49205</v>
      </c>
      <c r="G268" s="1">
        <v>1688848</v>
      </c>
      <c r="I268" s="1">
        <v>1456048</v>
      </c>
      <c r="K268" s="1">
        <v>0</v>
      </c>
      <c r="M268" s="1">
        <f t="shared" si="25"/>
        <v>3144896</v>
      </c>
      <c r="O268" s="1">
        <v>4923825</v>
      </c>
      <c r="Q268" s="1">
        <v>0</v>
      </c>
      <c r="S268" s="1">
        <v>6680014</v>
      </c>
      <c r="U268" s="1">
        <v>18053</v>
      </c>
      <c r="W268" s="1">
        <v>0</v>
      </c>
      <c r="Y268" s="1">
        <v>0</v>
      </c>
      <c r="AA268" s="1">
        <v>16017</v>
      </c>
      <c r="AB268" s="30"/>
      <c r="AC268" s="1">
        <v>0</v>
      </c>
      <c r="AE268" s="1">
        <v>0</v>
      </c>
      <c r="AG268" s="1">
        <f t="shared" si="26"/>
        <v>11637909</v>
      </c>
      <c r="AH268" s="1"/>
      <c r="AI268" s="1">
        <f t="shared" si="27"/>
        <v>14782805</v>
      </c>
    </row>
    <row r="269" spans="1:35" ht="12" customHeight="1">
      <c r="A269" s="17" t="s">
        <v>212</v>
      </c>
      <c r="B269" s="17"/>
      <c r="C269" s="17" t="s">
        <v>12</v>
      </c>
      <c r="D269" s="17"/>
      <c r="E269" s="13">
        <v>45872</v>
      </c>
      <c r="F269" s="31"/>
      <c r="G269" s="1">
        <v>1193547</v>
      </c>
      <c r="I269" s="1">
        <v>1508270</v>
      </c>
      <c r="K269" s="1">
        <v>199978</v>
      </c>
      <c r="M269" s="1">
        <f t="shared" si="25"/>
        <v>2901795</v>
      </c>
      <c r="O269" s="1">
        <f>5141975+449007+276642+157251</f>
        <v>6024875</v>
      </c>
      <c r="Q269" s="1">
        <v>0</v>
      </c>
      <c r="S269" s="1">
        <v>9779961</v>
      </c>
      <c r="U269" s="1">
        <v>203537</v>
      </c>
      <c r="W269" s="1">
        <v>0</v>
      </c>
      <c r="Y269" s="1">
        <v>0</v>
      </c>
      <c r="AA269" s="1">
        <v>457409</v>
      </c>
      <c r="AB269" s="30"/>
      <c r="AC269" s="1">
        <v>0</v>
      </c>
      <c r="AE269" s="1">
        <v>0</v>
      </c>
      <c r="AG269" s="1">
        <f t="shared" si="26"/>
        <v>16465782</v>
      </c>
      <c r="AH269" s="1"/>
      <c r="AI269" s="1">
        <f t="shared" si="27"/>
        <v>19367577</v>
      </c>
    </row>
    <row r="270" spans="1:35" ht="12" customHeight="1">
      <c r="A270" s="17" t="s">
        <v>457</v>
      </c>
      <c r="B270" s="17"/>
      <c r="C270" s="17" t="s">
        <v>458</v>
      </c>
      <c r="D270" s="17"/>
      <c r="E270" s="13">
        <v>48256</v>
      </c>
      <c r="G270" s="1">
        <v>1222263</v>
      </c>
      <c r="I270" s="1">
        <v>1240095</v>
      </c>
      <c r="K270" s="1">
        <v>10102</v>
      </c>
      <c r="M270" s="1">
        <f t="shared" si="25"/>
        <v>2472460</v>
      </c>
      <c r="O270" s="1">
        <v>6498036</v>
      </c>
      <c r="Q270" s="1">
        <v>744306</v>
      </c>
      <c r="S270" s="1">
        <v>4912758</v>
      </c>
      <c r="U270" s="1">
        <v>19779</v>
      </c>
      <c r="W270" s="1">
        <v>582768</v>
      </c>
      <c r="Y270" s="1">
        <v>0</v>
      </c>
      <c r="AA270" s="1">
        <v>7840</v>
      </c>
      <c r="AB270" s="30"/>
      <c r="AC270" s="1">
        <v>0</v>
      </c>
      <c r="AE270" s="1">
        <v>0</v>
      </c>
      <c r="AG270" s="1">
        <f t="shared" si="26"/>
        <v>12765487</v>
      </c>
      <c r="AH270" s="1"/>
      <c r="AI270" s="1">
        <f t="shared" si="27"/>
        <v>15237947</v>
      </c>
    </row>
    <row r="271" spans="1:35" ht="12" customHeight="1">
      <c r="A271" s="17" t="s">
        <v>498</v>
      </c>
      <c r="B271" s="17"/>
      <c r="C271" s="17" t="s">
        <v>50</v>
      </c>
      <c r="D271" s="17"/>
      <c r="E271" s="13">
        <v>48686</v>
      </c>
      <c r="G271" s="1">
        <v>624695</v>
      </c>
      <c r="I271" s="1">
        <v>2102551</v>
      </c>
      <c r="K271" s="1">
        <v>0</v>
      </c>
      <c r="M271" s="1">
        <f t="shared" si="25"/>
        <v>2727246</v>
      </c>
      <c r="O271" s="1">
        <v>2957923</v>
      </c>
      <c r="Q271" s="1">
        <v>0</v>
      </c>
      <c r="S271" s="1">
        <v>4612345</v>
      </c>
      <c r="U271" s="1">
        <v>2750</v>
      </c>
      <c r="W271" s="1">
        <v>0</v>
      </c>
      <c r="Y271" s="1">
        <v>0</v>
      </c>
      <c r="AA271" s="1">
        <v>113339</v>
      </c>
      <c r="AB271" s="30"/>
      <c r="AC271" s="1">
        <v>0</v>
      </c>
      <c r="AE271" s="1">
        <v>83058</v>
      </c>
      <c r="AG271" s="1">
        <f t="shared" si="26"/>
        <v>7769415</v>
      </c>
      <c r="AH271" s="1"/>
      <c r="AI271" s="1">
        <f t="shared" si="27"/>
        <v>10496661</v>
      </c>
    </row>
    <row r="272" spans="1:35" ht="12" hidden="1" customHeight="1">
      <c r="A272" s="17" t="s">
        <v>821</v>
      </c>
      <c r="B272" s="17"/>
      <c r="C272" s="17" t="s">
        <v>542</v>
      </c>
      <c r="D272" s="17"/>
      <c r="E272" s="13"/>
      <c r="M272" s="1">
        <f t="shared" si="25"/>
        <v>0</v>
      </c>
      <c r="AB272" s="30"/>
      <c r="AG272" s="1">
        <f t="shared" si="26"/>
        <v>0</v>
      </c>
      <c r="AH272" s="1"/>
      <c r="AI272" s="1">
        <f t="shared" si="27"/>
        <v>0</v>
      </c>
    </row>
    <row r="273" spans="1:35" ht="12" customHeight="1">
      <c r="A273" s="17" t="s">
        <v>428</v>
      </c>
      <c r="B273" s="17"/>
      <c r="C273" s="17" t="s">
        <v>42</v>
      </c>
      <c r="D273" s="17"/>
      <c r="E273" s="13">
        <v>47985</v>
      </c>
      <c r="G273" s="1">
        <v>815323</v>
      </c>
      <c r="I273" s="1">
        <v>921943</v>
      </c>
      <c r="K273" s="1">
        <v>0</v>
      </c>
      <c r="M273" s="1">
        <f t="shared" si="25"/>
        <v>1737266</v>
      </c>
      <c r="O273" s="1">
        <v>6346021</v>
      </c>
      <c r="Q273" s="1">
        <v>2074357</v>
      </c>
      <c r="S273" s="1">
        <v>5850097</v>
      </c>
      <c r="U273" s="1">
        <v>26584</v>
      </c>
      <c r="W273" s="1">
        <v>0</v>
      </c>
      <c r="Y273" s="1">
        <v>0</v>
      </c>
      <c r="AA273" s="1">
        <v>26177</v>
      </c>
      <c r="AB273" s="30"/>
      <c r="AC273" s="1">
        <v>0</v>
      </c>
      <c r="AE273" s="1">
        <v>0</v>
      </c>
      <c r="AG273" s="1">
        <f t="shared" si="26"/>
        <v>14323236</v>
      </c>
      <c r="AH273" s="1"/>
      <c r="AI273" s="1">
        <f t="shared" si="27"/>
        <v>16060502</v>
      </c>
    </row>
    <row r="274" spans="1:35" ht="12" customHeight="1">
      <c r="A274" s="17" t="s">
        <v>459</v>
      </c>
      <c r="B274" s="17"/>
      <c r="C274" s="17" t="s">
        <v>458</v>
      </c>
      <c r="D274" s="17"/>
      <c r="E274" s="13">
        <v>48264</v>
      </c>
      <c r="G274" s="1">
        <v>1808808</v>
      </c>
      <c r="I274" s="1">
        <v>1649676</v>
      </c>
      <c r="K274" s="1">
        <v>0</v>
      </c>
      <c r="M274" s="1">
        <f t="shared" si="25"/>
        <v>3458484</v>
      </c>
      <c r="O274" s="1">
        <v>7394373</v>
      </c>
      <c r="Q274" s="1">
        <v>1890701</v>
      </c>
      <c r="S274" s="1">
        <v>7869864</v>
      </c>
      <c r="U274" s="1">
        <v>5569</v>
      </c>
      <c r="W274" s="1">
        <v>0</v>
      </c>
      <c r="Y274" s="1">
        <v>0</v>
      </c>
      <c r="AA274" s="1">
        <v>49907</v>
      </c>
      <c r="AB274" s="30"/>
      <c r="AC274" s="1">
        <v>0</v>
      </c>
      <c r="AE274" s="1">
        <v>0</v>
      </c>
      <c r="AG274" s="1">
        <f t="shared" si="26"/>
        <v>17210414</v>
      </c>
      <c r="AH274" s="1"/>
      <c r="AI274" s="1">
        <f t="shared" si="27"/>
        <v>20668898</v>
      </c>
    </row>
    <row r="275" spans="1:35" ht="12" customHeight="1">
      <c r="A275" s="17" t="s">
        <v>606</v>
      </c>
      <c r="B275" s="17"/>
      <c r="C275" s="17" t="s">
        <v>64</v>
      </c>
      <c r="D275" s="17"/>
      <c r="E275" s="13">
        <v>50179</v>
      </c>
      <c r="G275" s="1">
        <v>661213</v>
      </c>
      <c r="I275" s="1">
        <v>1084423</v>
      </c>
      <c r="K275" s="1">
        <v>18413</v>
      </c>
      <c r="M275" s="1">
        <f t="shared" si="25"/>
        <v>1764049</v>
      </c>
      <c r="O275" s="1">
        <v>3462202</v>
      </c>
      <c r="Q275" s="1">
        <v>0</v>
      </c>
      <c r="S275" s="1">
        <v>4888212</v>
      </c>
      <c r="U275" s="1">
        <v>8026</v>
      </c>
      <c r="W275" s="1">
        <v>0</v>
      </c>
      <c r="Y275" s="1">
        <v>0</v>
      </c>
      <c r="AA275" s="1">
        <v>50695</v>
      </c>
      <c r="AB275" s="30"/>
      <c r="AC275" s="1">
        <v>0</v>
      </c>
      <c r="AE275" s="1">
        <v>0</v>
      </c>
      <c r="AG275" s="1">
        <f t="shared" si="26"/>
        <v>8409135</v>
      </c>
      <c r="AH275" s="1"/>
      <c r="AI275" s="1">
        <f t="shared" si="27"/>
        <v>10173184</v>
      </c>
    </row>
    <row r="276" spans="1:35" ht="12" hidden="1" customHeight="1">
      <c r="A276" s="17" t="s">
        <v>316</v>
      </c>
      <c r="B276" s="17"/>
      <c r="C276" s="17" t="s">
        <v>24</v>
      </c>
      <c r="D276" s="17"/>
      <c r="E276" s="13">
        <v>46797</v>
      </c>
      <c r="M276" s="1">
        <f t="shared" si="25"/>
        <v>0</v>
      </c>
      <c r="W276" s="1">
        <v>0</v>
      </c>
      <c r="AB276" s="30"/>
      <c r="AC276" s="1">
        <v>0</v>
      </c>
      <c r="AG276" s="1">
        <f t="shared" si="26"/>
        <v>0</v>
      </c>
      <c r="AH276" s="1"/>
      <c r="AI276" s="1">
        <f t="shared" si="27"/>
        <v>0</v>
      </c>
    </row>
    <row r="277" spans="1:35" ht="11.25" customHeight="1">
      <c r="A277" s="17" t="s">
        <v>353</v>
      </c>
      <c r="B277" s="17"/>
      <c r="C277" s="17" t="s">
        <v>30</v>
      </c>
      <c r="D277" s="17"/>
      <c r="E277" s="13">
        <v>47191</v>
      </c>
      <c r="G277" s="1">
        <v>2194559</v>
      </c>
      <c r="I277" s="1">
        <v>2146728</v>
      </c>
      <c r="K277" s="1">
        <v>286787</v>
      </c>
      <c r="M277" s="1">
        <f t="shared" si="25"/>
        <v>4628074</v>
      </c>
      <c r="O277" s="1">
        <v>25531749</v>
      </c>
      <c r="Q277" s="1">
        <v>0</v>
      </c>
      <c r="S277" s="1">
        <v>10449515</v>
      </c>
      <c r="U277" s="1">
        <v>66931</v>
      </c>
      <c r="W277" s="1">
        <v>0</v>
      </c>
      <c r="Y277" s="1">
        <v>0</v>
      </c>
      <c r="AA277" s="1">
        <v>273604</v>
      </c>
      <c r="AB277" s="30"/>
      <c r="AC277" s="1">
        <v>0</v>
      </c>
      <c r="AE277" s="1">
        <v>0</v>
      </c>
      <c r="AG277" s="1">
        <f t="shared" si="26"/>
        <v>36321799</v>
      </c>
      <c r="AH277" s="1"/>
      <c r="AI277" s="1">
        <f t="shared" si="27"/>
        <v>40949873</v>
      </c>
    </row>
    <row r="278" spans="1:35" ht="12" customHeight="1">
      <c r="A278" s="17" t="s">
        <v>535</v>
      </c>
      <c r="B278" s="17"/>
      <c r="C278" s="17" t="s">
        <v>56</v>
      </c>
      <c r="D278" s="17"/>
      <c r="E278" s="13">
        <v>44164</v>
      </c>
      <c r="G278" s="1">
        <v>4184142</v>
      </c>
      <c r="I278" s="1">
        <v>4481990</v>
      </c>
      <c r="K278" s="1">
        <v>0</v>
      </c>
      <c r="M278" s="1">
        <f t="shared" si="25"/>
        <v>8666132</v>
      </c>
      <c r="O278" s="1">
        <v>23988667</v>
      </c>
      <c r="Q278" s="1">
        <v>0</v>
      </c>
      <c r="S278" s="1">
        <v>18265165</v>
      </c>
      <c r="U278" s="1">
        <v>66165</v>
      </c>
      <c r="W278" s="1">
        <v>0</v>
      </c>
      <c r="Y278" s="1">
        <v>95859</v>
      </c>
      <c r="AA278" s="1">
        <v>43921</v>
      </c>
      <c r="AB278" s="30"/>
      <c r="AC278" s="1">
        <v>0</v>
      </c>
      <c r="AE278" s="1">
        <v>0</v>
      </c>
      <c r="AG278" s="1">
        <f t="shared" si="26"/>
        <v>42459777</v>
      </c>
      <c r="AH278" s="1"/>
      <c r="AI278" s="1">
        <f t="shared" si="27"/>
        <v>51125909</v>
      </c>
    </row>
    <row r="279" spans="1:35" ht="12" customHeight="1">
      <c r="A279" s="17" t="s">
        <v>385</v>
      </c>
      <c r="B279" s="17"/>
      <c r="C279" s="17" t="s">
        <v>383</v>
      </c>
      <c r="D279" s="17"/>
      <c r="E279" s="13">
        <v>44172</v>
      </c>
      <c r="G279" s="1">
        <v>1246047</v>
      </c>
      <c r="I279" s="1">
        <v>3450659</v>
      </c>
      <c r="K279" s="1">
        <v>27098</v>
      </c>
      <c r="M279" s="1">
        <f t="shared" si="25"/>
        <v>4723804</v>
      </c>
      <c r="O279" s="1">
        <v>3499857</v>
      </c>
      <c r="Q279" s="1">
        <v>1601565</v>
      </c>
      <c r="S279" s="1">
        <v>9424002</v>
      </c>
      <c r="U279" s="1">
        <v>28047</v>
      </c>
      <c r="W279" s="1">
        <v>0</v>
      </c>
      <c r="Y279" s="1">
        <v>0</v>
      </c>
      <c r="AA279" s="1">
        <v>129973</v>
      </c>
      <c r="AB279" s="30"/>
      <c r="AC279" s="1">
        <v>0</v>
      </c>
      <c r="AE279" s="1">
        <v>0</v>
      </c>
      <c r="AG279" s="1">
        <f t="shared" si="26"/>
        <v>14683444</v>
      </c>
      <c r="AH279" s="1"/>
      <c r="AI279" s="1">
        <f t="shared" si="27"/>
        <v>19407248</v>
      </c>
    </row>
    <row r="280" spans="1:35" ht="12" customHeight="1">
      <c r="A280" s="17" t="s">
        <v>499</v>
      </c>
      <c r="B280" s="17"/>
      <c r="C280" s="17" t="s">
        <v>50</v>
      </c>
      <c r="D280" s="17"/>
      <c r="E280" s="13">
        <v>44180</v>
      </c>
      <c r="G280" s="1">
        <v>3608739</v>
      </c>
      <c r="I280" s="1">
        <v>18430968</v>
      </c>
      <c r="K280" s="1">
        <v>83724</v>
      </c>
      <c r="M280" s="1">
        <f t="shared" si="25"/>
        <v>22123431</v>
      </c>
      <c r="O280" s="1">
        <v>53552069</v>
      </c>
      <c r="Q280" s="1">
        <v>0</v>
      </c>
      <c r="S280" s="1">
        <v>18883431</v>
      </c>
      <c r="U280" s="1">
        <v>184639</v>
      </c>
      <c r="W280" s="1">
        <v>0</v>
      </c>
      <c r="Y280" s="1">
        <v>0</v>
      </c>
      <c r="AA280" s="1">
        <v>1045328</v>
      </c>
      <c r="AB280" s="30"/>
      <c r="AC280" s="1">
        <v>0</v>
      </c>
      <c r="AE280" s="1">
        <v>0</v>
      </c>
      <c r="AG280" s="1">
        <f t="shared" si="26"/>
        <v>73665467</v>
      </c>
      <c r="AH280" s="1"/>
      <c r="AI280" s="1">
        <f t="shared" si="27"/>
        <v>95788898</v>
      </c>
    </row>
    <row r="281" spans="1:35" ht="12" customHeight="1">
      <c r="A281" s="17" t="s">
        <v>442</v>
      </c>
      <c r="B281" s="17"/>
      <c r="C281" s="17" t="s">
        <v>44</v>
      </c>
      <c r="D281" s="17"/>
      <c r="E281" s="13">
        <v>48165</v>
      </c>
      <c r="G281" s="1">
        <v>1027424</v>
      </c>
      <c r="I281" s="1">
        <v>1602926</v>
      </c>
      <c r="K281" s="1">
        <v>5000</v>
      </c>
      <c r="M281" s="1">
        <f t="shared" si="25"/>
        <v>2635350</v>
      </c>
      <c r="O281" s="1">
        <v>6225490</v>
      </c>
      <c r="Q281" s="1">
        <v>0</v>
      </c>
      <c r="S281" s="1">
        <v>7709810</v>
      </c>
      <c r="U281" s="1">
        <v>30565</v>
      </c>
      <c r="W281" s="1">
        <v>0</v>
      </c>
      <c r="Y281" s="1">
        <v>0</v>
      </c>
      <c r="AA281" s="1">
        <v>257344</v>
      </c>
      <c r="AB281" s="30"/>
      <c r="AC281" s="1">
        <v>0</v>
      </c>
      <c r="AE281" s="1">
        <v>0</v>
      </c>
      <c r="AG281" s="1">
        <f t="shared" si="26"/>
        <v>14223209</v>
      </c>
      <c r="AH281" s="1"/>
      <c r="AI281" s="1">
        <f t="shared" si="27"/>
        <v>16858559</v>
      </c>
    </row>
    <row r="282" spans="1:35" ht="12" customHeight="1">
      <c r="A282" s="17" t="s">
        <v>633</v>
      </c>
      <c r="B282" s="17"/>
      <c r="C282" s="17" t="s">
        <v>69</v>
      </c>
      <c r="D282" s="17"/>
      <c r="E282" s="13">
        <v>50435</v>
      </c>
      <c r="G282" s="1">
        <v>2680003</v>
      </c>
      <c r="I282" s="1">
        <v>3184146</v>
      </c>
      <c r="K282" s="1">
        <v>0</v>
      </c>
      <c r="M282" s="1">
        <f t="shared" si="25"/>
        <v>5864149</v>
      </c>
      <c r="O282" s="1">
        <f>18680814+3621425+922573</f>
        <v>23224812</v>
      </c>
      <c r="Q282" s="1">
        <v>0</v>
      </c>
      <c r="S282" s="1">
        <v>13921800</v>
      </c>
      <c r="U282" s="1">
        <v>13971</v>
      </c>
      <c r="W282" s="1">
        <v>934393</v>
      </c>
      <c r="Y282" s="1">
        <v>0</v>
      </c>
      <c r="AA282" s="1">
        <v>597347</v>
      </c>
      <c r="AB282" s="30"/>
      <c r="AC282" s="1">
        <v>0</v>
      </c>
      <c r="AE282" s="1">
        <v>0</v>
      </c>
      <c r="AG282" s="1">
        <f t="shared" si="26"/>
        <v>38692323</v>
      </c>
      <c r="AH282" s="1"/>
      <c r="AI282" s="1">
        <f t="shared" si="27"/>
        <v>44556472</v>
      </c>
    </row>
    <row r="283" spans="1:35" ht="12" hidden="1" customHeight="1">
      <c r="A283" s="17" t="s">
        <v>862</v>
      </c>
      <c r="B283" s="17"/>
      <c r="C283" s="17" t="s">
        <v>41</v>
      </c>
      <c r="D283" s="17"/>
      <c r="E283" s="13">
        <v>47878</v>
      </c>
      <c r="M283" s="1">
        <f t="shared" si="25"/>
        <v>0</v>
      </c>
      <c r="AB283" s="30"/>
      <c r="AC283" s="1">
        <v>0</v>
      </c>
      <c r="AG283" s="1">
        <f t="shared" si="26"/>
        <v>0</v>
      </c>
      <c r="AH283" s="1"/>
      <c r="AI283" s="1">
        <f t="shared" si="27"/>
        <v>0</v>
      </c>
    </row>
    <row r="284" spans="1:35" ht="12" customHeight="1">
      <c r="A284" s="17" t="s">
        <v>607</v>
      </c>
      <c r="B284" s="17"/>
      <c r="C284" s="17" t="s">
        <v>64</v>
      </c>
      <c r="D284" s="17"/>
      <c r="E284" s="13">
        <v>50245</v>
      </c>
      <c r="G284" s="1">
        <v>1699629</v>
      </c>
      <c r="I284" s="1">
        <v>2024241</v>
      </c>
      <c r="K284" s="1">
        <v>0</v>
      </c>
      <c r="M284" s="1">
        <f t="shared" si="25"/>
        <v>3723870</v>
      </c>
      <c r="O284" s="1">
        <v>3511916</v>
      </c>
      <c r="Q284" s="1">
        <v>0</v>
      </c>
      <c r="S284" s="1">
        <v>8258667</v>
      </c>
      <c r="U284" s="1">
        <v>23216</v>
      </c>
      <c r="W284" s="1">
        <v>0</v>
      </c>
      <c r="Y284" s="1">
        <v>0</v>
      </c>
      <c r="AA284" s="1">
        <v>18934</v>
      </c>
      <c r="AB284" s="30"/>
      <c r="AC284" s="1">
        <v>0</v>
      </c>
      <c r="AE284" s="1">
        <v>0</v>
      </c>
      <c r="AG284" s="1">
        <f t="shared" si="26"/>
        <v>11812733</v>
      </c>
      <c r="AH284" s="1"/>
      <c r="AI284" s="1">
        <f t="shared" si="27"/>
        <v>15536603</v>
      </c>
    </row>
    <row r="285" spans="1:35" ht="12" customHeight="1">
      <c r="A285" s="17" t="s">
        <v>577</v>
      </c>
      <c r="B285" s="17"/>
      <c r="C285" s="17" t="s">
        <v>62</v>
      </c>
      <c r="D285" s="17"/>
      <c r="E285" s="13">
        <v>49866</v>
      </c>
      <c r="G285" s="1">
        <v>1676647</v>
      </c>
      <c r="I285" s="1">
        <v>2225904</v>
      </c>
      <c r="K285" s="1">
        <v>58224</v>
      </c>
      <c r="M285" s="1">
        <f t="shared" si="25"/>
        <v>3960775</v>
      </c>
      <c r="O285" s="1">
        <v>14295468</v>
      </c>
      <c r="Q285" s="1">
        <v>0</v>
      </c>
      <c r="S285" s="1">
        <v>17364279</v>
      </c>
      <c r="W285" s="1">
        <v>0</v>
      </c>
      <c r="Y285" s="1">
        <v>0</v>
      </c>
      <c r="AA285" s="1">
        <v>30330</v>
      </c>
      <c r="AB285" s="30"/>
      <c r="AC285" s="1">
        <v>0</v>
      </c>
      <c r="AE285" s="1">
        <v>0</v>
      </c>
      <c r="AG285" s="1">
        <f t="shared" si="26"/>
        <v>31690077</v>
      </c>
      <c r="AH285" s="1"/>
      <c r="AI285" s="1">
        <f t="shared" si="27"/>
        <v>35650852</v>
      </c>
    </row>
    <row r="286" spans="1:35" ht="12" hidden="1" customHeight="1">
      <c r="A286" s="12" t="s">
        <v>939</v>
      </c>
      <c r="B286" s="17"/>
      <c r="C286" s="17" t="s">
        <v>72</v>
      </c>
      <c r="D286" s="17"/>
      <c r="E286" s="13">
        <v>50690</v>
      </c>
      <c r="M286" s="1">
        <f t="shared" si="25"/>
        <v>0</v>
      </c>
      <c r="AB286" s="30"/>
      <c r="AC286" s="1">
        <v>0</v>
      </c>
      <c r="AG286" s="1">
        <f t="shared" si="26"/>
        <v>0</v>
      </c>
      <c r="AH286" s="1"/>
      <c r="AI286" s="1">
        <f t="shared" si="27"/>
        <v>0</v>
      </c>
    </row>
    <row r="287" spans="1:35" ht="12" customHeight="1">
      <c r="A287" s="17" t="s">
        <v>608</v>
      </c>
      <c r="B287" s="17"/>
      <c r="C287" s="17" t="s">
        <v>64</v>
      </c>
      <c r="D287" s="17"/>
      <c r="E287" s="13">
        <v>50187</v>
      </c>
      <c r="G287" s="1">
        <v>1349422</v>
      </c>
      <c r="I287" s="1">
        <v>1786485</v>
      </c>
      <c r="K287" s="1">
        <v>63388</v>
      </c>
      <c r="M287" s="1">
        <f t="shared" si="25"/>
        <v>3199295</v>
      </c>
      <c r="O287" s="1">
        <v>7455263</v>
      </c>
      <c r="Q287" s="1">
        <v>0</v>
      </c>
      <c r="S287" s="1">
        <v>8600611</v>
      </c>
      <c r="U287" s="1">
        <v>14573</v>
      </c>
      <c r="W287" s="1">
        <v>0</v>
      </c>
      <c r="Y287" s="1">
        <v>0</v>
      </c>
      <c r="AA287" s="1">
        <v>76092</v>
      </c>
      <c r="AB287" s="30"/>
      <c r="AC287" s="1">
        <v>0</v>
      </c>
      <c r="AE287" s="1">
        <v>0</v>
      </c>
      <c r="AG287" s="1">
        <f t="shared" si="26"/>
        <v>16146539</v>
      </c>
      <c r="AH287" s="1"/>
      <c r="AI287" s="1">
        <f t="shared" si="27"/>
        <v>19345834</v>
      </c>
    </row>
    <row r="288" spans="1:35" ht="12" customHeight="1">
      <c r="A288" s="17" t="s">
        <v>293</v>
      </c>
      <c r="B288" s="17"/>
      <c r="C288" s="17" t="s">
        <v>20</v>
      </c>
      <c r="D288" s="17"/>
      <c r="E288" s="13">
        <v>44198</v>
      </c>
      <c r="G288" s="1">
        <v>5818260</v>
      </c>
      <c r="I288" s="1">
        <v>10169502</v>
      </c>
      <c r="K288" s="1">
        <v>0</v>
      </c>
      <c r="M288" s="1">
        <f t="shared" si="25"/>
        <v>15987762</v>
      </c>
      <c r="O288" s="1">
        <v>41073479</v>
      </c>
      <c r="Q288" s="1">
        <v>0</v>
      </c>
      <c r="S288" s="1">
        <v>25939150</v>
      </c>
      <c r="U288" s="1">
        <v>236990</v>
      </c>
      <c r="W288" s="1">
        <v>38691</v>
      </c>
      <c r="Y288" s="1">
        <v>0</v>
      </c>
      <c r="AA288" s="1">
        <v>173783</v>
      </c>
      <c r="AB288" s="30"/>
      <c r="AC288" s="1">
        <v>0</v>
      </c>
      <c r="AE288" s="1">
        <v>0</v>
      </c>
      <c r="AG288" s="1">
        <f t="shared" si="26"/>
        <v>67462093</v>
      </c>
      <c r="AH288" s="1"/>
      <c r="AI288" s="1">
        <f t="shared" si="27"/>
        <v>83449855</v>
      </c>
    </row>
    <row r="289" spans="1:35" ht="12" customHeight="1">
      <c r="A289" s="17" t="s">
        <v>762</v>
      </c>
      <c r="B289" s="17"/>
      <c r="C289" s="17" t="s">
        <v>42</v>
      </c>
      <c r="D289" s="17"/>
      <c r="E289" s="13">
        <v>47993</v>
      </c>
      <c r="G289" s="1">
        <v>839658</v>
      </c>
      <c r="I289" s="1">
        <v>2423192</v>
      </c>
      <c r="K289" s="1">
        <v>0</v>
      </c>
      <c r="M289" s="1">
        <f t="shared" si="25"/>
        <v>3262850</v>
      </c>
      <c r="O289" s="1">
        <f>9844340+1217236</f>
        <v>11061576</v>
      </c>
      <c r="Q289" s="1">
        <v>0</v>
      </c>
      <c r="S289" s="1">
        <v>8710003</v>
      </c>
      <c r="U289" s="1">
        <v>78975</v>
      </c>
      <c r="W289" s="1">
        <v>0</v>
      </c>
      <c r="Y289" s="1">
        <v>0</v>
      </c>
      <c r="AA289" s="1">
        <v>90108</v>
      </c>
      <c r="AB289" s="30"/>
      <c r="AC289" s="1">
        <v>0</v>
      </c>
      <c r="AE289" s="1">
        <v>0</v>
      </c>
      <c r="AG289" s="1">
        <f t="shared" si="26"/>
        <v>19940662</v>
      </c>
      <c r="AH289" s="1"/>
      <c r="AI289" s="1">
        <f t="shared" si="27"/>
        <v>23203512</v>
      </c>
    </row>
    <row r="290" spans="1:35" ht="12" customHeight="1">
      <c r="A290" s="17" t="s">
        <v>230</v>
      </c>
      <c r="B290" s="17"/>
      <c r="C290" s="17" t="s">
        <v>227</v>
      </c>
      <c r="D290" s="17"/>
      <c r="E290" s="13">
        <v>46110</v>
      </c>
      <c r="F290" s="31"/>
      <c r="G290" s="1">
        <v>8372931</v>
      </c>
      <c r="I290" s="1">
        <v>12899123</v>
      </c>
      <c r="K290" s="1">
        <v>0</v>
      </c>
      <c r="M290" s="1">
        <f t="shared" si="25"/>
        <v>21272054</v>
      </c>
      <c r="O290" s="1">
        <f>81301524+11706135</f>
        <v>93007659</v>
      </c>
      <c r="Q290" s="1">
        <v>0</v>
      </c>
      <c r="S290" s="1">
        <v>59845825</v>
      </c>
      <c r="U290" s="1">
        <f>158134+604</f>
        <v>158738</v>
      </c>
      <c r="W290" s="1">
        <v>13164088</v>
      </c>
      <c r="Y290" s="1">
        <v>0</v>
      </c>
      <c r="AA290" s="1">
        <f>781004+63414</f>
        <v>844418</v>
      </c>
      <c r="AB290" s="30"/>
      <c r="AC290" s="1">
        <v>0</v>
      </c>
      <c r="AE290" s="1">
        <v>0</v>
      </c>
      <c r="AG290" s="1">
        <f t="shared" si="26"/>
        <v>167020728</v>
      </c>
      <c r="AH290" s="1"/>
      <c r="AI290" s="1">
        <f t="shared" si="27"/>
        <v>188292782</v>
      </c>
    </row>
    <row r="291" spans="1:35" s="16" customFormat="1" ht="12" customHeight="1">
      <c r="A291" s="17" t="s">
        <v>230</v>
      </c>
      <c r="B291" s="14"/>
      <c r="C291" s="14" t="s">
        <v>79</v>
      </c>
      <c r="D291" s="14"/>
      <c r="E291" s="14">
        <v>49569</v>
      </c>
      <c r="G291" s="1">
        <v>610015</v>
      </c>
      <c r="H291" s="1"/>
      <c r="I291" s="1">
        <v>1372185</v>
      </c>
      <c r="J291" s="1"/>
      <c r="K291" s="1">
        <v>35226</v>
      </c>
      <c r="L291" s="1"/>
      <c r="M291" s="1">
        <f t="shared" si="25"/>
        <v>2017426</v>
      </c>
      <c r="N291" s="1"/>
      <c r="O291" s="1">
        <v>3852848</v>
      </c>
      <c r="P291" s="1"/>
      <c r="Q291" s="1">
        <v>1702963</v>
      </c>
      <c r="R291" s="1"/>
      <c r="S291" s="1">
        <v>5792343</v>
      </c>
      <c r="T291" s="1"/>
      <c r="U291" s="1">
        <v>116396</v>
      </c>
      <c r="V291" s="1"/>
      <c r="W291" s="1">
        <v>0</v>
      </c>
      <c r="X291" s="1"/>
      <c r="Y291" s="1">
        <v>0</v>
      </c>
      <c r="Z291" s="1"/>
      <c r="AA291" s="1">
        <v>42079</v>
      </c>
      <c r="AB291" s="30"/>
      <c r="AC291" s="1">
        <v>0</v>
      </c>
      <c r="AD291" s="1"/>
      <c r="AE291" s="1">
        <v>495246</v>
      </c>
      <c r="AF291" s="1"/>
      <c r="AG291" s="1">
        <f t="shared" si="26"/>
        <v>12001875</v>
      </c>
      <c r="AH291" s="1"/>
      <c r="AI291" s="1">
        <f t="shared" si="27"/>
        <v>14019301</v>
      </c>
    </row>
    <row r="292" spans="1:35" ht="12" customHeight="1">
      <c r="A292" s="17" t="s">
        <v>325</v>
      </c>
      <c r="B292" s="17"/>
      <c r="C292" s="17" t="s">
        <v>25</v>
      </c>
      <c r="D292" s="17"/>
      <c r="E292" s="13">
        <v>44206</v>
      </c>
      <c r="G292" s="1">
        <v>2399608</v>
      </c>
      <c r="I292" s="1">
        <v>9608093</v>
      </c>
      <c r="K292" s="1">
        <v>23606</v>
      </c>
      <c r="M292" s="1">
        <f t="shared" si="25"/>
        <v>12031307</v>
      </c>
      <c r="O292" s="1">
        <v>18019554</v>
      </c>
      <c r="Q292" s="1">
        <v>9779684</v>
      </c>
      <c r="S292" s="1">
        <v>25370579</v>
      </c>
      <c r="U292" s="1">
        <v>426821</v>
      </c>
      <c r="W292" s="1">
        <v>240995</v>
      </c>
      <c r="Y292" s="1">
        <v>3932</v>
      </c>
      <c r="AA292" s="1">
        <f>21819+96424</f>
        <v>118243</v>
      </c>
      <c r="AB292" s="30"/>
      <c r="AC292" s="1">
        <v>0</v>
      </c>
      <c r="AE292" s="1">
        <v>0</v>
      </c>
      <c r="AG292" s="1">
        <f t="shared" si="26"/>
        <v>53959808</v>
      </c>
      <c r="AH292" s="1"/>
      <c r="AI292" s="1">
        <f t="shared" si="27"/>
        <v>65991115</v>
      </c>
    </row>
    <row r="293" spans="1:35" ht="11.25" hidden="1" customHeight="1">
      <c r="A293" s="17" t="s">
        <v>732</v>
      </c>
      <c r="B293" s="17"/>
      <c r="C293" s="17" t="s">
        <v>69</v>
      </c>
      <c r="D293" s="17"/>
      <c r="E293" s="13">
        <v>44214</v>
      </c>
      <c r="M293" s="1">
        <f t="shared" si="25"/>
        <v>0</v>
      </c>
      <c r="AB293" s="30"/>
      <c r="AC293" s="1">
        <v>0</v>
      </c>
      <c r="AG293" s="1">
        <f t="shared" si="26"/>
        <v>0</v>
      </c>
      <c r="AH293" s="1"/>
      <c r="AI293" s="1">
        <f t="shared" si="27"/>
        <v>0</v>
      </c>
    </row>
    <row r="294" spans="1:35" ht="12" customHeight="1">
      <c r="A294" s="17" t="s">
        <v>354</v>
      </c>
      <c r="B294" s="17"/>
      <c r="C294" s="17" t="s">
        <v>30</v>
      </c>
      <c r="D294" s="17"/>
      <c r="E294" s="13">
        <v>47209</v>
      </c>
      <c r="G294" s="1">
        <v>328674</v>
      </c>
      <c r="I294" s="1">
        <v>512921</v>
      </c>
      <c r="K294" s="1">
        <v>3000</v>
      </c>
      <c r="M294" s="1">
        <f t="shared" ref="M294" si="30">SUM(G294:L294)</f>
        <v>844595</v>
      </c>
      <c r="O294" s="1">
        <v>1872632</v>
      </c>
      <c r="Q294" s="1">
        <v>44090</v>
      </c>
      <c r="S294" s="1">
        <v>2660734</v>
      </c>
      <c r="U294" s="1">
        <v>1715</v>
      </c>
      <c r="W294" s="1">
        <v>0</v>
      </c>
      <c r="Y294" s="1">
        <v>0</v>
      </c>
      <c r="AA294" s="1">
        <v>31167</v>
      </c>
      <c r="AB294" s="30"/>
      <c r="AC294" s="1">
        <v>0</v>
      </c>
      <c r="AE294" s="1">
        <v>0</v>
      </c>
      <c r="AG294" s="1">
        <f t="shared" ref="AG294" si="31">SUM(O294:AE294)</f>
        <v>4610338</v>
      </c>
      <c r="AH294" s="1"/>
      <c r="AI294" s="1">
        <f t="shared" ref="AI294" si="32">+AG294+M294</f>
        <v>5454933</v>
      </c>
    </row>
    <row r="295" spans="1:35" ht="12" hidden="1" customHeight="1">
      <c r="A295" s="12" t="s">
        <v>941</v>
      </c>
      <c r="B295" s="17"/>
      <c r="C295" s="17" t="s">
        <v>114</v>
      </c>
      <c r="D295" s="17"/>
      <c r="E295" s="13"/>
      <c r="M295" s="1">
        <f>SUM(G295:L295)</f>
        <v>0</v>
      </c>
      <c r="AB295" s="30"/>
      <c r="AC295" s="1">
        <v>0</v>
      </c>
      <c r="AG295" s="1">
        <f>SUM(O295:AE295)</f>
        <v>0</v>
      </c>
      <c r="AH295" s="1"/>
      <c r="AI295" s="1">
        <f>+AG295+M295</f>
        <v>0</v>
      </c>
    </row>
    <row r="296" spans="1:35" ht="12" hidden="1" customHeight="1">
      <c r="A296" s="17" t="s">
        <v>843</v>
      </c>
      <c r="B296" s="17"/>
      <c r="C296" s="17" t="s">
        <v>542</v>
      </c>
      <c r="D296" s="17"/>
      <c r="E296" s="13">
        <v>49353</v>
      </c>
      <c r="M296" s="1">
        <f t="shared" si="25"/>
        <v>0</v>
      </c>
      <c r="AB296" s="30"/>
      <c r="AC296" s="1">
        <v>0</v>
      </c>
      <c r="AG296" s="1">
        <f t="shared" si="26"/>
        <v>0</v>
      </c>
      <c r="AH296" s="1"/>
      <c r="AI296" s="1">
        <f t="shared" si="27"/>
        <v>0</v>
      </c>
    </row>
    <row r="297" spans="1:35" ht="12" hidden="1" customHeight="1">
      <c r="A297" s="17" t="s">
        <v>942</v>
      </c>
      <c r="B297" s="17"/>
      <c r="C297" s="17" t="s">
        <v>112</v>
      </c>
      <c r="D297" s="17"/>
      <c r="E297" s="13">
        <v>49437</v>
      </c>
      <c r="M297" s="1">
        <f t="shared" si="25"/>
        <v>0</v>
      </c>
      <c r="AB297" s="30"/>
      <c r="AC297" s="1">
        <v>0</v>
      </c>
      <c r="AG297" s="1">
        <f t="shared" si="26"/>
        <v>0</v>
      </c>
      <c r="AH297" s="1"/>
      <c r="AI297" s="1">
        <f t="shared" si="27"/>
        <v>0</v>
      </c>
    </row>
    <row r="298" spans="1:35" ht="12" customHeight="1">
      <c r="A298" s="17" t="s">
        <v>391</v>
      </c>
      <c r="B298" s="17"/>
      <c r="C298" s="17" t="s">
        <v>34</v>
      </c>
      <c r="D298" s="17"/>
      <c r="E298" s="13">
        <v>47589</v>
      </c>
      <c r="G298" s="1">
        <v>1688489</v>
      </c>
      <c r="I298" s="1">
        <v>1323515</v>
      </c>
      <c r="K298" s="1">
        <v>0</v>
      </c>
      <c r="M298" s="1">
        <f t="shared" si="25"/>
        <v>3012004</v>
      </c>
      <c r="O298" s="1">
        <f>2340296+134159+320022</f>
        <v>2794477</v>
      </c>
      <c r="Q298" s="1">
        <v>1899735</v>
      </c>
      <c r="S298" s="1">
        <v>5879441</v>
      </c>
      <c r="U298" s="1">
        <v>52683</v>
      </c>
      <c r="W298" s="1">
        <v>0</v>
      </c>
      <c r="Y298" s="1">
        <v>231961</v>
      </c>
      <c r="AA298" s="1">
        <v>31457</v>
      </c>
      <c r="AB298" s="30"/>
      <c r="AC298" s="1">
        <v>0</v>
      </c>
      <c r="AE298" s="1">
        <v>0</v>
      </c>
      <c r="AG298" s="1">
        <f t="shared" si="26"/>
        <v>10889754</v>
      </c>
      <c r="AH298" s="1"/>
      <c r="AI298" s="1">
        <f t="shared" si="27"/>
        <v>13901758</v>
      </c>
    </row>
    <row r="299" spans="1:35" ht="12" customHeight="1">
      <c r="A299" s="17" t="s">
        <v>844</v>
      </c>
      <c r="B299" s="17"/>
      <c r="C299" s="17" t="s">
        <v>64</v>
      </c>
      <c r="D299" s="17"/>
      <c r="E299" s="13">
        <v>50195</v>
      </c>
      <c r="G299" s="1">
        <v>1135528</v>
      </c>
      <c r="I299" s="1">
        <v>2221453</v>
      </c>
      <c r="K299" s="1">
        <v>0</v>
      </c>
      <c r="M299" s="1">
        <f t="shared" si="25"/>
        <v>3356981</v>
      </c>
      <c r="O299" s="1">
        <v>10096283</v>
      </c>
      <c r="Q299" s="1">
        <v>0</v>
      </c>
      <c r="S299" s="1">
        <v>6870988</v>
      </c>
      <c r="U299" s="1">
        <v>9642</v>
      </c>
      <c r="W299" s="1">
        <v>0</v>
      </c>
      <c r="Y299" s="1">
        <v>0</v>
      </c>
      <c r="AA299" s="1">
        <v>129955</v>
      </c>
      <c r="AB299" s="30"/>
      <c r="AC299" s="1">
        <v>0</v>
      </c>
      <c r="AE299" s="1">
        <v>0</v>
      </c>
      <c r="AG299" s="1">
        <f t="shared" si="26"/>
        <v>17106868</v>
      </c>
      <c r="AH299" s="1"/>
      <c r="AI299" s="1">
        <f t="shared" si="27"/>
        <v>20463849</v>
      </c>
    </row>
    <row r="300" spans="1:35" ht="12" customHeight="1">
      <c r="A300" s="17" t="s">
        <v>768</v>
      </c>
      <c r="B300" s="17"/>
      <c r="C300" s="17" t="s">
        <v>25</v>
      </c>
      <c r="D300" s="17"/>
      <c r="E300" s="13">
        <v>46888</v>
      </c>
      <c r="G300" s="1">
        <v>569695</v>
      </c>
      <c r="I300" s="1">
        <v>4727155</v>
      </c>
      <c r="K300" s="1">
        <v>0</v>
      </c>
      <c r="M300" s="1">
        <f t="shared" si="25"/>
        <v>5296850</v>
      </c>
      <c r="O300" s="1">
        <v>3877527</v>
      </c>
      <c r="Q300" s="1">
        <v>2759851</v>
      </c>
      <c r="S300" s="1">
        <v>2652135</v>
      </c>
      <c r="U300" s="1">
        <v>202050</v>
      </c>
      <c r="W300" s="1">
        <v>0</v>
      </c>
      <c r="Y300" s="1">
        <v>0</v>
      </c>
      <c r="AA300" s="1">
        <f>312531+178353</f>
        <v>490884</v>
      </c>
      <c r="AB300" s="30"/>
      <c r="AC300" s="1">
        <v>0</v>
      </c>
      <c r="AE300" s="1">
        <v>0</v>
      </c>
      <c r="AG300" s="1">
        <f t="shared" si="26"/>
        <v>9982447</v>
      </c>
      <c r="AH300" s="1"/>
      <c r="AI300" s="1">
        <f t="shared" si="27"/>
        <v>15279297</v>
      </c>
    </row>
    <row r="301" spans="1:35" ht="12" customHeight="1">
      <c r="A301" s="17" t="s">
        <v>381</v>
      </c>
      <c r="B301" s="17"/>
      <c r="C301" s="17" t="s">
        <v>33</v>
      </c>
      <c r="D301" s="17"/>
      <c r="E301" s="13">
        <v>47449</v>
      </c>
      <c r="G301" s="1">
        <v>1031903</v>
      </c>
      <c r="I301" s="1">
        <v>1255843</v>
      </c>
      <c r="K301" s="1">
        <v>0</v>
      </c>
      <c r="M301" s="1">
        <f t="shared" si="25"/>
        <v>2287746</v>
      </c>
      <c r="O301" s="1">
        <v>4283509</v>
      </c>
      <c r="Q301" s="1">
        <v>1267393</v>
      </c>
      <c r="S301" s="1">
        <v>5921699</v>
      </c>
      <c r="U301" s="1">
        <v>19300</v>
      </c>
      <c r="W301" s="1">
        <v>0</v>
      </c>
      <c r="Y301" s="1">
        <v>6338</v>
      </c>
      <c r="AA301" s="1">
        <v>78961</v>
      </c>
      <c r="AB301" s="30"/>
      <c r="AC301" s="1">
        <v>0</v>
      </c>
      <c r="AE301" s="1">
        <v>0</v>
      </c>
      <c r="AG301" s="1">
        <f t="shared" si="26"/>
        <v>11577200</v>
      </c>
      <c r="AH301" s="1"/>
      <c r="AI301" s="1">
        <f t="shared" si="27"/>
        <v>13864946</v>
      </c>
    </row>
    <row r="302" spans="1:35" ht="12" customHeight="1">
      <c r="A302" s="17" t="s">
        <v>429</v>
      </c>
      <c r="B302" s="17"/>
      <c r="C302" s="17" t="s">
        <v>42</v>
      </c>
      <c r="D302" s="17"/>
      <c r="E302" s="13">
        <v>48009</v>
      </c>
      <c r="G302" s="1">
        <v>1289722</v>
      </c>
      <c r="I302" s="1">
        <v>2226211</v>
      </c>
      <c r="K302" s="1">
        <v>0</v>
      </c>
      <c r="M302" s="1">
        <f>SUM(G302:L302)</f>
        <v>3515933</v>
      </c>
      <c r="O302" s="1">
        <v>17897076</v>
      </c>
      <c r="Q302" s="1">
        <v>0</v>
      </c>
      <c r="S302" s="1">
        <v>10620534</v>
      </c>
      <c r="U302" s="1">
        <v>27333</v>
      </c>
      <c r="W302" s="1">
        <v>1946301</v>
      </c>
      <c r="Y302" s="1">
        <v>0</v>
      </c>
      <c r="AA302" s="1">
        <v>104214</v>
      </c>
      <c r="AB302" s="30"/>
      <c r="AC302" s="1">
        <v>0</v>
      </c>
      <c r="AE302" s="1">
        <v>0</v>
      </c>
      <c r="AG302" s="1">
        <f t="shared" si="26"/>
        <v>30595458</v>
      </c>
      <c r="AH302" s="1"/>
      <c r="AI302" s="1">
        <f>+AG302+M302</f>
        <v>34111391</v>
      </c>
    </row>
    <row r="303" spans="1:35" ht="12" customHeight="1">
      <c r="A303" s="17" t="s">
        <v>430</v>
      </c>
      <c r="B303" s="17"/>
      <c r="C303" s="17" t="s">
        <v>42</v>
      </c>
      <c r="D303" s="17"/>
      <c r="E303" s="13">
        <v>48017</v>
      </c>
      <c r="G303" s="1">
        <v>1428082</v>
      </c>
      <c r="I303" s="1">
        <v>3200540</v>
      </c>
      <c r="K303" s="1">
        <v>0</v>
      </c>
      <c r="M303" s="1">
        <f>SUM(G303:L303)</f>
        <v>4628622</v>
      </c>
      <c r="O303" s="1">
        <f>4090235+1047064</f>
        <v>5137299</v>
      </c>
      <c r="Q303" s="1">
        <v>1802433</v>
      </c>
      <c r="S303" s="1">
        <v>9122631</v>
      </c>
      <c r="U303" s="1">
        <v>25242</v>
      </c>
      <c r="W303" s="1">
        <v>40415</v>
      </c>
      <c r="Y303" s="1">
        <v>0</v>
      </c>
      <c r="AA303" s="1">
        <f>248820-121924</f>
        <v>126896</v>
      </c>
      <c r="AB303" s="30"/>
      <c r="AC303" s="1">
        <v>0</v>
      </c>
      <c r="AE303" s="1">
        <v>0</v>
      </c>
      <c r="AG303" s="1">
        <f>SUM(O303:AE303)</f>
        <v>16254916</v>
      </c>
      <c r="AH303" s="1"/>
      <c r="AI303" s="1">
        <f>+AG303+M303</f>
        <v>20883538</v>
      </c>
    </row>
    <row r="304" spans="1:35" ht="12" hidden="1" customHeight="1">
      <c r="A304" s="12" t="s">
        <v>845</v>
      </c>
      <c r="B304" s="12"/>
      <c r="C304" s="12" t="s">
        <v>10</v>
      </c>
      <c r="D304" s="17"/>
      <c r="E304" s="13"/>
      <c r="M304" s="1">
        <f>SUM(G304:L304)</f>
        <v>0</v>
      </c>
      <c r="AB304" s="30"/>
      <c r="AG304" s="1">
        <f t="shared" ref="AG304:AG306" si="33">SUM(O304:AE304)</f>
        <v>0</v>
      </c>
      <c r="AH304" s="1"/>
      <c r="AI304" s="1">
        <f t="shared" ref="AI304:AI306" si="34">+AG304+M304</f>
        <v>0</v>
      </c>
    </row>
    <row r="305" spans="1:35" ht="12" customHeight="1">
      <c r="A305" s="17" t="s">
        <v>628</v>
      </c>
      <c r="B305" s="17"/>
      <c r="C305" s="17" t="s">
        <v>67</v>
      </c>
      <c r="D305" s="17"/>
      <c r="E305" s="13">
        <v>50369</v>
      </c>
      <c r="G305" s="1">
        <v>2322822</v>
      </c>
      <c r="I305" s="1">
        <v>1042882</v>
      </c>
      <c r="K305" s="1">
        <v>0</v>
      </c>
      <c r="M305" s="1">
        <f>SUM(G305:L305)</f>
        <v>3365704</v>
      </c>
      <c r="O305" s="1">
        <v>2879797</v>
      </c>
      <c r="Q305" s="1">
        <v>0</v>
      </c>
      <c r="S305" s="1">
        <v>4254215</v>
      </c>
      <c r="U305" s="1">
        <v>166583</v>
      </c>
      <c r="W305" s="1">
        <v>0</v>
      </c>
      <c r="Y305" s="1">
        <v>0</v>
      </c>
      <c r="AA305" s="1">
        <v>101377</v>
      </c>
      <c r="AB305" s="30"/>
      <c r="AC305" s="1">
        <v>0</v>
      </c>
      <c r="AE305" s="1">
        <v>0</v>
      </c>
      <c r="AG305" s="1">
        <f t="shared" si="33"/>
        <v>7401972</v>
      </c>
      <c r="AH305" s="1"/>
      <c r="AI305" s="1">
        <f t="shared" si="34"/>
        <v>10767676</v>
      </c>
    </row>
    <row r="306" spans="1:35" ht="12" customHeight="1">
      <c r="A306" s="17" t="s">
        <v>268</v>
      </c>
      <c r="B306" s="17"/>
      <c r="C306" s="17" t="s">
        <v>114</v>
      </c>
      <c r="D306" s="17"/>
      <c r="E306" s="13">
        <v>45450</v>
      </c>
      <c r="F306" s="15"/>
      <c r="G306" s="1">
        <v>1751006</v>
      </c>
      <c r="I306" s="1">
        <v>3267576</v>
      </c>
      <c r="K306" s="1">
        <v>0</v>
      </c>
      <c r="M306" s="1">
        <f>SUM(G306:L306)</f>
        <v>5018582</v>
      </c>
      <c r="O306" s="1">
        <v>2268491</v>
      </c>
      <c r="Q306" s="1">
        <v>0</v>
      </c>
      <c r="S306" s="1">
        <v>4009378</v>
      </c>
      <c r="U306" s="1">
        <v>83241</v>
      </c>
      <c r="W306" s="1">
        <v>0</v>
      </c>
      <c r="Y306" s="1">
        <v>0</v>
      </c>
      <c r="AA306" s="1">
        <v>0</v>
      </c>
      <c r="AB306" s="30"/>
      <c r="AC306" s="1">
        <v>0</v>
      </c>
      <c r="AE306" s="1">
        <v>0</v>
      </c>
      <c r="AG306" s="1">
        <f t="shared" si="33"/>
        <v>6361110</v>
      </c>
      <c r="AH306" s="1"/>
      <c r="AI306" s="1">
        <f t="shared" si="34"/>
        <v>11379692</v>
      </c>
    </row>
    <row r="307" spans="1:35" s="1" customFormat="1" ht="12" customHeight="1">
      <c r="A307" s="12" t="s">
        <v>634</v>
      </c>
      <c r="B307" s="12"/>
      <c r="C307" s="12" t="s">
        <v>69</v>
      </c>
      <c r="D307" s="12"/>
      <c r="E307" s="12">
        <v>50443</v>
      </c>
      <c r="G307" s="1">
        <v>2308775</v>
      </c>
      <c r="I307" s="1">
        <v>2457931</v>
      </c>
      <c r="K307" s="1">
        <v>2750</v>
      </c>
      <c r="M307" s="1">
        <f t="shared" ref="M307:M319" si="35">SUM(G307:L307)</f>
        <v>4769456</v>
      </c>
      <c r="O307" s="1">
        <f>14090929+3983918+1941394</f>
        <v>20016241</v>
      </c>
      <c r="Q307" s="1">
        <v>0</v>
      </c>
      <c r="S307" s="1">
        <v>13073025</v>
      </c>
      <c r="U307" s="1">
        <v>26794</v>
      </c>
      <c r="W307" s="1">
        <v>0</v>
      </c>
      <c r="Y307" s="1">
        <v>60954</v>
      </c>
      <c r="AA307" s="1">
        <v>361906</v>
      </c>
      <c r="AB307" s="30"/>
      <c r="AC307" s="1">
        <v>0</v>
      </c>
      <c r="AE307" s="1">
        <v>0</v>
      </c>
      <c r="AG307" s="1">
        <f t="shared" ref="AG307:AG319" si="36">SUM(O307:AE307)</f>
        <v>33538920</v>
      </c>
      <c r="AI307" s="1">
        <f t="shared" ref="AI307:AI370" si="37">+AG307+M307</f>
        <v>38308376</v>
      </c>
    </row>
    <row r="308" spans="1:35" ht="12" hidden="1" customHeight="1">
      <c r="A308" s="17" t="s">
        <v>943</v>
      </c>
      <c r="B308" s="17"/>
      <c r="C308" s="17" t="s">
        <v>32</v>
      </c>
      <c r="D308" s="17"/>
      <c r="E308" s="13">
        <v>44230</v>
      </c>
      <c r="M308" s="1">
        <f t="shared" si="35"/>
        <v>0</v>
      </c>
      <c r="AB308" s="30"/>
      <c r="AG308" s="1">
        <f t="shared" si="36"/>
        <v>0</v>
      </c>
      <c r="AH308" s="1"/>
      <c r="AI308" s="1">
        <f t="shared" si="37"/>
        <v>0</v>
      </c>
    </row>
    <row r="309" spans="1:35" ht="12" customHeight="1">
      <c r="A309" s="17" t="s">
        <v>526</v>
      </c>
      <c r="B309" s="17"/>
      <c r="C309" s="17" t="s">
        <v>54</v>
      </c>
      <c r="D309" s="17"/>
      <c r="E309" s="13">
        <v>49080</v>
      </c>
      <c r="G309" s="1">
        <v>1403396</v>
      </c>
      <c r="I309" s="1">
        <v>2581964</v>
      </c>
      <c r="K309" s="1">
        <v>0</v>
      </c>
      <c r="M309" s="1">
        <f t="shared" si="35"/>
        <v>3985360</v>
      </c>
      <c r="O309" s="1">
        <v>5652083</v>
      </c>
      <c r="Q309" s="1">
        <v>2340302</v>
      </c>
      <c r="S309" s="1">
        <v>9867970</v>
      </c>
      <c r="U309" s="1">
        <v>23283</v>
      </c>
      <c r="W309" s="1">
        <v>0</v>
      </c>
      <c r="Y309" s="1">
        <v>0</v>
      </c>
      <c r="AA309" s="1">
        <v>35830</v>
      </c>
      <c r="AB309" s="30"/>
      <c r="AC309" s="1">
        <v>0</v>
      </c>
      <c r="AE309" s="1">
        <v>0</v>
      </c>
      <c r="AG309" s="1">
        <f t="shared" si="36"/>
        <v>17919468</v>
      </c>
      <c r="AH309" s="1"/>
      <c r="AI309" s="1">
        <f t="shared" si="37"/>
        <v>21904828</v>
      </c>
    </row>
    <row r="310" spans="1:35" ht="12" customHeight="1">
      <c r="A310" s="17" t="s">
        <v>400</v>
      </c>
      <c r="B310" s="17"/>
      <c r="C310" s="17" t="s">
        <v>35</v>
      </c>
      <c r="D310" s="17"/>
      <c r="E310" s="13">
        <v>44248</v>
      </c>
      <c r="G310" s="1">
        <v>2171442</v>
      </c>
      <c r="I310" s="1">
        <v>6014165</v>
      </c>
      <c r="K310" s="1">
        <v>3163538</v>
      </c>
      <c r="M310" s="1">
        <f t="shared" si="35"/>
        <v>11349145</v>
      </c>
      <c r="O310" s="1">
        <v>12811975</v>
      </c>
      <c r="Q310" s="1">
        <v>0</v>
      </c>
      <c r="S310" s="1">
        <v>22189341</v>
      </c>
      <c r="U310" s="1">
        <v>0</v>
      </c>
      <c r="W310" s="1">
        <v>0</v>
      </c>
      <c r="Y310" s="1">
        <v>0</v>
      </c>
      <c r="AA310" s="1">
        <v>780762</v>
      </c>
      <c r="AB310" s="30"/>
      <c r="AC310" s="1">
        <v>0</v>
      </c>
      <c r="AE310" s="1">
        <v>0</v>
      </c>
      <c r="AG310" s="1">
        <f t="shared" si="36"/>
        <v>35782078</v>
      </c>
      <c r="AH310" s="1"/>
      <c r="AI310" s="1">
        <f t="shared" si="37"/>
        <v>47131223</v>
      </c>
    </row>
    <row r="311" spans="1:35" s="1" customFormat="1" ht="12" customHeight="1">
      <c r="A311" s="12" t="s">
        <v>460</v>
      </c>
      <c r="B311" s="12"/>
      <c r="C311" s="12" t="s">
        <v>458</v>
      </c>
      <c r="D311" s="12"/>
      <c r="E311" s="13">
        <v>44255</v>
      </c>
      <c r="G311" s="1">
        <v>2846945</v>
      </c>
      <c r="I311" s="1">
        <v>2912717</v>
      </c>
      <c r="K311" s="1">
        <v>0</v>
      </c>
      <c r="M311" s="1">
        <f t="shared" si="35"/>
        <v>5759662</v>
      </c>
      <c r="O311" s="1">
        <v>11152437</v>
      </c>
      <c r="Q311" s="1">
        <v>2764319</v>
      </c>
      <c r="S311" s="1">
        <v>9450587</v>
      </c>
      <c r="U311" s="1">
        <v>19470</v>
      </c>
      <c r="W311" s="1">
        <v>183955</v>
      </c>
      <c r="Y311" s="1">
        <v>84907</v>
      </c>
      <c r="AA311" s="1">
        <f>3511+62530</f>
        <v>66041</v>
      </c>
      <c r="AB311" s="30"/>
      <c r="AC311" s="1">
        <v>0</v>
      </c>
      <c r="AE311" s="1">
        <v>0</v>
      </c>
      <c r="AG311" s="1">
        <f t="shared" si="36"/>
        <v>23721716</v>
      </c>
      <c r="AI311" s="1">
        <f t="shared" si="37"/>
        <v>29481378</v>
      </c>
    </row>
    <row r="312" spans="1:35" ht="12" customHeight="1">
      <c r="A312" s="17" t="s">
        <v>443</v>
      </c>
      <c r="B312" s="17"/>
      <c r="C312" s="17" t="s">
        <v>44</v>
      </c>
      <c r="D312" s="17"/>
      <c r="E312" s="13">
        <v>44263</v>
      </c>
      <c r="G312" s="1">
        <v>2242000</v>
      </c>
      <c r="I312" s="1">
        <v>23350499</v>
      </c>
      <c r="K312" s="1">
        <v>413907</v>
      </c>
      <c r="M312" s="1">
        <f t="shared" si="35"/>
        <v>26006406</v>
      </c>
      <c r="O312" s="1">
        <f>16249975+2188552</f>
        <v>18438527</v>
      </c>
      <c r="Q312" s="1">
        <v>0</v>
      </c>
      <c r="S312" s="1">
        <f>70956355</f>
        <v>70956355</v>
      </c>
      <c r="U312" s="1">
        <v>422966</v>
      </c>
      <c r="W312" s="1">
        <v>0</v>
      </c>
      <c r="Y312" s="1">
        <v>0</v>
      </c>
      <c r="AA312" s="1">
        <f>850577</f>
        <v>850577</v>
      </c>
      <c r="AB312" s="30"/>
      <c r="AC312" s="1">
        <v>0</v>
      </c>
      <c r="AE312" s="1">
        <v>0</v>
      </c>
      <c r="AG312" s="1">
        <f t="shared" si="36"/>
        <v>90668425</v>
      </c>
      <c r="AH312" s="1"/>
      <c r="AI312" s="1">
        <f t="shared" si="37"/>
        <v>116674831</v>
      </c>
    </row>
    <row r="313" spans="1:35" ht="12" customHeight="1">
      <c r="A313" s="17" t="s">
        <v>610</v>
      </c>
      <c r="B313" s="17"/>
      <c r="C313" s="17" t="s">
        <v>64</v>
      </c>
      <c r="D313" s="17"/>
      <c r="E313" s="13">
        <v>50203</v>
      </c>
      <c r="G313" s="1">
        <v>553842</v>
      </c>
      <c r="I313" s="1">
        <v>395681</v>
      </c>
      <c r="K313" s="1">
        <v>154</v>
      </c>
      <c r="M313" s="1">
        <f t="shared" si="35"/>
        <v>949677</v>
      </c>
      <c r="O313" s="1">
        <v>3411262</v>
      </c>
      <c r="Q313" s="1">
        <v>0</v>
      </c>
      <c r="S313" s="1">
        <v>2681096</v>
      </c>
      <c r="U313" s="1">
        <v>3363</v>
      </c>
      <c r="W313" s="1">
        <v>393647</v>
      </c>
      <c r="Y313" s="1">
        <v>0</v>
      </c>
      <c r="AA313" s="1">
        <v>185513</v>
      </c>
      <c r="AB313" s="30"/>
      <c r="AC313" s="1">
        <v>0</v>
      </c>
      <c r="AE313" s="1">
        <v>0</v>
      </c>
      <c r="AG313" s="1">
        <f t="shared" si="36"/>
        <v>6674881</v>
      </c>
      <c r="AH313" s="1"/>
      <c r="AI313" s="1">
        <f t="shared" si="37"/>
        <v>7624558</v>
      </c>
    </row>
    <row r="314" spans="1:35" ht="12" customHeight="1">
      <c r="A314" s="17" t="s">
        <v>846</v>
      </c>
      <c r="B314" s="17"/>
      <c r="C314" s="17" t="s">
        <v>11</v>
      </c>
      <c r="D314" s="17"/>
      <c r="E314" s="13">
        <v>45468</v>
      </c>
      <c r="F314" s="31"/>
      <c r="G314" s="1">
        <v>899710</v>
      </c>
      <c r="I314" s="1">
        <v>1615587</v>
      </c>
      <c r="K314" s="1">
        <v>0</v>
      </c>
      <c r="M314" s="1">
        <f t="shared" si="35"/>
        <v>2515297</v>
      </c>
      <c r="O314" s="1">
        <v>4746715</v>
      </c>
      <c r="Q314" s="1">
        <v>1431796</v>
      </c>
      <c r="S314" s="1">
        <v>5175094</v>
      </c>
      <c r="U314" s="1">
        <v>41042</v>
      </c>
      <c r="W314" s="1">
        <v>0</v>
      </c>
      <c r="Y314" s="1">
        <v>0</v>
      </c>
      <c r="AA314" s="1">
        <v>46816</v>
      </c>
      <c r="AB314" s="30"/>
      <c r="AC314" s="1">
        <v>0</v>
      </c>
      <c r="AE314" s="1">
        <v>0</v>
      </c>
      <c r="AG314" s="1">
        <f t="shared" si="36"/>
        <v>11441463</v>
      </c>
      <c r="AH314" s="1"/>
      <c r="AI314" s="1">
        <f t="shared" si="37"/>
        <v>13956760</v>
      </c>
    </row>
    <row r="315" spans="1:35" ht="12" customHeight="1">
      <c r="A315" s="17" t="s">
        <v>578</v>
      </c>
      <c r="B315" s="17"/>
      <c r="C315" s="17" t="s">
        <v>62</v>
      </c>
      <c r="D315" s="17"/>
      <c r="E315" s="13">
        <v>49874</v>
      </c>
      <c r="G315" s="1">
        <v>1781635</v>
      </c>
      <c r="I315" s="1">
        <v>4066982</v>
      </c>
      <c r="K315" s="1">
        <v>69825</v>
      </c>
      <c r="M315" s="1">
        <f t="shared" si="35"/>
        <v>5918442</v>
      </c>
      <c r="O315" s="1">
        <v>7998305</v>
      </c>
      <c r="Q315" s="1">
        <v>0</v>
      </c>
      <c r="S315" s="1">
        <v>15336869</v>
      </c>
      <c r="U315" s="1">
        <v>108057</v>
      </c>
      <c r="W315" s="1">
        <v>31412</v>
      </c>
      <c r="Y315" s="1">
        <v>0</v>
      </c>
      <c r="AA315" s="1">
        <v>73765</v>
      </c>
      <c r="AB315" s="30"/>
      <c r="AC315" s="1">
        <v>0</v>
      </c>
      <c r="AE315" s="1">
        <v>0</v>
      </c>
      <c r="AG315" s="1">
        <f t="shared" si="36"/>
        <v>23548408</v>
      </c>
      <c r="AH315" s="1"/>
      <c r="AI315" s="1">
        <f t="shared" si="37"/>
        <v>29466850</v>
      </c>
    </row>
    <row r="316" spans="1:35" ht="12" customHeight="1">
      <c r="A316" s="17" t="s">
        <v>366</v>
      </c>
      <c r="B316" s="17"/>
      <c r="C316" s="17" t="s">
        <v>32</v>
      </c>
      <c r="D316" s="17"/>
      <c r="E316" s="13">
        <v>44271</v>
      </c>
      <c r="G316" s="1">
        <v>2259006</v>
      </c>
      <c r="I316" s="1">
        <v>4035101</v>
      </c>
      <c r="K316" s="1">
        <v>0</v>
      </c>
      <c r="M316" s="1">
        <f t="shared" si="35"/>
        <v>6294107</v>
      </c>
      <c r="O316" s="1">
        <v>28467232</v>
      </c>
      <c r="Q316" s="1">
        <v>0</v>
      </c>
      <c r="S316" s="1">
        <v>14899984</v>
      </c>
      <c r="U316" s="1">
        <v>0</v>
      </c>
      <c r="W316" s="1">
        <v>0</v>
      </c>
      <c r="Y316" s="1">
        <v>0</v>
      </c>
      <c r="AA316" s="1">
        <v>428505</v>
      </c>
      <c r="AB316" s="30"/>
      <c r="AC316" s="1">
        <v>0</v>
      </c>
      <c r="AE316" s="1">
        <v>0</v>
      </c>
      <c r="AG316" s="1">
        <f t="shared" si="36"/>
        <v>43795721</v>
      </c>
      <c r="AH316" s="1"/>
      <c r="AI316" s="1">
        <f t="shared" si="37"/>
        <v>50089828</v>
      </c>
    </row>
    <row r="317" spans="1:35" ht="12" customHeight="1">
      <c r="A317" s="17" t="s">
        <v>466</v>
      </c>
      <c r="B317" s="17"/>
      <c r="C317" s="17" t="s">
        <v>45</v>
      </c>
      <c r="D317" s="17"/>
      <c r="E317" s="13">
        <v>48330</v>
      </c>
      <c r="G317" s="1">
        <v>1576402</v>
      </c>
      <c r="I317" s="1">
        <v>577665</v>
      </c>
      <c r="K317" s="1">
        <v>0</v>
      </c>
      <c r="M317" s="1">
        <f t="shared" si="35"/>
        <v>2154067</v>
      </c>
      <c r="O317" s="1">
        <v>1013377</v>
      </c>
      <c r="Q317" s="1">
        <v>0</v>
      </c>
      <c r="S317" s="1">
        <v>2512279</v>
      </c>
      <c r="U317" s="1">
        <v>104408</v>
      </c>
      <c r="W317" s="1">
        <v>0</v>
      </c>
      <c r="Y317" s="1">
        <v>0</v>
      </c>
      <c r="AA317" s="1">
        <v>5254</v>
      </c>
      <c r="AB317" s="30"/>
      <c r="AC317" s="1">
        <v>0</v>
      </c>
      <c r="AE317" s="1">
        <v>0</v>
      </c>
      <c r="AG317" s="1">
        <f t="shared" si="36"/>
        <v>3635318</v>
      </c>
      <c r="AH317" s="1"/>
      <c r="AI317" s="1">
        <f t="shared" si="37"/>
        <v>5789385</v>
      </c>
    </row>
    <row r="318" spans="1:35" ht="12" customHeight="1">
      <c r="A318" s="17" t="s">
        <v>544</v>
      </c>
      <c r="B318" s="17"/>
      <c r="C318" s="17" t="s">
        <v>112</v>
      </c>
      <c r="D318" s="17"/>
      <c r="E318" s="13">
        <v>49445</v>
      </c>
      <c r="G318" s="1">
        <v>386289</v>
      </c>
      <c r="I318" s="1">
        <v>435925</v>
      </c>
      <c r="K318" s="1">
        <v>0</v>
      </c>
      <c r="M318" s="1">
        <f t="shared" si="35"/>
        <v>822214</v>
      </c>
      <c r="O318" s="1">
        <v>2544274</v>
      </c>
      <c r="Q318" s="1">
        <v>0</v>
      </c>
      <c r="S318" s="1">
        <v>2418730</v>
      </c>
      <c r="U318" s="1">
        <v>23034</v>
      </c>
      <c r="W318" s="1">
        <v>0</v>
      </c>
      <c r="Y318" s="1">
        <v>0</v>
      </c>
      <c r="AA318" s="1">
        <v>21615</v>
      </c>
      <c r="AB318" s="30"/>
      <c r="AC318" s="1">
        <v>0</v>
      </c>
      <c r="AE318" s="1">
        <v>0</v>
      </c>
      <c r="AG318" s="1">
        <f t="shared" si="36"/>
        <v>5007653</v>
      </c>
      <c r="AH318" s="1"/>
      <c r="AI318" s="1">
        <f t="shared" si="37"/>
        <v>5829867</v>
      </c>
    </row>
    <row r="319" spans="1:35" ht="12" customHeight="1">
      <c r="A319" s="17" t="s">
        <v>399</v>
      </c>
      <c r="B319" s="17"/>
      <c r="C319" s="17" t="s">
        <v>395</v>
      </c>
      <c r="D319" s="17"/>
      <c r="E319" s="13">
        <v>47639</v>
      </c>
      <c r="G319" s="1">
        <v>1084657</v>
      </c>
      <c r="I319" s="1">
        <v>1930520</v>
      </c>
      <c r="K319" s="1">
        <v>17000</v>
      </c>
      <c r="M319" s="1">
        <f t="shared" si="35"/>
        <v>3032177</v>
      </c>
      <c r="O319" s="1">
        <v>2005122</v>
      </c>
      <c r="Q319" s="1">
        <v>0</v>
      </c>
      <c r="S319" s="1">
        <v>7729192</v>
      </c>
      <c r="U319" s="1">
        <v>119965</v>
      </c>
      <c r="W319" s="1">
        <v>0</v>
      </c>
      <c r="Y319" s="1">
        <v>100</v>
      </c>
      <c r="AA319" s="1">
        <v>97471</v>
      </c>
      <c r="AB319" s="30"/>
      <c r="AC319" s="1">
        <v>0</v>
      </c>
      <c r="AE319" s="1">
        <v>0</v>
      </c>
      <c r="AG319" s="1">
        <f t="shared" si="36"/>
        <v>9951850</v>
      </c>
      <c r="AH319" s="1"/>
      <c r="AI319" s="1">
        <f t="shared" si="37"/>
        <v>12984027</v>
      </c>
    </row>
    <row r="320" spans="1:35" ht="12" customHeight="1">
      <c r="A320" s="17" t="s">
        <v>500</v>
      </c>
      <c r="B320" s="17"/>
      <c r="C320" s="17" t="s">
        <v>50</v>
      </c>
      <c r="D320" s="17"/>
      <c r="E320" s="13">
        <v>48702</v>
      </c>
      <c r="G320" s="1">
        <v>1982768</v>
      </c>
      <c r="I320" s="1">
        <v>9126152</v>
      </c>
      <c r="K320" s="1">
        <v>0</v>
      </c>
      <c r="M320" s="1">
        <f t="shared" ref="M320:M375" si="38">SUM(G320:L320)</f>
        <v>11108920</v>
      </c>
      <c r="O320" s="1">
        <f>8411378+95877+1218172</f>
        <v>9725427</v>
      </c>
      <c r="Q320" s="1">
        <v>0</v>
      </c>
      <c r="S320" s="1">
        <v>21300001</v>
      </c>
      <c r="U320" s="1">
        <v>141998</v>
      </c>
      <c r="W320" s="1">
        <v>0</v>
      </c>
      <c r="Y320" s="1">
        <v>18267</v>
      </c>
      <c r="AA320" s="1">
        <v>265630</v>
      </c>
      <c r="AB320" s="32"/>
      <c r="AC320" s="1">
        <v>0</v>
      </c>
      <c r="AE320" s="1">
        <v>0</v>
      </c>
      <c r="AG320" s="1">
        <f t="shared" ref="AG320:AG375" si="39">SUM(O320:AE320)</f>
        <v>31451323</v>
      </c>
      <c r="AH320" s="1"/>
      <c r="AI320" s="1">
        <f t="shared" si="37"/>
        <v>42560243</v>
      </c>
    </row>
    <row r="321" spans="1:37" ht="12" customHeight="1">
      <c r="A321" s="17" t="s">
        <v>367</v>
      </c>
      <c r="B321" s="17"/>
      <c r="C321" s="17" t="s">
        <v>32</v>
      </c>
      <c r="D321" s="17"/>
      <c r="E321" s="13">
        <v>44289</v>
      </c>
      <c r="G321" s="1">
        <v>1069853</v>
      </c>
      <c r="I321" s="1">
        <v>1342730</v>
      </c>
      <c r="K321" s="1">
        <v>366000</v>
      </c>
      <c r="M321" s="1">
        <f t="shared" si="38"/>
        <v>2778583</v>
      </c>
      <c r="O321" s="1">
        <f>10950603+1927256</f>
        <v>12877859</v>
      </c>
      <c r="Q321" s="1">
        <v>0</v>
      </c>
      <c r="S321" s="1">
        <v>4981587</v>
      </c>
      <c r="U321" s="1">
        <v>14059</v>
      </c>
      <c r="W321" s="1">
        <v>76070</v>
      </c>
      <c r="Y321" s="1">
        <v>1527943</v>
      </c>
      <c r="AA321" s="1">
        <v>78981</v>
      </c>
      <c r="AB321" s="32"/>
      <c r="AC321" s="1">
        <v>0</v>
      </c>
      <c r="AE321" s="1">
        <v>0</v>
      </c>
      <c r="AG321" s="1">
        <f t="shared" si="39"/>
        <v>19556499</v>
      </c>
      <c r="AH321" s="1"/>
      <c r="AI321" s="1">
        <f t="shared" si="37"/>
        <v>22335082</v>
      </c>
    </row>
    <row r="322" spans="1:37" ht="12" customHeight="1">
      <c r="A322" s="17" t="s">
        <v>231</v>
      </c>
      <c r="B322" s="17"/>
      <c r="C322" s="17" t="s">
        <v>227</v>
      </c>
      <c r="D322" s="17"/>
      <c r="E322" s="13">
        <v>46128</v>
      </c>
      <c r="G322" s="1">
        <v>1784659</v>
      </c>
      <c r="I322" s="1">
        <v>1674165</v>
      </c>
      <c r="K322" s="1">
        <v>3830762</v>
      </c>
      <c r="M322" s="1">
        <f t="shared" si="38"/>
        <v>7289586</v>
      </c>
      <c r="O322" s="1">
        <v>5094402</v>
      </c>
      <c r="Q322" s="1">
        <v>759498</v>
      </c>
      <c r="S322" s="1">
        <v>6681736</v>
      </c>
      <c r="U322" s="1">
        <v>71029</v>
      </c>
      <c r="W322" s="1">
        <v>0</v>
      </c>
      <c r="Y322" s="1">
        <v>0</v>
      </c>
      <c r="AA322" s="1">
        <v>105534</v>
      </c>
      <c r="AB322" s="32"/>
      <c r="AC322" s="1">
        <v>0</v>
      </c>
      <c r="AE322" s="1">
        <v>0</v>
      </c>
      <c r="AG322" s="1">
        <f t="shared" si="39"/>
        <v>12712199</v>
      </c>
      <c r="AH322" s="1"/>
      <c r="AI322" s="1">
        <f t="shared" si="37"/>
        <v>20001785</v>
      </c>
    </row>
    <row r="323" spans="1:37" ht="12" hidden="1" customHeight="1">
      <c r="A323" s="17" t="s">
        <v>848</v>
      </c>
      <c r="B323" s="17"/>
      <c r="C323" s="17" t="s">
        <v>41</v>
      </c>
      <c r="D323" s="17"/>
      <c r="E323" s="13"/>
      <c r="M323" s="1">
        <f t="shared" si="38"/>
        <v>0</v>
      </c>
      <c r="AB323" s="32"/>
      <c r="AG323" s="1">
        <f t="shared" si="39"/>
        <v>0</v>
      </c>
      <c r="AH323" s="1"/>
      <c r="AI323" s="1">
        <f t="shared" si="37"/>
        <v>0</v>
      </c>
    </row>
    <row r="324" spans="1:37" ht="12" customHeight="1">
      <c r="A324" s="17" t="s">
        <v>231</v>
      </c>
      <c r="B324" s="17"/>
      <c r="C324" s="17" t="s">
        <v>112</v>
      </c>
      <c r="D324" s="17"/>
      <c r="E324" s="13">
        <v>49452</v>
      </c>
      <c r="F324" s="31"/>
      <c r="G324" s="1">
        <v>2385752</v>
      </c>
      <c r="I324" s="1">
        <v>5596245</v>
      </c>
      <c r="K324" s="1">
        <v>0</v>
      </c>
      <c r="M324" s="1">
        <f t="shared" si="38"/>
        <v>7981997</v>
      </c>
      <c r="O324" s="1">
        <v>10071786</v>
      </c>
      <c r="Q324" s="1">
        <v>0</v>
      </c>
      <c r="S324" s="1">
        <v>16297115</v>
      </c>
      <c r="U324" s="1">
        <v>194311</v>
      </c>
      <c r="W324" s="1">
        <v>207646</v>
      </c>
      <c r="Y324" s="1">
        <v>0</v>
      </c>
      <c r="AA324" s="1">
        <v>80690</v>
      </c>
      <c r="AB324" s="32"/>
      <c r="AC324" s="1">
        <v>-25000</v>
      </c>
      <c r="AE324" s="1">
        <v>0</v>
      </c>
      <c r="AG324" s="1">
        <f t="shared" si="39"/>
        <v>26826548</v>
      </c>
      <c r="AH324" s="1"/>
      <c r="AI324" s="1">
        <f t="shared" si="37"/>
        <v>34808545</v>
      </c>
    </row>
    <row r="325" spans="1:37" ht="12" customHeight="1">
      <c r="A325" s="17" t="s">
        <v>864</v>
      </c>
      <c r="B325" s="17"/>
      <c r="C325" s="17" t="s">
        <v>458</v>
      </c>
      <c r="D325" s="17"/>
      <c r="E325" s="13"/>
      <c r="F325" s="31"/>
      <c r="G325" s="1">
        <v>1464094</v>
      </c>
      <c r="I325" s="1">
        <v>1063050</v>
      </c>
      <c r="K325" s="1">
        <v>54745</v>
      </c>
      <c r="M325" s="1">
        <f t="shared" si="38"/>
        <v>2581889</v>
      </c>
      <c r="O325" s="1">
        <f>8095261+703830</f>
        <v>8799091</v>
      </c>
      <c r="Q325" s="1">
        <v>0</v>
      </c>
      <c r="S325" s="1">
        <v>6975116</v>
      </c>
      <c r="U325" s="1">
        <v>93832</v>
      </c>
      <c r="W325" s="1">
        <v>10574</v>
      </c>
      <c r="Y325" s="1">
        <v>0</v>
      </c>
      <c r="AA325" s="1">
        <v>33057</v>
      </c>
      <c r="AB325" s="32"/>
      <c r="AC325" s="1">
        <v>0</v>
      </c>
      <c r="AE325" s="1">
        <v>0</v>
      </c>
      <c r="AG325" s="1">
        <f t="shared" si="39"/>
        <v>15911670</v>
      </c>
      <c r="AH325" s="1"/>
      <c r="AI325" s="1">
        <f t="shared" si="37"/>
        <v>18493559</v>
      </c>
    </row>
    <row r="326" spans="1:37" ht="12" customHeight="1">
      <c r="A326" s="17" t="s">
        <v>722</v>
      </c>
      <c r="B326" s="17"/>
      <c r="C326" s="17" t="s">
        <v>203</v>
      </c>
      <c r="D326" s="17"/>
      <c r="E326" s="13"/>
      <c r="F326" s="31"/>
      <c r="G326" s="1">
        <v>731791</v>
      </c>
      <c r="I326" s="1">
        <v>2089722</v>
      </c>
      <c r="K326" s="1">
        <v>0</v>
      </c>
      <c r="M326" s="1">
        <f t="shared" si="38"/>
        <v>2821513</v>
      </c>
      <c r="O326" s="1">
        <f>6447502+1116095</f>
        <v>7563597</v>
      </c>
      <c r="Q326" s="1">
        <v>0</v>
      </c>
      <c r="S326" s="1">
        <v>6545783</v>
      </c>
      <c r="U326" s="1">
        <v>63021</v>
      </c>
      <c r="W326" s="1">
        <v>0</v>
      </c>
      <c r="Y326" s="1">
        <v>0</v>
      </c>
      <c r="AA326" s="1">
        <v>27075</v>
      </c>
      <c r="AB326" s="32"/>
      <c r="AC326" s="1">
        <v>0</v>
      </c>
      <c r="AE326" s="1">
        <v>0</v>
      </c>
      <c r="AG326" s="1">
        <f t="shared" si="39"/>
        <v>14199476</v>
      </c>
      <c r="AH326" s="1"/>
      <c r="AI326" s="1">
        <f t="shared" si="37"/>
        <v>17020989</v>
      </c>
    </row>
    <row r="327" spans="1:37" ht="12" customHeight="1">
      <c r="A327" s="17" t="s">
        <v>545</v>
      </c>
      <c r="B327" s="17"/>
      <c r="C327" s="17" t="s">
        <v>112</v>
      </c>
      <c r="D327" s="17"/>
      <c r="E327" s="13">
        <v>44297</v>
      </c>
      <c r="G327" s="1">
        <v>1652109</v>
      </c>
      <c r="I327" s="1">
        <v>12055007</v>
      </c>
      <c r="K327" s="1">
        <v>0</v>
      </c>
      <c r="M327" s="1">
        <f t="shared" si="38"/>
        <v>13707116</v>
      </c>
      <c r="O327" s="1">
        <f>15799838+184372+825389+888128</f>
        <v>17697727</v>
      </c>
      <c r="Q327" s="1">
        <v>0</v>
      </c>
      <c r="S327" s="1">
        <v>34010921</v>
      </c>
      <c r="U327" s="1">
        <v>384336</v>
      </c>
      <c r="W327" s="1">
        <v>0</v>
      </c>
      <c r="Y327" s="1">
        <v>0</v>
      </c>
      <c r="AA327" s="1">
        <v>1589150</v>
      </c>
      <c r="AB327" s="32"/>
      <c r="AC327" s="1">
        <v>0</v>
      </c>
      <c r="AE327" s="1">
        <v>0</v>
      </c>
      <c r="AG327" s="1">
        <f t="shared" si="39"/>
        <v>53682134</v>
      </c>
      <c r="AH327" s="1"/>
      <c r="AI327" s="1">
        <f t="shared" si="37"/>
        <v>67389250</v>
      </c>
    </row>
    <row r="328" spans="1:37" ht="12" customHeight="1">
      <c r="A328" s="17" t="s">
        <v>294</v>
      </c>
      <c r="B328" s="17"/>
      <c r="C328" s="17" t="s">
        <v>20</v>
      </c>
      <c r="D328" s="17"/>
      <c r="E328" s="13">
        <v>44305</v>
      </c>
      <c r="G328" s="1">
        <v>1243628</v>
      </c>
      <c r="I328" s="1">
        <v>5830404</v>
      </c>
      <c r="K328" s="1">
        <v>0</v>
      </c>
      <c r="M328" s="1">
        <f t="shared" si="38"/>
        <v>7074032</v>
      </c>
      <c r="O328" s="1">
        <f>13419848+2385304+534537</f>
        <v>16339689</v>
      </c>
      <c r="Q328" s="1">
        <v>0</v>
      </c>
      <c r="S328" s="1">
        <v>21959292</v>
      </c>
      <c r="U328" s="1">
        <v>1473595</v>
      </c>
      <c r="W328" s="1">
        <v>0</v>
      </c>
      <c r="Y328" s="1">
        <v>0</v>
      </c>
      <c r="AA328" s="1">
        <v>535662</v>
      </c>
      <c r="AB328" s="32"/>
      <c r="AC328" s="1">
        <v>0</v>
      </c>
      <c r="AE328" s="1">
        <v>0</v>
      </c>
      <c r="AG328" s="1">
        <f t="shared" si="39"/>
        <v>40308238</v>
      </c>
      <c r="AH328" s="1"/>
      <c r="AI328" s="1">
        <f t="shared" si="37"/>
        <v>47382270</v>
      </c>
    </row>
    <row r="329" spans="1:37" ht="12" customHeight="1">
      <c r="A329" s="17" t="s">
        <v>208</v>
      </c>
      <c r="B329" s="17"/>
      <c r="C329" s="17" t="s">
        <v>11</v>
      </c>
      <c r="D329" s="17"/>
      <c r="E329" s="13">
        <v>45831</v>
      </c>
      <c r="F329" s="31"/>
      <c r="G329" s="1">
        <v>901647</v>
      </c>
      <c r="I329" s="1">
        <v>954446</v>
      </c>
      <c r="K329" s="1">
        <v>0</v>
      </c>
      <c r="M329" s="1">
        <f t="shared" si="38"/>
        <v>1856093</v>
      </c>
      <c r="O329" s="1">
        <f>2288864+40786+297775+202918</f>
        <v>2830343</v>
      </c>
      <c r="Q329" s="1">
        <v>0</v>
      </c>
      <c r="S329" s="1">
        <v>4896560</v>
      </c>
      <c r="U329" s="1">
        <v>24302</v>
      </c>
      <c r="W329" s="1">
        <v>0</v>
      </c>
      <c r="Y329" s="1">
        <v>0</v>
      </c>
      <c r="AA329" s="1">
        <v>75762</v>
      </c>
      <c r="AB329" s="32"/>
      <c r="AC329" s="1">
        <v>0</v>
      </c>
      <c r="AE329" s="1">
        <v>0</v>
      </c>
      <c r="AG329" s="1">
        <f t="shared" si="39"/>
        <v>7826967</v>
      </c>
      <c r="AH329" s="1"/>
      <c r="AI329" s="1">
        <f t="shared" si="37"/>
        <v>9683060</v>
      </c>
    </row>
    <row r="330" spans="1:37" ht="12" customHeight="1">
      <c r="A330" s="17" t="s">
        <v>611</v>
      </c>
      <c r="B330" s="17"/>
      <c r="C330" s="17" t="s">
        <v>64</v>
      </c>
      <c r="D330" s="17"/>
      <c r="E330" s="13">
        <v>50211</v>
      </c>
      <c r="G330" s="1">
        <v>558633</v>
      </c>
      <c r="I330" s="1">
        <v>1159810</v>
      </c>
      <c r="K330" s="1">
        <v>0</v>
      </c>
      <c r="M330" s="1">
        <f t="shared" si="38"/>
        <v>1718443</v>
      </c>
      <c r="O330" s="1">
        <f>2212261+32385+334380+146233</f>
        <v>2725259</v>
      </c>
      <c r="Q330" s="1">
        <v>0</v>
      </c>
      <c r="S330" s="1">
        <v>5778008</v>
      </c>
      <c r="U330" s="1">
        <v>20513</v>
      </c>
      <c r="W330" s="1">
        <v>0</v>
      </c>
      <c r="Y330" s="1">
        <v>0</v>
      </c>
      <c r="AA330" s="1">
        <v>58033</v>
      </c>
      <c r="AB330" s="32"/>
      <c r="AC330" s="1">
        <v>0</v>
      </c>
      <c r="AE330" s="1">
        <v>0</v>
      </c>
      <c r="AG330" s="1">
        <f t="shared" si="39"/>
        <v>8581813</v>
      </c>
      <c r="AH330" s="1"/>
      <c r="AI330" s="1">
        <f t="shared" si="37"/>
        <v>10300256</v>
      </c>
    </row>
    <row r="331" spans="1:37" ht="12" customHeight="1">
      <c r="A331" s="17" t="s">
        <v>317</v>
      </c>
      <c r="B331" s="17"/>
      <c r="C331" s="17" t="s">
        <v>24</v>
      </c>
      <c r="D331" s="17"/>
      <c r="E331" s="13">
        <v>46805</v>
      </c>
      <c r="G331" s="1">
        <v>1212038</v>
      </c>
      <c r="I331" s="1">
        <v>1440379</v>
      </c>
      <c r="K331" s="1">
        <v>0</v>
      </c>
      <c r="M331" s="1">
        <f t="shared" si="38"/>
        <v>2652417</v>
      </c>
      <c r="O331" s="1">
        <f>4385588+162847</f>
        <v>4548435</v>
      </c>
      <c r="Q331" s="1">
        <v>0</v>
      </c>
      <c r="S331" s="1">
        <v>6338070</v>
      </c>
      <c r="U331" s="1">
        <v>6807</v>
      </c>
      <c r="W331" s="1">
        <v>0</v>
      </c>
      <c r="Y331" s="1">
        <v>0</v>
      </c>
      <c r="AA331" s="1">
        <v>45511</v>
      </c>
      <c r="AB331" s="32"/>
      <c r="AC331" s="1">
        <v>0</v>
      </c>
      <c r="AE331" s="1">
        <v>0</v>
      </c>
      <c r="AG331" s="1">
        <f t="shared" si="39"/>
        <v>10938823</v>
      </c>
      <c r="AH331" s="1"/>
      <c r="AI331" s="1">
        <f t="shared" si="37"/>
        <v>13591240</v>
      </c>
    </row>
    <row r="332" spans="1:37" ht="12" customHeight="1">
      <c r="A332" s="17" t="s">
        <v>368</v>
      </c>
      <c r="B332" s="17"/>
      <c r="C332" s="17" t="s">
        <v>32</v>
      </c>
      <c r="D332" s="17"/>
      <c r="E332" s="13">
        <v>44313</v>
      </c>
      <c r="G332" s="1">
        <v>755452</v>
      </c>
      <c r="I332" s="1">
        <v>984992</v>
      </c>
      <c r="K332" s="1">
        <v>0</v>
      </c>
      <c r="M332" s="1">
        <f t="shared" si="38"/>
        <v>1740444</v>
      </c>
      <c r="O332" s="1">
        <f>13772371+577387</f>
        <v>14349758</v>
      </c>
      <c r="Q332" s="1">
        <v>0</v>
      </c>
      <c r="S332" s="1">
        <v>7239626</v>
      </c>
      <c r="U332" s="1">
        <v>48930</v>
      </c>
      <c r="W332" s="1">
        <v>0</v>
      </c>
      <c r="Y332" s="1">
        <v>0</v>
      </c>
      <c r="AA332" s="1">
        <v>5070</v>
      </c>
      <c r="AB332" s="32"/>
      <c r="AC332" s="1">
        <v>0</v>
      </c>
      <c r="AE332" s="1">
        <v>0</v>
      </c>
      <c r="AG332" s="1">
        <f t="shared" si="39"/>
        <v>21643384</v>
      </c>
      <c r="AH332" s="1"/>
      <c r="AI332" s="1">
        <f t="shared" si="37"/>
        <v>23383828</v>
      </c>
    </row>
    <row r="333" spans="1:37" ht="12" hidden="1" customHeight="1">
      <c r="A333" s="17" t="s">
        <v>733</v>
      </c>
      <c r="B333" s="17"/>
      <c r="C333" s="17" t="s">
        <v>70</v>
      </c>
      <c r="D333" s="17"/>
      <c r="E333" s="13">
        <v>44321</v>
      </c>
      <c r="M333" s="1">
        <f t="shared" si="38"/>
        <v>0</v>
      </c>
      <c r="AB333" s="32"/>
      <c r="AG333" s="1">
        <f t="shared" si="39"/>
        <v>0</v>
      </c>
      <c r="AH333" s="1"/>
      <c r="AI333" s="1">
        <f t="shared" si="37"/>
        <v>0</v>
      </c>
      <c r="AJ333" s="1"/>
      <c r="AK333" s="1"/>
    </row>
    <row r="334" spans="1:37" ht="12" customHeight="1">
      <c r="A334" s="17" t="s">
        <v>474</v>
      </c>
      <c r="B334" s="17"/>
      <c r="C334" s="17" t="s">
        <v>46</v>
      </c>
      <c r="D334" s="17"/>
      <c r="E334" s="13">
        <v>44339</v>
      </c>
      <c r="G334" s="1">
        <v>2340923</v>
      </c>
      <c r="I334" s="1">
        <v>12472406</v>
      </c>
      <c r="K334" s="1">
        <v>0</v>
      </c>
      <c r="M334" s="1">
        <f t="shared" si="38"/>
        <v>14813329</v>
      </c>
      <c r="O334" s="1">
        <f>8527602+130729+1062293</f>
        <v>9720624</v>
      </c>
      <c r="Q334" s="1">
        <v>0</v>
      </c>
      <c r="S334" s="1">
        <v>30605538</v>
      </c>
      <c r="U334" s="1">
        <v>206697</v>
      </c>
      <c r="W334" s="1">
        <v>74202</v>
      </c>
      <c r="Y334" s="1">
        <v>4344</v>
      </c>
      <c r="AA334" s="1">
        <v>822000</v>
      </c>
      <c r="AB334" s="32"/>
      <c r="AC334" s="1">
        <v>0</v>
      </c>
      <c r="AE334" s="1">
        <v>0</v>
      </c>
      <c r="AG334" s="1">
        <f t="shared" si="39"/>
        <v>41433405</v>
      </c>
      <c r="AH334" s="1"/>
      <c r="AI334" s="1">
        <f t="shared" si="37"/>
        <v>56246734</v>
      </c>
    </row>
    <row r="335" spans="1:37" ht="12" hidden="1" customHeight="1">
      <c r="A335" s="17" t="s">
        <v>850</v>
      </c>
      <c r="B335" s="17"/>
      <c r="C335" s="17" t="s">
        <v>486</v>
      </c>
      <c r="D335" s="17"/>
      <c r="E335" s="13"/>
      <c r="M335" s="1">
        <f t="shared" si="38"/>
        <v>0</v>
      </c>
      <c r="AB335" s="32"/>
      <c r="AG335" s="1">
        <f t="shared" si="39"/>
        <v>0</v>
      </c>
      <c r="AH335" s="1"/>
      <c r="AI335" s="1">
        <f t="shared" si="37"/>
        <v>0</v>
      </c>
    </row>
    <row r="336" spans="1:37" ht="12" customHeight="1">
      <c r="A336" s="17" t="s">
        <v>579</v>
      </c>
      <c r="B336" s="17"/>
      <c r="C336" s="17" t="s">
        <v>62</v>
      </c>
      <c r="D336" s="17"/>
      <c r="E336" s="13">
        <v>49882</v>
      </c>
      <c r="G336" s="1">
        <v>1171533</v>
      </c>
      <c r="I336" s="1">
        <v>2797243</v>
      </c>
      <c r="K336" s="1">
        <v>0</v>
      </c>
      <c r="M336" s="1">
        <f t="shared" si="38"/>
        <v>3968776</v>
      </c>
      <c r="O336" s="1">
        <f>7893361+425063</f>
        <v>8318424</v>
      </c>
      <c r="Q336" s="1">
        <v>0</v>
      </c>
      <c r="S336" s="1">
        <v>11976671</v>
      </c>
      <c r="U336" s="1">
        <v>58204</v>
      </c>
      <c r="W336" s="1">
        <v>0</v>
      </c>
      <c r="Y336" s="1">
        <v>0</v>
      </c>
      <c r="AA336" s="1">
        <v>118999</v>
      </c>
      <c r="AB336" s="32"/>
      <c r="AC336" s="1">
        <v>0</v>
      </c>
      <c r="AE336" s="1">
        <v>0</v>
      </c>
      <c r="AG336" s="1">
        <f t="shared" si="39"/>
        <v>20472298</v>
      </c>
      <c r="AH336" s="1"/>
      <c r="AI336" s="1">
        <f t="shared" si="37"/>
        <v>24441074</v>
      </c>
    </row>
    <row r="337" spans="1:39" ht="12" customHeight="1">
      <c r="A337" s="17" t="s">
        <v>221</v>
      </c>
      <c r="B337" s="17"/>
      <c r="C337" s="17" t="s">
        <v>15</v>
      </c>
      <c r="D337" s="17"/>
      <c r="E337" s="13">
        <v>44347</v>
      </c>
      <c r="F337" s="31"/>
      <c r="G337" s="1">
        <v>1330514</v>
      </c>
      <c r="I337" s="1">
        <v>3103017</v>
      </c>
      <c r="K337" s="1">
        <v>0</v>
      </c>
      <c r="M337" s="1">
        <f t="shared" si="38"/>
        <v>4433531</v>
      </c>
      <c r="O337" s="1">
        <f>2164698+72517+545175+60624</f>
        <v>2843014</v>
      </c>
      <c r="Q337" s="1">
        <v>0</v>
      </c>
      <c r="S337" s="1">
        <v>8602367</v>
      </c>
      <c r="U337" s="1">
        <v>1124</v>
      </c>
      <c r="W337" s="1">
        <v>0</v>
      </c>
      <c r="Y337" s="1">
        <v>10300</v>
      </c>
      <c r="AA337" s="1">
        <v>6204</v>
      </c>
      <c r="AB337" s="32"/>
      <c r="AC337" s="1">
        <v>0</v>
      </c>
      <c r="AE337" s="1">
        <v>0</v>
      </c>
      <c r="AG337" s="1">
        <f t="shared" si="39"/>
        <v>11463009</v>
      </c>
      <c r="AH337" s="1"/>
      <c r="AI337" s="1">
        <f t="shared" si="37"/>
        <v>15896540</v>
      </c>
    </row>
    <row r="338" spans="1:39" ht="12" customHeight="1">
      <c r="A338" s="17" t="s">
        <v>626</v>
      </c>
      <c r="B338" s="17"/>
      <c r="C338" s="17" t="s">
        <v>66</v>
      </c>
      <c r="D338" s="17"/>
      <c r="E338" s="13">
        <v>45476</v>
      </c>
      <c r="G338" s="1">
        <v>850492</v>
      </c>
      <c r="I338" s="1">
        <v>3259604</v>
      </c>
      <c r="K338" s="1">
        <v>0</v>
      </c>
      <c r="M338" s="1">
        <f t="shared" si="38"/>
        <v>4110096</v>
      </c>
      <c r="O338" s="1">
        <f>23570518+4014582+2438016</f>
        <v>30023116</v>
      </c>
      <c r="Q338" s="1">
        <v>0</v>
      </c>
      <c r="S338" s="1">
        <v>26995634</v>
      </c>
      <c r="U338" s="1">
        <v>52320</v>
      </c>
      <c r="W338" s="1">
        <v>0</v>
      </c>
      <c r="Y338" s="1">
        <v>0</v>
      </c>
      <c r="AA338" s="1">
        <v>494569</v>
      </c>
      <c r="AB338" s="32"/>
      <c r="AC338" s="1">
        <v>0</v>
      </c>
      <c r="AE338" s="1">
        <v>0</v>
      </c>
      <c r="AG338" s="1">
        <f t="shared" si="39"/>
        <v>57565639</v>
      </c>
      <c r="AH338" s="1"/>
      <c r="AI338" s="1">
        <f t="shared" si="37"/>
        <v>61675735</v>
      </c>
    </row>
    <row r="339" spans="1:39" ht="12" customHeight="1">
      <c r="A339" s="17" t="s">
        <v>635</v>
      </c>
      <c r="B339" s="17"/>
      <c r="C339" s="17" t="s">
        <v>69</v>
      </c>
      <c r="D339" s="17"/>
      <c r="E339" s="13">
        <v>50450</v>
      </c>
      <c r="G339" s="1">
        <v>8958578</v>
      </c>
      <c r="I339" s="1">
        <v>7748872</v>
      </c>
      <c r="K339" s="1">
        <v>0</v>
      </c>
      <c r="M339" s="1">
        <f t="shared" si="38"/>
        <v>16707450</v>
      </c>
      <c r="O339" s="1">
        <f>45848200+11152734+560240</f>
        <v>57561174</v>
      </c>
      <c r="Q339" s="1">
        <v>0</v>
      </c>
      <c r="S339" s="1">
        <v>44953615</v>
      </c>
      <c r="U339" s="1">
        <v>546300</v>
      </c>
      <c r="W339" s="1">
        <v>3246149</v>
      </c>
      <c r="Y339" s="1">
        <v>0</v>
      </c>
      <c r="AA339" s="1">
        <v>1557714</v>
      </c>
      <c r="AB339" s="32"/>
      <c r="AC339" s="1">
        <v>0</v>
      </c>
      <c r="AE339" s="1">
        <v>0</v>
      </c>
      <c r="AG339" s="1">
        <f t="shared" si="39"/>
        <v>107864952</v>
      </c>
      <c r="AH339" s="1"/>
      <c r="AI339" s="1">
        <f t="shared" si="37"/>
        <v>124572402</v>
      </c>
    </row>
    <row r="340" spans="1:39" ht="12" customHeight="1">
      <c r="A340" s="17" t="s">
        <v>580</v>
      </c>
      <c r="B340" s="17"/>
      <c r="C340" s="17" t="s">
        <v>62</v>
      </c>
      <c r="D340" s="17"/>
      <c r="E340" s="13">
        <v>44354</v>
      </c>
      <c r="G340" s="1">
        <v>3128960</v>
      </c>
      <c r="I340" s="1">
        <v>8093692</v>
      </c>
      <c r="K340" s="1">
        <v>19194</v>
      </c>
      <c r="M340" s="1">
        <f t="shared" si="38"/>
        <v>11241846</v>
      </c>
      <c r="O340" s="1">
        <f>12219872+2275839+136672</f>
        <v>14632383</v>
      </c>
      <c r="Q340" s="1">
        <v>43323</v>
      </c>
      <c r="S340" s="1">
        <v>23979446</v>
      </c>
      <c r="U340" s="1">
        <v>54514</v>
      </c>
      <c r="W340" s="1">
        <v>0</v>
      </c>
      <c r="Y340" s="1">
        <v>0</v>
      </c>
      <c r="AA340" s="1">
        <v>135339</v>
      </c>
      <c r="AB340" s="32"/>
      <c r="AC340" s="1">
        <v>0</v>
      </c>
      <c r="AE340" s="1">
        <v>0</v>
      </c>
      <c r="AG340" s="1">
        <f t="shared" si="39"/>
        <v>38845005</v>
      </c>
      <c r="AH340" s="1"/>
      <c r="AI340" s="1">
        <f t="shared" si="37"/>
        <v>50086851</v>
      </c>
    </row>
    <row r="341" spans="1:39" ht="12" customHeight="1">
      <c r="A341" s="17"/>
      <c r="B341" s="17"/>
      <c r="C341" s="17"/>
      <c r="D341" s="17"/>
      <c r="E341" s="13"/>
      <c r="AB341" s="32"/>
      <c r="AH341" s="1"/>
    </row>
    <row r="342" spans="1:39" ht="12" customHeight="1">
      <c r="A342" s="17"/>
      <c r="B342" s="17"/>
      <c r="C342" s="17"/>
      <c r="D342" s="17"/>
      <c r="E342" s="13"/>
      <c r="AB342" s="32"/>
      <c r="AH342" s="1"/>
      <c r="AI342" s="20" t="s">
        <v>709</v>
      </c>
    </row>
    <row r="343" spans="1:39" ht="12" customHeight="1">
      <c r="A343" s="17"/>
      <c r="B343" s="17"/>
      <c r="C343" s="17"/>
      <c r="D343" s="17"/>
      <c r="E343" s="13"/>
      <c r="AB343" s="32"/>
      <c r="AH343" s="1"/>
    </row>
    <row r="344" spans="1:39" ht="12" customHeight="1">
      <c r="A344" s="17" t="s">
        <v>612</v>
      </c>
      <c r="B344" s="17"/>
      <c r="C344" s="17" t="s">
        <v>64</v>
      </c>
      <c r="D344" s="17"/>
      <c r="E344" s="13">
        <v>50153</v>
      </c>
      <c r="G344" s="16">
        <v>707291</v>
      </c>
      <c r="H344" s="16"/>
      <c r="I344" s="16">
        <v>751363</v>
      </c>
      <c r="J344" s="16"/>
      <c r="K344" s="16">
        <v>0</v>
      </c>
      <c r="L344" s="16"/>
      <c r="M344" s="16">
        <f t="shared" si="38"/>
        <v>1458654</v>
      </c>
      <c r="N344" s="16"/>
      <c r="O344" s="16">
        <f>4205904+148579</f>
        <v>4354483</v>
      </c>
      <c r="P344" s="16"/>
      <c r="Q344" s="16">
        <v>0</v>
      </c>
      <c r="R344" s="16"/>
      <c r="S344" s="16">
        <v>3757405</v>
      </c>
      <c r="T344" s="16"/>
      <c r="U344" s="16">
        <v>17059</v>
      </c>
      <c r="V344" s="16"/>
      <c r="W344" s="16">
        <v>0</v>
      </c>
      <c r="X344" s="16"/>
      <c r="Y344" s="16">
        <v>0</v>
      </c>
      <c r="Z344" s="16"/>
      <c r="AA344" s="16">
        <v>4337</v>
      </c>
      <c r="AB344" s="34"/>
      <c r="AC344" s="16">
        <v>0</v>
      </c>
      <c r="AD344" s="16"/>
      <c r="AE344" s="16">
        <v>0</v>
      </c>
      <c r="AF344" s="16"/>
      <c r="AG344" s="16">
        <f t="shared" si="39"/>
        <v>8133284</v>
      </c>
      <c r="AH344" s="16"/>
      <c r="AI344" s="16">
        <f t="shared" si="37"/>
        <v>9591938</v>
      </c>
    </row>
    <row r="345" spans="1:39" ht="12" customHeight="1">
      <c r="A345" s="17" t="s">
        <v>450</v>
      </c>
      <c r="B345" s="17"/>
      <c r="C345" s="17" t="s">
        <v>117</v>
      </c>
      <c r="D345" s="17"/>
      <c r="E345" s="13">
        <v>44362</v>
      </c>
      <c r="G345" s="1">
        <v>1630168</v>
      </c>
      <c r="I345" s="1">
        <v>2870848</v>
      </c>
      <c r="K345" s="1">
        <v>0</v>
      </c>
      <c r="M345" s="1">
        <f t="shared" si="38"/>
        <v>4501016</v>
      </c>
      <c r="O345" s="1">
        <f>16380267+2045096+304137</f>
        <v>18729500</v>
      </c>
      <c r="Q345" s="1">
        <v>0</v>
      </c>
      <c r="S345" s="1">
        <v>10661119</v>
      </c>
      <c r="U345" s="1">
        <v>19258</v>
      </c>
      <c r="W345" s="1">
        <v>0</v>
      </c>
      <c r="Y345" s="1">
        <v>0</v>
      </c>
      <c r="AA345" s="1">
        <v>52184</v>
      </c>
      <c r="AB345" s="32"/>
      <c r="AC345" s="1">
        <v>0</v>
      </c>
      <c r="AE345" s="1">
        <v>0</v>
      </c>
      <c r="AG345" s="1">
        <f t="shared" si="39"/>
        <v>29462061</v>
      </c>
      <c r="AH345" s="1"/>
      <c r="AI345" s="1">
        <f t="shared" si="37"/>
        <v>33963077</v>
      </c>
    </row>
    <row r="346" spans="1:39" ht="12" customHeight="1">
      <c r="A346" s="17" t="s">
        <v>893</v>
      </c>
      <c r="B346" s="17"/>
      <c r="C346" s="17" t="s">
        <v>20</v>
      </c>
      <c r="D346" s="17"/>
      <c r="E346" s="13">
        <v>44370</v>
      </c>
      <c r="G346" s="1">
        <v>10233821</v>
      </c>
      <c r="I346" s="1">
        <v>7752350</v>
      </c>
      <c r="K346" s="1">
        <v>582730</v>
      </c>
      <c r="M346" s="1">
        <f t="shared" si="38"/>
        <v>18568901</v>
      </c>
      <c r="O346" s="1">
        <f>44407673+35458+3911244</f>
        <v>48354375</v>
      </c>
      <c r="Q346" s="1">
        <v>0</v>
      </c>
      <c r="S346" s="1">
        <v>13178275</v>
      </c>
      <c r="U346" s="1">
        <v>360391</v>
      </c>
      <c r="W346" s="1">
        <v>2977840</v>
      </c>
      <c r="Y346" s="1">
        <v>0</v>
      </c>
      <c r="AA346" s="1">
        <v>525103</v>
      </c>
      <c r="AB346" s="32"/>
      <c r="AC346" s="1">
        <v>0</v>
      </c>
      <c r="AE346" s="1">
        <v>0</v>
      </c>
      <c r="AG346" s="1">
        <f t="shared" si="39"/>
        <v>65395984</v>
      </c>
      <c r="AH346" s="1"/>
      <c r="AI346" s="1">
        <f t="shared" si="37"/>
        <v>83964885</v>
      </c>
    </row>
    <row r="347" spans="1:39" ht="12" customHeight="1">
      <c r="A347" s="17" t="s">
        <v>513</v>
      </c>
      <c r="B347" s="17"/>
      <c r="C347" s="17" t="s">
        <v>51</v>
      </c>
      <c r="D347" s="17"/>
      <c r="E347" s="13">
        <v>48850</v>
      </c>
      <c r="G347" s="1">
        <v>3504915</v>
      </c>
      <c r="I347" s="1">
        <v>3105982</v>
      </c>
      <c r="K347" s="1">
        <v>700</v>
      </c>
      <c r="M347" s="1">
        <f t="shared" si="38"/>
        <v>6611597</v>
      </c>
      <c r="O347" s="1">
        <f>2654423+281560+53616</f>
        <v>2989599</v>
      </c>
      <c r="Q347" s="1">
        <v>0</v>
      </c>
      <c r="S347" s="1">
        <v>12056613</v>
      </c>
      <c r="U347" s="1">
        <v>212606</v>
      </c>
      <c r="W347" s="1">
        <v>2862</v>
      </c>
      <c r="Y347" s="1">
        <v>0</v>
      </c>
      <c r="AA347" s="1">
        <f>1000+98364</f>
        <v>99364</v>
      </c>
      <c r="AB347" s="32"/>
      <c r="AC347" s="1">
        <v>0</v>
      </c>
      <c r="AE347" s="1">
        <v>0</v>
      </c>
      <c r="AG347" s="1">
        <f t="shared" si="39"/>
        <v>15361044</v>
      </c>
      <c r="AH347" s="1"/>
      <c r="AI347" s="1">
        <f t="shared" si="37"/>
        <v>21972641</v>
      </c>
    </row>
    <row r="348" spans="1:39" ht="12" hidden="1" customHeight="1">
      <c r="A348" s="17" t="s">
        <v>783</v>
      </c>
      <c r="B348" s="17"/>
      <c r="C348" s="17" t="s">
        <v>33</v>
      </c>
      <c r="D348" s="17"/>
      <c r="E348" s="13">
        <v>47456</v>
      </c>
      <c r="M348" s="1">
        <f t="shared" si="38"/>
        <v>0</v>
      </c>
      <c r="AB348" s="32"/>
      <c r="AG348" s="1">
        <f t="shared" si="39"/>
        <v>0</v>
      </c>
      <c r="AH348" s="1"/>
      <c r="AI348" s="1">
        <f t="shared" si="37"/>
        <v>0</v>
      </c>
    </row>
    <row r="349" spans="1:39" ht="12" customHeight="1">
      <c r="A349" s="17" t="s">
        <v>780</v>
      </c>
      <c r="B349" s="17"/>
      <c r="C349" s="17" t="s">
        <v>64</v>
      </c>
      <c r="D349" s="17"/>
      <c r="E349" s="13">
        <v>50229</v>
      </c>
      <c r="G349" s="1">
        <v>1231902</v>
      </c>
      <c r="I349" s="1">
        <v>774507</v>
      </c>
      <c r="K349" s="1">
        <v>22153</v>
      </c>
      <c r="M349" s="1">
        <f t="shared" si="38"/>
        <v>2028562</v>
      </c>
      <c r="O349" s="1">
        <f>1184242+142871+143396+18762</f>
        <v>1489271</v>
      </c>
      <c r="Q349" s="1">
        <v>0</v>
      </c>
      <c r="S349" s="1">
        <v>3764847</v>
      </c>
      <c r="U349" s="1">
        <v>3132</v>
      </c>
      <c r="W349" s="1">
        <v>0</v>
      </c>
      <c r="Y349" s="1">
        <v>0</v>
      </c>
      <c r="AA349" s="1">
        <v>0</v>
      </c>
      <c r="AB349" s="32"/>
      <c r="AC349" s="1">
        <v>0</v>
      </c>
      <c r="AE349" s="1">
        <v>0</v>
      </c>
      <c r="AG349" s="1">
        <f t="shared" si="39"/>
        <v>5257250</v>
      </c>
      <c r="AH349" s="1"/>
      <c r="AI349" s="1">
        <f t="shared" si="37"/>
        <v>7285812</v>
      </c>
      <c r="AM349" s="33"/>
    </row>
    <row r="350" spans="1:39" ht="12" customHeight="1">
      <c r="A350" s="17" t="s">
        <v>241</v>
      </c>
      <c r="B350" s="17"/>
      <c r="C350" s="17" t="s">
        <v>240</v>
      </c>
      <c r="D350" s="17"/>
      <c r="E350" s="13">
        <v>45484</v>
      </c>
      <c r="F350" s="31"/>
      <c r="G350" s="1">
        <v>1169289</v>
      </c>
      <c r="I350" s="1">
        <v>1165815</v>
      </c>
      <c r="K350" s="1">
        <v>0</v>
      </c>
      <c r="M350" s="1">
        <f t="shared" si="38"/>
        <v>2335104</v>
      </c>
      <c r="O350" s="1">
        <f>1722588+488396+35782+181423</f>
        <v>2428189</v>
      </c>
      <c r="Q350" s="1">
        <v>1259671</v>
      </c>
      <c r="S350" s="1">
        <v>4454963</v>
      </c>
      <c r="U350" s="1">
        <v>10762</v>
      </c>
      <c r="W350" s="1">
        <v>0</v>
      </c>
      <c r="Y350" s="1">
        <v>0</v>
      </c>
      <c r="AA350" s="1">
        <v>61648</v>
      </c>
      <c r="AB350" s="32"/>
      <c r="AC350" s="1">
        <v>0</v>
      </c>
      <c r="AE350" s="1">
        <v>0</v>
      </c>
      <c r="AG350" s="1">
        <f t="shared" si="39"/>
        <v>8215233</v>
      </c>
      <c r="AH350" s="1"/>
      <c r="AI350" s="1">
        <f t="shared" si="37"/>
        <v>10550337</v>
      </c>
    </row>
    <row r="351" spans="1:39" ht="12" customHeight="1">
      <c r="A351" s="17" t="s">
        <v>482</v>
      </c>
      <c r="B351" s="17"/>
      <c r="C351" s="17" t="s">
        <v>47</v>
      </c>
      <c r="D351" s="17"/>
      <c r="E351" s="13">
        <v>44388</v>
      </c>
      <c r="G351" s="1">
        <v>4496118</v>
      </c>
      <c r="I351" s="1">
        <v>6292376</v>
      </c>
      <c r="K351" s="1">
        <v>0</v>
      </c>
      <c r="M351" s="1">
        <f t="shared" si="38"/>
        <v>10788494</v>
      </c>
      <c r="O351" s="1">
        <f>42511123+7173693+436947</f>
        <v>50121763</v>
      </c>
      <c r="Q351" s="1">
        <v>0</v>
      </c>
      <c r="S351" s="1">
        <f>28178307+1844356</f>
        <v>30022663</v>
      </c>
      <c r="U351" s="1">
        <v>36593</v>
      </c>
      <c r="W351" s="1">
        <v>0</v>
      </c>
      <c r="Y351" s="1">
        <v>0</v>
      </c>
      <c r="AA351" s="1">
        <v>1329467</v>
      </c>
      <c r="AB351" s="32"/>
      <c r="AC351" s="1">
        <v>0</v>
      </c>
      <c r="AE351" s="1">
        <v>0</v>
      </c>
      <c r="AG351" s="1">
        <f t="shared" si="39"/>
        <v>81510486</v>
      </c>
      <c r="AH351" s="1"/>
      <c r="AI351" s="1">
        <f t="shared" si="37"/>
        <v>92298980</v>
      </c>
    </row>
    <row r="352" spans="1:39" ht="12" customHeight="1">
      <c r="A352" s="17" t="s">
        <v>485</v>
      </c>
      <c r="B352" s="17"/>
      <c r="C352" s="17" t="s">
        <v>484</v>
      </c>
      <c r="D352" s="17"/>
      <c r="E352" s="13">
        <v>48520</v>
      </c>
      <c r="G352" s="1">
        <v>984574</v>
      </c>
      <c r="I352" s="1">
        <v>5376862</v>
      </c>
      <c r="K352" s="1">
        <v>0</v>
      </c>
      <c r="M352" s="1">
        <f t="shared" si="38"/>
        <v>6361436</v>
      </c>
      <c r="O352" s="1">
        <f>2478660+517821+51410</f>
        <v>3047891</v>
      </c>
      <c r="Q352" s="1">
        <v>0</v>
      </c>
      <c r="S352" s="1">
        <v>13982280</v>
      </c>
      <c r="U352" s="1">
        <v>27343</v>
      </c>
      <c r="W352" s="1">
        <v>0</v>
      </c>
      <c r="Y352" s="1">
        <v>35123</v>
      </c>
      <c r="AA352" s="1">
        <v>10349</v>
      </c>
      <c r="AB352" s="32"/>
      <c r="AC352" s="1">
        <v>0</v>
      </c>
      <c r="AE352" s="1">
        <f>3150+6201</f>
        <v>9351</v>
      </c>
      <c r="AG352" s="1">
        <f t="shared" si="39"/>
        <v>17112337</v>
      </c>
      <c r="AH352" s="1"/>
      <c r="AI352" s="1">
        <f t="shared" si="37"/>
        <v>23473773</v>
      </c>
    </row>
    <row r="353" spans="1:35" ht="12" customHeight="1">
      <c r="A353" s="17" t="s">
        <v>416</v>
      </c>
      <c r="B353" s="17"/>
      <c r="C353" s="17" t="s">
        <v>41</v>
      </c>
      <c r="D353" s="17"/>
      <c r="E353" s="13">
        <v>45492</v>
      </c>
      <c r="G353" s="1">
        <v>5238573</v>
      </c>
      <c r="I353" s="1">
        <v>7906021</v>
      </c>
      <c r="K353" s="1">
        <v>300058</v>
      </c>
      <c r="M353" s="1">
        <f t="shared" si="38"/>
        <v>13444652</v>
      </c>
      <c r="O353" s="1">
        <f>65057347+1271091+1272012</f>
        <v>67600450</v>
      </c>
      <c r="Q353" s="1">
        <v>0</v>
      </c>
      <c r="S353" s="1">
        <v>34257793</v>
      </c>
      <c r="U353" s="1">
        <v>624575</v>
      </c>
      <c r="W353" s="1">
        <v>281912</v>
      </c>
      <c r="Y353" s="1">
        <v>1000</v>
      </c>
      <c r="AA353" s="1">
        <f>24547+222196</f>
        <v>246743</v>
      </c>
      <c r="AB353" s="32"/>
      <c r="AC353" s="1">
        <v>0</v>
      </c>
      <c r="AE353" s="1">
        <v>0</v>
      </c>
      <c r="AG353" s="1">
        <f t="shared" si="39"/>
        <v>103012473</v>
      </c>
      <c r="AH353" s="1"/>
      <c r="AI353" s="1">
        <f t="shared" si="37"/>
        <v>116457125</v>
      </c>
    </row>
    <row r="354" spans="1:35" ht="12" customHeight="1">
      <c r="A354" s="17" t="s">
        <v>488</v>
      </c>
      <c r="B354" s="17"/>
      <c r="C354" s="17" t="s">
        <v>48</v>
      </c>
      <c r="D354" s="17"/>
      <c r="E354" s="13">
        <v>48629</v>
      </c>
      <c r="G354" s="1">
        <v>1042035</v>
      </c>
      <c r="I354" s="1">
        <v>1240916</v>
      </c>
      <c r="K354" s="1">
        <v>806</v>
      </c>
      <c r="M354" s="1">
        <f t="shared" si="38"/>
        <v>2283757</v>
      </c>
      <c r="O354" s="1">
        <f>3196220+76190+371314+1141035</f>
        <v>4784759</v>
      </c>
      <c r="Q354" s="1">
        <v>1635910</v>
      </c>
      <c r="S354" s="1">
        <v>5165292</v>
      </c>
      <c r="U354" s="1">
        <v>103333</v>
      </c>
      <c r="W354" s="1">
        <v>0</v>
      </c>
      <c r="Y354" s="1">
        <v>19885</v>
      </c>
      <c r="AA354" s="1">
        <v>72242</v>
      </c>
      <c r="AB354" s="32"/>
      <c r="AC354" s="1">
        <v>0</v>
      </c>
      <c r="AE354" s="1">
        <v>0</v>
      </c>
      <c r="AG354" s="1">
        <f t="shared" si="39"/>
        <v>11781421</v>
      </c>
      <c r="AH354" s="1"/>
      <c r="AI354" s="1">
        <f t="shared" si="37"/>
        <v>14065178</v>
      </c>
    </row>
    <row r="355" spans="1:35" ht="12" customHeight="1">
      <c r="A355" s="17" t="s">
        <v>327</v>
      </c>
      <c r="B355" s="17"/>
      <c r="C355" s="17" t="s">
        <v>26</v>
      </c>
      <c r="D355" s="17"/>
      <c r="E355" s="13">
        <v>46920</v>
      </c>
      <c r="G355" s="1">
        <v>2401165</v>
      </c>
      <c r="I355" s="1">
        <v>3825402</v>
      </c>
      <c r="K355" s="1">
        <v>0</v>
      </c>
      <c r="M355" s="1">
        <f t="shared" si="38"/>
        <v>6226567</v>
      </c>
      <c r="O355" s="1">
        <f>8474605+258324+1757689+311147</f>
        <v>10801765</v>
      </c>
      <c r="Q355" s="1">
        <v>0</v>
      </c>
      <c r="S355" s="1">
        <v>11064716</v>
      </c>
      <c r="U355" s="1">
        <v>125815</v>
      </c>
      <c r="W355" s="1">
        <v>360291</v>
      </c>
      <c r="Y355" s="1">
        <v>59204</v>
      </c>
      <c r="AA355" s="1">
        <v>185221</v>
      </c>
      <c r="AB355" s="32"/>
      <c r="AC355" s="1">
        <v>0</v>
      </c>
      <c r="AE355" s="1">
        <v>0</v>
      </c>
      <c r="AG355" s="1">
        <f t="shared" si="39"/>
        <v>22597012</v>
      </c>
      <c r="AH355" s="1"/>
      <c r="AI355" s="1">
        <f t="shared" si="37"/>
        <v>28823579</v>
      </c>
    </row>
    <row r="356" spans="1:35" ht="12" customHeight="1">
      <c r="A356" s="17" t="s">
        <v>501</v>
      </c>
      <c r="B356" s="17"/>
      <c r="C356" s="17" t="s">
        <v>50</v>
      </c>
      <c r="D356" s="17"/>
      <c r="E356" s="13">
        <v>44396</v>
      </c>
      <c r="G356" s="1">
        <v>1957150</v>
      </c>
      <c r="I356" s="1">
        <v>7845294</v>
      </c>
      <c r="K356" s="1">
        <v>0</v>
      </c>
      <c r="M356" s="1">
        <f t="shared" si="38"/>
        <v>9802444</v>
      </c>
      <c r="O356" s="1">
        <f>24146147+4794233+2734932</f>
        <v>31675312</v>
      </c>
      <c r="Q356" s="1">
        <v>0</v>
      </c>
      <c r="S356" s="1">
        <v>17344430</v>
      </c>
      <c r="U356" s="1">
        <v>1147199</v>
      </c>
      <c r="W356" s="1">
        <v>159708</v>
      </c>
      <c r="Y356" s="1">
        <v>0</v>
      </c>
      <c r="AA356" s="1">
        <v>267548</v>
      </c>
      <c r="AB356" s="32"/>
      <c r="AC356" s="1">
        <v>0</v>
      </c>
      <c r="AE356" s="1">
        <v>0</v>
      </c>
      <c r="AG356" s="1">
        <f t="shared" si="39"/>
        <v>50594197</v>
      </c>
      <c r="AH356" s="1"/>
      <c r="AI356" s="1">
        <f t="shared" si="37"/>
        <v>60396641</v>
      </c>
    </row>
    <row r="357" spans="1:35" ht="12" customHeight="1">
      <c r="A357" s="17" t="s">
        <v>232</v>
      </c>
      <c r="B357" s="17"/>
      <c r="C357" s="17" t="s">
        <v>227</v>
      </c>
      <c r="D357" s="17"/>
      <c r="E357" s="13">
        <v>44404</v>
      </c>
      <c r="F357" s="31"/>
      <c r="G357" s="1">
        <v>1778840</v>
      </c>
      <c r="I357" s="1">
        <v>15332374</v>
      </c>
      <c r="K357" s="1">
        <v>316140</v>
      </c>
      <c r="M357" s="1">
        <f t="shared" si="38"/>
        <v>17427354</v>
      </c>
      <c r="O357" s="1">
        <f>15443139+13390494+3404818</f>
        <v>32238451</v>
      </c>
      <c r="Q357" s="1">
        <v>0</v>
      </c>
      <c r="S357" s="1">
        <v>36912221</v>
      </c>
      <c r="U357" s="1">
        <v>26337</v>
      </c>
      <c r="W357" s="1">
        <v>517839</v>
      </c>
      <c r="Y357" s="1">
        <v>0</v>
      </c>
      <c r="AA357" s="1">
        <v>10484</v>
      </c>
      <c r="AB357" s="32"/>
      <c r="AC357" s="1">
        <v>0</v>
      </c>
      <c r="AE357" s="1">
        <v>0</v>
      </c>
      <c r="AG357" s="1">
        <f t="shared" si="39"/>
        <v>69705332</v>
      </c>
      <c r="AH357" s="1"/>
      <c r="AI357" s="1">
        <f t="shared" si="37"/>
        <v>87132686</v>
      </c>
    </row>
    <row r="358" spans="1:35" ht="12" customHeight="1">
      <c r="A358" s="17" t="s">
        <v>444</v>
      </c>
      <c r="B358" s="17"/>
      <c r="C358" s="17" t="s">
        <v>44</v>
      </c>
      <c r="D358" s="17"/>
      <c r="E358" s="13">
        <v>48173</v>
      </c>
      <c r="G358" s="1">
        <v>479576</v>
      </c>
      <c r="I358" s="1">
        <v>2194222</v>
      </c>
      <c r="K358" s="1">
        <v>4237295</v>
      </c>
      <c r="M358" s="1">
        <f t="shared" si="38"/>
        <v>6911093</v>
      </c>
      <c r="O358" s="1">
        <f>10194487+1503105</f>
        <v>11697592</v>
      </c>
      <c r="Q358" s="1">
        <v>0</v>
      </c>
      <c r="S358" s="1">
        <v>15153268</v>
      </c>
      <c r="U358" s="1">
        <v>20450</v>
      </c>
      <c r="W358" s="1">
        <v>0</v>
      </c>
      <c r="Y358" s="1">
        <v>0</v>
      </c>
      <c r="AA358" s="1">
        <v>422885</v>
      </c>
      <c r="AB358" s="32"/>
      <c r="AC358" s="1">
        <v>-4000</v>
      </c>
      <c r="AE358" s="1">
        <v>0</v>
      </c>
      <c r="AG358" s="1">
        <f t="shared" si="39"/>
        <v>27290195</v>
      </c>
      <c r="AH358" s="1"/>
      <c r="AI358" s="1">
        <f t="shared" si="37"/>
        <v>34201288</v>
      </c>
    </row>
    <row r="359" spans="1:35" ht="12" customHeight="1">
      <c r="A359" s="17" t="s">
        <v>255</v>
      </c>
      <c r="B359" s="17"/>
      <c r="C359" s="17" t="s">
        <v>115</v>
      </c>
      <c r="D359" s="17"/>
      <c r="E359" s="13">
        <v>45500</v>
      </c>
      <c r="F359" s="31"/>
      <c r="G359" s="1">
        <v>4859430</v>
      </c>
      <c r="I359" s="1">
        <v>6575193</v>
      </c>
      <c r="K359" s="1">
        <v>0</v>
      </c>
      <c r="M359" s="1">
        <f t="shared" si="38"/>
        <v>11434623</v>
      </c>
      <c r="O359" s="1">
        <f>34415950+3782592</f>
        <v>38198542</v>
      </c>
      <c r="Q359" s="1">
        <v>0</v>
      </c>
      <c r="S359" s="1">
        <v>22259666</v>
      </c>
      <c r="U359" s="1">
        <v>367083</v>
      </c>
      <c r="W359" s="1">
        <v>1264208</v>
      </c>
      <c r="Y359" s="1">
        <v>91338</v>
      </c>
      <c r="AA359" s="1">
        <v>640827</v>
      </c>
      <c r="AB359" s="32"/>
      <c r="AC359" s="1">
        <v>0</v>
      </c>
      <c r="AE359" s="1">
        <v>0</v>
      </c>
      <c r="AG359" s="1">
        <f t="shared" si="39"/>
        <v>62821664</v>
      </c>
      <c r="AH359" s="1"/>
      <c r="AI359" s="1">
        <f t="shared" si="37"/>
        <v>74256287</v>
      </c>
    </row>
    <row r="360" spans="1:35" ht="12" hidden="1" customHeight="1">
      <c r="A360" s="17" t="s">
        <v>734</v>
      </c>
      <c r="B360" s="17"/>
      <c r="C360" s="17" t="s">
        <v>643</v>
      </c>
      <c r="D360" s="17"/>
      <c r="E360" s="13">
        <v>50633</v>
      </c>
      <c r="M360" s="1">
        <f t="shared" si="38"/>
        <v>0</v>
      </c>
      <c r="AB360" s="32"/>
      <c r="AG360" s="1">
        <f t="shared" si="39"/>
        <v>0</v>
      </c>
      <c r="AH360" s="1"/>
      <c r="AI360" s="1">
        <f t="shared" si="37"/>
        <v>0</v>
      </c>
    </row>
    <row r="361" spans="1:35" ht="12" hidden="1" customHeight="1">
      <c r="A361" s="12" t="s">
        <v>851</v>
      </c>
      <c r="B361" s="17"/>
      <c r="C361" s="17" t="s">
        <v>542</v>
      </c>
      <c r="D361" s="17"/>
      <c r="E361" s="13">
        <v>49361</v>
      </c>
      <c r="M361" s="1">
        <f t="shared" si="38"/>
        <v>0</v>
      </c>
      <c r="AB361" s="32"/>
      <c r="AG361" s="1">
        <f t="shared" si="39"/>
        <v>0</v>
      </c>
      <c r="AH361" s="1"/>
      <c r="AI361" s="1">
        <f t="shared" si="37"/>
        <v>0</v>
      </c>
    </row>
    <row r="362" spans="1:35" ht="12" customHeight="1">
      <c r="A362" s="17" t="s">
        <v>489</v>
      </c>
      <c r="B362" s="17"/>
      <c r="C362" s="17" t="s">
        <v>48</v>
      </c>
      <c r="D362" s="17"/>
      <c r="E362" s="13">
        <v>45518</v>
      </c>
      <c r="G362" s="1">
        <v>1370609</v>
      </c>
      <c r="I362" s="1">
        <v>1611037</v>
      </c>
      <c r="K362" s="1">
        <v>325662</v>
      </c>
      <c r="M362" s="1">
        <f t="shared" si="38"/>
        <v>3307308</v>
      </c>
      <c r="O362" s="1">
        <f>5068875+342899</f>
        <v>5411774</v>
      </c>
      <c r="Q362" s="1">
        <v>1707783</v>
      </c>
      <c r="S362" s="1">
        <v>7074028</v>
      </c>
      <c r="U362" s="1">
        <v>423851</v>
      </c>
      <c r="W362" s="1">
        <v>0</v>
      </c>
      <c r="Y362" s="1">
        <v>0</v>
      </c>
      <c r="AA362" s="1">
        <v>96929</v>
      </c>
      <c r="AB362" s="32"/>
      <c r="AC362" s="1">
        <v>0</v>
      </c>
      <c r="AE362" s="1">
        <v>0</v>
      </c>
      <c r="AG362" s="1">
        <f t="shared" si="39"/>
        <v>14714365</v>
      </c>
      <c r="AH362" s="1"/>
      <c r="AI362" s="1">
        <f t="shared" si="37"/>
        <v>18021673</v>
      </c>
    </row>
    <row r="363" spans="1:35" ht="12" customHeight="1">
      <c r="A363" s="17" t="s">
        <v>581</v>
      </c>
      <c r="B363" s="17"/>
      <c r="C363" s="17" t="s">
        <v>62</v>
      </c>
      <c r="D363" s="17"/>
      <c r="E363" s="13">
        <v>49890</v>
      </c>
      <c r="G363" s="1">
        <v>1456328</v>
      </c>
      <c r="I363" s="1">
        <v>2275676</v>
      </c>
      <c r="K363" s="1">
        <v>17866</v>
      </c>
      <c r="M363" s="1">
        <f t="shared" si="38"/>
        <v>3749870</v>
      </c>
      <c r="O363" s="1">
        <f>4817757+751974+78959</f>
        <v>5648690</v>
      </c>
      <c r="Q363" s="1">
        <v>0</v>
      </c>
      <c r="S363" s="1">
        <f>10703339+288529</f>
        <v>10991868</v>
      </c>
      <c r="U363" s="1">
        <v>466</v>
      </c>
      <c r="W363" s="1">
        <v>0</v>
      </c>
      <c r="Y363" s="1">
        <v>0</v>
      </c>
      <c r="AA363" s="1">
        <f>46501+76146</f>
        <v>122647</v>
      </c>
      <c r="AB363" s="32"/>
      <c r="AC363" s="1">
        <v>0</v>
      </c>
      <c r="AE363" s="1">
        <v>0</v>
      </c>
      <c r="AG363" s="1">
        <f t="shared" si="39"/>
        <v>16763671</v>
      </c>
      <c r="AH363" s="1"/>
      <c r="AI363" s="1">
        <f t="shared" si="37"/>
        <v>20513541</v>
      </c>
    </row>
    <row r="364" spans="1:35" ht="12" customHeight="1">
      <c r="A364" s="17" t="s">
        <v>562</v>
      </c>
      <c r="B364" s="17"/>
      <c r="C364" s="17" t="s">
        <v>59</v>
      </c>
      <c r="D364" s="17"/>
      <c r="E364" s="13">
        <v>49627</v>
      </c>
      <c r="G364" s="1">
        <v>2766372</v>
      </c>
      <c r="I364" s="1">
        <v>2316637</v>
      </c>
      <c r="K364" s="1">
        <v>0</v>
      </c>
      <c r="M364" s="1">
        <f t="shared" si="38"/>
        <v>5083009</v>
      </c>
      <c r="O364" s="1">
        <f>1561683+28106+210895</f>
        <v>1800684</v>
      </c>
      <c r="Q364" s="1">
        <v>0</v>
      </c>
      <c r="S364" s="1">
        <v>9462277</v>
      </c>
      <c r="U364" s="1">
        <v>2393</v>
      </c>
      <c r="W364" s="1">
        <v>0</v>
      </c>
      <c r="Y364" s="1">
        <v>3377</v>
      </c>
      <c r="AA364" s="1">
        <v>125692</v>
      </c>
      <c r="AB364" s="32"/>
      <c r="AC364" s="1">
        <v>0</v>
      </c>
      <c r="AE364" s="1">
        <v>0</v>
      </c>
      <c r="AG364" s="1">
        <f t="shared" si="39"/>
        <v>11394423</v>
      </c>
      <c r="AH364" s="1"/>
      <c r="AI364" s="1">
        <f t="shared" si="37"/>
        <v>16477432</v>
      </c>
    </row>
    <row r="365" spans="1:35" ht="12" customHeight="1">
      <c r="A365" s="17" t="s">
        <v>217</v>
      </c>
      <c r="B365" s="17"/>
      <c r="C365" s="17" t="s">
        <v>14</v>
      </c>
      <c r="D365" s="17"/>
      <c r="E365" s="13">
        <v>45948</v>
      </c>
      <c r="F365" s="31"/>
      <c r="G365" s="1">
        <v>438544</v>
      </c>
      <c r="I365" s="1">
        <v>711188</v>
      </c>
      <c r="K365" s="1">
        <v>3600</v>
      </c>
      <c r="M365" s="1">
        <f t="shared" si="38"/>
        <v>1153332</v>
      </c>
      <c r="O365" s="1">
        <f>3408058+12030+825222+31025</f>
        <v>4276335</v>
      </c>
      <c r="Q365" s="1">
        <v>532358</v>
      </c>
      <c r="S365" s="1">
        <v>4126279</v>
      </c>
      <c r="U365" s="1">
        <v>12360</v>
      </c>
      <c r="W365" s="1">
        <v>0</v>
      </c>
      <c r="Y365" s="1">
        <v>0</v>
      </c>
      <c r="AA365" s="1">
        <v>128155</v>
      </c>
      <c r="AB365" s="32"/>
      <c r="AC365" s="1">
        <v>0</v>
      </c>
      <c r="AE365" s="1">
        <v>0</v>
      </c>
      <c r="AG365" s="1">
        <f t="shared" si="39"/>
        <v>9075487</v>
      </c>
      <c r="AH365" s="1"/>
      <c r="AI365" s="1">
        <f t="shared" si="37"/>
        <v>10228819</v>
      </c>
    </row>
    <row r="366" spans="1:35" ht="12" hidden="1" customHeight="1">
      <c r="A366" s="17" t="s">
        <v>782</v>
      </c>
      <c r="B366" s="17"/>
      <c r="C366" s="17" t="s">
        <v>21</v>
      </c>
      <c r="D366" s="17"/>
      <c r="E366" s="13">
        <v>46672</v>
      </c>
      <c r="M366" s="1">
        <f t="shared" si="38"/>
        <v>0</v>
      </c>
      <c r="AB366" s="32"/>
      <c r="AG366" s="1">
        <f t="shared" si="39"/>
        <v>0</v>
      </c>
      <c r="AH366" s="1"/>
      <c r="AI366" s="1">
        <f t="shared" si="37"/>
        <v>0</v>
      </c>
    </row>
    <row r="367" spans="1:35" ht="12" customHeight="1">
      <c r="A367" s="17" t="s">
        <v>591</v>
      </c>
      <c r="B367" s="17"/>
      <c r="C367" s="17" t="s">
        <v>63</v>
      </c>
      <c r="D367" s="17"/>
      <c r="E367" s="13">
        <v>50039</v>
      </c>
      <c r="G367" s="1">
        <v>1548034</v>
      </c>
      <c r="I367" s="1">
        <v>744256</v>
      </c>
      <c r="K367" s="1">
        <v>0</v>
      </c>
      <c r="M367" s="1">
        <f t="shared" si="38"/>
        <v>2292290</v>
      </c>
      <c r="O367" s="1">
        <f>2188809+194707+543010</f>
        <v>2926526</v>
      </c>
      <c r="Q367" s="1">
        <v>0</v>
      </c>
      <c r="S367" s="1">
        <v>4655818</v>
      </c>
      <c r="U367" s="1">
        <v>185623</v>
      </c>
      <c r="W367" s="1">
        <v>0</v>
      </c>
      <c r="Y367" s="1">
        <v>0</v>
      </c>
      <c r="AA367" s="1">
        <v>20746</v>
      </c>
      <c r="AB367" s="32"/>
      <c r="AC367" s="1">
        <v>0</v>
      </c>
      <c r="AE367" s="1">
        <v>0</v>
      </c>
      <c r="AG367" s="1">
        <f t="shared" si="39"/>
        <v>7788713</v>
      </c>
      <c r="AH367" s="1"/>
      <c r="AI367" s="1">
        <f t="shared" si="37"/>
        <v>10081003</v>
      </c>
    </row>
    <row r="368" spans="1:35" ht="12" hidden="1" customHeight="1">
      <c r="A368" s="17" t="s">
        <v>743</v>
      </c>
      <c r="B368" s="17"/>
      <c r="C368" s="17" t="s">
        <v>653</v>
      </c>
      <c r="D368" s="17"/>
      <c r="E368" s="13">
        <v>50740</v>
      </c>
      <c r="M368" s="1">
        <f t="shared" si="38"/>
        <v>0</v>
      </c>
      <c r="AB368" s="32"/>
      <c r="AG368" s="1">
        <f t="shared" si="39"/>
        <v>0</v>
      </c>
      <c r="AH368" s="1"/>
      <c r="AI368" s="1">
        <f t="shared" si="37"/>
        <v>0</v>
      </c>
    </row>
    <row r="369" spans="1:40" ht="12" customHeight="1">
      <c r="A369" s="17" t="s">
        <v>233</v>
      </c>
      <c r="B369" s="17"/>
      <c r="C369" s="17" t="s">
        <v>227</v>
      </c>
      <c r="D369" s="17"/>
      <c r="E369" s="13">
        <v>139303</v>
      </c>
      <c r="F369" s="31"/>
      <c r="G369" s="1">
        <v>1670064</v>
      </c>
      <c r="I369" s="1">
        <v>1427627</v>
      </c>
      <c r="K369" s="1">
        <v>0</v>
      </c>
      <c r="M369" s="1">
        <f t="shared" si="38"/>
        <v>3097691</v>
      </c>
      <c r="O369" s="1">
        <v>10085928</v>
      </c>
      <c r="Q369" s="1">
        <v>0</v>
      </c>
      <c r="S369" s="1">
        <v>7914556</v>
      </c>
      <c r="U369" s="1">
        <v>14841</v>
      </c>
      <c r="W369" s="1">
        <v>1182678</v>
      </c>
      <c r="Y369" s="1">
        <v>0</v>
      </c>
      <c r="AA369" s="1">
        <v>160186</v>
      </c>
      <c r="AB369" s="32"/>
      <c r="AC369" s="1">
        <v>0</v>
      </c>
      <c r="AE369" s="1">
        <v>0</v>
      </c>
      <c r="AG369" s="1">
        <f t="shared" si="39"/>
        <v>19358189</v>
      </c>
      <c r="AH369" s="1"/>
      <c r="AI369" s="1">
        <f t="shared" si="37"/>
        <v>22455880</v>
      </c>
    </row>
    <row r="370" spans="1:40" ht="12" customHeight="1">
      <c r="A370" s="17" t="s">
        <v>404</v>
      </c>
      <c r="B370" s="17"/>
      <c r="C370" s="17" t="s">
        <v>37</v>
      </c>
      <c r="D370" s="17"/>
      <c r="E370" s="13">
        <v>47712</v>
      </c>
      <c r="G370" s="1">
        <v>520572</v>
      </c>
      <c r="I370" s="1">
        <v>804515</v>
      </c>
      <c r="K370" s="1">
        <v>0</v>
      </c>
      <c r="M370" s="1">
        <f t="shared" si="38"/>
        <v>1325087</v>
      </c>
      <c r="O370" s="1">
        <f>2068467+67259</f>
        <v>2135726</v>
      </c>
      <c r="Q370" s="1">
        <v>255081</v>
      </c>
      <c r="S370" s="1">
        <v>2768576</v>
      </c>
      <c r="U370" s="1">
        <v>9935</v>
      </c>
      <c r="W370" s="1">
        <v>0</v>
      </c>
      <c r="Y370" s="1">
        <v>0</v>
      </c>
      <c r="AA370" s="1">
        <v>45924</v>
      </c>
      <c r="AB370" s="32"/>
      <c r="AC370" s="1">
        <v>0</v>
      </c>
      <c r="AE370" s="1">
        <v>0</v>
      </c>
      <c r="AG370" s="1">
        <f t="shared" si="39"/>
        <v>5215242</v>
      </c>
      <c r="AH370" s="1"/>
      <c r="AI370" s="1">
        <f t="shared" si="37"/>
        <v>6540329</v>
      </c>
    </row>
    <row r="371" spans="1:40" ht="11.25" hidden="1" customHeight="1">
      <c r="A371" s="17" t="s">
        <v>949</v>
      </c>
      <c r="B371" s="17"/>
      <c r="C371" s="17" t="s">
        <v>643</v>
      </c>
      <c r="D371" s="17"/>
      <c r="E371" s="13">
        <v>45526</v>
      </c>
      <c r="M371" s="1">
        <f t="shared" si="38"/>
        <v>0</v>
      </c>
      <c r="AB371" s="32"/>
      <c r="AG371" s="1">
        <f t="shared" si="39"/>
        <v>0</v>
      </c>
      <c r="AH371" s="1"/>
      <c r="AI371" s="1">
        <f t="shared" ref="AI371:AI375" si="40">+AG371+M371</f>
        <v>0</v>
      </c>
    </row>
    <row r="372" spans="1:40" ht="12" customHeight="1">
      <c r="A372" s="17" t="s">
        <v>508</v>
      </c>
      <c r="B372" s="17"/>
      <c r="C372" s="17" t="s">
        <v>509</v>
      </c>
      <c r="D372" s="17"/>
      <c r="E372" s="13">
        <v>48777</v>
      </c>
      <c r="G372" s="1">
        <v>744138</v>
      </c>
      <c r="I372" s="1">
        <v>3877364</v>
      </c>
      <c r="K372" s="1">
        <v>7375</v>
      </c>
      <c r="M372" s="1">
        <f t="shared" si="38"/>
        <v>4628877</v>
      </c>
      <c r="O372" s="1">
        <f>3925368+987542+156890</f>
        <v>5069800</v>
      </c>
      <c r="Q372" s="1">
        <v>0</v>
      </c>
      <c r="S372" s="1">
        <v>15424799</v>
      </c>
      <c r="U372" s="1">
        <v>388629</v>
      </c>
      <c r="W372" s="1">
        <v>0</v>
      </c>
      <c r="Y372" s="1">
        <v>0</v>
      </c>
      <c r="AA372" s="1">
        <f>444+207054</f>
        <v>207498</v>
      </c>
      <c r="AB372" s="32"/>
      <c r="AC372" s="1">
        <v>0</v>
      </c>
      <c r="AE372" s="1">
        <v>0</v>
      </c>
      <c r="AG372" s="1">
        <f t="shared" si="39"/>
        <v>21090726</v>
      </c>
      <c r="AH372" s="1"/>
      <c r="AI372" s="1">
        <f t="shared" si="40"/>
        <v>25719603</v>
      </c>
    </row>
    <row r="373" spans="1:40" ht="12" customHeight="1">
      <c r="A373" s="12" t="s">
        <v>757</v>
      </c>
      <c r="B373" s="17"/>
      <c r="C373" s="17" t="s">
        <v>78</v>
      </c>
      <c r="D373" s="17"/>
      <c r="E373" s="13">
        <v>45534</v>
      </c>
      <c r="G373" s="1">
        <v>1217510</v>
      </c>
      <c r="I373" s="1">
        <v>1595614</v>
      </c>
      <c r="K373" s="1">
        <v>0</v>
      </c>
      <c r="M373" s="1">
        <f t="shared" si="38"/>
        <v>2813124</v>
      </c>
      <c r="O373" s="1">
        <f>2816570+773282+28266+54560</f>
        <v>3672678</v>
      </c>
      <c r="Q373" s="1">
        <v>971532</v>
      </c>
      <c r="S373" s="1">
        <v>6165882</v>
      </c>
      <c r="U373" s="1">
        <v>38249</v>
      </c>
      <c r="W373" s="1">
        <v>0</v>
      </c>
      <c r="Y373" s="1">
        <v>0</v>
      </c>
      <c r="AA373" s="1">
        <v>384635</v>
      </c>
      <c r="AB373" s="32"/>
      <c r="AC373" s="1">
        <v>0</v>
      </c>
      <c r="AE373" s="1">
        <v>0</v>
      </c>
      <c r="AG373" s="1">
        <f t="shared" si="39"/>
        <v>11232976</v>
      </c>
      <c r="AH373" s="1"/>
      <c r="AI373" s="1">
        <f t="shared" si="40"/>
        <v>14046100</v>
      </c>
    </row>
    <row r="374" spans="1:40" ht="12" customHeight="1">
      <c r="A374" s="17" t="s">
        <v>415</v>
      </c>
      <c r="B374" s="17"/>
      <c r="C374" s="17" t="s">
        <v>40</v>
      </c>
      <c r="D374" s="17"/>
      <c r="E374" s="13">
        <v>44420</v>
      </c>
      <c r="G374" s="1">
        <v>2149752</v>
      </c>
      <c r="I374" s="1">
        <v>5480666</v>
      </c>
      <c r="K374" s="1">
        <v>0</v>
      </c>
      <c r="M374" s="1">
        <f t="shared" si="38"/>
        <v>7630418</v>
      </c>
      <c r="O374" s="1">
        <f>12417227+377077+808907</f>
        <v>13603211</v>
      </c>
      <c r="Q374" s="1">
        <v>0</v>
      </c>
      <c r="S374" s="1">
        <v>15632694</v>
      </c>
      <c r="U374" s="1">
        <v>25221</v>
      </c>
      <c r="W374" s="1">
        <v>540091</v>
      </c>
      <c r="Y374" s="1">
        <v>0</v>
      </c>
      <c r="AA374" s="1">
        <v>29918</v>
      </c>
      <c r="AB374" s="32"/>
      <c r="AC374" s="1">
        <v>0</v>
      </c>
      <c r="AE374" s="1">
        <v>0</v>
      </c>
      <c r="AG374" s="1">
        <f t="shared" si="39"/>
        <v>29831135</v>
      </c>
      <c r="AH374" s="1"/>
      <c r="AI374" s="1">
        <f t="shared" si="40"/>
        <v>37461553</v>
      </c>
    </row>
    <row r="375" spans="1:40" ht="12" customHeight="1">
      <c r="A375" s="12" t="s">
        <v>894</v>
      </c>
      <c r="B375" s="17"/>
      <c r="C375" s="17" t="s">
        <v>32</v>
      </c>
      <c r="D375" s="17"/>
      <c r="E375" s="13">
        <v>44412</v>
      </c>
      <c r="G375" s="1">
        <v>1405123</v>
      </c>
      <c r="I375" s="1">
        <v>10157525</v>
      </c>
      <c r="K375" s="1">
        <v>54077</v>
      </c>
      <c r="M375" s="1">
        <f t="shared" si="38"/>
        <v>11616725</v>
      </c>
      <c r="O375" s="1">
        <f>11568665+161584+2050764</f>
        <v>13781013</v>
      </c>
      <c r="Q375" s="1">
        <v>0</v>
      </c>
      <c r="S375" s="1">
        <v>17894702</v>
      </c>
      <c r="U375" s="1">
        <v>2288823</v>
      </c>
      <c r="W375" s="1">
        <v>0</v>
      </c>
      <c r="Y375" s="1">
        <v>0</v>
      </c>
      <c r="AA375" s="1">
        <v>90554</v>
      </c>
      <c r="AB375" s="32"/>
      <c r="AC375" s="1">
        <v>0</v>
      </c>
      <c r="AE375" s="1">
        <v>0</v>
      </c>
      <c r="AG375" s="1">
        <f t="shared" si="39"/>
        <v>34055092</v>
      </c>
      <c r="AH375" s="1"/>
      <c r="AI375" s="1">
        <f t="shared" si="40"/>
        <v>45671817</v>
      </c>
    </row>
    <row r="376" spans="1:40" ht="12" customHeight="1">
      <c r="A376" s="17" t="s">
        <v>392</v>
      </c>
      <c r="B376" s="17"/>
      <c r="C376" s="17" t="s">
        <v>34</v>
      </c>
      <c r="D376" s="17"/>
      <c r="E376" s="13">
        <v>44438</v>
      </c>
      <c r="G376" s="1">
        <v>1481469</v>
      </c>
      <c r="I376" s="1">
        <v>3024603</v>
      </c>
      <c r="K376" s="1">
        <v>0</v>
      </c>
      <c r="M376" s="1">
        <f t="shared" ref="M376" si="41">SUM(G376:L376)</f>
        <v>4506072</v>
      </c>
      <c r="O376" s="1">
        <v>8625317</v>
      </c>
      <c r="Q376" s="1">
        <v>0</v>
      </c>
      <c r="S376" s="1">
        <v>11477262</v>
      </c>
      <c r="U376" s="1">
        <v>100443</v>
      </c>
      <c r="W376" s="1">
        <v>0</v>
      </c>
      <c r="Y376" s="1">
        <v>70470</v>
      </c>
      <c r="AA376" s="1">
        <f>57229+1250</f>
        <v>58479</v>
      </c>
      <c r="AB376" s="30"/>
      <c r="AC376" s="1">
        <v>0</v>
      </c>
      <c r="AE376" s="1">
        <v>0</v>
      </c>
      <c r="AG376" s="1">
        <f t="shared" ref="AG376" si="42">SUM(O376:AE376)</f>
        <v>20331971</v>
      </c>
      <c r="AH376" s="1"/>
      <c r="AI376" s="1">
        <f t="shared" ref="AI376" si="43">+AG376+M376</f>
        <v>24838043</v>
      </c>
    </row>
    <row r="377" spans="1:40" ht="12" hidden="1" customHeight="1">
      <c r="A377" s="12" t="s">
        <v>945</v>
      </c>
      <c r="B377" s="12"/>
      <c r="C377" s="12" t="s">
        <v>57</v>
      </c>
      <c r="D377" s="17"/>
      <c r="E377" s="13"/>
      <c r="F377" s="31"/>
      <c r="M377" s="1">
        <f>SUM(G377:L377)</f>
        <v>0</v>
      </c>
      <c r="AB377" s="30"/>
      <c r="AG377" s="1">
        <f>SUM(O377:AE377)</f>
        <v>0</v>
      </c>
      <c r="AH377" s="1"/>
      <c r="AI377" s="1">
        <f>+AG377+M377</f>
        <v>0</v>
      </c>
    </row>
    <row r="378" spans="1:40" ht="12" customHeight="1">
      <c r="A378" s="17" t="s">
        <v>215</v>
      </c>
      <c r="B378" s="17"/>
      <c r="C378" s="17" t="s">
        <v>13</v>
      </c>
      <c r="D378" s="17"/>
      <c r="E378" s="13">
        <v>44446</v>
      </c>
      <c r="F378" s="31"/>
      <c r="G378" s="1">
        <v>901342</v>
      </c>
      <c r="I378" s="1">
        <v>9191583</v>
      </c>
      <c r="K378" s="1">
        <v>0</v>
      </c>
      <c r="M378" s="1">
        <f>SUM(G378:L378)</f>
        <v>10092925</v>
      </c>
      <c r="O378" s="1">
        <v>2493774</v>
      </c>
      <c r="Q378" s="1">
        <v>0</v>
      </c>
      <c r="S378" s="1">
        <v>2398298</v>
      </c>
      <c r="U378" s="1">
        <v>39149</v>
      </c>
      <c r="W378" s="1">
        <v>0</v>
      </c>
      <c r="Y378" s="1">
        <v>0</v>
      </c>
      <c r="AA378" s="1">
        <v>235429</v>
      </c>
      <c r="AB378" s="30"/>
      <c r="AC378" s="1">
        <v>0</v>
      </c>
      <c r="AE378" s="1">
        <v>0</v>
      </c>
      <c r="AG378" s="1">
        <f>SUM(O378:AE378)</f>
        <v>5166650</v>
      </c>
      <c r="AH378" s="1"/>
      <c r="AI378" s="1">
        <f>+AG378+M378</f>
        <v>15259575</v>
      </c>
    </row>
    <row r="379" spans="1:40" ht="12" customHeight="1">
      <c r="A379" s="17" t="s">
        <v>726</v>
      </c>
      <c r="B379" s="17"/>
      <c r="C379" s="17" t="s">
        <v>27</v>
      </c>
      <c r="D379" s="17"/>
      <c r="E379" s="13"/>
      <c r="G379" s="1">
        <v>2600281</v>
      </c>
      <c r="I379" s="1">
        <v>2075293</v>
      </c>
      <c r="K379" s="1">
        <v>0</v>
      </c>
      <c r="M379" s="1">
        <f>SUM(G379:L379)</f>
        <v>4675574</v>
      </c>
      <c r="O379" s="1">
        <v>46850696</v>
      </c>
      <c r="Q379" s="1">
        <v>0</v>
      </c>
      <c r="S379" s="1">
        <v>7740956</v>
      </c>
      <c r="U379" s="1">
        <v>180761</v>
      </c>
      <c r="W379" s="1">
        <v>0</v>
      </c>
      <c r="Y379" s="1">
        <v>0</v>
      </c>
      <c r="AA379" s="1">
        <v>954198</v>
      </c>
      <c r="AB379" s="30"/>
      <c r="AC379" s="1">
        <v>0</v>
      </c>
      <c r="AE379" s="1">
        <v>0</v>
      </c>
      <c r="AG379" s="1">
        <f>SUM(O379:AE379)</f>
        <v>55726611</v>
      </c>
      <c r="AH379" s="1"/>
      <c r="AI379" s="1">
        <f>+AG379+M379</f>
        <v>60402185</v>
      </c>
    </row>
    <row r="380" spans="1:40" ht="12" customHeight="1">
      <c r="A380" s="17" t="s">
        <v>563</v>
      </c>
      <c r="B380" s="17"/>
      <c r="C380" s="17" t="s">
        <v>59</v>
      </c>
      <c r="D380" s="17"/>
      <c r="E380" s="13">
        <v>44461</v>
      </c>
      <c r="G380" s="1">
        <v>1558506</v>
      </c>
      <c r="I380" s="1">
        <v>1655446</v>
      </c>
      <c r="K380" s="1">
        <v>0</v>
      </c>
      <c r="M380" s="1">
        <f>SUM(G380:L380)</f>
        <v>3213952</v>
      </c>
      <c r="O380" s="1">
        <v>1226002</v>
      </c>
      <c r="Q380" s="1">
        <v>0</v>
      </c>
      <c r="S380" s="1">
        <v>1772656</v>
      </c>
      <c r="U380" s="1">
        <v>214512</v>
      </c>
      <c r="W380" s="1">
        <v>0</v>
      </c>
      <c r="Y380" s="1">
        <v>3483</v>
      </c>
      <c r="AA380" s="1">
        <v>188487</v>
      </c>
      <c r="AB380" s="30"/>
      <c r="AC380" s="1">
        <v>0</v>
      </c>
      <c r="AE380" s="1">
        <v>0</v>
      </c>
      <c r="AG380" s="1">
        <f>SUM(O380:AE380)</f>
        <v>3405140</v>
      </c>
      <c r="AH380" s="1"/>
      <c r="AI380" s="1">
        <f>+AG380+M380</f>
        <v>6619092</v>
      </c>
    </row>
    <row r="381" spans="1:40" ht="12" customHeight="1">
      <c r="A381" s="17" t="s">
        <v>218</v>
      </c>
      <c r="B381" s="17"/>
      <c r="C381" s="17" t="s">
        <v>14</v>
      </c>
      <c r="D381" s="17"/>
      <c r="E381" s="13">
        <v>45955</v>
      </c>
      <c r="F381" s="31"/>
      <c r="G381" s="1">
        <v>636221</v>
      </c>
      <c r="I381" s="1">
        <v>807933</v>
      </c>
      <c r="K381" s="1">
        <v>5734</v>
      </c>
      <c r="M381" s="1">
        <f>SUM(G381:L381)</f>
        <v>1449888</v>
      </c>
      <c r="O381" s="1">
        <v>2930199</v>
      </c>
      <c r="Q381" s="1">
        <v>1252087</v>
      </c>
      <c r="S381" s="1">
        <v>4502701</v>
      </c>
      <c r="U381" s="1">
        <v>150966</v>
      </c>
      <c r="W381" s="1">
        <v>30952</v>
      </c>
      <c r="Y381" s="1">
        <v>0</v>
      </c>
      <c r="AA381" s="1">
        <v>38135</v>
      </c>
      <c r="AB381" s="30"/>
      <c r="AC381" s="1">
        <v>0</v>
      </c>
      <c r="AE381" s="1">
        <v>0</v>
      </c>
      <c r="AG381" s="1">
        <f>SUM(O381:AE381)</f>
        <v>8905040</v>
      </c>
      <c r="AH381" s="1"/>
      <c r="AI381" s="1">
        <f>+AG381+M381</f>
        <v>10354928</v>
      </c>
    </row>
    <row r="382" spans="1:40" ht="12" hidden="1" customHeight="1">
      <c r="A382" s="17" t="s">
        <v>879</v>
      </c>
      <c r="B382" s="17"/>
      <c r="C382" s="17" t="s">
        <v>14</v>
      </c>
      <c r="D382" s="17"/>
      <c r="E382" s="13">
        <v>45963</v>
      </c>
      <c r="F382" s="31"/>
      <c r="M382" s="1">
        <f t="shared" ref="M382:M403" si="44">SUM(G382:L382)</f>
        <v>0</v>
      </c>
      <c r="AB382" s="32"/>
      <c r="AG382" s="1">
        <f t="shared" ref="AG382:AG403" si="45">SUM(O382:AE382)</f>
        <v>0</v>
      </c>
      <c r="AH382" s="1"/>
      <c r="AI382" s="1">
        <f t="shared" ref="AI382:AI403" si="46">+AG382+M382</f>
        <v>0</v>
      </c>
    </row>
    <row r="383" spans="1:40" ht="12" customHeight="1">
      <c r="A383" s="17" t="s">
        <v>502</v>
      </c>
      <c r="B383" s="17"/>
      <c r="C383" s="17" t="s">
        <v>50</v>
      </c>
      <c r="D383" s="17"/>
      <c r="E383" s="13">
        <v>48710</v>
      </c>
      <c r="G383" s="1">
        <v>694239</v>
      </c>
      <c r="I383" s="1">
        <v>1566250</v>
      </c>
      <c r="K383" s="1">
        <v>0</v>
      </c>
      <c r="M383" s="1">
        <f t="shared" si="44"/>
        <v>2260489</v>
      </c>
      <c r="O383" s="1">
        <v>2773454</v>
      </c>
      <c r="Q383" s="1">
        <v>1266277</v>
      </c>
      <c r="S383" s="1">
        <v>6096395</v>
      </c>
      <c r="U383" s="1">
        <v>15730</v>
      </c>
      <c r="W383" s="1">
        <v>0</v>
      </c>
      <c r="Y383" s="1">
        <v>0</v>
      </c>
      <c r="AA383" s="1">
        <v>33789</v>
      </c>
      <c r="AB383" s="30"/>
      <c r="AC383" s="1">
        <v>0</v>
      </c>
      <c r="AE383" s="1">
        <v>0</v>
      </c>
      <c r="AG383" s="1">
        <f t="shared" si="45"/>
        <v>10185645</v>
      </c>
      <c r="AH383" s="1"/>
      <c r="AI383" s="1">
        <f t="shared" si="46"/>
        <v>12446134</v>
      </c>
    </row>
    <row r="384" spans="1:40" ht="12" hidden="1" customHeight="1">
      <c r="A384" s="12" t="s">
        <v>889</v>
      </c>
      <c r="B384" s="17"/>
      <c r="C384" s="17" t="s">
        <v>524</v>
      </c>
      <c r="D384" s="17"/>
      <c r="E384" s="13">
        <v>44479</v>
      </c>
      <c r="M384" s="1">
        <f t="shared" si="44"/>
        <v>0</v>
      </c>
      <c r="AB384" s="30"/>
      <c r="AE384" s="1">
        <v>0</v>
      </c>
      <c r="AG384" s="1">
        <f t="shared" si="45"/>
        <v>0</v>
      </c>
      <c r="AH384" s="1"/>
      <c r="AI384" s="1">
        <f t="shared" si="46"/>
        <v>0</v>
      </c>
      <c r="AJ384" s="16"/>
      <c r="AK384" s="16"/>
      <c r="AL384" s="16"/>
      <c r="AM384" s="16"/>
      <c r="AN384" s="16"/>
    </row>
    <row r="385" spans="1:35" s="1" customFormat="1" ht="12" customHeight="1">
      <c r="A385" s="12" t="s">
        <v>405</v>
      </c>
      <c r="B385" s="12"/>
      <c r="C385" s="12" t="s">
        <v>37</v>
      </c>
      <c r="D385" s="12"/>
      <c r="E385" s="12">
        <v>47720</v>
      </c>
      <c r="G385" s="1">
        <v>732793</v>
      </c>
      <c r="I385" s="1">
        <v>1337210</v>
      </c>
      <c r="K385" s="1">
        <v>0</v>
      </c>
      <c r="M385" s="1">
        <f t="shared" si="44"/>
        <v>2070003</v>
      </c>
      <c r="O385" s="1">
        <v>2163024</v>
      </c>
      <c r="Q385" s="1">
        <v>899384</v>
      </c>
      <c r="S385" s="1">
        <v>5593758</v>
      </c>
      <c r="U385" s="1">
        <v>29651</v>
      </c>
      <c r="W385" s="1">
        <v>0</v>
      </c>
      <c r="Y385" s="1">
        <v>0</v>
      </c>
      <c r="AA385" s="1">
        <v>22447</v>
      </c>
      <c r="AB385" s="30"/>
      <c r="AC385" s="1">
        <v>0</v>
      </c>
      <c r="AE385" s="1">
        <v>0</v>
      </c>
      <c r="AG385" s="1">
        <f t="shared" si="45"/>
        <v>8708264</v>
      </c>
      <c r="AI385" s="1">
        <f t="shared" si="46"/>
        <v>10778267</v>
      </c>
    </row>
    <row r="386" spans="1:35" ht="12" customHeight="1">
      <c r="A386" s="17" t="s">
        <v>234</v>
      </c>
      <c r="B386" s="17"/>
      <c r="C386" s="17" t="s">
        <v>227</v>
      </c>
      <c r="D386" s="17"/>
      <c r="E386" s="13">
        <v>46136</v>
      </c>
      <c r="F386" s="31"/>
      <c r="G386" s="1">
        <v>169356</v>
      </c>
      <c r="I386" s="1">
        <v>1390239</v>
      </c>
      <c r="K386" s="1">
        <v>0</v>
      </c>
      <c r="M386" s="1">
        <f t="shared" si="44"/>
        <v>1559595</v>
      </c>
      <c r="O386" s="1">
        <f>965139+178679</f>
        <v>1143818</v>
      </c>
      <c r="Q386" s="1">
        <v>455383</v>
      </c>
      <c r="S386" s="1">
        <v>4664044</v>
      </c>
      <c r="U386" s="1">
        <v>7102</v>
      </c>
      <c r="W386" s="1">
        <v>0</v>
      </c>
      <c r="Y386" s="1">
        <v>0</v>
      </c>
      <c r="AA386" s="1">
        <v>118470</v>
      </c>
      <c r="AB386" s="30"/>
      <c r="AC386" s="1">
        <v>0</v>
      </c>
      <c r="AE386" s="1">
        <v>0</v>
      </c>
      <c r="AG386" s="1">
        <f t="shared" si="45"/>
        <v>6388817</v>
      </c>
      <c r="AH386" s="1"/>
      <c r="AI386" s="1">
        <f t="shared" si="46"/>
        <v>7948412</v>
      </c>
    </row>
    <row r="387" spans="1:35" s="1" customFormat="1" ht="12" customHeight="1">
      <c r="A387" s="12" t="s">
        <v>622</v>
      </c>
      <c r="B387" s="12"/>
      <c r="C387" s="12" t="s">
        <v>65</v>
      </c>
      <c r="D387" s="12"/>
      <c r="E387" s="13">
        <v>44487</v>
      </c>
      <c r="G387" s="1">
        <v>1333112</v>
      </c>
      <c r="I387" s="1">
        <v>2808291</v>
      </c>
      <c r="K387" s="1">
        <v>16004</v>
      </c>
      <c r="M387" s="1">
        <f t="shared" si="44"/>
        <v>4157407</v>
      </c>
      <c r="O387" s="1">
        <f>10649292+562427+148618</f>
        <v>11360337</v>
      </c>
      <c r="Q387" s="1">
        <v>0</v>
      </c>
      <c r="S387" s="1">
        <v>11091121</v>
      </c>
      <c r="U387" s="1">
        <v>67598</v>
      </c>
      <c r="W387" s="1">
        <v>0</v>
      </c>
      <c r="Y387" s="1">
        <v>0</v>
      </c>
      <c r="AA387" s="1">
        <v>547233</v>
      </c>
      <c r="AB387" s="30"/>
      <c r="AC387" s="1">
        <v>0</v>
      </c>
      <c r="AE387" s="1">
        <v>0</v>
      </c>
      <c r="AG387" s="1">
        <f t="shared" si="45"/>
        <v>23066289</v>
      </c>
      <c r="AI387" s="1">
        <f t="shared" si="46"/>
        <v>27223696</v>
      </c>
    </row>
    <row r="388" spans="1:35" ht="12" customHeight="1">
      <c r="A388" s="17" t="s">
        <v>256</v>
      </c>
      <c r="B388" s="17"/>
      <c r="C388" s="17" t="s">
        <v>115</v>
      </c>
      <c r="D388" s="17"/>
      <c r="E388" s="13">
        <v>45559</v>
      </c>
      <c r="F388" s="31"/>
      <c r="G388" s="1">
        <v>1573241</v>
      </c>
      <c r="I388" s="1">
        <v>2789413</v>
      </c>
      <c r="K388" s="1">
        <v>0</v>
      </c>
      <c r="M388" s="1">
        <f t="shared" si="44"/>
        <v>4362654</v>
      </c>
      <c r="O388" s="1">
        <f>13126872+101993</f>
        <v>13228865</v>
      </c>
      <c r="Q388" s="1">
        <v>0</v>
      </c>
      <c r="S388" s="1">
        <v>12907257</v>
      </c>
      <c r="U388" s="1">
        <v>338121</v>
      </c>
      <c r="W388" s="1">
        <v>0</v>
      </c>
      <c r="Y388" s="1">
        <v>0</v>
      </c>
      <c r="AA388" s="1">
        <v>666952</v>
      </c>
      <c r="AB388" s="30"/>
      <c r="AC388" s="1">
        <v>0</v>
      </c>
      <c r="AE388" s="1">
        <v>0</v>
      </c>
      <c r="AG388" s="1">
        <f t="shared" si="45"/>
        <v>27141195</v>
      </c>
      <c r="AH388" s="1"/>
      <c r="AI388" s="1">
        <f t="shared" si="46"/>
        <v>31503849</v>
      </c>
    </row>
    <row r="389" spans="1:35" ht="12" hidden="1" customHeight="1">
      <c r="A389" s="12" t="s">
        <v>888</v>
      </c>
      <c r="B389" s="12"/>
      <c r="C389" s="12" t="s">
        <v>60</v>
      </c>
      <c r="D389" s="12"/>
      <c r="E389" s="13">
        <v>49718</v>
      </c>
      <c r="M389" s="1">
        <f t="shared" ref="M389" si="47">SUM(G389:L389)</f>
        <v>0</v>
      </c>
      <c r="AB389" s="30"/>
      <c r="AC389" s="1">
        <v>0</v>
      </c>
      <c r="AE389" s="1">
        <v>0</v>
      </c>
      <c r="AG389" s="1">
        <f t="shared" ref="AG389" si="48">SUM(O389:AE389)</f>
        <v>0</v>
      </c>
      <c r="AH389" s="1"/>
      <c r="AI389" s="1">
        <f t="shared" ref="AI389" si="49">+AG389+M389</f>
        <v>0</v>
      </c>
    </row>
    <row r="390" spans="1:35" ht="12" customHeight="1">
      <c r="A390" s="17" t="s">
        <v>431</v>
      </c>
      <c r="B390" s="17"/>
      <c r="C390" s="17" t="s">
        <v>42</v>
      </c>
      <c r="D390" s="17"/>
      <c r="E390" s="13">
        <v>44453</v>
      </c>
      <c r="G390" s="1">
        <v>1994375</v>
      </c>
      <c r="I390" s="1">
        <v>10803326</v>
      </c>
      <c r="K390" s="1">
        <v>530000</v>
      </c>
      <c r="M390" s="1">
        <f t="shared" si="44"/>
        <v>13327701</v>
      </c>
      <c r="O390" s="1">
        <v>25779690</v>
      </c>
      <c r="Q390" s="1">
        <v>7124975</v>
      </c>
      <c r="S390" s="1">
        <v>29336925</v>
      </c>
      <c r="U390" s="1">
        <v>215269</v>
      </c>
      <c r="W390" s="1">
        <v>0</v>
      </c>
      <c r="Y390" s="1">
        <v>0</v>
      </c>
      <c r="AA390" s="1">
        <f>76724+434997</f>
        <v>511721</v>
      </c>
      <c r="AB390" s="30"/>
      <c r="AC390" s="1">
        <v>0</v>
      </c>
      <c r="AE390" s="1">
        <v>0</v>
      </c>
      <c r="AG390" s="1">
        <f t="shared" si="45"/>
        <v>62968580</v>
      </c>
      <c r="AH390" s="1"/>
      <c r="AI390" s="1">
        <f t="shared" si="46"/>
        <v>76296281</v>
      </c>
    </row>
    <row r="391" spans="1:35" ht="12" customHeight="1">
      <c r="A391" s="17" t="s">
        <v>355</v>
      </c>
      <c r="B391" s="17"/>
      <c r="C391" s="17" t="s">
        <v>30</v>
      </c>
      <c r="D391" s="17"/>
      <c r="E391" s="13">
        <v>47217</v>
      </c>
      <c r="G391" s="1">
        <v>428766</v>
      </c>
      <c r="I391" s="1">
        <v>678584</v>
      </c>
      <c r="K391" s="1">
        <v>0</v>
      </c>
      <c r="M391" s="1">
        <f t="shared" si="44"/>
        <v>1107350</v>
      </c>
      <c r="O391" s="1">
        <v>5089502</v>
      </c>
      <c r="Q391" s="1">
        <v>0</v>
      </c>
      <c r="S391" s="1">
        <v>2321048</v>
      </c>
      <c r="U391" s="1">
        <v>34485</v>
      </c>
      <c r="W391" s="1">
        <v>0</v>
      </c>
      <c r="Y391" s="1">
        <v>0</v>
      </c>
      <c r="AA391" s="1">
        <v>73346</v>
      </c>
      <c r="AB391" s="30"/>
      <c r="AC391" s="1">
        <v>0</v>
      </c>
      <c r="AE391" s="1">
        <v>0</v>
      </c>
      <c r="AG391" s="1">
        <f t="shared" si="45"/>
        <v>7518381</v>
      </c>
      <c r="AH391" s="1"/>
      <c r="AI391" s="1">
        <f t="shared" si="46"/>
        <v>8625731</v>
      </c>
    </row>
    <row r="392" spans="1:35" ht="12" customHeight="1">
      <c r="A392" s="17" t="s">
        <v>623</v>
      </c>
      <c r="B392" s="17"/>
      <c r="C392" s="17" t="s">
        <v>65</v>
      </c>
      <c r="D392" s="17"/>
      <c r="E392" s="13">
        <v>45542</v>
      </c>
      <c r="G392" s="1">
        <v>1115726</v>
      </c>
      <c r="I392" s="1">
        <v>2291728</v>
      </c>
      <c r="K392" s="1">
        <v>0</v>
      </c>
      <c r="M392" s="1">
        <f t="shared" si="44"/>
        <v>3407454</v>
      </c>
      <c r="O392" s="1">
        <v>2826346</v>
      </c>
      <c r="Q392" s="1">
        <v>0</v>
      </c>
      <c r="S392" s="1">
        <v>6186634</v>
      </c>
      <c r="U392" s="1">
        <v>213</v>
      </c>
      <c r="W392" s="1">
        <v>0</v>
      </c>
      <c r="Y392" s="1">
        <v>0</v>
      </c>
      <c r="AA392" s="1">
        <v>125938</v>
      </c>
      <c r="AB392" s="30"/>
      <c r="AC392" s="1">
        <v>0</v>
      </c>
      <c r="AE392" s="1">
        <v>0</v>
      </c>
      <c r="AG392" s="1">
        <f t="shared" si="45"/>
        <v>9139131</v>
      </c>
      <c r="AH392" s="1"/>
      <c r="AI392" s="1">
        <f t="shared" si="46"/>
        <v>12546585</v>
      </c>
    </row>
    <row r="393" spans="1:35" ht="12" customHeight="1">
      <c r="A393" s="17" t="s">
        <v>614</v>
      </c>
      <c r="B393" s="17"/>
      <c r="C393" s="17" t="s">
        <v>64</v>
      </c>
      <c r="D393" s="17"/>
      <c r="E393" s="13">
        <v>45567</v>
      </c>
      <c r="G393" s="1">
        <v>674470</v>
      </c>
      <c r="I393" s="1">
        <v>1802054</v>
      </c>
      <c r="K393" s="1">
        <v>0</v>
      </c>
      <c r="M393" s="1">
        <f t="shared" si="44"/>
        <v>2476524</v>
      </c>
      <c r="O393" s="1">
        <v>3212842</v>
      </c>
      <c r="Q393" s="1">
        <v>0</v>
      </c>
      <c r="S393" s="1">
        <v>7881648</v>
      </c>
      <c r="U393" s="1">
        <v>15261</v>
      </c>
      <c r="W393" s="1">
        <v>0</v>
      </c>
      <c r="Y393" s="1">
        <v>0</v>
      </c>
      <c r="AA393" s="1">
        <v>172753</v>
      </c>
      <c r="AB393" s="30"/>
      <c r="AC393" s="1">
        <v>0</v>
      </c>
      <c r="AE393" s="1">
        <v>0</v>
      </c>
      <c r="AG393" s="1">
        <f t="shared" si="45"/>
        <v>11282504</v>
      </c>
      <c r="AH393" s="1"/>
      <c r="AI393" s="1">
        <f t="shared" si="46"/>
        <v>13759028</v>
      </c>
    </row>
    <row r="394" spans="1:35" ht="12" hidden="1" customHeight="1">
      <c r="A394" s="12" t="s">
        <v>946</v>
      </c>
      <c r="B394" s="17"/>
      <c r="C394" s="17" t="s">
        <v>48</v>
      </c>
      <c r="D394" s="17"/>
      <c r="E394" s="13">
        <v>48637</v>
      </c>
      <c r="M394" s="1">
        <f t="shared" si="44"/>
        <v>0</v>
      </c>
      <c r="AB394" s="30"/>
      <c r="AC394" s="1">
        <v>0</v>
      </c>
      <c r="AE394" s="1">
        <v>0</v>
      </c>
      <c r="AG394" s="1">
        <f t="shared" si="45"/>
        <v>0</v>
      </c>
      <c r="AH394" s="1"/>
      <c r="AI394" s="1">
        <f t="shared" si="46"/>
        <v>0</v>
      </c>
    </row>
    <row r="395" spans="1:35" ht="12" customHeight="1">
      <c r="A395" s="17" t="s">
        <v>723</v>
      </c>
      <c r="B395" s="17"/>
      <c r="C395" s="17" t="s">
        <v>64</v>
      </c>
      <c r="D395" s="17"/>
      <c r="E395" s="13"/>
      <c r="G395" s="1">
        <v>1438956</v>
      </c>
      <c r="I395" s="1">
        <v>4215718</v>
      </c>
      <c r="K395" s="1">
        <v>0</v>
      </c>
      <c r="M395" s="1">
        <f t="shared" si="44"/>
        <v>5654674</v>
      </c>
      <c r="O395" s="1">
        <v>8976059</v>
      </c>
      <c r="Q395" s="1">
        <v>0</v>
      </c>
      <c r="S395" s="1">
        <v>14937597</v>
      </c>
      <c r="U395" s="1">
        <v>209408</v>
      </c>
      <c r="W395" s="1">
        <v>0</v>
      </c>
      <c r="Y395" s="1">
        <v>0</v>
      </c>
      <c r="AA395" s="1">
        <v>323756</v>
      </c>
      <c r="AB395" s="30"/>
      <c r="AC395" s="1">
        <v>0</v>
      </c>
      <c r="AE395" s="1">
        <v>0</v>
      </c>
      <c r="AG395" s="1">
        <f t="shared" si="45"/>
        <v>24446820</v>
      </c>
      <c r="AH395" s="1"/>
      <c r="AI395" s="1">
        <f t="shared" si="46"/>
        <v>30101494</v>
      </c>
    </row>
    <row r="396" spans="1:35" ht="12" customHeight="1">
      <c r="A396" s="17" t="s">
        <v>518</v>
      </c>
      <c r="B396" s="17"/>
      <c r="C396" s="17" t="s">
        <v>52</v>
      </c>
      <c r="D396" s="17"/>
      <c r="E396" s="13">
        <v>48900</v>
      </c>
      <c r="G396" s="1">
        <v>998776</v>
      </c>
      <c r="I396" s="1">
        <v>1160720</v>
      </c>
      <c r="K396" s="1">
        <v>0</v>
      </c>
      <c r="M396" s="1">
        <f t="shared" si="44"/>
        <v>2159496</v>
      </c>
      <c r="O396" s="1">
        <v>2582201</v>
      </c>
      <c r="Q396" s="1">
        <v>0</v>
      </c>
      <c r="S396" s="1">
        <v>6079896</v>
      </c>
      <c r="U396" s="1">
        <v>24540</v>
      </c>
      <c r="W396" s="1">
        <v>0</v>
      </c>
      <c r="Y396" s="1">
        <v>11945</v>
      </c>
      <c r="AA396" s="1">
        <v>20071</v>
      </c>
      <c r="AB396" s="30"/>
      <c r="AC396" s="1">
        <v>0</v>
      </c>
      <c r="AE396" s="1">
        <v>0</v>
      </c>
      <c r="AG396" s="1">
        <f t="shared" si="45"/>
        <v>8718653</v>
      </c>
      <c r="AH396" s="1"/>
      <c r="AI396" s="1">
        <f t="shared" si="46"/>
        <v>10878149</v>
      </c>
    </row>
    <row r="397" spans="1:35" ht="12" customHeight="1">
      <c r="A397" s="17" t="s">
        <v>592</v>
      </c>
      <c r="B397" s="17"/>
      <c r="C397" s="17" t="s">
        <v>63</v>
      </c>
      <c r="D397" s="17"/>
      <c r="E397" s="13">
        <v>50047</v>
      </c>
      <c r="G397" s="1">
        <v>2146815</v>
      </c>
      <c r="I397" s="1">
        <v>3571865</v>
      </c>
      <c r="K397" s="1">
        <v>0</v>
      </c>
      <c r="M397" s="1">
        <f t="shared" si="44"/>
        <v>5718680</v>
      </c>
      <c r="O397" s="1">
        <v>27345907</v>
      </c>
      <c r="Q397" s="1">
        <v>0</v>
      </c>
      <c r="S397" s="1">
        <v>11522079</v>
      </c>
      <c r="U397" s="1">
        <v>113113</v>
      </c>
      <c r="W397" s="1">
        <v>0</v>
      </c>
      <c r="Y397" s="1">
        <v>0</v>
      </c>
      <c r="AA397" s="1">
        <v>152490</v>
      </c>
      <c r="AB397" s="30"/>
      <c r="AC397" s="1">
        <v>0</v>
      </c>
      <c r="AE397" s="1">
        <v>0</v>
      </c>
      <c r="AG397" s="1">
        <f t="shared" si="45"/>
        <v>39133589</v>
      </c>
      <c r="AH397" s="1"/>
      <c r="AI397" s="1">
        <f t="shared" si="46"/>
        <v>44852269</v>
      </c>
    </row>
    <row r="398" spans="1:35" ht="12" customHeight="1">
      <c r="A398" s="17" t="s">
        <v>648</v>
      </c>
      <c r="B398" s="17"/>
      <c r="C398" s="17" t="s">
        <v>72</v>
      </c>
      <c r="D398" s="17"/>
      <c r="E398" s="13">
        <v>50708</v>
      </c>
      <c r="G398" s="1">
        <v>328117</v>
      </c>
      <c r="I398" s="1">
        <v>988011</v>
      </c>
      <c r="K398" s="1">
        <v>0</v>
      </c>
      <c r="M398" s="1">
        <f t="shared" si="44"/>
        <v>1316128</v>
      </c>
      <c r="O398" s="1">
        <v>3086646</v>
      </c>
      <c r="Q398" s="1">
        <v>0</v>
      </c>
      <c r="S398" s="1">
        <f>4336633+12112577</f>
        <v>16449210</v>
      </c>
      <c r="U398" s="1">
        <v>25440</v>
      </c>
      <c r="W398" s="1">
        <v>0</v>
      </c>
      <c r="Y398" s="1">
        <v>0</v>
      </c>
      <c r="AA398" s="1">
        <v>183035</v>
      </c>
      <c r="AB398" s="30"/>
      <c r="AC398" s="1">
        <v>0</v>
      </c>
      <c r="AE398" s="1">
        <v>0</v>
      </c>
      <c r="AG398" s="1">
        <f t="shared" si="45"/>
        <v>19744331</v>
      </c>
      <c r="AH398" s="1"/>
      <c r="AI398" s="1">
        <f t="shared" si="46"/>
        <v>21060459</v>
      </c>
    </row>
    <row r="399" spans="1:35" ht="12" hidden="1" customHeight="1">
      <c r="A399" s="17" t="s">
        <v>887</v>
      </c>
      <c r="B399" s="17"/>
      <c r="C399" s="17" t="s">
        <v>53</v>
      </c>
      <c r="D399" s="17"/>
      <c r="E399" s="13">
        <v>48967</v>
      </c>
      <c r="M399" s="1">
        <f t="shared" si="44"/>
        <v>0</v>
      </c>
      <c r="AB399" s="30"/>
      <c r="AC399" s="1">
        <v>0</v>
      </c>
      <c r="AE399" s="1">
        <v>0</v>
      </c>
      <c r="AG399" s="1">
        <f t="shared" si="45"/>
        <v>0</v>
      </c>
      <c r="AH399" s="1"/>
      <c r="AI399" s="1">
        <f t="shared" si="46"/>
        <v>0</v>
      </c>
    </row>
    <row r="400" spans="1:35" ht="12" customHeight="1">
      <c r="A400" s="17" t="s">
        <v>582</v>
      </c>
      <c r="B400" s="17"/>
      <c r="C400" s="17" t="s">
        <v>62</v>
      </c>
      <c r="D400" s="17"/>
      <c r="E400" s="13">
        <v>44503</v>
      </c>
      <c r="G400" s="1">
        <v>3055377</v>
      </c>
      <c r="I400" s="1">
        <v>3803859</v>
      </c>
      <c r="K400" s="1">
        <v>0</v>
      </c>
      <c r="M400" s="1">
        <f t="shared" si="44"/>
        <v>6859236</v>
      </c>
      <c r="O400" s="1">
        <v>21211371</v>
      </c>
      <c r="Q400" s="1">
        <v>0</v>
      </c>
      <c r="S400" s="1">
        <v>17995112</v>
      </c>
      <c r="U400" s="1">
        <v>63310</v>
      </c>
      <c r="W400" s="1">
        <v>0</v>
      </c>
      <c r="Y400" s="1">
        <v>0</v>
      </c>
      <c r="AA400" s="1">
        <v>166353</v>
      </c>
      <c r="AB400" s="30"/>
      <c r="AC400" s="1">
        <v>0</v>
      </c>
      <c r="AE400" s="1">
        <v>0</v>
      </c>
      <c r="AG400" s="1">
        <f t="shared" si="45"/>
        <v>39436146</v>
      </c>
      <c r="AH400" s="1"/>
      <c r="AI400" s="1">
        <f t="shared" si="46"/>
        <v>46295382</v>
      </c>
    </row>
    <row r="401" spans="1:35" ht="12" hidden="1" customHeight="1">
      <c r="A401" s="17" t="s">
        <v>886</v>
      </c>
      <c r="B401" s="17"/>
      <c r="C401" s="17" t="s">
        <v>643</v>
      </c>
      <c r="D401" s="17"/>
      <c r="E401" s="13">
        <v>50641</v>
      </c>
      <c r="M401" s="1">
        <f t="shared" si="44"/>
        <v>0</v>
      </c>
      <c r="AB401" s="30"/>
      <c r="AC401" s="1">
        <v>0</v>
      </c>
      <c r="AE401" s="1">
        <v>0</v>
      </c>
      <c r="AG401" s="1">
        <f t="shared" si="45"/>
        <v>0</v>
      </c>
      <c r="AH401" s="1"/>
      <c r="AI401" s="1">
        <f t="shared" si="46"/>
        <v>0</v>
      </c>
    </row>
    <row r="402" spans="1:35" ht="12" customHeight="1">
      <c r="A402" s="17" t="s">
        <v>369</v>
      </c>
      <c r="B402" s="17"/>
      <c r="C402" s="17" t="s">
        <v>32</v>
      </c>
      <c r="D402" s="17"/>
      <c r="E402" s="13">
        <v>44511</v>
      </c>
      <c r="G402" s="1">
        <v>309398</v>
      </c>
      <c r="I402" s="1">
        <v>2695806</v>
      </c>
      <c r="K402" s="1">
        <v>8391055</v>
      </c>
      <c r="M402" s="1">
        <f t="shared" si="44"/>
        <v>11396259</v>
      </c>
      <c r="O402" s="1">
        <v>4970085</v>
      </c>
      <c r="Q402" s="1">
        <v>0</v>
      </c>
      <c r="S402" s="1">
        <v>8091417</v>
      </c>
      <c r="U402" s="1">
        <v>59120</v>
      </c>
      <c r="W402" s="1">
        <v>0</v>
      </c>
      <c r="Y402" s="1">
        <v>0</v>
      </c>
      <c r="AA402" s="1">
        <v>85123</v>
      </c>
      <c r="AB402" s="32"/>
      <c r="AC402" s="1">
        <v>0</v>
      </c>
      <c r="AE402" s="1">
        <v>0</v>
      </c>
      <c r="AG402" s="1">
        <f t="shared" si="45"/>
        <v>13205745</v>
      </c>
      <c r="AH402" s="1"/>
      <c r="AI402" s="1">
        <f t="shared" si="46"/>
        <v>24602004</v>
      </c>
    </row>
    <row r="403" spans="1:35" ht="12" customHeight="1">
      <c r="A403" s="17" t="s">
        <v>432</v>
      </c>
      <c r="B403" s="17"/>
      <c r="C403" s="17" t="s">
        <v>42</v>
      </c>
      <c r="D403" s="17"/>
      <c r="E403" s="13">
        <v>48025</v>
      </c>
      <c r="G403" s="1">
        <v>1361501</v>
      </c>
      <c r="I403" s="1">
        <v>2035543</v>
      </c>
      <c r="K403" s="1">
        <v>0</v>
      </c>
      <c r="M403" s="1">
        <f t="shared" si="44"/>
        <v>3397044</v>
      </c>
      <c r="O403" s="1">
        <v>4061125</v>
      </c>
      <c r="Q403" s="1">
        <v>2264386</v>
      </c>
      <c r="S403" s="1">
        <v>8787771</v>
      </c>
      <c r="U403" s="1">
        <v>28755</v>
      </c>
      <c r="W403" s="1">
        <v>0</v>
      </c>
      <c r="Y403" s="1">
        <v>0</v>
      </c>
      <c r="AA403" s="1">
        <v>154185</v>
      </c>
      <c r="AB403" s="30"/>
      <c r="AC403" s="1">
        <v>0</v>
      </c>
      <c r="AE403" s="1">
        <v>0</v>
      </c>
      <c r="AG403" s="1">
        <f t="shared" si="45"/>
        <v>15296222</v>
      </c>
      <c r="AH403" s="1"/>
      <c r="AI403" s="1">
        <f t="shared" si="46"/>
        <v>18693266</v>
      </c>
    </row>
    <row r="404" spans="1:35" ht="12" customHeight="1">
      <c r="A404" s="17" t="s">
        <v>296</v>
      </c>
      <c r="B404" s="17"/>
      <c r="C404" s="17" t="s">
        <v>20</v>
      </c>
      <c r="D404" s="17"/>
      <c r="E404" s="13">
        <v>44529</v>
      </c>
      <c r="G404" s="1">
        <v>2172835</v>
      </c>
      <c r="I404" s="1">
        <v>3546598</v>
      </c>
      <c r="K404" s="1">
        <v>0</v>
      </c>
      <c r="M404" s="1">
        <f t="shared" ref="M404:M408" si="50">SUM(G404:L404)</f>
        <v>5719433</v>
      </c>
      <c r="O404" s="1">
        <v>34126314</v>
      </c>
      <c r="Q404" s="1">
        <v>0</v>
      </c>
      <c r="S404" s="1">
        <v>14466220</v>
      </c>
      <c r="U404" s="1">
        <v>52289</v>
      </c>
      <c r="W404" s="1">
        <v>0</v>
      </c>
      <c r="Y404" s="1">
        <v>0</v>
      </c>
      <c r="AA404" s="1">
        <v>309834</v>
      </c>
      <c r="AB404" s="30"/>
      <c r="AC404" s="1">
        <v>0</v>
      </c>
      <c r="AE404" s="1">
        <v>0</v>
      </c>
      <c r="AG404" s="1">
        <f t="shared" ref="AG404:AG430" si="51">SUM(O404:AE404)</f>
        <v>48954657</v>
      </c>
      <c r="AH404" s="1"/>
      <c r="AI404" s="1">
        <f t="shared" ref="AI404:AI451" si="52">+AG404+M404</f>
        <v>54674090</v>
      </c>
    </row>
    <row r="405" spans="1:35" ht="12" customHeight="1">
      <c r="A405" s="17" t="s">
        <v>445</v>
      </c>
      <c r="B405" s="17"/>
      <c r="C405" s="17" t="s">
        <v>44</v>
      </c>
      <c r="D405" s="17"/>
      <c r="E405" s="13">
        <v>44537</v>
      </c>
      <c r="G405" s="1">
        <v>1624746</v>
      </c>
      <c r="I405" s="1">
        <v>3538202</v>
      </c>
      <c r="K405" s="1">
        <v>0</v>
      </c>
      <c r="M405" s="1">
        <f t="shared" si="50"/>
        <v>5162948</v>
      </c>
      <c r="O405" s="1">
        <v>17527729</v>
      </c>
      <c r="Q405" s="1">
        <v>0</v>
      </c>
      <c r="S405" s="1">
        <v>11626013</v>
      </c>
      <c r="U405" s="1">
        <v>15208</v>
      </c>
      <c r="W405" s="1">
        <v>0</v>
      </c>
      <c r="Y405" s="1">
        <v>0</v>
      </c>
      <c r="AA405" s="1">
        <v>1382983</v>
      </c>
      <c r="AB405" s="30"/>
      <c r="AC405" s="1">
        <v>0</v>
      </c>
      <c r="AE405" s="1">
        <v>0</v>
      </c>
      <c r="AG405" s="1">
        <f t="shared" si="51"/>
        <v>30551933</v>
      </c>
      <c r="AH405" s="1"/>
      <c r="AI405" s="1">
        <f t="shared" si="52"/>
        <v>35714881</v>
      </c>
    </row>
    <row r="406" spans="1:35" ht="12" customHeight="1">
      <c r="A406" s="17" t="s">
        <v>297</v>
      </c>
      <c r="B406" s="17"/>
      <c r="C406" s="17" t="s">
        <v>20</v>
      </c>
      <c r="D406" s="17"/>
      <c r="E406" s="13">
        <v>44545</v>
      </c>
      <c r="G406" s="1">
        <v>2026808</v>
      </c>
      <c r="I406" s="1">
        <v>3631781</v>
      </c>
      <c r="K406" s="1">
        <v>170412</v>
      </c>
      <c r="M406" s="1">
        <f t="shared" si="50"/>
        <v>5829001</v>
      </c>
      <c r="O406" s="1">
        <v>34599997</v>
      </c>
      <c r="Q406" s="1">
        <v>0</v>
      </c>
      <c r="S406" s="1">
        <v>10896050</v>
      </c>
      <c r="U406" s="1">
        <v>160026</v>
      </c>
      <c r="W406" s="1">
        <v>0</v>
      </c>
      <c r="Y406" s="1">
        <v>0</v>
      </c>
      <c r="AA406" s="1">
        <f>9850+324058</f>
        <v>333908</v>
      </c>
      <c r="AB406" s="30"/>
      <c r="AC406" s="1">
        <v>0</v>
      </c>
      <c r="AE406" s="1">
        <v>0</v>
      </c>
      <c r="AG406" s="1">
        <f t="shared" si="51"/>
        <v>45989981</v>
      </c>
      <c r="AH406" s="1"/>
      <c r="AI406" s="1">
        <f t="shared" si="52"/>
        <v>51818982</v>
      </c>
    </row>
    <row r="407" spans="1:35" ht="12" customHeight="1">
      <c r="A407" s="17" t="s">
        <v>627</v>
      </c>
      <c r="B407" s="17"/>
      <c r="C407" s="17" t="s">
        <v>66</v>
      </c>
      <c r="D407" s="17"/>
      <c r="E407" s="13">
        <v>50336</v>
      </c>
      <c r="G407" s="1">
        <v>967870</v>
      </c>
      <c r="I407" s="1">
        <v>1915245</v>
      </c>
      <c r="K407" s="1">
        <v>0</v>
      </c>
      <c r="M407" s="1">
        <f t="shared" si="50"/>
        <v>2883115</v>
      </c>
      <c r="O407" s="1">
        <f>3653011+60836+736362+141076</f>
        <v>4591285</v>
      </c>
      <c r="Q407" s="1">
        <v>1570737</v>
      </c>
      <c r="S407" s="1">
        <v>7527838</v>
      </c>
      <c r="U407" s="1">
        <v>451554</v>
      </c>
      <c r="W407" s="1">
        <v>0</v>
      </c>
      <c r="Y407" s="1">
        <v>4099</v>
      </c>
      <c r="AA407" s="1">
        <v>290658</v>
      </c>
      <c r="AB407" s="30"/>
      <c r="AC407" s="1">
        <v>0</v>
      </c>
      <c r="AE407" s="1">
        <v>0</v>
      </c>
      <c r="AG407" s="1">
        <f t="shared" si="51"/>
        <v>14436171</v>
      </c>
      <c r="AH407" s="1"/>
      <c r="AI407" s="1">
        <f t="shared" si="52"/>
        <v>17319286</v>
      </c>
    </row>
    <row r="408" spans="1:35" ht="12" customHeight="1">
      <c r="A408" s="17" t="s">
        <v>247</v>
      </c>
      <c r="B408" s="17"/>
      <c r="C408" s="17" t="s">
        <v>17</v>
      </c>
      <c r="D408" s="17"/>
      <c r="E408" s="13">
        <v>46250</v>
      </c>
      <c r="F408" s="31"/>
      <c r="G408" s="1">
        <v>3038226</v>
      </c>
      <c r="I408" s="1">
        <v>3687362</v>
      </c>
      <c r="K408" s="1">
        <v>0</v>
      </c>
      <c r="M408" s="1">
        <f t="shared" si="50"/>
        <v>6725588</v>
      </c>
      <c r="O408" s="1">
        <v>11685422</v>
      </c>
      <c r="Q408" s="1">
        <v>0</v>
      </c>
      <c r="S408" s="1">
        <v>15491480</v>
      </c>
      <c r="U408" s="1">
        <v>0</v>
      </c>
      <c r="W408" s="1">
        <v>0</v>
      </c>
      <c r="Y408" s="1">
        <v>0</v>
      </c>
      <c r="AA408" s="1">
        <v>155960</v>
      </c>
      <c r="AB408" s="30"/>
      <c r="AC408" s="1">
        <v>0</v>
      </c>
      <c r="AE408" s="1">
        <v>0</v>
      </c>
      <c r="AG408" s="1">
        <f t="shared" si="51"/>
        <v>27332862</v>
      </c>
      <c r="AH408" s="1"/>
      <c r="AI408" s="1">
        <f t="shared" si="52"/>
        <v>34058450</v>
      </c>
    </row>
    <row r="409" spans="1:35" ht="12" hidden="1" customHeight="1">
      <c r="A409" s="17" t="s">
        <v>882</v>
      </c>
      <c r="B409" s="17"/>
      <c r="C409" s="17" t="s">
        <v>22</v>
      </c>
      <c r="D409" s="17"/>
      <c r="E409" s="13">
        <v>46722</v>
      </c>
      <c r="M409" s="1">
        <f t="shared" ref="M409:M430" si="53">SUM(G409:L409)</f>
        <v>0</v>
      </c>
      <c r="AB409" s="30"/>
      <c r="AC409" s="1">
        <v>0</v>
      </c>
      <c r="AE409" s="1">
        <v>0</v>
      </c>
      <c r="AG409" s="1">
        <f t="shared" si="51"/>
        <v>0</v>
      </c>
      <c r="AH409" s="1"/>
      <c r="AI409" s="1">
        <f t="shared" si="52"/>
        <v>0</v>
      </c>
    </row>
    <row r="410" spans="1:35" ht="12" customHeight="1">
      <c r="A410" s="17" t="s">
        <v>503</v>
      </c>
      <c r="B410" s="17"/>
      <c r="C410" s="17" t="s">
        <v>50</v>
      </c>
      <c r="D410" s="17"/>
      <c r="E410" s="13">
        <v>48728</v>
      </c>
      <c r="G410" s="1">
        <v>3700556</v>
      </c>
      <c r="I410" s="1">
        <v>6678540</v>
      </c>
      <c r="K410" s="1">
        <v>0</v>
      </c>
      <c r="M410" s="1">
        <f t="shared" si="53"/>
        <v>10379096</v>
      </c>
      <c r="O410" s="1">
        <v>22603126</v>
      </c>
      <c r="Q410" s="1">
        <v>0</v>
      </c>
      <c r="S410" s="1">
        <v>22616629</v>
      </c>
      <c r="U410" s="1">
        <v>0</v>
      </c>
      <c r="W410" s="1">
        <v>0</v>
      </c>
      <c r="Y410" s="1">
        <v>0</v>
      </c>
      <c r="AA410" s="1">
        <v>253347</v>
      </c>
      <c r="AB410" s="30"/>
      <c r="AC410" s="1">
        <v>0</v>
      </c>
      <c r="AE410" s="1">
        <v>0</v>
      </c>
      <c r="AG410" s="1">
        <f t="shared" ref="AG410:AG412" si="54">SUM(O410:AE410)</f>
        <v>45473102</v>
      </c>
      <c r="AH410" s="1"/>
      <c r="AI410" s="1">
        <f t="shared" si="52"/>
        <v>55852198</v>
      </c>
    </row>
    <row r="411" spans="1:35" ht="12" customHeight="1">
      <c r="A411" s="17" t="s">
        <v>510</v>
      </c>
      <c r="B411" s="17"/>
      <c r="C411" s="17" t="s">
        <v>78</v>
      </c>
      <c r="D411" s="17"/>
      <c r="E411" s="13">
        <v>48819</v>
      </c>
      <c r="G411" s="1">
        <v>932131</v>
      </c>
      <c r="I411" s="1">
        <v>1522351</v>
      </c>
      <c r="K411" s="1">
        <v>0</v>
      </c>
      <c r="M411" s="1">
        <f t="shared" si="53"/>
        <v>2454482</v>
      </c>
      <c r="O411" s="1">
        <v>3847952</v>
      </c>
      <c r="Q411" s="1">
        <v>1237323</v>
      </c>
      <c r="S411" s="1">
        <f>5465092+5170608</f>
        <v>10635700</v>
      </c>
      <c r="U411" s="1">
        <v>38808</v>
      </c>
      <c r="W411" s="1">
        <v>0</v>
      </c>
      <c r="Y411" s="1">
        <v>0</v>
      </c>
      <c r="AA411" s="1">
        <v>0</v>
      </c>
      <c r="AB411" s="30"/>
      <c r="AC411" s="1">
        <v>0</v>
      </c>
      <c r="AE411" s="1">
        <v>0</v>
      </c>
      <c r="AG411" s="1">
        <f t="shared" si="54"/>
        <v>15759783</v>
      </c>
      <c r="AH411" s="1"/>
      <c r="AI411" s="1">
        <f t="shared" si="52"/>
        <v>18214265</v>
      </c>
    </row>
    <row r="412" spans="1:35" ht="12" customHeight="1">
      <c r="A412" s="17" t="s">
        <v>433</v>
      </c>
      <c r="B412" s="17"/>
      <c r="C412" s="17" t="s">
        <v>50</v>
      </c>
      <c r="D412" s="17"/>
      <c r="E412" s="13">
        <v>48033</v>
      </c>
      <c r="G412" s="1">
        <v>1408564</v>
      </c>
      <c r="I412" s="1">
        <v>4832363</v>
      </c>
      <c r="K412" s="1">
        <v>55</v>
      </c>
      <c r="M412" s="1">
        <f t="shared" si="53"/>
        <v>6240982</v>
      </c>
      <c r="O412" s="1">
        <v>6311653</v>
      </c>
      <c r="Q412" s="1">
        <v>0</v>
      </c>
      <c r="S412" s="1">
        <v>10303868</v>
      </c>
      <c r="U412" s="1">
        <v>69370</v>
      </c>
      <c r="W412" s="1">
        <v>0</v>
      </c>
      <c r="Y412" s="1">
        <v>500</v>
      </c>
      <c r="AA412" s="1">
        <v>44510</v>
      </c>
      <c r="AB412" s="30"/>
      <c r="AC412" s="1">
        <v>0</v>
      </c>
      <c r="AE412" s="1">
        <v>0</v>
      </c>
      <c r="AG412" s="1">
        <f t="shared" si="54"/>
        <v>16729901</v>
      </c>
      <c r="AH412" s="1"/>
      <c r="AI412" s="1">
        <f t="shared" si="52"/>
        <v>22970883</v>
      </c>
    </row>
    <row r="413" spans="1:35" ht="12" customHeight="1">
      <c r="A413" s="17" t="s">
        <v>433</v>
      </c>
      <c r="B413" s="17"/>
      <c r="C413" s="17" t="s">
        <v>42</v>
      </c>
      <c r="D413" s="17"/>
      <c r="E413" s="13">
        <v>48736</v>
      </c>
      <c r="G413" s="1">
        <v>1110432</v>
      </c>
      <c r="I413" s="1">
        <v>1047873</v>
      </c>
      <c r="K413" s="1">
        <v>0</v>
      </c>
      <c r="M413" s="1">
        <f t="shared" ref="M413" si="55">SUM(G413:L413)</f>
        <v>2158305</v>
      </c>
      <c r="O413" s="1">
        <v>6301669</v>
      </c>
      <c r="Q413" s="1">
        <v>2306897</v>
      </c>
      <c r="S413" s="1">
        <v>5337395</v>
      </c>
      <c r="U413" s="1">
        <v>10346</v>
      </c>
      <c r="W413" s="1">
        <v>0</v>
      </c>
      <c r="Y413" s="1">
        <v>0</v>
      </c>
      <c r="AA413" s="1">
        <v>7715</v>
      </c>
      <c r="AB413" s="30"/>
      <c r="AC413" s="1">
        <v>0</v>
      </c>
      <c r="AE413" s="1">
        <v>0</v>
      </c>
      <c r="AG413" s="1">
        <f t="shared" ref="AG413" si="56">SUM(O413:AE413)</f>
        <v>13964022</v>
      </c>
      <c r="AH413" s="1"/>
      <c r="AI413" s="1">
        <f t="shared" si="52"/>
        <v>16122327</v>
      </c>
    </row>
    <row r="414" spans="1:35" ht="12" customHeight="1">
      <c r="A414" s="17" t="s">
        <v>370</v>
      </c>
      <c r="B414" s="17"/>
      <c r="C414" s="17" t="s">
        <v>32</v>
      </c>
      <c r="D414" s="17"/>
      <c r="E414" s="13">
        <v>47365</v>
      </c>
      <c r="G414" s="1">
        <v>4897104</v>
      </c>
      <c r="I414" s="1">
        <v>15546608</v>
      </c>
      <c r="K414" s="1">
        <v>32008</v>
      </c>
      <c r="M414" s="1">
        <f t="shared" si="53"/>
        <v>20475720</v>
      </c>
      <c r="O414" s="1">
        <v>41597817</v>
      </c>
      <c r="Q414" s="1">
        <v>0</v>
      </c>
      <c r="S414" s="1">
        <v>33399642</v>
      </c>
      <c r="U414" s="1">
        <v>0</v>
      </c>
      <c r="W414" s="1">
        <v>0</v>
      </c>
      <c r="Y414" s="1">
        <v>0</v>
      </c>
      <c r="AA414" s="1">
        <v>3724556</v>
      </c>
      <c r="AB414" s="30"/>
      <c r="AC414" s="1">
        <v>0</v>
      </c>
      <c r="AE414" s="1">
        <v>0</v>
      </c>
      <c r="AG414" s="1">
        <f t="shared" si="51"/>
        <v>78722015</v>
      </c>
      <c r="AH414" s="1"/>
      <c r="AI414" s="1">
        <f t="shared" si="52"/>
        <v>99197735</v>
      </c>
    </row>
    <row r="415" spans="1:35" ht="12" customHeight="1">
      <c r="A415" s="17" t="s">
        <v>370</v>
      </c>
      <c r="B415" s="17"/>
      <c r="C415" s="17" t="s">
        <v>59</v>
      </c>
      <c r="D415" s="17"/>
      <c r="E415" s="13">
        <v>49635</v>
      </c>
      <c r="G415" s="1">
        <v>406848</v>
      </c>
      <c r="I415" s="1">
        <v>3946018</v>
      </c>
      <c r="K415" s="1">
        <v>0</v>
      </c>
      <c r="M415" s="1">
        <f t="shared" si="53"/>
        <v>4352866</v>
      </c>
      <c r="O415" s="1">
        <f>1608464+328620+30711</f>
        <v>1967795</v>
      </c>
      <c r="Q415" s="1">
        <v>0</v>
      </c>
      <c r="S415" s="1">
        <v>11707277</v>
      </c>
      <c r="U415" s="1">
        <v>1860</v>
      </c>
      <c r="W415" s="1">
        <v>0</v>
      </c>
      <c r="Y415" s="1">
        <v>0</v>
      </c>
      <c r="AA415" s="1">
        <f>1166+1434</f>
        <v>2600</v>
      </c>
      <c r="AB415" s="30"/>
      <c r="AC415" s="1">
        <v>0</v>
      </c>
      <c r="AE415" s="1">
        <v>0</v>
      </c>
      <c r="AG415" s="1">
        <f t="shared" si="51"/>
        <v>13679532</v>
      </c>
      <c r="AH415" s="1"/>
      <c r="AI415" s="1">
        <f t="shared" si="52"/>
        <v>18032398</v>
      </c>
    </row>
    <row r="416" spans="1:35" ht="12" customHeight="1">
      <c r="A416" s="17" t="s">
        <v>370</v>
      </c>
      <c r="B416" s="17"/>
      <c r="C416" s="17" t="s">
        <v>62</v>
      </c>
      <c r="D416" s="17"/>
      <c r="E416" s="13">
        <v>49908</v>
      </c>
      <c r="G416" s="1">
        <v>1270706</v>
      </c>
      <c r="I416" s="1">
        <v>2157175</v>
      </c>
      <c r="K416" s="1">
        <v>5159</v>
      </c>
      <c r="M416" s="1">
        <f t="shared" si="53"/>
        <v>3433040</v>
      </c>
      <c r="O416" s="1">
        <v>7606376</v>
      </c>
      <c r="Q416" s="1">
        <v>0</v>
      </c>
      <c r="S416" s="1">
        <v>39813238</v>
      </c>
      <c r="U416" s="1">
        <v>3190</v>
      </c>
      <c r="W416" s="1">
        <v>0</v>
      </c>
      <c r="Y416" s="1">
        <v>0</v>
      </c>
      <c r="AA416" s="1">
        <v>28242</v>
      </c>
      <c r="AB416" s="30"/>
      <c r="AC416" s="1">
        <v>0</v>
      </c>
      <c r="AE416" s="1">
        <v>0</v>
      </c>
      <c r="AG416" s="1">
        <f t="shared" ref="AG416:AG420" si="57">SUM(O416:AE416)</f>
        <v>47451046</v>
      </c>
      <c r="AH416" s="1"/>
      <c r="AI416" s="1">
        <f t="shared" si="52"/>
        <v>50884086</v>
      </c>
    </row>
    <row r="417" spans="1:35" ht="12" customHeight="1">
      <c r="A417" s="17" t="s">
        <v>248</v>
      </c>
      <c r="B417" s="17"/>
      <c r="C417" s="17" t="s">
        <v>17</v>
      </c>
      <c r="D417" s="17"/>
      <c r="E417" s="13">
        <v>46268</v>
      </c>
      <c r="F417" s="31"/>
      <c r="G417" s="1">
        <v>2170000</v>
      </c>
      <c r="I417" s="1">
        <v>1860000</v>
      </c>
      <c r="K417" s="1">
        <v>0</v>
      </c>
      <c r="M417" s="1">
        <f t="shared" si="53"/>
        <v>4030000</v>
      </c>
      <c r="O417" s="1">
        <v>5660000</v>
      </c>
      <c r="Q417" s="1">
        <v>390000</v>
      </c>
      <c r="S417" s="1">
        <v>7190000</v>
      </c>
      <c r="U417" s="1">
        <v>0</v>
      </c>
      <c r="W417" s="1">
        <v>0</v>
      </c>
      <c r="Y417" s="1">
        <v>50000</v>
      </c>
      <c r="AA417" s="1">
        <v>220000</v>
      </c>
      <c r="AB417" s="30"/>
      <c r="AC417" s="1">
        <v>0</v>
      </c>
      <c r="AE417" s="1">
        <v>0</v>
      </c>
      <c r="AG417" s="1">
        <f t="shared" si="57"/>
        <v>13510000</v>
      </c>
      <c r="AH417" s="1"/>
      <c r="AI417" s="1">
        <f t="shared" si="52"/>
        <v>17540000</v>
      </c>
    </row>
    <row r="418" spans="1:35" ht="12" hidden="1" customHeight="1">
      <c r="A418" s="17" t="s">
        <v>947</v>
      </c>
      <c r="B418" s="17"/>
      <c r="C418" s="17" t="s">
        <v>71</v>
      </c>
      <c r="D418" s="17"/>
      <c r="E418" s="13"/>
      <c r="M418" s="1">
        <f t="shared" ref="M418" si="58">SUM(G418:L418)</f>
        <v>0</v>
      </c>
      <c r="AB418" s="30"/>
      <c r="AC418" s="1">
        <v>0</v>
      </c>
      <c r="AE418" s="1">
        <v>0</v>
      </c>
      <c r="AG418" s="1">
        <f t="shared" ref="AG418" si="59">SUM(O418:AE418)</f>
        <v>0</v>
      </c>
      <c r="AH418" s="1"/>
      <c r="AI418" s="1">
        <f t="shared" ref="AI418" si="60">+AG418+M418</f>
        <v>0</v>
      </c>
    </row>
    <row r="419" spans="1:35" ht="12" customHeight="1">
      <c r="A419" s="17" t="s">
        <v>649</v>
      </c>
      <c r="B419" s="17"/>
      <c r="C419" s="17" t="s">
        <v>72</v>
      </c>
      <c r="D419" s="17"/>
      <c r="E419" s="13">
        <v>50716</v>
      </c>
      <c r="G419" s="1">
        <v>672350</v>
      </c>
      <c r="I419" s="1">
        <v>1227259</v>
      </c>
      <c r="K419" s="1">
        <v>11500</v>
      </c>
      <c r="M419" s="1">
        <f t="shared" si="53"/>
        <v>1911109</v>
      </c>
      <c r="O419" s="1">
        <f>5208483+256311+167382</f>
        <v>5632176</v>
      </c>
      <c r="Q419" s="1">
        <v>176649</v>
      </c>
      <c r="S419" s="1">
        <v>3905664</v>
      </c>
      <c r="U419" s="1">
        <v>11242</v>
      </c>
      <c r="W419" s="1">
        <v>0</v>
      </c>
      <c r="Y419" s="1">
        <v>6670</v>
      </c>
      <c r="AA419" s="1">
        <v>160784</v>
      </c>
      <c r="AB419" s="30"/>
      <c r="AC419" s="1">
        <v>0</v>
      </c>
      <c r="AE419" s="1">
        <v>0</v>
      </c>
      <c r="AG419" s="1">
        <f t="shared" si="57"/>
        <v>9893185</v>
      </c>
      <c r="AH419" s="1"/>
      <c r="AI419" s="1">
        <f t="shared" si="52"/>
        <v>11804294</v>
      </c>
    </row>
    <row r="420" spans="1:35" ht="12" customHeight="1">
      <c r="A420" s="17" t="s">
        <v>593</v>
      </c>
      <c r="B420" s="17"/>
      <c r="C420" s="17" t="s">
        <v>63</v>
      </c>
      <c r="D420" s="17"/>
      <c r="E420" s="13">
        <v>44552</v>
      </c>
      <c r="G420" s="1">
        <v>3869782</v>
      </c>
      <c r="I420" s="1">
        <v>2412995</v>
      </c>
      <c r="K420" s="1">
        <v>0</v>
      </c>
      <c r="M420" s="1">
        <f t="shared" si="53"/>
        <v>6282777</v>
      </c>
      <c r="O420" s="1">
        <v>8457132</v>
      </c>
      <c r="Q420" s="1">
        <v>0</v>
      </c>
      <c r="S420" s="1">
        <v>8830829</v>
      </c>
      <c r="U420" s="1">
        <v>14863</v>
      </c>
      <c r="W420" s="1">
        <v>0</v>
      </c>
      <c r="Y420" s="1">
        <v>0</v>
      </c>
      <c r="AA420" s="1">
        <v>186413</v>
      </c>
      <c r="AB420" s="32"/>
      <c r="AC420" s="1">
        <v>0</v>
      </c>
      <c r="AE420" s="1">
        <v>0</v>
      </c>
      <c r="AG420" s="1">
        <f t="shared" si="57"/>
        <v>17489237</v>
      </c>
      <c r="AH420" s="1"/>
      <c r="AI420" s="1">
        <f t="shared" si="52"/>
        <v>23772014</v>
      </c>
    </row>
    <row r="421" spans="1:35" ht="12" customHeight="1">
      <c r="A421" s="17" t="s">
        <v>406</v>
      </c>
      <c r="B421" s="17"/>
      <c r="C421" s="17" t="s">
        <v>37</v>
      </c>
      <c r="D421" s="17"/>
      <c r="E421" s="13">
        <v>44560</v>
      </c>
      <c r="G421" s="1">
        <v>1447810</v>
      </c>
      <c r="I421" s="1">
        <v>3534963</v>
      </c>
      <c r="K421" s="1">
        <v>24083</v>
      </c>
      <c r="M421" s="1">
        <f t="shared" si="53"/>
        <v>5006856</v>
      </c>
      <c r="O421" s="1">
        <v>7141530</v>
      </c>
      <c r="Q421" s="1">
        <v>1541745</v>
      </c>
      <c r="S421" s="1">
        <v>13687948</v>
      </c>
      <c r="U421" s="1">
        <v>170400</v>
      </c>
      <c r="W421" s="1">
        <v>0</v>
      </c>
      <c r="Y421" s="1">
        <v>0</v>
      </c>
      <c r="AA421" s="1">
        <v>211462</v>
      </c>
      <c r="AB421" s="32"/>
      <c r="AC421" s="1">
        <v>0</v>
      </c>
      <c r="AE421" s="1">
        <v>0</v>
      </c>
      <c r="AG421" s="1">
        <f t="shared" si="51"/>
        <v>22753085</v>
      </c>
      <c r="AH421" s="1"/>
      <c r="AI421" s="1">
        <f t="shared" si="52"/>
        <v>27759941</v>
      </c>
    </row>
    <row r="422" spans="1:35" ht="12" customHeight="1">
      <c r="A422" s="17" t="s">
        <v>764</v>
      </c>
      <c r="B422" s="17"/>
      <c r="C422" s="17" t="s">
        <v>32</v>
      </c>
      <c r="D422" s="17"/>
      <c r="E422" s="13">
        <v>44578</v>
      </c>
      <c r="G422" s="1">
        <v>678059</v>
      </c>
      <c r="I422" s="1">
        <v>3897120</v>
      </c>
      <c r="K422" s="1">
        <v>0</v>
      </c>
      <c r="M422" s="1">
        <f t="shared" si="53"/>
        <v>4575179</v>
      </c>
      <c r="O422" s="1">
        <v>11577364</v>
      </c>
      <c r="Q422" s="1">
        <v>0</v>
      </c>
      <c r="S422" s="1">
        <v>11759872</v>
      </c>
      <c r="U422" s="1">
        <v>0</v>
      </c>
      <c r="W422" s="1">
        <v>0</v>
      </c>
      <c r="Y422" s="1">
        <v>0</v>
      </c>
      <c r="AA422" s="1">
        <v>442871</v>
      </c>
      <c r="AB422" s="32"/>
      <c r="AC422" s="1">
        <v>0</v>
      </c>
      <c r="AE422" s="1">
        <v>0</v>
      </c>
      <c r="AG422" s="1">
        <f t="shared" si="51"/>
        <v>23780107</v>
      </c>
      <c r="AH422" s="1"/>
      <c r="AI422" s="1">
        <f t="shared" si="52"/>
        <v>28355286</v>
      </c>
    </row>
    <row r="423" spans="1:35" ht="12" hidden="1" customHeight="1">
      <c r="A423" s="17" t="s">
        <v>948</v>
      </c>
      <c r="B423" s="17"/>
      <c r="C423" s="17" t="s">
        <v>38</v>
      </c>
      <c r="D423" s="17"/>
      <c r="E423" s="13"/>
      <c r="M423" s="1">
        <f t="shared" ref="M423" si="61">SUM(G423:L423)</f>
        <v>0</v>
      </c>
      <c r="Y423" s="1">
        <v>0</v>
      </c>
      <c r="AB423" s="32"/>
      <c r="AC423" s="1">
        <v>0</v>
      </c>
      <c r="AE423" s="1">
        <v>0</v>
      </c>
      <c r="AG423" s="1">
        <f t="shared" ref="AG423" si="62">SUM(O423:AE423)</f>
        <v>0</v>
      </c>
      <c r="AH423" s="1"/>
      <c r="AI423" s="1">
        <f t="shared" ref="AI423" si="63">+AG423+M423</f>
        <v>0</v>
      </c>
    </row>
    <row r="424" spans="1:35" ht="12" customHeight="1">
      <c r="A424" s="17" t="s">
        <v>371</v>
      </c>
      <c r="B424" s="17"/>
      <c r="C424" s="17" t="s">
        <v>32</v>
      </c>
      <c r="D424" s="17"/>
      <c r="E424" s="13">
        <v>47373</v>
      </c>
      <c r="G424" s="1">
        <v>4901033</v>
      </c>
      <c r="I424" s="1">
        <v>9942213</v>
      </c>
      <c r="K424" s="1">
        <v>0</v>
      </c>
      <c r="M424" s="1">
        <f t="shared" si="53"/>
        <v>14843246</v>
      </c>
      <c r="O424" s="1">
        <v>30086447</v>
      </c>
      <c r="Q424" s="1">
        <v>0</v>
      </c>
      <c r="S424" s="1">
        <v>27516062</v>
      </c>
      <c r="U424" s="1">
        <v>0</v>
      </c>
      <c r="W424" s="1">
        <v>0</v>
      </c>
      <c r="Y424" s="1">
        <v>0</v>
      </c>
      <c r="AA424" s="1">
        <v>10772060</v>
      </c>
      <c r="AB424" s="32"/>
      <c r="AC424" s="1">
        <v>0</v>
      </c>
      <c r="AE424" s="1">
        <v>0</v>
      </c>
      <c r="AG424" s="1">
        <f t="shared" si="51"/>
        <v>68374569</v>
      </c>
      <c r="AH424" s="1"/>
      <c r="AI424" s="1">
        <f t="shared" si="52"/>
        <v>83217815</v>
      </c>
    </row>
    <row r="425" spans="1:35" ht="12" customHeight="1">
      <c r="A425" s="17" t="s">
        <v>504</v>
      </c>
      <c r="B425" s="17"/>
      <c r="C425" s="17" t="s">
        <v>50</v>
      </c>
      <c r="D425" s="17"/>
      <c r="E425" s="13">
        <v>44586</v>
      </c>
      <c r="G425" s="1">
        <v>1094943</v>
      </c>
      <c r="I425" s="1">
        <v>2811170</v>
      </c>
      <c r="K425" s="1">
        <v>0</v>
      </c>
      <c r="M425" s="1">
        <f t="shared" si="53"/>
        <v>3906113</v>
      </c>
      <c r="O425" s="1">
        <v>14644972</v>
      </c>
      <c r="Q425" s="1">
        <v>0</v>
      </c>
      <c r="S425" s="1">
        <v>5959461</v>
      </c>
      <c r="U425" s="1">
        <v>57610</v>
      </c>
      <c r="W425" s="1">
        <v>0</v>
      </c>
      <c r="Y425" s="1">
        <v>0</v>
      </c>
      <c r="AA425" s="1">
        <v>133041</v>
      </c>
      <c r="AB425" s="32"/>
      <c r="AC425" s="1">
        <v>0</v>
      </c>
      <c r="AE425" s="1">
        <v>0</v>
      </c>
      <c r="AG425" s="1">
        <f t="shared" si="51"/>
        <v>20795084</v>
      </c>
      <c r="AH425" s="1"/>
      <c r="AI425" s="1">
        <f t="shared" si="52"/>
        <v>24701197</v>
      </c>
    </row>
    <row r="426" spans="1:35" ht="12" customHeight="1">
      <c r="A426" s="17"/>
      <c r="B426" s="17"/>
      <c r="C426" s="17"/>
      <c r="D426" s="17"/>
      <c r="E426" s="13"/>
      <c r="AB426" s="32"/>
      <c r="AH426" s="1"/>
    </row>
    <row r="427" spans="1:35" ht="12" customHeight="1">
      <c r="A427" s="17"/>
      <c r="B427" s="17"/>
      <c r="C427" s="17"/>
      <c r="D427" s="17"/>
      <c r="E427" s="13"/>
      <c r="AB427" s="32"/>
      <c r="AH427" s="1"/>
      <c r="AI427" s="20" t="s">
        <v>709</v>
      </c>
    </row>
    <row r="428" spans="1:35" ht="12" customHeight="1">
      <c r="A428" s="17"/>
      <c r="B428" s="17"/>
      <c r="C428" s="17"/>
      <c r="D428" s="17"/>
      <c r="E428" s="13"/>
      <c r="AB428" s="32"/>
      <c r="AH428" s="1"/>
    </row>
    <row r="429" spans="1:35" ht="12" customHeight="1">
      <c r="A429" s="17" t="s">
        <v>446</v>
      </c>
      <c r="B429" s="17"/>
      <c r="C429" s="17" t="s">
        <v>44</v>
      </c>
      <c r="D429" s="17"/>
      <c r="E429" s="13">
        <v>44594</v>
      </c>
      <c r="G429" s="16">
        <v>489591</v>
      </c>
      <c r="H429" s="16"/>
      <c r="I429" s="16">
        <v>2056103</v>
      </c>
      <c r="J429" s="16"/>
      <c r="K429" s="16">
        <v>0</v>
      </c>
      <c r="L429" s="16"/>
      <c r="M429" s="16">
        <f t="shared" si="53"/>
        <v>2545694</v>
      </c>
      <c r="N429" s="16"/>
      <c r="O429" s="16">
        <v>4127650</v>
      </c>
      <c r="P429" s="16"/>
      <c r="Q429" s="16">
        <v>3284334</v>
      </c>
      <c r="R429" s="16"/>
      <c r="S429" s="16">
        <v>4288096</v>
      </c>
      <c r="T429" s="16"/>
      <c r="U429" s="16">
        <v>4068</v>
      </c>
      <c r="V429" s="16"/>
      <c r="W429" s="16">
        <v>0</v>
      </c>
      <c r="X429" s="16"/>
      <c r="Y429" s="16">
        <v>0</v>
      </c>
      <c r="Z429" s="16"/>
      <c r="AA429" s="16">
        <v>184780</v>
      </c>
      <c r="AB429" s="34"/>
      <c r="AC429" s="16">
        <v>0</v>
      </c>
      <c r="AD429" s="16"/>
      <c r="AE429" s="16">
        <v>0</v>
      </c>
      <c r="AF429" s="16"/>
      <c r="AG429" s="16">
        <f t="shared" si="51"/>
        <v>11888928</v>
      </c>
      <c r="AH429" s="16"/>
      <c r="AI429" s="16">
        <f t="shared" si="52"/>
        <v>14434622</v>
      </c>
    </row>
    <row r="430" spans="1:35" ht="12" hidden="1" customHeight="1">
      <c r="A430" s="12" t="s">
        <v>735</v>
      </c>
      <c r="B430" s="17"/>
      <c r="C430" s="17" t="s">
        <v>60</v>
      </c>
      <c r="D430" s="17"/>
      <c r="E430" s="13">
        <v>49726</v>
      </c>
      <c r="M430" s="1">
        <f t="shared" si="53"/>
        <v>0</v>
      </c>
      <c r="W430" s="1">
        <v>0</v>
      </c>
      <c r="AB430" s="32"/>
      <c r="AG430" s="1">
        <f t="shared" si="51"/>
        <v>0</v>
      </c>
      <c r="AH430" s="1"/>
      <c r="AI430" s="1">
        <f t="shared" si="52"/>
        <v>0</v>
      </c>
    </row>
    <row r="431" spans="1:35" ht="12" customHeight="1">
      <c r="A431" s="17" t="s">
        <v>313</v>
      </c>
      <c r="B431" s="17"/>
      <c r="C431" s="17" t="s">
        <v>23</v>
      </c>
      <c r="D431" s="17"/>
      <c r="E431" s="13">
        <v>46763</v>
      </c>
      <c r="G431" s="1">
        <v>7592659</v>
      </c>
      <c r="I431" s="1">
        <v>8963858</v>
      </c>
      <c r="K431" s="1">
        <v>0</v>
      </c>
      <c r="M431" s="1">
        <f t="shared" ref="M431:M451" si="64">SUM(G431:L431)</f>
        <v>16556517</v>
      </c>
      <c r="O431" s="1">
        <v>133075955</v>
      </c>
      <c r="Q431" s="1">
        <v>0</v>
      </c>
      <c r="S431" s="1">
        <v>23426024</v>
      </c>
      <c r="U431" s="1">
        <v>447746</v>
      </c>
      <c r="W431" s="1">
        <v>8014579</v>
      </c>
      <c r="Y431" s="1">
        <v>0</v>
      </c>
      <c r="AA431" s="1">
        <v>604758</v>
      </c>
      <c r="AB431" s="1"/>
      <c r="AC431" s="1">
        <v>0</v>
      </c>
      <c r="AE431" s="1">
        <v>0</v>
      </c>
      <c r="AG431" s="1">
        <f t="shared" ref="AG431:AG451" si="65">SUM(O431:AE431)</f>
        <v>165569062</v>
      </c>
      <c r="AH431" s="1"/>
      <c r="AI431" s="1">
        <f t="shared" si="52"/>
        <v>182125579</v>
      </c>
    </row>
    <row r="432" spans="1:35" ht="12" customHeight="1">
      <c r="A432" s="17" t="s">
        <v>298</v>
      </c>
      <c r="B432" s="17"/>
      <c r="C432" s="17" t="s">
        <v>20</v>
      </c>
      <c r="D432" s="17"/>
      <c r="E432" s="13">
        <v>46573</v>
      </c>
      <c r="G432" s="1">
        <v>2077686</v>
      </c>
      <c r="I432" s="1">
        <v>2593854</v>
      </c>
      <c r="K432" s="1">
        <v>346547</v>
      </c>
      <c r="M432" s="1">
        <f t="shared" si="64"/>
        <v>5018087</v>
      </c>
      <c r="O432" s="1">
        <v>21208210</v>
      </c>
      <c r="Q432" s="1">
        <v>0</v>
      </c>
      <c r="S432" s="1">
        <v>14504656</v>
      </c>
      <c r="U432" s="1">
        <v>74232</v>
      </c>
      <c r="W432" s="1">
        <v>0</v>
      </c>
      <c r="Y432" s="1">
        <v>0</v>
      </c>
      <c r="AA432" s="1">
        <v>0</v>
      </c>
      <c r="AB432" s="32"/>
      <c r="AC432" s="1">
        <v>0</v>
      </c>
      <c r="AE432" s="1">
        <v>0</v>
      </c>
      <c r="AG432" s="1">
        <f t="shared" si="65"/>
        <v>35787098</v>
      </c>
      <c r="AH432" s="1"/>
      <c r="AI432" s="1">
        <f t="shared" si="52"/>
        <v>40805185</v>
      </c>
    </row>
    <row r="433" spans="1:35" ht="12" customHeight="1">
      <c r="A433" s="17" t="s">
        <v>546</v>
      </c>
      <c r="B433" s="17"/>
      <c r="C433" s="17" t="s">
        <v>112</v>
      </c>
      <c r="D433" s="17"/>
      <c r="E433" s="13">
        <v>49478</v>
      </c>
      <c r="G433" s="1">
        <v>984694</v>
      </c>
      <c r="I433" s="1">
        <v>1400493</v>
      </c>
      <c r="K433" s="1">
        <v>57576</v>
      </c>
      <c r="M433" s="1">
        <f t="shared" si="64"/>
        <v>2442763</v>
      </c>
      <c r="O433" s="1">
        <v>9664178</v>
      </c>
      <c r="Q433" s="1">
        <v>0</v>
      </c>
      <c r="S433" s="1">
        <v>5846037</v>
      </c>
      <c r="U433" s="1">
        <v>154048</v>
      </c>
      <c r="W433" s="1">
        <v>0</v>
      </c>
      <c r="Y433" s="1">
        <v>0</v>
      </c>
      <c r="AA433" s="1">
        <v>18539</v>
      </c>
      <c r="AB433" s="32"/>
      <c r="AC433" s="1">
        <v>0</v>
      </c>
      <c r="AE433" s="1">
        <v>0</v>
      </c>
      <c r="AG433" s="1">
        <f t="shared" si="65"/>
        <v>15682802</v>
      </c>
      <c r="AH433" s="1"/>
      <c r="AI433" s="1">
        <f t="shared" si="52"/>
        <v>18125565</v>
      </c>
    </row>
    <row r="434" spans="1:35" ht="12" customHeight="1">
      <c r="A434" s="17" t="s">
        <v>299</v>
      </c>
      <c r="B434" s="17"/>
      <c r="C434" s="17" t="s">
        <v>20</v>
      </c>
      <c r="D434" s="17"/>
      <c r="E434" s="13">
        <v>46581</v>
      </c>
      <c r="G434" s="1">
        <v>5725984</v>
      </c>
      <c r="I434" s="1">
        <v>2379642</v>
      </c>
      <c r="K434" s="1">
        <v>0</v>
      </c>
      <c r="M434" s="1">
        <f t="shared" si="64"/>
        <v>8105626</v>
      </c>
      <c r="O434" s="1">
        <v>37938706</v>
      </c>
      <c r="Q434" s="1">
        <v>0</v>
      </c>
      <c r="S434" s="1">
        <v>9169178</v>
      </c>
      <c r="U434" s="1">
        <v>616916</v>
      </c>
      <c r="W434" s="1">
        <v>0</v>
      </c>
      <c r="Y434" s="1">
        <v>0</v>
      </c>
      <c r="AA434" s="1">
        <v>197484</v>
      </c>
      <c r="AB434" s="32"/>
      <c r="AC434" s="1">
        <v>0</v>
      </c>
      <c r="AE434" s="1">
        <v>0</v>
      </c>
      <c r="AG434" s="1">
        <f t="shared" si="65"/>
        <v>47922284</v>
      </c>
      <c r="AH434" s="1"/>
      <c r="AI434" s="1">
        <f t="shared" si="52"/>
        <v>56027910</v>
      </c>
    </row>
    <row r="435" spans="1:35" ht="12" customHeight="1">
      <c r="A435" s="17" t="s">
        <v>451</v>
      </c>
      <c r="B435" s="17"/>
      <c r="C435" s="17" t="s">
        <v>117</v>
      </c>
      <c r="D435" s="17"/>
      <c r="E435" s="13">
        <v>44602</v>
      </c>
      <c r="G435" s="1">
        <v>2820608</v>
      </c>
      <c r="I435" s="1">
        <v>4459312</v>
      </c>
      <c r="K435" s="1">
        <v>0</v>
      </c>
      <c r="M435" s="1">
        <f t="shared" si="64"/>
        <v>7279920</v>
      </c>
      <c r="O435" s="1">
        <v>22462106</v>
      </c>
      <c r="Q435" s="1">
        <v>0</v>
      </c>
      <c r="S435" s="1">
        <v>18973059</v>
      </c>
      <c r="U435" s="1">
        <v>72147</v>
      </c>
      <c r="W435" s="1">
        <v>231091</v>
      </c>
      <c r="Y435" s="1">
        <v>0</v>
      </c>
      <c r="AA435" s="1">
        <v>66782</v>
      </c>
      <c r="AB435" s="32"/>
      <c r="AC435" s="1">
        <v>0</v>
      </c>
      <c r="AE435" s="1">
        <v>0</v>
      </c>
      <c r="AG435" s="1">
        <f t="shared" si="65"/>
        <v>41805185</v>
      </c>
      <c r="AH435" s="1"/>
      <c r="AI435" s="1">
        <f t="shared" si="52"/>
        <v>49085105</v>
      </c>
    </row>
    <row r="436" spans="1:35" ht="12" customHeight="1">
      <c r="A436" s="17" t="s">
        <v>641</v>
      </c>
      <c r="B436" s="17"/>
      <c r="C436" s="17" t="s">
        <v>71</v>
      </c>
      <c r="D436" s="17"/>
      <c r="E436" s="13">
        <v>44610</v>
      </c>
      <c r="G436" s="1">
        <v>878671</v>
      </c>
      <c r="I436" s="1">
        <v>1607513</v>
      </c>
      <c r="K436" s="1">
        <v>1778486</v>
      </c>
      <c r="M436" s="1">
        <f t="shared" si="64"/>
        <v>4264670</v>
      </c>
      <c r="O436" s="1">
        <f>5584415+1060005+620965</f>
        <v>7265385</v>
      </c>
      <c r="Q436" s="1">
        <v>0</v>
      </c>
      <c r="S436" s="1">
        <f>7809673+18121228</f>
        <v>25930901</v>
      </c>
      <c r="U436" s="1">
        <v>4688</v>
      </c>
      <c r="W436" s="1">
        <v>0</v>
      </c>
      <c r="Y436" s="1">
        <v>0</v>
      </c>
      <c r="AA436" s="1">
        <v>76757</v>
      </c>
      <c r="AB436" s="32"/>
      <c r="AC436" s="1">
        <v>0</v>
      </c>
      <c r="AE436" s="1">
        <v>0</v>
      </c>
      <c r="AG436" s="1">
        <f t="shared" si="65"/>
        <v>33277731</v>
      </c>
      <c r="AH436" s="1"/>
      <c r="AI436" s="1">
        <f t="shared" si="52"/>
        <v>37542401</v>
      </c>
    </row>
    <row r="437" spans="1:35" ht="12" customHeight="1">
      <c r="A437" s="17" t="s">
        <v>583</v>
      </c>
      <c r="B437" s="17"/>
      <c r="C437" s="17" t="s">
        <v>62</v>
      </c>
      <c r="D437" s="17"/>
      <c r="E437" s="13">
        <v>49916</v>
      </c>
      <c r="G437" s="1">
        <v>955951</v>
      </c>
      <c r="I437" s="1">
        <v>1118249</v>
      </c>
      <c r="K437" s="1">
        <v>0</v>
      </c>
      <c r="M437" s="1">
        <f t="shared" si="64"/>
        <v>2074200</v>
      </c>
      <c r="O437" s="1">
        <f>2175216+40383+543853</f>
        <v>2759452</v>
      </c>
      <c r="Q437" s="1">
        <v>0</v>
      </c>
      <c r="S437" s="1">
        <v>4350447</v>
      </c>
      <c r="U437" s="1">
        <v>148563</v>
      </c>
      <c r="W437" s="1">
        <v>0</v>
      </c>
      <c r="Y437" s="1">
        <v>0</v>
      </c>
      <c r="AA437" s="1">
        <v>46796</v>
      </c>
      <c r="AB437" s="32"/>
      <c r="AC437" s="1">
        <v>0</v>
      </c>
      <c r="AE437" s="1">
        <v>0</v>
      </c>
      <c r="AG437" s="1">
        <f t="shared" si="65"/>
        <v>7305258</v>
      </c>
      <c r="AH437" s="1"/>
      <c r="AI437" s="1">
        <f t="shared" si="52"/>
        <v>9379458</v>
      </c>
    </row>
    <row r="438" spans="1:35" ht="12" customHeight="1">
      <c r="A438" s="17" t="s">
        <v>650</v>
      </c>
      <c r="B438" s="17"/>
      <c r="C438" s="17" t="s">
        <v>72</v>
      </c>
      <c r="D438" s="17"/>
      <c r="E438" s="13">
        <v>50724</v>
      </c>
      <c r="G438" s="1">
        <v>1070613</v>
      </c>
      <c r="I438" s="1">
        <v>1975210</v>
      </c>
      <c r="K438" s="1">
        <v>8671</v>
      </c>
      <c r="M438" s="1">
        <f t="shared" si="64"/>
        <v>3054494</v>
      </c>
      <c r="O438" s="1">
        <f>3816987+1018254+40025</f>
        <v>4875266</v>
      </c>
      <c r="Q438" s="1">
        <v>2245211</v>
      </c>
      <c r="S438" s="1">
        <v>27007967</v>
      </c>
      <c r="U438" s="1">
        <v>10276</v>
      </c>
      <c r="W438" s="1">
        <v>0</v>
      </c>
      <c r="Y438" s="1">
        <v>9600</v>
      </c>
      <c r="AA438" s="1">
        <v>83610</v>
      </c>
      <c r="AB438" s="32"/>
      <c r="AC438" s="1">
        <v>0</v>
      </c>
      <c r="AE438" s="1">
        <v>0</v>
      </c>
      <c r="AG438" s="1">
        <f t="shared" si="65"/>
        <v>34231930</v>
      </c>
      <c r="AH438" s="1"/>
      <c r="AI438" s="1">
        <f t="shared" si="52"/>
        <v>37286424</v>
      </c>
    </row>
    <row r="439" spans="1:35" ht="12" customHeight="1">
      <c r="A439" s="17" t="s">
        <v>452</v>
      </c>
      <c r="B439" s="17"/>
      <c r="C439" s="17" t="s">
        <v>117</v>
      </c>
      <c r="D439" s="17"/>
      <c r="E439" s="13">
        <v>48215</v>
      </c>
      <c r="G439" s="1">
        <v>430189</v>
      </c>
      <c r="I439" s="1">
        <v>775835</v>
      </c>
      <c r="K439" s="1">
        <v>280219</v>
      </c>
      <c r="M439" s="1">
        <f t="shared" si="64"/>
        <v>1486243</v>
      </c>
      <c r="O439" s="1">
        <f>8776382+329257+463716</f>
        <v>9569355</v>
      </c>
      <c r="Q439" s="1">
        <v>0</v>
      </c>
      <c r="S439" s="1">
        <v>3189950</v>
      </c>
      <c r="U439" s="1">
        <v>83179</v>
      </c>
      <c r="W439" s="1">
        <v>0</v>
      </c>
      <c r="Y439" s="1">
        <v>0</v>
      </c>
      <c r="AA439" s="1">
        <v>142230</v>
      </c>
      <c r="AB439" s="32"/>
      <c r="AC439" s="1">
        <v>0</v>
      </c>
      <c r="AE439" s="1">
        <v>0</v>
      </c>
      <c r="AG439" s="1">
        <f t="shared" si="65"/>
        <v>12984714</v>
      </c>
      <c r="AH439" s="1"/>
      <c r="AI439" s="1">
        <f t="shared" si="52"/>
        <v>14470957</v>
      </c>
    </row>
    <row r="440" spans="1:35" ht="12" hidden="1" customHeight="1">
      <c r="A440" s="12" t="s">
        <v>885</v>
      </c>
      <c r="B440" s="17"/>
      <c r="C440" s="17" t="s">
        <v>542</v>
      </c>
      <c r="D440" s="17"/>
      <c r="E440" s="13">
        <v>49379</v>
      </c>
      <c r="M440" s="1">
        <f t="shared" si="64"/>
        <v>0</v>
      </c>
      <c r="AB440" s="30"/>
      <c r="AG440" s="1">
        <f t="shared" si="65"/>
        <v>0</v>
      </c>
      <c r="AH440" s="1"/>
      <c r="AI440" s="1">
        <f t="shared" si="52"/>
        <v>0</v>
      </c>
    </row>
    <row r="441" spans="1:35" ht="12" hidden="1" customHeight="1">
      <c r="A441" s="12" t="s">
        <v>884</v>
      </c>
      <c r="B441" s="17"/>
      <c r="C441" s="17" t="s">
        <v>542</v>
      </c>
      <c r="D441" s="17"/>
      <c r="E441" s="13">
        <v>49387</v>
      </c>
      <c r="M441" s="1">
        <f t="shared" si="64"/>
        <v>0</v>
      </c>
      <c r="AB441" s="30"/>
      <c r="AG441" s="1">
        <f t="shared" si="65"/>
        <v>0</v>
      </c>
      <c r="AH441" s="1"/>
      <c r="AI441" s="1">
        <f t="shared" si="52"/>
        <v>0</v>
      </c>
    </row>
    <row r="442" spans="1:35" ht="12" customHeight="1">
      <c r="A442" s="17" t="s">
        <v>417</v>
      </c>
      <c r="B442" s="17"/>
      <c r="C442" s="17" t="s">
        <v>41</v>
      </c>
      <c r="D442" s="17"/>
      <c r="E442" s="13">
        <v>44628</v>
      </c>
      <c r="G442" s="1">
        <v>1622760</v>
      </c>
      <c r="I442" s="1">
        <v>7987111</v>
      </c>
      <c r="K442" s="1">
        <v>875769</v>
      </c>
      <c r="M442" s="1">
        <f t="shared" si="64"/>
        <v>10485640</v>
      </c>
      <c r="O442" s="1">
        <f>8553085+1664175+154584</f>
        <v>10371844</v>
      </c>
      <c r="Q442" s="1">
        <v>0</v>
      </c>
      <c r="S442" s="1">
        <v>19038518</v>
      </c>
      <c r="U442" s="1">
        <v>66341</v>
      </c>
      <c r="W442" s="1">
        <v>0</v>
      </c>
      <c r="Y442" s="1">
        <v>0</v>
      </c>
      <c r="AA442" s="1">
        <v>1815950</v>
      </c>
      <c r="AB442" s="32"/>
      <c r="AC442" s="1">
        <v>0</v>
      </c>
      <c r="AE442" s="1">
        <v>0</v>
      </c>
      <c r="AG442" s="1">
        <f t="shared" si="65"/>
        <v>31292653</v>
      </c>
      <c r="AH442" s="1"/>
      <c r="AI442" s="1">
        <f t="shared" si="52"/>
        <v>41778293</v>
      </c>
    </row>
    <row r="443" spans="1:35" ht="12" hidden="1" customHeight="1">
      <c r="A443" s="17" t="s">
        <v>852</v>
      </c>
      <c r="B443" s="17"/>
      <c r="C443" s="17" t="s">
        <v>41</v>
      </c>
      <c r="D443" s="17"/>
      <c r="E443" s="13">
        <v>47894</v>
      </c>
      <c r="M443" s="1">
        <f t="shared" si="64"/>
        <v>0</v>
      </c>
      <c r="AB443" s="32"/>
      <c r="AG443" s="1">
        <f t="shared" si="65"/>
        <v>0</v>
      </c>
      <c r="AH443" s="1"/>
      <c r="AI443" s="1">
        <f t="shared" si="52"/>
        <v>0</v>
      </c>
    </row>
    <row r="444" spans="1:35" ht="12" customHeight="1">
      <c r="A444" s="17" t="s">
        <v>552</v>
      </c>
      <c r="B444" s="17"/>
      <c r="C444" s="17" t="s">
        <v>58</v>
      </c>
      <c r="D444" s="17"/>
      <c r="E444" s="13">
        <v>49510</v>
      </c>
      <c r="G444" s="1">
        <v>839367</v>
      </c>
      <c r="I444" s="1">
        <v>1947437</v>
      </c>
      <c r="K444" s="1">
        <v>0</v>
      </c>
      <c r="M444" s="1">
        <f t="shared" si="64"/>
        <v>2786804</v>
      </c>
      <c r="O444" s="1">
        <f>1567106+104878+28343+127621</f>
        <v>1827948</v>
      </c>
      <c r="Q444" s="1">
        <v>0</v>
      </c>
      <c r="S444" s="1">
        <v>6808338</v>
      </c>
      <c r="U444" s="1">
        <v>9553</v>
      </c>
      <c r="W444" s="1">
        <v>0</v>
      </c>
      <c r="Y444" s="1">
        <v>33000</v>
      </c>
      <c r="AA444" s="1">
        <v>26580</v>
      </c>
      <c r="AB444" s="32"/>
      <c r="AC444" s="1">
        <v>0</v>
      </c>
      <c r="AE444" s="1">
        <v>0</v>
      </c>
      <c r="AG444" s="1">
        <f t="shared" si="65"/>
        <v>8705419</v>
      </c>
      <c r="AH444" s="1"/>
      <c r="AI444" s="1">
        <f t="shared" si="52"/>
        <v>11492223</v>
      </c>
    </row>
    <row r="445" spans="1:35" ht="12" hidden="1" customHeight="1">
      <c r="A445" s="17" t="s">
        <v>853</v>
      </c>
      <c r="B445" s="17"/>
      <c r="C445" s="17" t="s">
        <v>542</v>
      </c>
      <c r="D445" s="17"/>
      <c r="E445" s="13">
        <v>49395</v>
      </c>
      <c r="M445" s="1">
        <f t="shared" si="64"/>
        <v>0</v>
      </c>
      <c r="AB445" s="32"/>
      <c r="AG445" s="1">
        <f t="shared" si="65"/>
        <v>0</v>
      </c>
      <c r="AH445" s="1"/>
      <c r="AI445" s="1">
        <f t="shared" si="52"/>
        <v>0</v>
      </c>
    </row>
    <row r="446" spans="1:35" ht="12" hidden="1" customHeight="1">
      <c r="A446" s="17" t="s">
        <v>854</v>
      </c>
      <c r="B446" s="17"/>
      <c r="C446" s="17" t="s">
        <v>486</v>
      </c>
      <c r="D446" s="17"/>
      <c r="E446" s="13">
        <v>48579</v>
      </c>
      <c r="M446" s="1">
        <f t="shared" si="64"/>
        <v>0</v>
      </c>
      <c r="AB446" s="32"/>
      <c r="AG446" s="1">
        <f t="shared" si="65"/>
        <v>0</v>
      </c>
      <c r="AH446" s="1"/>
      <c r="AI446" s="1">
        <f t="shared" si="52"/>
        <v>0</v>
      </c>
    </row>
    <row r="447" spans="1:35" ht="12" customHeight="1">
      <c r="A447" s="17" t="s">
        <v>300</v>
      </c>
      <c r="B447" s="17"/>
      <c r="C447" s="17" t="s">
        <v>20</v>
      </c>
      <c r="D447" s="17"/>
      <c r="E447" s="13">
        <v>44636</v>
      </c>
      <c r="G447" s="1">
        <v>8875941</v>
      </c>
      <c r="I447" s="1">
        <v>17258603</v>
      </c>
      <c r="K447" s="1">
        <v>0</v>
      </c>
      <c r="M447" s="1">
        <f t="shared" si="64"/>
        <v>26134544</v>
      </c>
      <c r="O447" s="1">
        <f>78238950+4033197+1213876</f>
        <v>83486023</v>
      </c>
      <c r="Q447" s="1">
        <v>0</v>
      </c>
      <c r="S447" s="1">
        <v>46088223</v>
      </c>
      <c r="U447" s="1">
        <v>56762</v>
      </c>
      <c r="W447" s="1">
        <v>0</v>
      </c>
      <c r="Y447" s="1">
        <v>0</v>
      </c>
      <c r="AA447" s="1">
        <v>1251525</v>
      </c>
      <c r="AB447" s="32"/>
      <c r="AC447" s="1">
        <v>0</v>
      </c>
      <c r="AE447" s="1">
        <v>0</v>
      </c>
      <c r="AG447" s="1">
        <f t="shared" si="65"/>
        <v>130882533</v>
      </c>
      <c r="AH447" s="1"/>
      <c r="AI447" s="1">
        <f t="shared" si="52"/>
        <v>157017077</v>
      </c>
    </row>
    <row r="448" spans="1:35" ht="12" customHeight="1">
      <c r="A448" s="17" t="s">
        <v>393</v>
      </c>
      <c r="B448" s="17"/>
      <c r="C448" s="17" t="s">
        <v>34</v>
      </c>
      <c r="D448" s="17"/>
      <c r="E448" s="13">
        <v>47597</v>
      </c>
      <c r="G448" s="1">
        <v>944748</v>
      </c>
      <c r="I448" s="1">
        <v>1402217</v>
      </c>
      <c r="K448" s="1">
        <v>0</v>
      </c>
      <c r="M448" s="1">
        <f t="shared" si="64"/>
        <v>2346965</v>
      </c>
      <c r="O448" s="1">
        <f>2111215+141800+344023+40407</f>
        <v>2637445</v>
      </c>
      <c r="Q448" s="1">
        <v>1672779</v>
      </c>
      <c r="S448" s="1">
        <v>5297389</v>
      </c>
      <c r="U448" s="1">
        <v>10262</v>
      </c>
      <c r="W448" s="1">
        <v>0</v>
      </c>
      <c r="Y448" s="1">
        <v>500</v>
      </c>
      <c r="AA448" s="1">
        <f>151767+8215</f>
        <v>159982</v>
      </c>
      <c r="AB448" s="32"/>
      <c r="AC448" s="1">
        <v>0</v>
      </c>
      <c r="AE448" s="1">
        <v>0</v>
      </c>
      <c r="AG448" s="1">
        <f t="shared" si="65"/>
        <v>9778357</v>
      </c>
      <c r="AH448" s="1"/>
      <c r="AI448" s="1">
        <f t="shared" si="52"/>
        <v>12125322</v>
      </c>
    </row>
    <row r="449" spans="1:35" ht="12" hidden="1" customHeight="1">
      <c r="A449" s="17" t="s">
        <v>855</v>
      </c>
      <c r="B449" s="17"/>
      <c r="C449" s="17" t="s">
        <v>523</v>
      </c>
      <c r="D449" s="17"/>
      <c r="E449" s="13">
        <v>45575</v>
      </c>
      <c r="M449" s="1">
        <f t="shared" si="64"/>
        <v>0</v>
      </c>
      <c r="AB449" s="32"/>
      <c r="AG449" s="1">
        <f>SUM(O449:AE449)</f>
        <v>0</v>
      </c>
      <c r="AH449" s="1"/>
      <c r="AI449" s="1">
        <f t="shared" si="52"/>
        <v>0</v>
      </c>
    </row>
    <row r="450" spans="1:35" ht="12" customHeight="1">
      <c r="A450" s="17" t="s">
        <v>318</v>
      </c>
      <c r="B450" s="17"/>
      <c r="C450" s="17" t="s">
        <v>24</v>
      </c>
      <c r="D450" s="17"/>
      <c r="E450" s="13">
        <v>46813</v>
      </c>
      <c r="G450" s="1">
        <v>3399373</v>
      </c>
      <c r="I450" s="1">
        <v>2067187</v>
      </c>
      <c r="K450" s="1">
        <v>166933</v>
      </c>
      <c r="M450" s="1">
        <f t="shared" si="64"/>
        <v>5633493</v>
      </c>
      <c r="O450" s="1">
        <f>11862355+1494325</f>
        <v>13356680</v>
      </c>
      <c r="Q450" s="1">
        <v>0</v>
      </c>
      <c r="S450" s="1">
        <v>7871394</v>
      </c>
      <c r="U450" s="1">
        <v>20104</v>
      </c>
      <c r="W450" s="1">
        <v>0</v>
      </c>
      <c r="Y450" s="1">
        <v>0</v>
      </c>
      <c r="AA450" s="1">
        <v>17875</v>
      </c>
      <c r="AB450" s="32"/>
      <c r="AC450" s="1">
        <v>0</v>
      </c>
      <c r="AE450" s="1">
        <v>0</v>
      </c>
      <c r="AG450" s="1">
        <f t="shared" si="65"/>
        <v>21266053</v>
      </c>
      <c r="AH450" s="1"/>
      <c r="AI450" s="1">
        <f t="shared" si="52"/>
        <v>26899546</v>
      </c>
    </row>
    <row r="451" spans="1:35" ht="12" hidden="1" customHeight="1">
      <c r="A451" s="17" t="s">
        <v>856</v>
      </c>
      <c r="B451" s="17"/>
      <c r="C451" s="17" t="s">
        <v>10</v>
      </c>
      <c r="D451" s="17"/>
      <c r="E451" s="13"/>
      <c r="M451" s="1">
        <f t="shared" si="64"/>
        <v>0</v>
      </c>
      <c r="AB451" s="32"/>
      <c r="AG451" s="1">
        <f t="shared" si="65"/>
        <v>0</v>
      </c>
      <c r="AH451" s="1"/>
      <c r="AI451" s="1">
        <f t="shared" si="52"/>
        <v>0</v>
      </c>
    </row>
    <row r="452" spans="1:35" ht="12" customHeight="1">
      <c r="A452" s="17" t="s">
        <v>205</v>
      </c>
      <c r="B452" s="17"/>
      <c r="C452" s="17" t="s">
        <v>41</v>
      </c>
      <c r="D452" s="17"/>
      <c r="E452" s="13">
        <v>47902</v>
      </c>
      <c r="G452" s="1">
        <v>1061416</v>
      </c>
      <c r="I452" s="1">
        <v>817455</v>
      </c>
      <c r="K452" s="1">
        <v>73100</v>
      </c>
      <c r="M452" s="1">
        <f>SUM(G452:L452)</f>
        <v>1951971</v>
      </c>
      <c r="O452" s="1">
        <v>14805151</v>
      </c>
      <c r="Q452" s="1">
        <v>0</v>
      </c>
      <c r="S452" s="1">
        <v>12022905</v>
      </c>
      <c r="U452" s="1">
        <v>176980</v>
      </c>
      <c r="W452" s="1">
        <v>0</v>
      </c>
      <c r="Y452" s="1">
        <v>0</v>
      </c>
      <c r="AA452" s="1">
        <v>815620</v>
      </c>
      <c r="AB452" s="32"/>
      <c r="AC452" s="1">
        <v>0</v>
      </c>
      <c r="AE452" s="1">
        <v>0</v>
      </c>
      <c r="AG452" s="1">
        <f>SUM(O452:AE452)</f>
        <v>27820656</v>
      </c>
      <c r="AH452" s="1"/>
      <c r="AI452" s="1">
        <f>+AG452+M452</f>
        <v>29772627</v>
      </c>
    </row>
    <row r="453" spans="1:35" ht="12" customHeight="1">
      <c r="A453" s="17" t="s">
        <v>205</v>
      </c>
      <c r="B453" s="17"/>
      <c r="C453" s="17" t="s">
        <v>62</v>
      </c>
      <c r="D453" s="17"/>
      <c r="E453" s="13">
        <v>49924</v>
      </c>
      <c r="G453" s="1">
        <v>3256614</v>
      </c>
      <c r="I453" s="1">
        <v>4472726</v>
      </c>
      <c r="K453" s="1">
        <v>213993</v>
      </c>
      <c r="M453" s="1">
        <f>SUM(G453:L453)</f>
        <v>7943333</v>
      </c>
      <c r="O453" s="1">
        <f>17711530+783450</f>
        <v>18494980</v>
      </c>
      <c r="Q453" s="1">
        <v>0</v>
      </c>
      <c r="S453" s="1">
        <v>20091789</v>
      </c>
      <c r="U453" s="1">
        <v>74736</v>
      </c>
      <c r="W453" s="1">
        <v>0</v>
      </c>
      <c r="Y453" s="1">
        <v>0</v>
      </c>
      <c r="AA453" s="1">
        <v>257265</v>
      </c>
      <c r="AB453" s="32"/>
      <c r="AC453" s="1">
        <v>0</v>
      </c>
      <c r="AE453" s="1">
        <v>0</v>
      </c>
      <c r="AG453" s="1">
        <f>SUM(O453:AE453)</f>
        <v>38918770</v>
      </c>
      <c r="AH453" s="1"/>
      <c r="AI453" s="1">
        <f>+AG453+M453</f>
        <v>46862103</v>
      </c>
    </row>
    <row r="454" spans="1:35" ht="12" customHeight="1">
      <c r="A454" s="17" t="s">
        <v>651</v>
      </c>
      <c r="B454" s="17"/>
      <c r="C454" s="17" t="s">
        <v>72</v>
      </c>
      <c r="D454" s="17"/>
      <c r="E454" s="13">
        <v>45583</v>
      </c>
      <c r="G454" s="1">
        <v>2786526</v>
      </c>
      <c r="I454" s="1">
        <v>2908912</v>
      </c>
      <c r="K454" s="1">
        <v>127785</v>
      </c>
      <c r="M454" s="1">
        <f>SUM(G454:L454)</f>
        <v>5823223</v>
      </c>
      <c r="O454" s="1">
        <f>20567269+2785927+1613636</f>
        <v>24966832</v>
      </c>
      <c r="Q454" s="1">
        <v>4579290</v>
      </c>
      <c r="S454" s="1">
        <v>13327920</v>
      </c>
      <c r="U454" s="1">
        <v>34764</v>
      </c>
      <c r="W454" s="1">
        <v>519997</v>
      </c>
      <c r="Y454" s="1">
        <v>0</v>
      </c>
      <c r="AA454" s="1">
        <v>122796</v>
      </c>
      <c r="AB454" s="32"/>
      <c r="AC454" s="1">
        <v>0</v>
      </c>
      <c r="AE454" s="1">
        <v>0</v>
      </c>
      <c r="AG454" s="1">
        <f>SUM(O454:AE454)</f>
        <v>43551599</v>
      </c>
      <c r="AH454" s="1"/>
      <c r="AI454" s="1">
        <f>+AG454+M454</f>
        <v>49374822</v>
      </c>
    </row>
    <row r="455" spans="1:35" ht="12" customHeight="1">
      <c r="A455" s="17" t="s">
        <v>345</v>
      </c>
      <c r="B455" s="17"/>
      <c r="C455" s="17" t="s">
        <v>28</v>
      </c>
      <c r="D455" s="17"/>
      <c r="E455" s="13">
        <v>47076</v>
      </c>
      <c r="G455" s="1">
        <v>1339574</v>
      </c>
      <c r="I455" s="1">
        <v>494574</v>
      </c>
      <c r="K455" s="1">
        <v>3961411</v>
      </c>
      <c r="M455" s="1">
        <f>SUM(G455:L455)</f>
        <v>5795559</v>
      </c>
      <c r="O455" s="1">
        <f>995176+113552+288445+18249</f>
        <v>1415422</v>
      </c>
      <c r="Q455" s="1">
        <v>389073</v>
      </c>
      <c r="S455" s="1">
        <v>2162304</v>
      </c>
      <c r="U455" s="1">
        <v>35035</v>
      </c>
      <c r="W455" s="1">
        <v>0</v>
      </c>
      <c r="Y455" s="1">
        <v>13287</v>
      </c>
      <c r="AA455" s="1">
        <f>103+7596+5292988</f>
        <v>5300687</v>
      </c>
      <c r="AB455" s="32"/>
      <c r="AC455" s="1">
        <v>0</v>
      </c>
      <c r="AE455" s="1">
        <v>0</v>
      </c>
      <c r="AG455" s="1">
        <f>SUM(O455:AE455)</f>
        <v>9315808</v>
      </c>
      <c r="AH455" s="1"/>
      <c r="AI455" s="1">
        <f>+AG455+M455</f>
        <v>15111367</v>
      </c>
    </row>
    <row r="456" spans="1:35" ht="12" customHeight="1">
      <c r="A456" s="17" t="s">
        <v>326</v>
      </c>
      <c r="B456" s="17"/>
      <c r="C456" s="17" t="s">
        <v>25</v>
      </c>
      <c r="D456" s="17"/>
      <c r="E456" s="13">
        <v>46896</v>
      </c>
      <c r="G456" s="1">
        <v>4868765</v>
      </c>
      <c r="I456" s="1">
        <v>8418139</v>
      </c>
      <c r="K456" s="1">
        <v>0</v>
      </c>
      <c r="M456" s="1">
        <f>SUM(G456:L456)</f>
        <v>13286904</v>
      </c>
      <c r="O456" s="1">
        <f>27409960+359894+12690376</f>
        <v>40460230</v>
      </c>
      <c r="Q456" s="1">
        <v>12328783</v>
      </c>
      <c r="S456" s="1">
        <v>48622410</v>
      </c>
      <c r="U456" s="1">
        <v>311036</v>
      </c>
      <c r="W456" s="1">
        <v>93764</v>
      </c>
      <c r="Y456" s="1">
        <v>0</v>
      </c>
      <c r="AA456" s="1">
        <v>129564</v>
      </c>
      <c r="AB456" s="32"/>
      <c r="AC456" s="1">
        <v>0</v>
      </c>
      <c r="AE456" s="1">
        <v>0</v>
      </c>
      <c r="AG456" s="1">
        <f>SUM(O456:AE456)</f>
        <v>101945787</v>
      </c>
      <c r="AH456" s="1"/>
      <c r="AI456" s="1">
        <f>+AG456+M456</f>
        <v>115232691</v>
      </c>
    </row>
    <row r="457" spans="1:35" s="1" customFormat="1" ht="12" customHeight="1">
      <c r="A457" s="12" t="s">
        <v>346</v>
      </c>
      <c r="B457" s="12"/>
      <c r="C457" s="12" t="s">
        <v>28</v>
      </c>
      <c r="D457" s="12"/>
      <c r="E457" s="12">
        <v>47084</v>
      </c>
      <c r="G457" s="1">
        <v>1155452</v>
      </c>
      <c r="I457" s="1">
        <v>1773676</v>
      </c>
      <c r="K457" s="1">
        <v>6006</v>
      </c>
      <c r="M457" s="1">
        <f t="shared" ref="M457:M490" si="66">SUM(G457:L457)</f>
        <v>2935134</v>
      </c>
      <c r="O457" s="1">
        <f>3024825+1245932+64175</f>
        <v>4334932</v>
      </c>
      <c r="Q457" s="1">
        <v>0</v>
      </c>
      <c r="S457" s="1">
        <v>7347919</v>
      </c>
      <c r="U457" s="1">
        <v>117356</v>
      </c>
      <c r="W457" s="1">
        <v>67563</v>
      </c>
      <c r="Y457" s="1">
        <v>1500</v>
      </c>
      <c r="AA457" s="1">
        <v>123900</v>
      </c>
      <c r="AB457" s="32"/>
      <c r="AC457" s="1">
        <v>0</v>
      </c>
      <c r="AE457" s="1">
        <v>0</v>
      </c>
      <c r="AG457" s="1">
        <f t="shared" ref="AG457:AG527" si="67">SUM(O457:AE457)</f>
        <v>11993170</v>
      </c>
      <c r="AI457" s="1">
        <f t="shared" ref="AI457:AI527" si="68">+AG457+M457</f>
        <v>14928304</v>
      </c>
    </row>
    <row r="458" spans="1:35" ht="12" customHeight="1">
      <c r="A458" s="17" t="s">
        <v>490</v>
      </c>
      <c r="B458" s="17"/>
      <c r="C458" s="17" t="s">
        <v>48</v>
      </c>
      <c r="D458" s="17"/>
      <c r="E458" s="13">
        <v>44644</v>
      </c>
      <c r="G458" s="1">
        <v>1382451</v>
      </c>
      <c r="I458" s="1">
        <v>5339556</v>
      </c>
      <c r="K458" s="1">
        <v>0</v>
      </c>
      <c r="M458" s="1">
        <f t="shared" si="66"/>
        <v>6722007</v>
      </c>
      <c r="O458" s="1">
        <f>8884069+840002+929187</f>
        <v>10653258</v>
      </c>
      <c r="Q458" s="1">
        <v>4494674</v>
      </c>
      <c r="S458" s="1">
        <v>13925534</v>
      </c>
      <c r="U458" s="1">
        <v>-134954</v>
      </c>
      <c r="W458" s="1">
        <v>0</v>
      </c>
      <c r="Y458" s="1">
        <v>0</v>
      </c>
      <c r="AA458" s="1">
        <v>314520</v>
      </c>
      <c r="AB458" s="32"/>
      <c r="AC458" s="1">
        <v>0</v>
      </c>
      <c r="AE458" s="1">
        <v>0</v>
      </c>
      <c r="AG458" s="1">
        <f t="shared" si="67"/>
        <v>29253032</v>
      </c>
      <c r="AH458" s="1"/>
      <c r="AI458" s="1">
        <f t="shared" si="68"/>
        <v>35975039</v>
      </c>
    </row>
    <row r="459" spans="1:35" ht="12" hidden="1" customHeight="1">
      <c r="A459" s="17" t="s">
        <v>857</v>
      </c>
      <c r="B459" s="17"/>
      <c r="C459" s="17" t="s">
        <v>27</v>
      </c>
      <c r="D459" s="17"/>
      <c r="E459" s="13">
        <v>46995</v>
      </c>
      <c r="M459" s="1">
        <f t="shared" si="66"/>
        <v>0</v>
      </c>
      <c r="AB459" s="32"/>
      <c r="AG459" s="1">
        <f t="shared" si="67"/>
        <v>0</v>
      </c>
      <c r="AH459" s="1"/>
      <c r="AI459" s="1">
        <f t="shared" si="68"/>
        <v>0</v>
      </c>
    </row>
    <row r="460" spans="1:35" s="1" customFormat="1" ht="12" customHeight="1">
      <c r="A460" s="12" t="s">
        <v>338</v>
      </c>
      <c r="B460" s="12"/>
      <c r="C460" s="12" t="s">
        <v>62</v>
      </c>
      <c r="D460" s="12"/>
      <c r="E460" s="13">
        <v>49932</v>
      </c>
      <c r="F460" s="18"/>
      <c r="G460" s="1">
        <v>2914633</v>
      </c>
      <c r="I460" s="1">
        <v>6947689</v>
      </c>
      <c r="K460" s="1">
        <v>153852</v>
      </c>
      <c r="M460" s="1">
        <f t="shared" si="66"/>
        <v>10016174</v>
      </c>
      <c r="O460" s="1">
        <f>24439849+3498690</f>
        <v>27938539</v>
      </c>
      <c r="Q460" s="1">
        <v>0</v>
      </c>
      <c r="S460" s="1">
        <v>21007362</v>
      </c>
      <c r="U460" s="1">
        <v>75922</v>
      </c>
      <c r="W460" s="1">
        <v>0</v>
      </c>
      <c r="Y460" s="1">
        <v>0</v>
      </c>
      <c r="AA460" s="1">
        <v>147703</v>
      </c>
      <c r="AB460" s="32"/>
      <c r="AC460" s="1">
        <v>0</v>
      </c>
      <c r="AE460" s="1">
        <v>0</v>
      </c>
      <c r="AG460" s="1">
        <f t="shared" si="67"/>
        <v>49169526</v>
      </c>
      <c r="AI460" s="1">
        <f t="shared" si="68"/>
        <v>59185700</v>
      </c>
    </row>
    <row r="461" spans="1:35" ht="12" customHeight="1">
      <c r="A461" s="17" t="s">
        <v>475</v>
      </c>
      <c r="B461" s="17"/>
      <c r="C461" s="17" t="s">
        <v>46</v>
      </c>
      <c r="D461" s="17"/>
      <c r="E461" s="13">
        <v>48421</v>
      </c>
      <c r="G461" s="1">
        <v>2657539</v>
      </c>
      <c r="I461" s="1">
        <v>1251116</v>
      </c>
      <c r="K461" s="1">
        <v>0</v>
      </c>
      <c r="M461" s="1">
        <f t="shared" si="66"/>
        <v>3908655</v>
      </c>
      <c r="O461" s="1">
        <f>4192821+338172</f>
        <v>4530993</v>
      </c>
      <c r="Q461" s="1">
        <v>0</v>
      </c>
      <c r="S461" s="1">
        <v>5119898</v>
      </c>
      <c r="U461" s="1">
        <v>60014</v>
      </c>
      <c r="W461" s="1">
        <v>0</v>
      </c>
      <c r="Y461" s="1">
        <v>0</v>
      </c>
      <c r="AA461" s="1">
        <v>29703</v>
      </c>
      <c r="AB461" s="32"/>
      <c r="AC461" s="1">
        <v>0</v>
      </c>
      <c r="AE461" s="1">
        <v>0</v>
      </c>
      <c r="AG461" s="1">
        <f t="shared" si="67"/>
        <v>9740608</v>
      </c>
      <c r="AH461" s="1"/>
      <c r="AI461" s="1">
        <f t="shared" si="68"/>
        <v>13649263</v>
      </c>
    </row>
    <row r="462" spans="1:35" ht="12" customHeight="1">
      <c r="A462" s="17" t="s">
        <v>547</v>
      </c>
      <c r="B462" s="17"/>
      <c r="C462" s="17" t="s">
        <v>112</v>
      </c>
      <c r="D462" s="17"/>
      <c r="E462" s="13">
        <v>49460</v>
      </c>
      <c r="G462" s="1">
        <v>686049</v>
      </c>
      <c r="I462" s="1">
        <v>1583674</v>
      </c>
      <c r="K462" s="1">
        <v>0</v>
      </c>
      <c r="M462" s="1">
        <f t="shared" si="66"/>
        <v>2269723</v>
      </c>
      <c r="O462" s="1">
        <f>1585036+31618+126202</f>
        <v>1742856</v>
      </c>
      <c r="Q462" s="1">
        <v>688721</v>
      </c>
      <c r="S462" s="1">
        <v>5114690</v>
      </c>
      <c r="U462" s="1">
        <v>11280</v>
      </c>
      <c r="W462" s="1">
        <v>0</v>
      </c>
      <c r="Y462" s="1">
        <v>0</v>
      </c>
      <c r="AA462" s="1">
        <v>33111</v>
      </c>
      <c r="AB462" s="32"/>
      <c r="AC462" s="1">
        <v>0</v>
      </c>
      <c r="AE462" s="1">
        <v>799775</v>
      </c>
      <c r="AG462" s="1">
        <f t="shared" si="67"/>
        <v>8390433</v>
      </c>
      <c r="AH462" s="1"/>
      <c r="AI462" s="1">
        <f t="shared" si="68"/>
        <v>10660156</v>
      </c>
    </row>
    <row r="463" spans="1:35" ht="12" customHeight="1">
      <c r="A463" s="17" t="s">
        <v>909</v>
      </c>
      <c r="B463" s="17"/>
      <c r="C463" s="17" t="s">
        <v>45</v>
      </c>
      <c r="D463" s="17"/>
      <c r="E463" s="13">
        <v>48348</v>
      </c>
      <c r="G463" s="1">
        <v>1294334</v>
      </c>
      <c r="I463" s="1">
        <v>1749102</v>
      </c>
      <c r="K463" s="1">
        <v>0</v>
      </c>
      <c r="M463" s="1">
        <f t="shared" si="66"/>
        <v>3043436</v>
      </c>
      <c r="O463" s="1">
        <f>10487660+1085124+393928</f>
        <v>11966712</v>
      </c>
      <c r="Q463" s="1">
        <v>0</v>
      </c>
      <c r="S463" s="1">
        <v>7771535</v>
      </c>
      <c r="U463" s="1">
        <v>53211</v>
      </c>
      <c r="W463" s="1">
        <v>0</v>
      </c>
      <c r="Y463" s="1">
        <v>0</v>
      </c>
      <c r="AA463" s="1">
        <v>37462</v>
      </c>
      <c r="AB463" s="32"/>
      <c r="AC463" s="1">
        <v>0</v>
      </c>
      <c r="AE463" s="1">
        <v>0</v>
      </c>
      <c r="AG463" s="1">
        <f t="shared" si="67"/>
        <v>19828920</v>
      </c>
      <c r="AH463" s="1"/>
      <c r="AI463" s="1">
        <f t="shared" si="68"/>
        <v>22872356</v>
      </c>
    </row>
    <row r="464" spans="1:35" ht="12" customHeight="1">
      <c r="A464" s="17" t="s">
        <v>522</v>
      </c>
      <c r="B464" s="17"/>
      <c r="C464" s="17" t="s">
        <v>53</v>
      </c>
      <c r="D464" s="17"/>
      <c r="E464" s="13">
        <v>44651</v>
      </c>
      <c r="G464" s="1">
        <v>899767</v>
      </c>
      <c r="I464" s="1">
        <v>2132347</v>
      </c>
      <c r="K464" s="1">
        <v>0</v>
      </c>
      <c r="M464" s="1">
        <f t="shared" si="66"/>
        <v>3032114</v>
      </c>
      <c r="O464" s="1">
        <f>13111931+1429155+548844</f>
        <v>15089930</v>
      </c>
      <c r="Q464" s="1">
        <v>0</v>
      </c>
      <c r="S464" s="1">
        <v>6771726</v>
      </c>
      <c r="U464" s="1">
        <v>293641</v>
      </c>
      <c r="W464" s="1">
        <v>0</v>
      </c>
      <c r="Y464" s="1">
        <v>0</v>
      </c>
      <c r="AA464" s="1">
        <v>6383</v>
      </c>
      <c r="AB464" s="32"/>
      <c r="AC464" s="1">
        <v>0</v>
      </c>
      <c r="AE464" s="1">
        <v>0</v>
      </c>
      <c r="AG464" s="1">
        <f t="shared" si="67"/>
        <v>22161680</v>
      </c>
      <c r="AH464" s="1"/>
      <c r="AI464" s="1">
        <f t="shared" si="68"/>
        <v>25193794</v>
      </c>
    </row>
    <row r="465" spans="1:35" ht="12" customHeight="1">
      <c r="A465" s="17" t="s">
        <v>564</v>
      </c>
      <c r="B465" s="17"/>
      <c r="C465" s="17" t="s">
        <v>59</v>
      </c>
      <c r="D465" s="17"/>
      <c r="E465" s="13">
        <v>44669</v>
      </c>
      <c r="G465" s="1">
        <v>1306115</v>
      </c>
      <c r="I465" s="1">
        <v>8136834</v>
      </c>
      <c r="K465" s="1">
        <v>30123</v>
      </c>
      <c r="M465" s="1">
        <f t="shared" si="66"/>
        <v>9473072</v>
      </c>
      <c r="O465" s="1">
        <f>4319587+1227943+80238</f>
        <v>5627768</v>
      </c>
      <c r="Q465" s="1">
        <v>0</v>
      </c>
      <c r="S465" s="1">
        <v>18319840</v>
      </c>
      <c r="U465" s="1">
        <v>27280</v>
      </c>
      <c r="W465" s="1">
        <v>0</v>
      </c>
      <c r="Y465" s="1">
        <v>6566</v>
      </c>
      <c r="AA465" s="1">
        <v>74005</v>
      </c>
      <c r="AB465" s="32"/>
      <c r="AC465" s="1">
        <v>0</v>
      </c>
      <c r="AE465" s="1">
        <v>0</v>
      </c>
      <c r="AG465" s="1">
        <f t="shared" si="67"/>
        <v>24055459</v>
      </c>
      <c r="AH465" s="1"/>
      <c r="AI465" s="1">
        <f t="shared" si="68"/>
        <v>33528531</v>
      </c>
    </row>
    <row r="466" spans="1:35" ht="12" hidden="1" customHeight="1">
      <c r="A466" s="17" t="s">
        <v>858</v>
      </c>
      <c r="B466" s="17"/>
      <c r="C466" s="17" t="s">
        <v>57</v>
      </c>
      <c r="D466" s="17"/>
      <c r="E466" s="13">
        <v>49288</v>
      </c>
      <c r="M466" s="1">
        <f t="shared" si="66"/>
        <v>0</v>
      </c>
      <c r="AB466" s="32"/>
      <c r="AG466" s="1">
        <f t="shared" si="67"/>
        <v>0</v>
      </c>
      <c r="AH466" s="1"/>
      <c r="AI466" s="1">
        <f t="shared" si="68"/>
        <v>0</v>
      </c>
    </row>
    <row r="467" spans="1:35" ht="12" customHeight="1">
      <c r="A467" s="17" t="s">
        <v>372</v>
      </c>
      <c r="B467" s="17"/>
      <c r="C467" s="17" t="s">
        <v>32</v>
      </c>
      <c r="D467" s="17"/>
      <c r="E467" s="13">
        <v>44677</v>
      </c>
      <c r="G467" s="1">
        <v>3013068</v>
      </c>
      <c r="I467" s="1">
        <v>8356788</v>
      </c>
      <c r="K467" s="1">
        <v>0</v>
      </c>
      <c r="M467" s="1">
        <f t="shared" si="66"/>
        <v>11369856</v>
      </c>
      <c r="O467" s="1">
        <f>40880034+4434964</f>
        <v>45314998</v>
      </c>
      <c r="Q467" s="1">
        <v>0</v>
      </c>
      <c r="S467" s="1">
        <v>26779285</v>
      </c>
      <c r="U467" s="1">
        <v>116100</v>
      </c>
      <c r="W467" s="1">
        <v>0</v>
      </c>
      <c r="Y467" s="1">
        <v>0</v>
      </c>
      <c r="AA467" s="1">
        <v>889498</v>
      </c>
      <c r="AB467" s="32"/>
      <c r="AC467" s="1">
        <v>0</v>
      </c>
      <c r="AE467" s="1">
        <v>0</v>
      </c>
      <c r="AG467" s="1">
        <f t="shared" si="67"/>
        <v>73099881</v>
      </c>
      <c r="AH467" s="1"/>
      <c r="AI467" s="1">
        <f t="shared" si="68"/>
        <v>84469737</v>
      </c>
    </row>
    <row r="468" spans="1:35" ht="12" customHeight="1">
      <c r="A468" s="17" t="s">
        <v>213</v>
      </c>
      <c r="B468" s="17"/>
      <c r="C468" s="17" t="s">
        <v>12</v>
      </c>
      <c r="D468" s="17"/>
      <c r="E468" s="13">
        <v>45880</v>
      </c>
      <c r="G468" s="1">
        <v>926433</v>
      </c>
      <c r="I468" s="1">
        <v>1573960</v>
      </c>
      <c r="K468" s="1">
        <v>0</v>
      </c>
      <c r="M468" s="1">
        <f t="shared" si="66"/>
        <v>2500393</v>
      </c>
      <c r="O468" s="1">
        <f>3073455+624165+46695</f>
        <v>3744315</v>
      </c>
      <c r="Q468" s="1">
        <v>0</v>
      </c>
      <c r="S468" s="1">
        <v>7570192</v>
      </c>
      <c r="U468" s="1">
        <v>48125</v>
      </c>
      <c r="W468" s="1">
        <v>0</v>
      </c>
      <c r="Y468" s="1">
        <v>0</v>
      </c>
      <c r="AA468" s="1">
        <v>60466</v>
      </c>
      <c r="AB468" s="32"/>
      <c r="AC468" s="1">
        <v>0</v>
      </c>
      <c r="AE468" s="1">
        <v>0</v>
      </c>
      <c r="AG468" s="1">
        <f t="shared" si="67"/>
        <v>11423098</v>
      </c>
      <c r="AH468" s="1"/>
      <c r="AI468" s="1">
        <f t="shared" si="68"/>
        <v>13923491</v>
      </c>
    </row>
    <row r="469" spans="1:35" ht="12" customHeight="1">
      <c r="A469" s="17" t="s">
        <v>765</v>
      </c>
      <c r="B469" s="17"/>
      <c r="C469" s="17" t="s">
        <v>56</v>
      </c>
      <c r="D469" s="17"/>
      <c r="E469" s="13"/>
      <c r="G469" s="1">
        <v>1665097</v>
      </c>
      <c r="I469" s="1">
        <v>3400699</v>
      </c>
      <c r="K469" s="1">
        <v>60057</v>
      </c>
      <c r="M469" s="1">
        <f t="shared" si="66"/>
        <v>5125853</v>
      </c>
      <c r="O469" s="1">
        <f>10948828+1072243+326110</f>
        <v>12347181</v>
      </c>
      <c r="Q469" s="1">
        <v>0</v>
      </c>
      <c r="S469" s="1">
        <v>17172589</v>
      </c>
      <c r="U469" s="1">
        <v>55910</v>
      </c>
      <c r="W469" s="1">
        <v>0</v>
      </c>
      <c r="Y469" s="1">
        <v>0</v>
      </c>
      <c r="AA469" s="1">
        <f>102000+154358</f>
        <v>256358</v>
      </c>
      <c r="AB469" s="32"/>
      <c r="AC469" s="1">
        <v>0</v>
      </c>
      <c r="AE469" s="1">
        <v>0</v>
      </c>
      <c r="AG469" s="1">
        <f t="shared" si="67"/>
        <v>29832038</v>
      </c>
      <c r="AH469" s="1"/>
      <c r="AI469" s="1">
        <f t="shared" si="68"/>
        <v>34957891</v>
      </c>
    </row>
    <row r="470" spans="1:35" ht="12" customHeight="1">
      <c r="A470" s="17" t="s">
        <v>373</v>
      </c>
      <c r="B470" s="17"/>
      <c r="C470" s="17" t="s">
        <v>32</v>
      </c>
      <c r="D470" s="17"/>
      <c r="E470" s="13">
        <v>44693</v>
      </c>
      <c r="G470" s="1">
        <v>1682608</v>
      </c>
      <c r="I470" s="1">
        <v>2289037</v>
      </c>
      <c r="K470" s="1">
        <v>0</v>
      </c>
      <c r="M470" s="1">
        <f t="shared" si="66"/>
        <v>3971645</v>
      </c>
      <c r="O470" s="1">
        <v>6950237</v>
      </c>
      <c r="Q470" s="1">
        <v>0</v>
      </c>
      <c r="S470" s="1">
        <v>5536755</v>
      </c>
      <c r="U470" s="1">
        <v>23579</v>
      </c>
      <c r="W470" s="1">
        <v>0</v>
      </c>
      <c r="Y470" s="1">
        <v>0</v>
      </c>
      <c r="AA470" s="1">
        <v>75140</v>
      </c>
      <c r="AB470" s="32"/>
      <c r="AC470" s="1">
        <v>0</v>
      </c>
      <c r="AE470" s="1">
        <v>0</v>
      </c>
      <c r="AG470" s="1">
        <f t="shared" si="67"/>
        <v>12585711</v>
      </c>
      <c r="AH470" s="1"/>
      <c r="AI470" s="1">
        <f t="shared" si="68"/>
        <v>16557356</v>
      </c>
    </row>
    <row r="471" spans="1:35" ht="12" customHeight="1">
      <c r="A471" s="17" t="s">
        <v>594</v>
      </c>
      <c r="B471" s="17"/>
      <c r="C471" s="17" t="s">
        <v>63</v>
      </c>
      <c r="D471" s="17"/>
      <c r="E471" s="13">
        <v>50054</v>
      </c>
      <c r="G471" s="1">
        <v>1478499</v>
      </c>
      <c r="I471" s="1">
        <v>1563283</v>
      </c>
      <c r="K471" s="1">
        <v>216395</v>
      </c>
      <c r="M471" s="1">
        <f t="shared" si="66"/>
        <v>3258177</v>
      </c>
      <c r="O471" s="1">
        <f>22880826+1179442+1074237</f>
        <v>25134505</v>
      </c>
      <c r="Q471" s="1">
        <v>0</v>
      </c>
      <c r="S471" s="1">
        <v>7362489</v>
      </c>
      <c r="U471" s="1">
        <v>147228</v>
      </c>
      <c r="W471" s="1">
        <v>0</v>
      </c>
      <c r="Y471" s="1">
        <v>0</v>
      </c>
      <c r="AA471" s="1">
        <v>87765</v>
      </c>
      <c r="AB471" s="32"/>
      <c r="AC471" s="1">
        <v>0</v>
      </c>
      <c r="AE471" s="1">
        <v>0</v>
      </c>
      <c r="AG471" s="1">
        <f t="shared" si="67"/>
        <v>32731987</v>
      </c>
      <c r="AH471" s="1"/>
      <c r="AI471" s="1">
        <f t="shared" si="68"/>
        <v>35990164</v>
      </c>
    </row>
    <row r="472" spans="1:35" ht="12" customHeight="1">
      <c r="A472" s="17" t="s">
        <v>339</v>
      </c>
      <c r="B472" s="17"/>
      <c r="C472" s="17" t="s">
        <v>27</v>
      </c>
      <c r="D472" s="17"/>
      <c r="E472" s="13">
        <v>47001</v>
      </c>
      <c r="G472" s="1">
        <v>2442489</v>
      </c>
      <c r="I472" s="1">
        <v>8370673</v>
      </c>
      <c r="K472" s="1">
        <v>0</v>
      </c>
      <c r="M472" s="1">
        <f t="shared" si="66"/>
        <v>10813162</v>
      </c>
      <c r="O472" s="1">
        <f>17737208+8644693+669513+589750</f>
        <v>27641164</v>
      </c>
      <c r="Q472" s="1">
        <v>4120848</v>
      </c>
      <c r="S472" s="1">
        <v>30310133</v>
      </c>
      <c r="U472" s="1">
        <v>292155</v>
      </c>
      <c r="W472" s="1">
        <v>1483796</v>
      </c>
      <c r="Y472" s="1">
        <v>0</v>
      </c>
      <c r="AA472" s="1">
        <v>356200</v>
      </c>
      <c r="AB472" s="32"/>
      <c r="AC472" s="1">
        <v>0</v>
      </c>
      <c r="AE472" s="1">
        <v>0</v>
      </c>
      <c r="AG472" s="1">
        <f t="shared" si="67"/>
        <v>64204296</v>
      </c>
      <c r="AH472" s="1"/>
      <c r="AI472" s="1">
        <f t="shared" si="68"/>
        <v>75017458</v>
      </c>
    </row>
    <row r="473" spans="1:35" ht="12" customHeight="1">
      <c r="A473" s="17" t="s">
        <v>301</v>
      </c>
      <c r="B473" s="17"/>
      <c r="C473" s="17" t="s">
        <v>20</v>
      </c>
      <c r="D473" s="17"/>
      <c r="E473" s="13">
        <v>46599</v>
      </c>
      <c r="G473" s="1">
        <v>515716</v>
      </c>
      <c r="I473" s="1">
        <v>577162</v>
      </c>
      <c r="K473" s="1">
        <v>31592</v>
      </c>
      <c r="M473" s="1">
        <f t="shared" si="66"/>
        <v>1124470</v>
      </c>
      <c r="O473" s="1">
        <f>8851691+110720</f>
        <v>8962411</v>
      </c>
      <c r="Q473" s="1">
        <v>0</v>
      </c>
      <c r="S473" s="1">
        <v>3641036</v>
      </c>
      <c r="U473" s="1">
        <v>4118</v>
      </c>
      <c r="W473" s="1">
        <v>0</v>
      </c>
      <c r="Y473" s="1">
        <v>0</v>
      </c>
      <c r="AA473" s="1">
        <v>22633</v>
      </c>
      <c r="AB473" s="32"/>
      <c r="AC473" s="1">
        <v>0</v>
      </c>
      <c r="AE473" s="1">
        <v>0</v>
      </c>
      <c r="AG473" s="1">
        <f t="shared" si="67"/>
        <v>12630198</v>
      </c>
      <c r="AH473" s="1"/>
      <c r="AI473" s="1">
        <f t="shared" si="68"/>
        <v>13754668</v>
      </c>
    </row>
    <row r="474" spans="1:35" ht="12" customHeight="1">
      <c r="A474" s="17" t="s">
        <v>476</v>
      </c>
      <c r="B474" s="17"/>
      <c r="C474" s="17" t="s">
        <v>46</v>
      </c>
      <c r="D474" s="17"/>
      <c r="E474" s="13">
        <v>48439</v>
      </c>
      <c r="G474" s="1">
        <v>1404307</v>
      </c>
      <c r="I474" s="1">
        <v>592206</v>
      </c>
      <c r="K474" s="1">
        <v>5092</v>
      </c>
      <c r="M474" s="1">
        <f t="shared" si="66"/>
        <v>2001605</v>
      </c>
      <c r="O474" s="1">
        <v>2483473</v>
      </c>
      <c r="Q474" s="1">
        <v>0</v>
      </c>
      <c r="S474" s="1">
        <v>4041756</v>
      </c>
      <c r="U474" s="1">
        <v>9418</v>
      </c>
      <c r="W474" s="1">
        <v>52048</v>
      </c>
      <c r="Y474" s="1">
        <v>0</v>
      </c>
      <c r="AA474" s="1">
        <v>28320</v>
      </c>
      <c r="AB474" s="32"/>
      <c r="AC474" s="1">
        <v>0</v>
      </c>
      <c r="AE474" s="1">
        <v>0</v>
      </c>
      <c r="AG474" s="1">
        <f t="shared" si="67"/>
        <v>6615015</v>
      </c>
      <c r="AH474" s="1"/>
      <c r="AI474" s="1">
        <f t="shared" si="68"/>
        <v>8616620</v>
      </c>
    </row>
    <row r="475" spans="1:35" ht="12" customHeight="1">
      <c r="A475" s="12" t="s">
        <v>386</v>
      </c>
      <c r="B475" s="17"/>
      <c r="C475" s="17" t="s">
        <v>383</v>
      </c>
      <c r="D475" s="17"/>
      <c r="E475" s="13">
        <v>47506</v>
      </c>
      <c r="G475" s="1">
        <v>948982</v>
      </c>
      <c r="I475" s="1">
        <v>574703</v>
      </c>
      <c r="K475" s="1">
        <v>0</v>
      </c>
      <c r="M475" s="1">
        <f t="shared" si="66"/>
        <v>1523685</v>
      </c>
      <c r="O475" s="1">
        <f>1038128+166190</f>
        <v>1204318</v>
      </c>
      <c r="Q475" s="1">
        <v>491762</v>
      </c>
      <c r="S475" s="1">
        <v>2624997</v>
      </c>
      <c r="U475" s="1">
        <v>2585</v>
      </c>
      <c r="W475" s="1">
        <v>0</v>
      </c>
      <c r="Y475" s="1">
        <v>0</v>
      </c>
      <c r="AA475" s="1">
        <v>62021</v>
      </c>
      <c r="AB475" s="32"/>
      <c r="AC475" s="1">
        <v>0</v>
      </c>
      <c r="AE475" s="1">
        <v>0</v>
      </c>
      <c r="AG475" s="1">
        <f t="shared" si="67"/>
        <v>4385683</v>
      </c>
      <c r="AH475" s="1"/>
      <c r="AI475" s="1">
        <f t="shared" si="68"/>
        <v>5909368</v>
      </c>
    </row>
    <row r="476" spans="1:35" ht="12" customHeight="1">
      <c r="A476" s="17" t="s">
        <v>273</v>
      </c>
      <c r="B476" s="17"/>
      <c r="C476" s="17" t="s">
        <v>19</v>
      </c>
      <c r="D476" s="17"/>
      <c r="E476" s="13">
        <v>46474</v>
      </c>
      <c r="G476" s="1">
        <v>910164</v>
      </c>
      <c r="I476" s="1">
        <v>2100109</v>
      </c>
      <c r="K476" s="1">
        <v>0</v>
      </c>
      <c r="M476" s="1">
        <f t="shared" si="66"/>
        <v>3010273</v>
      </c>
      <c r="O476" s="1">
        <f>2361733+319208+47917</f>
        <v>2728858</v>
      </c>
      <c r="Q476" s="1">
        <v>0</v>
      </c>
      <c r="S476" s="1">
        <v>7423675</v>
      </c>
      <c r="U476" s="1">
        <v>17257</v>
      </c>
      <c r="W476" s="1">
        <v>0</v>
      </c>
      <c r="Y476" s="1">
        <v>0</v>
      </c>
      <c r="AA476" s="1">
        <v>15045</v>
      </c>
      <c r="AB476" s="32"/>
      <c r="AC476" s="1">
        <v>0</v>
      </c>
      <c r="AE476" s="1">
        <v>0</v>
      </c>
      <c r="AG476" s="1">
        <f t="shared" si="67"/>
        <v>10184835</v>
      </c>
      <c r="AH476" s="1"/>
      <c r="AI476" s="1">
        <f t="shared" si="68"/>
        <v>13195108</v>
      </c>
    </row>
    <row r="477" spans="1:35" ht="12" customHeight="1">
      <c r="A477" s="17" t="s">
        <v>766</v>
      </c>
      <c r="B477" s="17"/>
      <c r="C477" s="17" t="s">
        <v>77</v>
      </c>
      <c r="D477" s="17"/>
      <c r="E477" s="13">
        <v>46078</v>
      </c>
      <c r="G477" s="1">
        <v>571103</v>
      </c>
      <c r="I477" s="1">
        <v>2585420</v>
      </c>
      <c r="K477" s="1">
        <v>6859</v>
      </c>
      <c r="M477" s="1">
        <f t="shared" si="66"/>
        <v>3163382</v>
      </c>
      <c r="O477" s="1">
        <f>1940626+37321+348499</f>
        <v>2326446</v>
      </c>
      <c r="Q477" s="1">
        <v>0</v>
      </c>
      <c r="S477" s="1">
        <v>6750418</v>
      </c>
      <c r="U477" s="1">
        <v>15591</v>
      </c>
      <c r="W477" s="1">
        <v>0</v>
      </c>
      <c r="Y477" s="1">
        <v>994</v>
      </c>
      <c r="AA477" s="1">
        <v>143050</v>
      </c>
      <c r="AB477" s="32"/>
      <c r="AC477" s="1">
        <v>0</v>
      </c>
      <c r="AE477" s="1">
        <v>0</v>
      </c>
      <c r="AG477" s="1">
        <f t="shared" si="67"/>
        <v>9236499</v>
      </c>
      <c r="AH477" s="1"/>
      <c r="AI477" s="1">
        <f t="shared" si="68"/>
        <v>12399881</v>
      </c>
    </row>
    <row r="478" spans="1:35" ht="12" customHeight="1">
      <c r="A478" s="17" t="s">
        <v>642</v>
      </c>
      <c r="B478" s="17"/>
      <c r="C478" s="17" t="s">
        <v>71</v>
      </c>
      <c r="D478" s="17"/>
      <c r="E478" s="13">
        <v>45591</v>
      </c>
      <c r="G478" s="1">
        <v>530725</v>
      </c>
      <c r="I478" s="1">
        <v>950260</v>
      </c>
      <c r="K478" s="1">
        <v>98496</v>
      </c>
      <c r="M478" s="1">
        <f t="shared" si="66"/>
        <v>1579481</v>
      </c>
      <c r="O478" s="1">
        <f>2597444+480758+178472</f>
        <v>3256674</v>
      </c>
      <c r="Q478" s="1">
        <v>0</v>
      </c>
      <c r="S478" s="1">
        <v>6015918</v>
      </c>
      <c r="U478" s="1">
        <v>42628</v>
      </c>
      <c r="W478" s="1">
        <v>0</v>
      </c>
      <c r="Y478" s="1">
        <v>0</v>
      </c>
      <c r="AA478" s="1">
        <v>78493</v>
      </c>
      <c r="AB478" s="32"/>
      <c r="AC478" s="1">
        <v>0</v>
      </c>
      <c r="AE478" s="1">
        <v>0</v>
      </c>
      <c r="AG478" s="1">
        <f t="shared" si="67"/>
        <v>9393713</v>
      </c>
      <c r="AH478" s="1"/>
      <c r="AI478" s="1">
        <f t="shared" si="68"/>
        <v>10973194</v>
      </c>
    </row>
    <row r="479" spans="1:35" ht="12" customHeight="1">
      <c r="A479" s="17" t="s">
        <v>477</v>
      </c>
      <c r="B479" s="17"/>
      <c r="C479" s="17" t="s">
        <v>46</v>
      </c>
      <c r="D479" s="17"/>
      <c r="E479" s="13">
        <v>48447</v>
      </c>
      <c r="G479" s="1">
        <v>3841301</v>
      </c>
      <c r="I479" s="1">
        <v>2244377</v>
      </c>
      <c r="K479" s="1">
        <v>0</v>
      </c>
      <c r="M479" s="1">
        <f t="shared" si="66"/>
        <v>6085678</v>
      </c>
      <c r="O479" s="1">
        <f>5618441+97963+943618</f>
        <v>6660022</v>
      </c>
      <c r="Q479" s="1">
        <v>0</v>
      </c>
      <c r="S479" s="1">
        <v>6821905</v>
      </c>
      <c r="U479" s="1">
        <v>59360</v>
      </c>
      <c r="W479" s="1">
        <v>198714</v>
      </c>
      <c r="Y479" s="1">
        <v>147482</v>
      </c>
      <c r="AA479" s="1">
        <v>0</v>
      </c>
      <c r="AB479" s="32"/>
      <c r="AC479" s="1">
        <v>0</v>
      </c>
      <c r="AE479" s="1">
        <v>0</v>
      </c>
      <c r="AG479" s="1">
        <f t="shared" si="67"/>
        <v>13887483</v>
      </c>
      <c r="AH479" s="1"/>
      <c r="AI479" s="1">
        <f t="shared" si="68"/>
        <v>19973161</v>
      </c>
    </row>
    <row r="480" spans="1:35" s="16" customFormat="1" ht="12" customHeight="1">
      <c r="A480" s="14" t="s">
        <v>274</v>
      </c>
      <c r="B480" s="14"/>
      <c r="C480" s="14" t="s">
        <v>19</v>
      </c>
      <c r="D480" s="14"/>
      <c r="E480" s="14">
        <v>46482</v>
      </c>
      <c r="G480" s="1">
        <v>1285997</v>
      </c>
      <c r="H480" s="1"/>
      <c r="I480" s="1">
        <v>3245518</v>
      </c>
      <c r="J480" s="1"/>
      <c r="K480" s="1">
        <v>268303</v>
      </c>
      <c r="L480" s="1"/>
      <c r="M480" s="1">
        <f t="shared" si="66"/>
        <v>4799818</v>
      </c>
      <c r="N480" s="1"/>
      <c r="O480" s="1">
        <f>7626040+432547</f>
        <v>8058587</v>
      </c>
      <c r="P480" s="1"/>
      <c r="Q480" s="1">
        <v>0</v>
      </c>
      <c r="R480" s="1"/>
      <c r="S480" s="1">
        <v>10590043</v>
      </c>
      <c r="T480" s="1"/>
      <c r="U480" s="1">
        <v>66331</v>
      </c>
      <c r="V480" s="1"/>
      <c r="W480" s="1">
        <v>0</v>
      </c>
      <c r="X480" s="1"/>
      <c r="Y480" s="1">
        <v>0</v>
      </c>
      <c r="Z480" s="1"/>
      <c r="AA480" s="1">
        <v>96231</v>
      </c>
      <c r="AB480" s="32"/>
      <c r="AC480" s="1">
        <v>0</v>
      </c>
      <c r="AD480" s="1"/>
      <c r="AE480" s="1">
        <v>0</v>
      </c>
      <c r="AF480" s="1"/>
      <c r="AG480" s="1">
        <f t="shared" si="67"/>
        <v>18811192</v>
      </c>
      <c r="AH480" s="1"/>
      <c r="AI480" s="1">
        <f t="shared" si="68"/>
        <v>23611010</v>
      </c>
    </row>
    <row r="481" spans="1:35" ht="12" hidden="1" customHeight="1">
      <c r="A481" s="12" t="s">
        <v>932</v>
      </c>
      <c r="B481" s="17"/>
      <c r="C481" s="17" t="s">
        <v>383</v>
      </c>
      <c r="D481" s="17"/>
      <c r="E481" s="13">
        <v>47514</v>
      </c>
      <c r="M481" s="1">
        <f t="shared" si="66"/>
        <v>0</v>
      </c>
      <c r="AB481" s="32"/>
      <c r="AG481" s="1">
        <f t="shared" si="67"/>
        <v>0</v>
      </c>
      <c r="AH481" s="1"/>
      <c r="AI481" s="1">
        <f t="shared" si="68"/>
        <v>0</v>
      </c>
    </row>
    <row r="482" spans="1:35" ht="12" customHeight="1">
      <c r="A482" s="17" t="s">
        <v>435</v>
      </c>
      <c r="B482" s="17"/>
      <c r="C482" s="17" t="s">
        <v>41</v>
      </c>
      <c r="D482" s="17"/>
      <c r="E482" s="13"/>
      <c r="G482" s="1">
        <v>2715399</v>
      </c>
      <c r="I482" s="1">
        <v>3258683</v>
      </c>
      <c r="K482" s="1">
        <v>0</v>
      </c>
      <c r="M482" s="1">
        <f t="shared" si="66"/>
        <v>5974082</v>
      </c>
      <c r="O482" s="1">
        <f>27268873+753185+1433556</f>
        <v>29455614</v>
      </c>
      <c r="Q482" s="1">
        <v>0</v>
      </c>
      <c r="S482" s="1">
        <v>12326932</v>
      </c>
      <c r="U482" s="1">
        <v>25864</v>
      </c>
      <c r="W482" s="1">
        <v>55269</v>
      </c>
      <c r="Y482" s="1">
        <v>0</v>
      </c>
      <c r="AA482" s="1">
        <v>220477</v>
      </c>
      <c r="AB482" s="32"/>
      <c r="AC482" s="1">
        <v>0</v>
      </c>
      <c r="AE482" s="1">
        <v>0</v>
      </c>
      <c r="AG482" s="1">
        <f t="shared" si="67"/>
        <v>42084156</v>
      </c>
      <c r="AH482" s="1"/>
      <c r="AI482" s="1">
        <f t="shared" si="68"/>
        <v>48058238</v>
      </c>
    </row>
    <row r="483" spans="1:35" ht="12" customHeight="1">
      <c r="A483" s="17" t="s">
        <v>435</v>
      </c>
      <c r="B483" s="17"/>
      <c r="C483" s="17" t="s">
        <v>43</v>
      </c>
      <c r="D483" s="17"/>
      <c r="E483" s="13">
        <v>48090</v>
      </c>
      <c r="G483" s="1">
        <v>709335</v>
      </c>
      <c r="I483" s="1">
        <v>934928</v>
      </c>
      <c r="K483" s="1">
        <v>0</v>
      </c>
      <c r="M483" s="1">
        <f t="shared" si="66"/>
        <v>1644263</v>
      </c>
      <c r="O483" s="1">
        <f>1141084+233577+75137+19985</f>
        <v>1469783</v>
      </c>
      <c r="Q483" s="1">
        <v>671910</v>
      </c>
      <c r="S483" s="1">
        <v>4119494</v>
      </c>
      <c r="U483" s="1">
        <v>8202</v>
      </c>
      <c r="W483" s="1">
        <v>0</v>
      </c>
      <c r="Y483" s="1">
        <v>0</v>
      </c>
      <c r="AA483" s="1">
        <v>19039</v>
      </c>
      <c r="AB483" s="32"/>
      <c r="AC483" s="1">
        <v>0</v>
      </c>
      <c r="AE483" s="1">
        <v>0</v>
      </c>
      <c r="AG483" s="1">
        <f t="shared" si="67"/>
        <v>6288428</v>
      </c>
      <c r="AH483" s="1"/>
      <c r="AI483" s="1">
        <f t="shared" si="68"/>
        <v>7932691</v>
      </c>
    </row>
    <row r="484" spans="1:35" ht="12" customHeight="1">
      <c r="A484" s="17" t="s">
        <v>424</v>
      </c>
      <c r="B484" s="17"/>
      <c r="C484" s="17" t="s">
        <v>420</v>
      </c>
      <c r="D484" s="17"/>
      <c r="E484" s="13">
        <v>47944</v>
      </c>
      <c r="G484" s="1">
        <v>1703484</v>
      </c>
      <c r="I484" s="1">
        <v>4183528</v>
      </c>
      <c r="K484" s="1">
        <v>555</v>
      </c>
      <c r="M484" s="1">
        <f t="shared" si="66"/>
        <v>5887567</v>
      </c>
      <c r="O484" s="1">
        <f>1762255+32728</f>
        <v>1794983</v>
      </c>
      <c r="Q484" s="1">
        <v>0</v>
      </c>
      <c r="S484" s="1">
        <v>12284760</v>
      </c>
      <c r="U484" s="1">
        <v>58594</v>
      </c>
      <c r="W484" s="1">
        <v>0</v>
      </c>
      <c r="Y484" s="1">
        <v>0</v>
      </c>
      <c r="AA484" s="1">
        <f>9800+425298</f>
        <v>435098</v>
      </c>
      <c r="AB484" s="32"/>
      <c r="AC484" s="1">
        <v>0</v>
      </c>
      <c r="AE484" s="1">
        <v>0</v>
      </c>
      <c r="AG484" s="1">
        <f t="shared" si="67"/>
        <v>14573435</v>
      </c>
      <c r="AH484" s="1"/>
      <c r="AI484" s="1">
        <f t="shared" si="68"/>
        <v>20461002</v>
      </c>
    </row>
    <row r="485" spans="1:35" ht="12" customHeight="1">
      <c r="A485" s="12" t="s">
        <v>302</v>
      </c>
      <c r="B485" s="17"/>
      <c r="C485" s="17" t="s">
        <v>20</v>
      </c>
      <c r="D485" s="17"/>
      <c r="E485" s="13">
        <v>44701</v>
      </c>
      <c r="G485" s="1">
        <v>1343023</v>
      </c>
      <c r="I485" s="1">
        <v>3207995</v>
      </c>
      <c r="K485" s="1">
        <v>0</v>
      </c>
      <c r="M485" s="1">
        <f t="shared" si="66"/>
        <v>4551018</v>
      </c>
      <c r="O485" s="1">
        <f>25250490+2817174</f>
        <v>28067664</v>
      </c>
      <c r="Q485" s="1">
        <v>0</v>
      </c>
      <c r="S485" s="1">
        <v>6227352</v>
      </c>
      <c r="U485" s="1">
        <v>81327</v>
      </c>
      <c r="W485" s="1">
        <v>0</v>
      </c>
      <c r="Y485" s="1">
        <v>0</v>
      </c>
      <c r="AA485" s="1">
        <v>58830</v>
      </c>
      <c r="AB485" s="32"/>
      <c r="AC485" s="1">
        <v>0</v>
      </c>
      <c r="AE485" s="1">
        <v>0</v>
      </c>
      <c r="AG485" s="1">
        <f t="shared" si="67"/>
        <v>34435173</v>
      </c>
      <c r="AH485" s="1"/>
      <c r="AI485" s="1">
        <f t="shared" si="68"/>
        <v>38986191</v>
      </c>
    </row>
    <row r="486" spans="1:35" ht="12" customHeight="1">
      <c r="A486" s="17" t="s">
        <v>362</v>
      </c>
      <c r="B486" s="17"/>
      <c r="C486" s="17" t="s">
        <v>31</v>
      </c>
      <c r="D486" s="17"/>
      <c r="E486" s="13">
        <v>47308</v>
      </c>
      <c r="G486" s="1">
        <v>1013416</v>
      </c>
      <c r="I486" s="1">
        <v>2340857</v>
      </c>
      <c r="K486" s="1">
        <v>0</v>
      </c>
      <c r="M486" s="1">
        <f t="shared" si="66"/>
        <v>3354273</v>
      </c>
      <c r="O486" s="1">
        <v>4159367</v>
      </c>
      <c r="Q486" s="1">
        <v>0</v>
      </c>
      <c r="S486" s="1">
        <v>10636387</v>
      </c>
      <c r="U486" s="1">
        <v>10996</v>
      </c>
      <c r="W486" s="1">
        <v>0</v>
      </c>
      <c r="Y486" s="1">
        <v>0</v>
      </c>
      <c r="AA486" s="1">
        <v>207825</v>
      </c>
      <c r="AB486" s="32"/>
      <c r="AC486" s="1">
        <v>0</v>
      </c>
      <c r="AE486" s="1">
        <v>0</v>
      </c>
      <c r="AG486" s="1">
        <f t="shared" si="67"/>
        <v>15014575</v>
      </c>
      <c r="AH486" s="1"/>
      <c r="AI486" s="1">
        <f t="shared" si="68"/>
        <v>18368848</v>
      </c>
    </row>
    <row r="487" spans="1:35" ht="12" customHeight="1">
      <c r="A487" s="17" t="s">
        <v>536</v>
      </c>
      <c r="B487" s="17"/>
      <c r="C487" s="17" t="s">
        <v>56</v>
      </c>
      <c r="D487" s="17"/>
      <c r="E487" s="13">
        <v>49213</v>
      </c>
      <c r="G487" s="1">
        <v>808314</v>
      </c>
      <c r="I487" s="1">
        <v>852630</v>
      </c>
      <c r="K487" s="1">
        <v>0</v>
      </c>
      <c r="M487" s="1">
        <f t="shared" si="66"/>
        <v>1660944</v>
      </c>
      <c r="O487" s="1">
        <f>4553227+414121+312960</f>
        <v>5280308</v>
      </c>
      <c r="Q487" s="1">
        <v>0</v>
      </c>
      <c r="S487" s="1">
        <v>5425641</v>
      </c>
      <c r="U487" s="1">
        <v>12999</v>
      </c>
      <c r="W487" s="1">
        <v>0</v>
      </c>
      <c r="Y487" s="1">
        <v>0</v>
      </c>
      <c r="AA487" s="1">
        <v>15805</v>
      </c>
      <c r="AB487" s="32"/>
      <c r="AC487" s="1">
        <v>0</v>
      </c>
      <c r="AE487" s="1">
        <v>0</v>
      </c>
      <c r="AG487" s="1">
        <f t="shared" si="67"/>
        <v>10734753</v>
      </c>
      <c r="AH487" s="1"/>
      <c r="AI487" s="1">
        <f t="shared" si="68"/>
        <v>12395697</v>
      </c>
    </row>
    <row r="488" spans="1:35" ht="12" customHeight="1">
      <c r="A488" s="17" t="s">
        <v>897</v>
      </c>
      <c r="B488" s="17"/>
      <c r="C488" s="17" t="s">
        <v>227</v>
      </c>
      <c r="D488" s="17"/>
      <c r="E488" s="13">
        <v>46144</v>
      </c>
      <c r="G488" s="1">
        <v>1629111</v>
      </c>
      <c r="I488" s="1">
        <v>2767408</v>
      </c>
      <c r="K488" s="1">
        <v>0</v>
      </c>
      <c r="M488" s="1">
        <f t="shared" si="66"/>
        <v>4396519</v>
      </c>
      <c r="O488" s="1">
        <f>6545535+1527360+211255</f>
        <v>8284150</v>
      </c>
      <c r="Q488" s="1">
        <v>2438661</v>
      </c>
      <c r="S488" s="1">
        <v>11900756</v>
      </c>
      <c r="U488" s="1">
        <v>34280</v>
      </c>
      <c r="W488" s="1">
        <v>0</v>
      </c>
      <c r="Y488" s="1">
        <v>0</v>
      </c>
      <c r="AA488" s="1">
        <f>896+341362</f>
        <v>342258</v>
      </c>
      <c r="AB488" s="32"/>
      <c r="AC488" s="1">
        <v>0</v>
      </c>
      <c r="AE488" s="1">
        <v>0</v>
      </c>
      <c r="AG488" s="1">
        <f t="shared" si="67"/>
        <v>23000105</v>
      </c>
      <c r="AH488" s="1"/>
      <c r="AI488" s="1">
        <f t="shared" si="68"/>
        <v>27396624</v>
      </c>
    </row>
    <row r="489" spans="1:35" ht="12" customHeight="1">
      <c r="A489" s="17" t="s">
        <v>652</v>
      </c>
      <c r="B489" s="17"/>
      <c r="C489" s="17" t="s">
        <v>72</v>
      </c>
      <c r="D489" s="17"/>
      <c r="E489" s="13">
        <v>45609</v>
      </c>
      <c r="G489" s="1">
        <v>969667</v>
      </c>
      <c r="I489" s="1">
        <v>1841154</v>
      </c>
      <c r="K489" s="1">
        <v>0</v>
      </c>
      <c r="M489" s="1">
        <f t="shared" si="66"/>
        <v>2810821</v>
      </c>
      <c r="O489" s="1">
        <v>12106298</v>
      </c>
      <c r="Q489" s="1">
        <v>0</v>
      </c>
      <c r="S489" s="1">
        <v>8593200</v>
      </c>
      <c r="U489" s="1">
        <v>25488</v>
      </c>
      <c r="W489" s="1">
        <v>422594</v>
      </c>
      <c r="Y489" s="1">
        <v>1352858</v>
      </c>
      <c r="AA489" s="1">
        <v>110667</v>
      </c>
      <c r="AB489" s="32"/>
      <c r="AC489" s="1">
        <v>0</v>
      </c>
      <c r="AE489" s="1">
        <v>0</v>
      </c>
      <c r="AG489" s="1">
        <f t="shared" si="67"/>
        <v>22611105</v>
      </c>
      <c r="AH489" s="1"/>
      <c r="AI489" s="1">
        <f t="shared" si="68"/>
        <v>25421926</v>
      </c>
    </row>
    <row r="490" spans="1:35" ht="12" customHeight="1">
      <c r="A490" s="17" t="s">
        <v>570</v>
      </c>
      <c r="B490" s="17"/>
      <c r="C490" s="17" t="s">
        <v>61</v>
      </c>
      <c r="D490" s="17"/>
      <c r="E490" s="13">
        <v>49817</v>
      </c>
      <c r="G490" s="1">
        <v>527033</v>
      </c>
      <c r="I490" s="1">
        <v>455752</v>
      </c>
      <c r="K490" s="1">
        <v>0</v>
      </c>
      <c r="M490" s="1">
        <f t="shared" si="66"/>
        <v>982785</v>
      </c>
      <c r="O490" s="1">
        <f>829377+359277+10957</f>
        <v>1199611</v>
      </c>
      <c r="Q490" s="1">
        <v>285015</v>
      </c>
      <c r="S490" s="1">
        <f>2275724+4988156</f>
        <v>7263880</v>
      </c>
      <c r="U490" s="1">
        <v>14890</v>
      </c>
      <c r="W490" s="1">
        <v>10193</v>
      </c>
      <c r="Y490" s="1">
        <v>2792</v>
      </c>
      <c r="AA490" s="1">
        <v>28388</v>
      </c>
      <c r="AB490" s="32"/>
      <c r="AC490" s="1">
        <v>0</v>
      </c>
      <c r="AE490" s="1">
        <v>0</v>
      </c>
      <c r="AG490" s="1">
        <f t="shared" si="67"/>
        <v>8804769</v>
      </c>
      <c r="AH490" s="1"/>
      <c r="AI490" s="1">
        <f t="shared" si="68"/>
        <v>9787554</v>
      </c>
    </row>
    <row r="491" spans="1:35" ht="12" customHeight="1">
      <c r="A491" s="17" t="s">
        <v>725</v>
      </c>
      <c r="B491" s="17"/>
      <c r="C491" s="17" t="s">
        <v>114</v>
      </c>
      <c r="D491" s="17"/>
      <c r="E491" s="13"/>
      <c r="G491" s="1">
        <v>1375536</v>
      </c>
      <c r="I491" s="1">
        <v>3221719</v>
      </c>
      <c r="K491" s="1">
        <v>0</v>
      </c>
      <c r="M491" s="1">
        <f t="shared" ref="M491:M543" si="69">SUM(G491:L491)</f>
        <v>4597255</v>
      </c>
      <c r="O491" s="1">
        <f>8884162+565345</f>
        <v>9449507</v>
      </c>
      <c r="Q491" s="1">
        <v>7623</v>
      </c>
      <c r="S491" s="1">
        <v>9824572</v>
      </c>
      <c r="U491" s="1">
        <v>5902</v>
      </c>
      <c r="W491" s="1">
        <v>0</v>
      </c>
      <c r="Y491" s="1">
        <v>0</v>
      </c>
      <c r="AA491" s="1">
        <v>136407</v>
      </c>
      <c r="AB491" s="32"/>
      <c r="AC491" s="1">
        <v>0</v>
      </c>
      <c r="AE491" s="1">
        <v>0</v>
      </c>
      <c r="AG491" s="1">
        <f t="shared" si="67"/>
        <v>19424011</v>
      </c>
      <c r="AH491" s="1"/>
      <c r="AI491" s="1">
        <f t="shared" si="68"/>
        <v>24021266</v>
      </c>
    </row>
    <row r="492" spans="1:35" ht="12" customHeight="1">
      <c r="A492" s="17" t="s">
        <v>319</v>
      </c>
      <c r="B492" s="17"/>
      <c r="C492" s="17" t="s">
        <v>24</v>
      </c>
      <c r="D492" s="17"/>
      <c r="E492" s="13">
        <v>44743</v>
      </c>
      <c r="G492" s="1">
        <v>2004585</v>
      </c>
      <c r="I492" s="1">
        <v>11209417</v>
      </c>
      <c r="K492" s="1">
        <v>0</v>
      </c>
      <c r="M492" s="1">
        <f t="shared" si="69"/>
        <v>13214002</v>
      </c>
      <c r="O492" s="1">
        <f>16610254+787009</f>
        <v>17397263</v>
      </c>
      <c r="Q492" s="1">
        <v>0</v>
      </c>
      <c r="S492" s="1">
        <v>19231778</v>
      </c>
      <c r="U492" s="1">
        <v>40751</v>
      </c>
      <c r="W492" s="1">
        <v>92764</v>
      </c>
      <c r="Y492" s="1">
        <v>73476</v>
      </c>
      <c r="AA492" s="1">
        <v>706190</v>
      </c>
      <c r="AB492" s="32"/>
      <c r="AC492" s="1">
        <v>0</v>
      </c>
      <c r="AE492" s="1">
        <v>0</v>
      </c>
      <c r="AG492" s="1">
        <f t="shared" si="67"/>
        <v>37542222</v>
      </c>
      <c r="AH492" s="1"/>
      <c r="AI492" s="1">
        <f t="shared" si="68"/>
        <v>50756224</v>
      </c>
    </row>
    <row r="493" spans="1:35" ht="12" customHeight="1">
      <c r="A493" s="17" t="s">
        <v>584</v>
      </c>
      <c r="B493" s="17"/>
      <c r="C493" s="17" t="s">
        <v>62</v>
      </c>
      <c r="D493" s="17"/>
      <c r="E493" s="13">
        <v>49940</v>
      </c>
      <c r="G493" s="1">
        <v>1075924</v>
      </c>
      <c r="I493" s="1">
        <v>2233269</v>
      </c>
      <c r="K493" s="1">
        <v>16822</v>
      </c>
      <c r="M493" s="1">
        <f t="shared" si="69"/>
        <v>3326015</v>
      </c>
      <c r="O493" s="1">
        <f>3159930+676167+52516+128997</f>
        <v>4017610</v>
      </c>
      <c r="Q493" s="1">
        <v>0</v>
      </c>
      <c r="S493" s="1">
        <v>8215098</v>
      </c>
      <c r="U493" s="1">
        <v>75629</v>
      </c>
      <c r="W493" s="1">
        <v>0</v>
      </c>
      <c r="Y493" s="1">
        <v>0</v>
      </c>
      <c r="AA493" s="1">
        <v>80115</v>
      </c>
      <c r="AB493" s="32"/>
      <c r="AC493" s="1">
        <v>0</v>
      </c>
      <c r="AE493" s="1">
        <v>0</v>
      </c>
      <c r="AG493" s="1">
        <f t="shared" si="67"/>
        <v>12388452</v>
      </c>
      <c r="AH493" s="1"/>
      <c r="AI493" s="1">
        <f t="shared" si="68"/>
        <v>15714467</v>
      </c>
    </row>
    <row r="494" spans="1:35" ht="12" customHeight="1">
      <c r="A494" s="17" t="s">
        <v>529</v>
      </c>
      <c r="B494" s="17"/>
      <c r="C494" s="17" t="s">
        <v>55</v>
      </c>
      <c r="D494" s="17"/>
      <c r="E494" s="13"/>
      <c r="G494" s="1">
        <v>748418</v>
      </c>
      <c r="I494" s="1">
        <v>3331753</v>
      </c>
      <c r="K494" s="1">
        <v>0</v>
      </c>
      <c r="M494" s="1">
        <f t="shared" si="69"/>
        <v>4080171</v>
      </c>
      <c r="O494" s="1">
        <f>1796981+50395</f>
        <v>1847376</v>
      </c>
      <c r="Q494" s="1">
        <v>0</v>
      </c>
      <c r="S494" s="1">
        <v>10843194</v>
      </c>
      <c r="U494" s="1">
        <v>26931</v>
      </c>
      <c r="W494" s="1">
        <v>0</v>
      </c>
      <c r="Y494" s="1">
        <v>4016</v>
      </c>
      <c r="AA494" s="1">
        <v>122572</v>
      </c>
      <c r="AB494" s="32"/>
      <c r="AC494" s="1">
        <v>0</v>
      </c>
      <c r="AE494" s="1">
        <v>0</v>
      </c>
      <c r="AG494" s="1">
        <f t="shared" si="67"/>
        <v>12844089</v>
      </c>
      <c r="AH494" s="1"/>
      <c r="AI494" s="1">
        <f t="shared" si="68"/>
        <v>16924260</v>
      </c>
    </row>
    <row r="495" spans="1:35" ht="12" customHeight="1">
      <c r="A495" s="17" t="s">
        <v>468</v>
      </c>
      <c r="B495" s="17"/>
      <c r="C495" s="17" t="s">
        <v>45</v>
      </c>
      <c r="D495" s="17"/>
      <c r="E495" s="13">
        <v>48355</v>
      </c>
      <c r="G495" s="1">
        <v>547903</v>
      </c>
      <c r="I495" s="1">
        <v>1061928</v>
      </c>
      <c r="K495" s="1">
        <v>15970</v>
      </c>
      <c r="M495" s="1">
        <f t="shared" si="69"/>
        <v>1625801</v>
      </c>
      <c r="O495" s="1">
        <f>1063275+157585+79536+17122</f>
        <v>1317518</v>
      </c>
      <c r="Q495" s="1">
        <v>424640</v>
      </c>
      <c r="S495" s="1">
        <v>4351855</v>
      </c>
      <c r="U495" s="1">
        <v>8811</v>
      </c>
      <c r="W495" s="1">
        <v>0</v>
      </c>
      <c r="Y495" s="1">
        <v>0</v>
      </c>
      <c r="AA495" s="1">
        <v>24308</v>
      </c>
      <c r="AB495" s="32"/>
      <c r="AC495" s="1">
        <v>0</v>
      </c>
      <c r="AE495" s="1">
        <v>0</v>
      </c>
      <c r="AG495" s="1">
        <f t="shared" si="67"/>
        <v>6127132</v>
      </c>
      <c r="AH495" s="1"/>
      <c r="AI495" s="1">
        <f t="shared" si="68"/>
        <v>7752933</v>
      </c>
    </row>
    <row r="496" spans="1:35" ht="12" customHeight="1">
      <c r="A496" s="17" t="s">
        <v>567</v>
      </c>
      <c r="B496" s="17"/>
      <c r="C496" s="17" t="s">
        <v>60</v>
      </c>
      <c r="D496" s="17"/>
      <c r="E496" s="13">
        <v>49684</v>
      </c>
      <c r="G496" s="1">
        <v>1320563</v>
      </c>
      <c r="I496" s="1">
        <v>1001219</v>
      </c>
      <c r="K496" s="1">
        <v>0</v>
      </c>
      <c r="M496" s="1">
        <f t="shared" si="69"/>
        <v>2321782</v>
      </c>
      <c r="O496" s="1">
        <f>2596895+15246+1060934</f>
        <v>3673075</v>
      </c>
      <c r="Q496" s="1">
        <v>891208</v>
      </c>
      <c r="S496" s="1">
        <v>4679402</v>
      </c>
      <c r="U496" s="1">
        <v>20150</v>
      </c>
      <c r="W496" s="1">
        <v>0</v>
      </c>
      <c r="Y496" s="1">
        <v>0</v>
      </c>
      <c r="AA496" s="1">
        <v>13319</v>
      </c>
      <c r="AB496" s="32"/>
      <c r="AC496" s="1">
        <v>0</v>
      </c>
      <c r="AE496" s="1">
        <v>0</v>
      </c>
      <c r="AG496" s="1">
        <f t="shared" si="67"/>
        <v>9277154</v>
      </c>
      <c r="AH496" s="1"/>
      <c r="AI496" s="1">
        <f t="shared" si="68"/>
        <v>11598936</v>
      </c>
    </row>
    <row r="497" spans="1:35" ht="12" customHeight="1">
      <c r="A497" s="17" t="s">
        <v>222</v>
      </c>
      <c r="B497" s="17"/>
      <c r="C497" s="17" t="s">
        <v>15</v>
      </c>
      <c r="D497" s="17"/>
      <c r="E497" s="13">
        <v>46003</v>
      </c>
      <c r="G497" s="1">
        <v>1355188</v>
      </c>
      <c r="I497" s="1">
        <v>1480006</v>
      </c>
      <c r="K497" s="1">
        <v>17859</v>
      </c>
      <c r="M497" s="1">
        <f t="shared" si="69"/>
        <v>2853053</v>
      </c>
      <c r="O497" s="1">
        <f>2333790+333694</f>
        <v>2667484</v>
      </c>
      <c r="Q497" s="1">
        <v>0</v>
      </c>
      <c r="S497" s="1">
        <v>2607860</v>
      </c>
      <c r="U497" s="1">
        <v>27766</v>
      </c>
      <c r="W497" s="1">
        <v>0</v>
      </c>
      <c r="Y497" s="1">
        <v>5603</v>
      </c>
      <c r="AA497" s="1">
        <f>1848+5823</f>
        <v>7671</v>
      </c>
      <c r="AB497" s="1"/>
      <c r="AC497" s="1">
        <v>0</v>
      </c>
      <c r="AE497" s="1">
        <v>0</v>
      </c>
      <c r="AG497" s="1">
        <f t="shared" si="67"/>
        <v>5316384</v>
      </c>
      <c r="AH497" s="1"/>
      <c r="AI497" s="1">
        <f t="shared" si="68"/>
        <v>8169437</v>
      </c>
    </row>
    <row r="498" spans="1:35" ht="12" customHeight="1">
      <c r="A498" s="17" t="s">
        <v>303</v>
      </c>
      <c r="B498" s="17"/>
      <c r="C498" s="17" t="s">
        <v>20</v>
      </c>
      <c r="D498" s="17"/>
      <c r="E498" s="13">
        <v>44750</v>
      </c>
      <c r="G498" s="1">
        <v>2562863</v>
      </c>
      <c r="I498" s="1">
        <v>5511058</v>
      </c>
      <c r="K498" s="1">
        <v>242179</v>
      </c>
      <c r="M498" s="1">
        <f t="shared" si="69"/>
        <v>8316100</v>
      </c>
      <c r="O498" s="1">
        <f>56751088+2960050</f>
        <v>59711138</v>
      </c>
      <c r="Q498" s="1">
        <v>0</v>
      </c>
      <c r="S498" s="1">
        <v>26070039</v>
      </c>
      <c r="U498" s="1">
        <v>532965</v>
      </c>
      <c r="W498" s="1">
        <v>0</v>
      </c>
      <c r="Y498" s="1">
        <v>0</v>
      </c>
      <c r="AA498" s="1">
        <f>21600+332234</f>
        <v>353834</v>
      </c>
      <c r="AB498" s="32"/>
      <c r="AC498" s="1">
        <v>0</v>
      </c>
      <c r="AE498" s="1">
        <v>0</v>
      </c>
      <c r="AG498" s="1">
        <f t="shared" si="67"/>
        <v>86667976</v>
      </c>
      <c r="AH498" s="1"/>
      <c r="AI498" s="1">
        <f t="shared" si="68"/>
        <v>94984076</v>
      </c>
    </row>
    <row r="499" spans="1:35" ht="12" hidden="1" customHeight="1">
      <c r="A499" s="17" t="s">
        <v>872</v>
      </c>
      <c r="B499" s="17"/>
      <c r="C499" s="17" t="s">
        <v>10</v>
      </c>
      <c r="D499" s="17"/>
      <c r="E499" s="13"/>
      <c r="M499" s="1">
        <f t="shared" si="69"/>
        <v>0</v>
      </c>
      <c r="AB499" s="32"/>
      <c r="AG499" s="1">
        <f t="shared" si="67"/>
        <v>0</v>
      </c>
      <c r="AH499" s="1"/>
      <c r="AI499" s="1">
        <f t="shared" si="68"/>
        <v>0</v>
      </c>
    </row>
    <row r="500" spans="1:35" ht="12" customHeight="1">
      <c r="A500" s="17" t="s">
        <v>447</v>
      </c>
      <c r="B500" s="17"/>
      <c r="C500" s="17" t="s">
        <v>44</v>
      </c>
      <c r="D500" s="17"/>
      <c r="E500" s="13">
        <v>44768</v>
      </c>
      <c r="G500" s="1">
        <v>1539456</v>
      </c>
      <c r="I500" s="1">
        <v>1405982</v>
      </c>
      <c r="K500" s="1">
        <v>0</v>
      </c>
      <c r="M500" s="1">
        <f t="shared" si="69"/>
        <v>2945438</v>
      </c>
      <c r="O500" s="1">
        <f>10066573+309051</f>
        <v>10375624</v>
      </c>
      <c r="Q500" s="1">
        <v>0</v>
      </c>
      <c r="S500" s="1">
        <v>7515647</v>
      </c>
      <c r="U500" s="1">
        <v>14436</v>
      </c>
      <c r="W500" s="1">
        <v>0</v>
      </c>
      <c r="Y500" s="1">
        <v>0</v>
      </c>
      <c r="AA500" s="1">
        <v>162555</v>
      </c>
      <c r="AB500" s="32"/>
      <c r="AC500" s="1">
        <v>0</v>
      </c>
      <c r="AE500" s="1">
        <v>0</v>
      </c>
      <c r="AG500" s="1">
        <f t="shared" si="67"/>
        <v>18068262</v>
      </c>
      <c r="AH500" s="1"/>
      <c r="AI500" s="1">
        <f t="shared" si="68"/>
        <v>21013700</v>
      </c>
    </row>
    <row r="501" spans="1:35" ht="12" customHeight="1">
      <c r="A501" s="17" t="s">
        <v>548</v>
      </c>
      <c r="B501" s="17"/>
      <c r="C501" s="17" t="s">
        <v>112</v>
      </c>
      <c r="D501" s="17"/>
      <c r="E501" s="13">
        <v>44776</v>
      </c>
      <c r="G501" s="1">
        <v>1278091</v>
      </c>
      <c r="I501" s="1">
        <v>2649876</v>
      </c>
      <c r="K501" s="1">
        <v>0</v>
      </c>
      <c r="M501" s="1">
        <f t="shared" si="69"/>
        <v>3927967</v>
      </c>
      <c r="O501" s="1">
        <f>4950327+199667</f>
        <v>5149994</v>
      </c>
      <c r="Q501" s="1">
        <v>2307421</v>
      </c>
      <c r="S501" s="1">
        <v>9374521</v>
      </c>
      <c r="U501" s="1">
        <v>14690</v>
      </c>
      <c r="W501" s="1">
        <v>0</v>
      </c>
      <c r="Y501" s="1">
        <v>0</v>
      </c>
      <c r="AA501" s="1">
        <v>96036</v>
      </c>
      <c r="AB501" s="32"/>
      <c r="AC501" s="1">
        <v>0</v>
      </c>
      <c r="AE501" s="1">
        <v>0</v>
      </c>
      <c r="AG501" s="1">
        <f t="shared" si="67"/>
        <v>16942662</v>
      </c>
      <c r="AH501" s="1"/>
      <c r="AI501" s="1">
        <f t="shared" si="68"/>
        <v>20870629</v>
      </c>
    </row>
    <row r="502" spans="1:35" ht="12" customHeight="1">
      <c r="A502" s="17" t="s">
        <v>571</v>
      </c>
      <c r="B502" s="17"/>
      <c r="C502" s="17" t="s">
        <v>61</v>
      </c>
      <c r="D502" s="17"/>
      <c r="E502" s="13">
        <v>44784</v>
      </c>
      <c r="G502" s="1">
        <v>1759944</v>
      </c>
      <c r="I502" s="1">
        <v>7284732</v>
      </c>
      <c r="K502" s="1">
        <v>0</v>
      </c>
      <c r="M502" s="1">
        <f t="shared" si="69"/>
        <v>9044676</v>
      </c>
      <c r="O502" s="1">
        <f>13220678+1526447+77951</f>
        <v>14825076</v>
      </c>
      <c r="Q502" s="1">
        <v>0</v>
      </c>
      <c r="S502" s="1">
        <v>18272403</v>
      </c>
      <c r="U502" s="1">
        <v>10428</v>
      </c>
      <c r="W502" s="1">
        <v>67976</v>
      </c>
      <c r="Y502" s="1">
        <v>1119</v>
      </c>
      <c r="AA502" s="1">
        <v>305485</v>
      </c>
      <c r="AB502" s="32"/>
      <c r="AC502" s="1">
        <v>0</v>
      </c>
      <c r="AE502" s="1">
        <v>0</v>
      </c>
      <c r="AG502" s="1">
        <f t="shared" si="67"/>
        <v>33482487</v>
      </c>
      <c r="AH502" s="1"/>
      <c r="AI502" s="1">
        <f t="shared" si="68"/>
        <v>42527163</v>
      </c>
    </row>
    <row r="503" spans="1:35" ht="12" customHeight="1">
      <c r="A503" s="17" t="s">
        <v>304</v>
      </c>
      <c r="B503" s="17"/>
      <c r="C503" s="17" t="s">
        <v>20</v>
      </c>
      <c r="D503" s="17"/>
      <c r="E503" s="13">
        <v>46607</v>
      </c>
      <c r="G503" s="1">
        <v>3580449</v>
      </c>
      <c r="I503" s="1">
        <v>3026007</v>
      </c>
      <c r="K503" s="1">
        <v>0</v>
      </c>
      <c r="M503" s="1">
        <f t="shared" si="69"/>
        <v>6606456</v>
      </c>
      <c r="O503" s="1">
        <f>42976751+3024673+1279247</f>
        <v>47280671</v>
      </c>
      <c r="Q503" s="1">
        <v>0</v>
      </c>
      <c r="S503" s="1">
        <v>18599016</v>
      </c>
      <c r="U503" s="1">
        <v>359547</v>
      </c>
      <c r="W503" s="1">
        <v>315005</v>
      </c>
      <c r="Y503" s="1">
        <v>0</v>
      </c>
      <c r="AA503" s="1">
        <v>367684</v>
      </c>
      <c r="AB503" s="32"/>
      <c r="AC503" s="1">
        <v>0</v>
      </c>
      <c r="AE503" s="1">
        <v>0</v>
      </c>
      <c r="AG503" s="1">
        <f t="shared" si="67"/>
        <v>66921923</v>
      </c>
      <c r="AH503" s="1"/>
      <c r="AI503" s="1">
        <f t="shared" si="68"/>
        <v>73528379</v>
      </c>
    </row>
    <row r="504" spans="1:35" ht="12" customHeight="1">
      <c r="A504" s="17" t="s">
        <v>767</v>
      </c>
      <c r="B504" s="17"/>
      <c r="C504" s="12" t="s">
        <v>37</v>
      </c>
      <c r="D504" s="17"/>
      <c r="E504" s="13"/>
      <c r="G504" s="1">
        <v>574185</v>
      </c>
      <c r="I504" s="1">
        <v>1189433</v>
      </c>
      <c r="K504" s="1">
        <v>0</v>
      </c>
      <c r="M504" s="1">
        <f t="shared" si="69"/>
        <v>1763618</v>
      </c>
      <c r="O504" s="1">
        <f>1289410+130912+25567</f>
        <v>1445889</v>
      </c>
      <c r="Q504" s="1">
        <v>818523</v>
      </c>
      <c r="S504" s="1">
        <v>4854152</v>
      </c>
      <c r="U504" s="1">
        <v>15194</v>
      </c>
      <c r="W504" s="1">
        <v>0</v>
      </c>
      <c r="Y504" s="1">
        <v>0</v>
      </c>
      <c r="AA504" s="1">
        <v>20743</v>
      </c>
      <c r="AB504" s="32"/>
      <c r="AC504" s="1">
        <v>0</v>
      </c>
      <c r="AE504" s="1">
        <v>0</v>
      </c>
      <c r="AG504" s="1">
        <f t="shared" si="67"/>
        <v>7154501</v>
      </c>
      <c r="AH504" s="1"/>
      <c r="AI504" s="1">
        <f t="shared" si="68"/>
        <v>8918119</v>
      </c>
    </row>
    <row r="505" spans="1:35" ht="12" customHeight="1">
      <c r="A505" s="17" t="s">
        <v>305</v>
      </c>
      <c r="B505" s="17"/>
      <c r="C505" s="17" t="s">
        <v>20</v>
      </c>
      <c r="D505" s="17"/>
      <c r="E505" s="13">
        <v>44792</v>
      </c>
      <c r="G505" s="1">
        <v>3117086</v>
      </c>
      <c r="I505" s="1">
        <v>4880840</v>
      </c>
      <c r="K505" s="1">
        <v>325395</v>
      </c>
      <c r="M505" s="1">
        <f t="shared" si="69"/>
        <v>8323321</v>
      </c>
      <c r="O505" s="1">
        <f>41722586+686900+1900522</f>
        <v>44310008</v>
      </c>
      <c r="Q505" s="1">
        <v>0</v>
      </c>
      <c r="S505" s="1">
        <v>15481397</v>
      </c>
      <c r="U505" s="1">
        <v>22056</v>
      </c>
      <c r="W505" s="1">
        <v>0</v>
      </c>
      <c r="Y505" s="1">
        <v>0</v>
      </c>
      <c r="AA505" s="1">
        <v>1048328</v>
      </c>
      <c r="AB505" s="32"/>
      <c r="AC505" s="1">
        <v>0</v>
      </c>
      <c r="AE505" s="1">
        <v>0</v>
      </c>
      <c r="AG505" s="1">
        <f t="shared" si="67"/>
        <v>60861789</v>
      </c>
      <c r="AH505" s="1"/>
      <c r="AI505" s="1">
        <f t="shared" si="68"/>
        <v>69185110</v>
      </c>
    </row>
    <row r="506" spans="1:35" ht="12" customHeight="1">
      <c r="A506" s="17" t="s">
        <v>425</v>
      </c>
      <c r="B506" s="17"/>
      <c r="C506" s="17" t="s">
        <v>420</v>
      </c>
      <c r="D506" s="17"/>
      <c r="E506" s="13">
        <v>47951</v>
      </c>
      <c r="G506" s="1">
        <v>422650</v>
      </c>
      <c r="I506" s="1">
        <v>3909438</v>
      </c>
      <c r="K506" s="1">
        <v>0</v>
      </c>
      <c r="M506" s="1">
        <f t="shared" si="69"/>
        <v>4332088</v>
      </c>
      <c r="O506" s="1">
        <v>3662574</v>
      </c>
      <c r="Q506" s="1">
        <v>0</v>
      </c>
      <c r="S506" s="1">
        <v>12575578</v>
      </c>
      <c r="U506" s="1">
        <v>27606</v>
      </c>
      <c r="W506" s="1">
        <v>0</v>
      </c>
      <c r="Y506" s="1">
        <v>0</v>
      </c>
      <c r="AA506" s="1">
        <v>103457</v>
      </c>
      <c r="AB506" s="32"/>
      <c r="AC506" s="1">
        <v>0</v>
      </c>
      <c r="AE506" s="1">
        <v>0</v>
      </c>
      <c r="AG506" s="1">
        <f t="shared" si="67"/>
        <v>16369215</v>
      </c>
      <c r="AH506" s="1"/>
      <c r="AI506" s="1">
        <f t="shared" si="68"/>
        <v>20701303</v>
      </c>
    </row>
    <row r="507" spans="1:35" ht="12" customHeight="1">
      <c r="A507" s="17"/>
      <c r="B507" s="17"/>
      <c r="C507" s="17"/>
      <c r="D507" s="17"/>
      <c r="E507" s="13"/>
      <c r="AB507" s="32"/>
      <c r="AH507" s="1"/>
    </row>
    <row r="508" spans="1:35" ht="12" customHeight="1">
      <c r="A508" s="17"/>
      <c r="B508" s="17"/>
      <c r="C508" s="17"/>
      <c r="D508" s="17"/>
      <c r="E508" s="13"/>
      <c r="AB508" s="32"/>
      <c r="AH508" s="1"/>
      <c r="AI508" s="20" t="s">
        <v>709</v>
      </c>
    </row>
    <row r="509" spans="1:35" ht="12" customHeight="1">
      <c r="A509" s="17"/>
      <c r="B509" s="17"/>
      <c r="C509" s="17"/>
      <c r="D509" s="17"/>
      <c r="E509" s="13"/>
      <c r="AB509" s="32"/>
      <c r="AH509" s="1"/>
    </row>
    <row r="510" spans="1:35" ht="12" customHeight="1">
      <c r="A510" s="17" t="s">
        <v>469</v>
      </c>
      <c r="B510" s="17"/>
      <c r="C510" s="17" t="s">
        <v>45</v>
      </c>
      <c r="D510" s="17"/>
      <c r="E510" s="13">
        <v>48363</v>
      </c>
      <c r="G510" s="16">
        <v>524089</v>
      </c>
      <c r="H510" s="16"/>
      <c r="I510" s="16">
        <v>1141176</v>
      </c>
      <c r="J510" s="16"/>
      <c r="K510" s="16">
        <v>0</v>
      </c>
      <c r="L510" s="16"/>
      <c r="M510" s="16">
        <f t="shared" si="69"/>
        <v>1665265</v>
      </c>
      <c r="N510" s="16"/>
      <c r="O510" s="16">
        <f>4910970+57480+1173176</f>
        <v>6141626</v>
      </c>
      <c r="P510" s="16"/>
      <c r="Q510" s="16">
        <v>0</v>
      </c>
      <c r="R510" s="16"/>
      <c r="S510" s="16">
        <v>5935657</v>
      </c>
      <c r="T510" s="16"/>
      <c r="U510" s="16">
        <v>102776</v>
      </c>
      <c r="V510" s="16"/>
      <c r="W510" s="16">
        <v>0</v>
      </c>
      <c r="X510" s="16"/>
      <c r="Y510" s="16">
        <v>0</v>
      </c>
      <c r="Z510" s="16"/>
      <c r="AA510" s="16">
        <v>25376</v>
      </c>
      <c r="AB510" s="34"/>
      <c r="AC510" s="16">
        <v>0</v>
      </c>
      <c r="AD510" s="16"/>
      <c r="AE510" s="16">
        <v>0</v>
      </c>
      <c r="AF510" s="16"/>
      <c r="AG510" s="16">
        <f t="shared" si="67"/>
        <v>12205435</v>
      </c>
      <c r="AH510" s="16"/>
      <c r="AI510" s="16">
        <f t="shared" si="68"/>
        <v>13870700</v>
      </c>
    </row>
    <row r="511" spans="1:35" ht="12" customHeight="1">
      <c r="A511" s="17" t="s">
        <v>537</v>
      </c>
      <c r="B511" s="17"/>
      <c r="C511" s="17" t="s">
        <v>56</v>
      </c>
      <c r="D511" s="17"/>
      <c r="E511" s="13">
        <v>49221</v>
      </c>
      <c r="G511" s="1">
        <v>648361</v>
      </c>
      <c r="I511" s="1">
        <v>1646982</v>
      </c>
      <c r="K511" s="1">
        <v>0</v>
      </c>
      <c r="M511" s="1">
        <f t="shared" si="69"/>
        <v>2295343</v>
      </c>
      <c r="O511" s="1">
        <f>6260262+523157+87325</f>
        <v>6870744</v>
      </c>
      <c r="Q511" s="1">
        <v>0</v>
      </c>
      <c r="S511" s="1">
        <v>12713410</v>
      </c>
      <c r="U511" s="1">
        <v>20329</v>
      </c>
      <c r="W511" s="1">
        <v>0</v>
      </c>
      <c r="Y511" s="1">
        <v>0</v>
      </c>
      <c r="AA511" s="1">
        <v>46332</v>
      </c>
      <c r="AB511" s="32"/>
      <c r="AC511" s="1">
        <v>0</v>
      </c>
      <c r="AE511" s="1">
        <v>0</v>
      </c>
      <c r="AG511" s="1">
        <f t="shared" si="67"/>
        <v>19650815</v>
      </c>
      <c r="AH511" s="1"/>
      <c r="AI511" s="1">
        <f t="shared" si="68"/>
        <v>21946158</v>
      </c>
    </row>
    <row r="512" spans="1:35" ht="12" customHeight="1">
      <c r="A512" s="17" t="s">
        <v>537</v>
      </c>
      <c r="B512" s="17"/>
      <c r="C512" s="17" t="s">
        <v>71</v>
      </c>
      <c r="D512" s="17"/>
      <c r="E512" s="13">
        <v>50583</v>
      </c>
      <c r="G512" s="1">
        <v>1638933</v>
      </c>
      <c r="I512" s="1">
        <v>3530487</v>
      </c>
      <c r="K512" s="1">
        <v>0</v>
      </c>
      <c r="M512" s="1">
        <f t="shared" si="69"/>
        <v>5169420</v>
      </c>
      <c r="O512" s="1">
        <f>5881651+269945</f>
        <v>6151596</v>
      </c>
      <c r="Q512" s="1">
        <v>0</v>
      </c>
      <c r="S512" s="1">
        <v>6083526</v>
      </c>
      <c r="U512" s="1">
        <v>14536</v>
      </c>
      <c r="W512" s="1">
        <v>0</v>
      </c>
      <c r="Y512" s="1">
        <v>358712</v>
      </c>
      <c r="AA512" s="1">
        <v>12196</v>
      </c>
      <c r="AB512" s="32"/>
      <c r="AC512" s="1">
        <v>0</v>
      </c>
      <c r="AE512" s="1">
        <v>0</v>
      </c>
      <c r="AG512" s="1">
        <f t="shared" si="67"/>
        <v>12620566</v>
      </c>
      <c r="AH512" s="1"/>
      <c r="AI512" s="1">
        <f t="shared" si="68"/>
        <v>17789986</v>
      </c>
    </row>
    <row r="513" spans="1:35" ht="12" customHeight="1">
      <c r="A513" s="17" t="s">
        <v>249</v>
      </c>
      <c r="B513" s="17"/>
      <c r="C513" s="17" t="s">
        <v>17</v>
      </c>
      <c r="D513" s="17"/>
      <c r="E513" s="13">
        <v>46276</v>
      </c>
      <c r="G513" s="1">
        <v>622053</v>
      </c>
      <c r="I513" s="1">
        <v>834497</v>
      </c>
      <c r="K513" s="1">
        <v>0</v>
      </c>
      <c r="M513" s="1">
        <f t="shared" si="69"/>
        <v>1456550</v>
      </c>
      <c r="O513" s="1">
        <f>2175942+208340</f>
        <v>2384282</v>
      </c>
      <c r="Q513" s="1">
        <v>875047</v>
      </c>
      <c r="S513" s="1">
        <v>3754626</v>
      </c>
      <c r="U513" s="1">
        <v>53146</v>
      </c>
      <c r="W513" s="1">
        <v>0</v>
      </c>
      <c r="Y513" s="1">
        <v>0</v>
      </c>
      <c r="AA513" s="1">
        <v>7672</v>
      </c>
      <c r="AB513" s="32"/>
      <c r="AC513" s="1">
        <v>0</v>
      </c>
      <c r="AE513" s="1">
        <v>0</v>
      </c>
      <c r="AG513" s="1">
        <f t="shared" si="67"/>
        <v>7074773</v>
      </c>
      <c r="AH513" s="1"/>
      <c r="AI513" s="1">
        <f t="shared" si="68"/>
        <v>8531323</v>
      </c>
    </row>
    <row r="514" spans="1:35" ht="12" customHeight="1">
      <c r="A514" s="17" t="s">
        <v>249</v>
      </c>
      <c r="B514" s="17"/>
      <c r="C514" s="17" t="s">
        <v>58</v>
      </c>
      <c r="D514" s="17"/>
      <c r="E514" s="13">
        <v>49528</v>
      </c>
      <c r="G514" s="1">
        <v>1084731</v>
      </c>
      <c r="I514" s="1">
        <v>1904935</v>
      </c>
      <c r="K514" s="1">
        <v>0</v>
      </c>
      <c r="M514" s="1">
        <f t="shared" si="69"/>
        <v>2989666</v>
      </c>
      <c r="O514" s="1">
        <f>1640518+305803+30628</f>
        <v>1976949</v>
      </c>
      <c r="Q514" s="1">
        <v>54603</v>
      </c>
      <c r="S514" s="1">
        <v>7589425</v>
      </c>
      <c r="U514" s="1">
        <v>49609</v>
      </c>
      <c r="W514" s="1">
        <v>0</v>
      </c>
      <c r="Y514" s="1">
        <v>0</v>
      </c>
      <c r="AA514" s="1">
        <f>1500+194847</f>
        <v>196347</v>
      </c>
      <c r="AB514" s="32"/>
      <c r="AC514" s="1">
        <v>0</v>
      </c>
      <c r="AE514" s="1">
        <v>0</v>
      </c>
      <c r="AG514" s="1">
        <f t="shared" si="67"/>
        <v>9866933</v>
      </c>
      <c r="AH514" s="1"/>
      <c r="AI514" s="1">
        <f t="shared" si="68"/>
        <v>12856599</v>
      </c>
    </row>
    <row r="515" spans="1:35">
      <c r="A515" s="17" t="s">
        <v>269</v>
      </c>
      <c r="B515" s="17"/>
      <c r="C515" s="17" t="s">
        <v>114</v>
      </c>
      <c r="D515" s="17"/>
      <c r="E515" s="13">
        <v>46441</v>
      </c>
      <c r="G515" s="1">
        <v>634248</v>
      </c>
      <c r="I515" s="1">
        <v>1281653</v>
      </c>
      <c r="K515" s="1">
        <v>0</v>
      </c>
      <c r="M515" s="1">
        <f>SUM(G515:L515)</f>
        <v>1915901</v>
      </c>
      <c r="O515" s="1">
        <f>1628816+211360+44111</f>
        <v>1884287</v>
      </c>
      <c r="Q515" s="1">
        <v>0</v>
      </c>
      <c r="S515" s="1">
        <v>6355757</v>
      </c>
      <c r="U515" s="1">
        <v>3746</v>
      </c>
      <c r="W515" s="1">
        <v>0</v>
      </c>
      <c r="Y515" s="1">
        <v>0</v>
      </c>
      <c r="AA515" s="1">
        <v>46532</v>
      </c>
      <c r="AB515" s="32"/>
      <c r="AC515" s="1">
        <v>0</v>
      </c>
      <c r="AE515" s="1">
        <v>0</v>
      </c>
      <c r="AG515" s="1">
        <f t="shared" si="67"/>
        <v>8290322</v>
      </c>
      <c r="AH515" s="1"/>
      <c r="AI515" s="1">
        <f t="shared" si="68"/>
        <v>10206223</v>
      </c>
    </row>
    <row r="516" spans="1:35">
      <c r="A516" s="17" t="s">
        <v>269</v>
      </c>
      <c r="B516" s="17"/>
      <c r="C516" s="17" t="s">
        <v>484</v>
      </c>
      <c r="D516" s="17"/>
      <c r="E516" s="13">
        <v>46441</v>
      </c>
      <c r="G516" s="1">
        <v>395998</v>
      </c>
      <c r="I516" s="1">
        <v>2342470</v>
      </c>
      <c r="K516" s="1">
        <v>10000</v>
      </c>
      <c r="M516" s="1">
        <f t="shared" si="69"/>
        <v>2748468</v>
      </c>
      <c r="O516" s="1">
        <f>1457139+361617+35678</f>
        <v>1854434</v>
      </c>
      <c r="Q516" s="1">
        <v>0</v>
      </c>
      <c r="S516" s="1">
        <v>4593476</v>
      </c>
      <c r="U516" s="1">
        <v>44727</v>
      </c>
      <c r="W516" s="1">
        <v>0</v>
      </c>
      <c r="Y516" s="1">
        <v>0</v>
      </c>
      <c r="AA516" s="1">
        <f>1200+27079</f>
        <v>28279</v>
      </c>
      <c r="AB516" s="32"/>
      <c r="AC516" s="1">
        <v>0</v>
      </c>
      <c r="AE516" s="1">
        <v>0</v>
      </c>
      <c r="AG516" s="1">
        <f t="shared" si="67"/>
        <v>6520916</v>
      </c>
      <c r="AH516" s="1"/>
      <c r="AI516" s="1">
        <f t="shared" si="68"/>
        <v>9269384</v>
      </c>
    </row>
    <row r="517" spans="1:35" hidden="1">
      <c r="A517" s="12" t="s">
        <v>873</v>
      </c>
      <c r="B517" s="12"/>
      <c r="C517" s="12" t="s">
        <v>524</v>
      </c>
      <c r="D517" s="17"/>
      <c r="E517" s="13"/>
      <c r="M517" s="1">
        <f t="shared" si="69"/>
        <v>0</v>
      </c>
      <c r="AB517" s="32"/>
      <c r="AG517" s="1">
        <f t="shared" si="67"/>
        <v>0</v>
      </c>
      <c r="AH517" s="1"/>
      <c r="AI517" s="1">
        <f t="shared" si="68"/>
        <v>0</v>
      </c>
    </row>
    <row r="518" spans="1:35" ht="12" customHeight="1">
      <c r="A518" s="17" t="s">
        <v>615</v>
      </c>
      <c r="B518" s="17"/>
      <c r="C518" s="17" t="s">
        <v>64</v>
      </c>
      <c r="D518" s="17"/>
      <c r="E518" s="13">
        <v>50237</v>
      </c>
      <c r="G518" s="1">
        <v>582765</v>
      </c>
      <c r="I518" s="1">
        <v>659472</v>
      </c>
      <c r="K518" s="1">
        <v>3600</v>
      </c>
      <c r="M518" s="1">
        <f t="shared" si="69"/>
        <v>1245837</v>
      </c>
      <c r="O518" s="1">
        <f>1397718+454798+81335</f>
        <v>1933851</v>
      </c>
      <c r="Q518" s="1">
        <v>0</v>
      </c>
      <c r="S518" s="1">
        <v>2956793</v>
      </c>
      <c r="U518" s="1">
        <v>280969</v>
      </c>
      <c r="W518" s="1">
        <v>0</v>
      </c>
      <c r="Y518" s="1">
        <v>0</v>
      </c>
      <c r="AA518" s="1">
        <v>86921</v>
      </c>
      <c r="AB518" s="32"/>
      <c r="AC518" s="1">
        <v>0</v>
      </c>
      <c r="AE518" s="1">
        <v>0</v>
      </c>
      <c r="AG518" s="1">
        <f t="shared" si="67"/>
        <v>5258534</v>
      </c>
      <c r="AH518" s="1"/>
      <c r="AI518" s="1">
        <f t="shared" si="68"/>
        <v>6504371</v>
      </c>
    </row>
    <row r="519" spans="1:35" ht="12" customHeight="1">
      <c r="A519" s="17" t="s">
        <v>434</v>
      </c>
      <c r="B519" s="17"/>
      <c r="C519" s="17" t="s">
        <v>42</v>
      </c>
      <c r="D519" s="17"/>
      <c r="E519" s="13">
        <v>48041</v>
      </c>
      <c r="G519" s="1">
        <v>1964681</v>
      </c>
      <c r="I519" s="1">
        <v>2976062</v>
      </c>
      <c r="K519" s="1">
        <v>0</v>
      </c>
      <c r="M519" s="1">
        <f t="shared" si="69"/>
        <v>4940743</v>
      </c>
      <c r="O519" s="1">
        <f>14510685+1873571+1430117</f>
        <v>17814373</v>
      </c>
      <c r="Q519" s="1">
        <v>4335514</v>
      </c>
      <c r="S519" s="1">
        <v>14176489</v>
      </c>
      <c r="U519" s="1">
        <v>114050</v>
      </c>
      <c r="W519" s="1">
        <v>110831</v>
      </c>
      <c r="Y519" s="1">
        <v>0</v>
      </c>
      <c r="AA519" s="1">
        <v>100143</v>
      </c>
      <c r="AB519" s="32"/>
      <c r="AC519" s="1">
        <v>0</v>
      </c>
      <c r="AE519" s="1">
        <v>0</v>
      </c>
      <c r="AG519" s="1">
        <f t="shared" si="67"/>
        <v>36651400</v>
      </c>
      <c r="AH519" s="1"/>
      <c r="AI519" s="1">
        <f t="shared" si="68"/>
        <v>41592143</v>
      </c>
    </row>
    <row r="520" spans="1:35" ht="12" customHeight="1">
      <c r="A520" s="17" t="s">
        <v>374</v>
      </c>
      <c r="B520" s="17"/>
      <c r="C520" s="17" t="s">
        <v>32</v>
      </c>
      <c r="D520" s="17"/>
      <c r="E520" s="13">
        <v>47381</v>
      </c>
      <c r="G520" s="1">
        <v>1446439</v>
      </c>
      <c r="I520" s="1">
        <v>4732012</v>
      </c>
      <c r="K520" s="1">
        <v>0</v>
      </c>
      <c r="M520" s="1">
        <f t="shared" si="69"/>
        <v>6178451</v>
      </c>
      <c r="O520" s="1">
        <f>11046558+1686387+4</f>
        <v>12732949</v>
      </c>
      <c r="Q520" s="1">
        <v>3109820</v>
      </c>
      <c r="S520" s="1">
        <v>14916764</v>
      </c>
      <c r="U520" s="1">
        <v>51854</v>
      </c>
      <c r="W520" s="1">
        <v>122134</v>
      </c>
      <c r="Y520" s="1">
        <v>820</v>
      </c>
      <c r="AA520" s="1">
        <v>539199</v>
      </c>
      <c r="AB520" s="32"/>
      <c r="AC520" s="1">
        <v>0</v>
      </c>
      <c r="AE520" s="1">
        <v>0</v>
      </c>
      <c r="AG520" s="1">
        <f t="shared" si="67"/>
        <v>31473540</v>
      </c>
      <c r="AH520" s="1"/>
      <c r="AI520" s="1">
        <f t="shared" si="68"/>
        <v>37651991</v>
      </c>
    </row>
    <row r="521" spans="1:35" ht="12" customHeight="1">
      <c r="A521" s="17" t="s">
        <v>340</v>
      </c>
      <c r="B521" s="17"/>
      <c r="C521" s="17" t="s">
        <v>27</v>
      </c>
      <c r="D521" s="17"/>
      <c r="E521" s="13">
        <v>44800</v>
      </c>
      <c r="G521" s="1">
        <v>4194396</v>
      </c>
      <c r="I521" s="1">
        <v>35369286</v>
      </c>
      <c r="K521" s="1">
        <v>0</v>
      </c>
      <c r="M521" s="1">
        <f t="shared" si="69"/>
        <v>39563682</v>
      </c>
      <c r="O521" s="1">
        <f>92055343+13130296+4207501</f>
        <v>109393140</v>
      </c>
      <c r="Q521" s="1">
        <v>0</v>
      </c>
      <c r="S521" s="1">
        <v>109993005</v>
      </c>
      <c r="U521" s="1">
        <v>335983</v>
      </c>
      <c r="W521" s="1">
        <v>1360937</v>
      </c>
      <c r="Y521" s="1">
        <v>0</v>
      </c>
      <c r="AA521" s="1">
        <v>6622557</v>
      </c>
      <c r="AB521" s="32"/>
      <c r="AC521" s="1">
        <v>0</v>
      </c>
      <c r="AE521" s="1">
        <v>0</v>
      </c>
      <c r="AG521" s="1">
        <f t="shared" si="67"/>
        <v>227705622</v>
      </c>
      <c r="AH521" s="1"/>
      <c r="AI521" s="1">
        <f t="shared" si="68"/>
        <v>267269304</v>
      </c>
    </row>
    <row r="522" spans="1:35" ht="12.75" hidden="1" customHeight="1">
      <c r="A522" s="17" t="s">
        <v>875</v>
      </c>
      <c r="B522" s="17"/>
      <c r="C522" s="17" t="s">
        <v>10</v>
      </c>
      <c r="D522" s="17"/>
      <c r="E522" s="13">
        <v>45807</v>
      </c>
      <c r="M522" s="1">
        <f t="shared" si="69"/>
        <v>0</v>
      </c>
      <c r="AB522" s="32"/>
      <c r="AG522" s="1">
        <f t="shared" si="67"/>
        <v>0</v>
      </c>
      <c r="AH522" s="1"/>
      <c r="AI522" s="1">
        <f t="shared" si="68"/>
        <v>0</v>
      </c>
    </row>
    <row r="523" spans="1:35" ht="12.75" hidden="1" customHeight="1">
      <c r="A523" s="17" t="s">
        <v>874</v>
      </c>
      <c r="B523" s="17"/>
      <c r="C523" s="17" t="s">
        <v>69</v>
      </c>
      <c r="D523" s="17"/>
      <c r="E523" s="13">
        <v>50427</v>
      </c>
      <c r="M523" s="1">
        <f t="shared" si="69"/>
        <v>0</v>
      </c>
      <c r="AB523" s="32"/>
      <c r="AG523" s="1">
        <f t="shared" si="67"/>
        <v>0</v>
      </c>
      <c r="AH523" s="1"/>
      <c r="AI523" s="1">
        <f t="shared" si="68"/>
        <v>0</v>
      </c>
    </row>
    <row r="524" spans="1:35" ht="12" customHeight="1">
      <c r="A524" s="17" t="s">
        <v>761</v>
      </c>
      <c r="B524" s="17"/>
      <c r="C524" s="17" t="s">
        <v>17</v>
      </c>
      <c r="D524" s="17"/>
      <c r="E524" s="13"/>
      <c r="G524" s="1">
        <v>2616340</v>
      </c>
      <c r="I524" s="1">
        <v>23113839</v>
      </c>
      <c r="K524" s="1">
        <v>0</v>
      </c>
      <c r="M524" s="1">
        <f t="shared" si="69"/>
        <v>25730179</v>
      </c>
      <c r="O524" s="1">
        <f>20978321+4312062+650578+240884</f>
        <v>26181845</v>
      </c>
      <c r="Q524" s="1">
        <v>0</v>
      </c>
      <c r="S524" s="1">
        <v>54043542</v>
      </c>
      <c r="U524" s="1">
        <v>286221</v>
      </c>
      <c r="W524" s="1">
        <v>0</v>
      </c>
      <c r="Y524" s="1">
        <v>0</v>
      </c>
      <c r="AA524" s="1">
        <v>352647</v>
      </c>
      <c r="AB524" s="32"/>
      <c r="AC524" s="1">
        <v>0</v>
      </c>
      <c r="AE524" s="1">
        <v>0</v>
      </c>
      <c r="AG524" s="1">
        <f t="shared" si="67"/>
        <v>80864255</v>
      </c>
      <c r="AH524" s="1"/>
      <c r="AI524" s="1">
        <f t="shared" si="68"/>
        <v>106594434</v>
      </c>
    </row>
    <row r="525" spans="1:35" ht="12" customHeight="1">
      <c r="A525" s="17" t="s">
        <v>899</v>
      </c>
      <c r="B525" s="17"/>
      <c r="C525" s="17" t="s">
        <v>117</v>
      </c>
      <c r="D525" s="17"/>
      <c r="E525" s="13">
        <v>48223</v>
      </c>
      <c r="G525" s="1">
        <v>2428869</v>
      </c>
      <c r="I525" s="1">
        <v>5382055</v>
      </c>
      <c r="K525" s="1">
        <v>0</v>
      </c>
      <c r="M525" s="1">
        <f t="shared" si="69"/>
        <v>7810924</v>
      </c>
      <c r="O525" s="1">
        <f>21046644+932269+1924082</f>
        <v>23902995</v>
      </c>
      <c r="Q525" s="1">
        <v>0</v>
      </c>
      <c r="S525" s="1">
        <v>10707123</v>
      </c>
      <c r="U525" s="1">
        <v>80376</v>
      </c>
      <c r="W525" s="1">
        <v>0</v>
      </c>
      <c r="Y525" s="1">
        <v>95054</v>
      </c>
      <c r="AA525" s="1">
        <f>425+3053+718362</f>
        <v>721840</v>
      </c>
      <c r="AB525" s="32"/>
      <c r="AC525" s="1">
        <v>0</v>
      </c>
      <c r="AE525" s="1">
        <v>0</v>
      </c>
      <c r="AG525" s="1">
        <f t="shared" si="67"/>
        <v>35507388</v>
      </c>
      <c r="AH525" s="1"/>
      <c r="AI525" s="1">
        <f t="shared" si="68"/>
        <v>43318312</v>
      </c>
    </row>
    <row r="526" spans="1:35" ht="12" customHeight="1">
      <c r="A526" s="17" t="s">
        <v>453</v>
      </c>
      <c r="B526" s="17"/>
      <c r="C526" s="17" t="s">
        <v>45</v>
      </c>
      <c r="D526" s="17"/>
      <c r="E526" s="13">
        <v>48371</v>
      </c>
      <c r="G526" s="1">
        <v>483106</v>
      </c>
      <c r="I526" s="1">
        <v>1166727</v>
      </c>
      <c r="K526" s="1">
        <v>0</v>
      </c>
      <c r="M526" s="1">
        <f t="shared" si="69"/>
        <v>1649833</v>
      </c>
      <c r="O526" s="1">
        <f>2744490+317176+132157</f>
        <v>3193823</v>
      </c>
      <c r="Q526" s="1">
        <v>1584789</v>
      </c>
      <c r="S526" s="1">
        <v>5436493</v>
      </c>
      <c r="U526" s="1">
        <v>8162</v>
      </c>
      <c r="W526" s="1">
        <v>0</v>
      </c>
      <c r="Y526" s="1">
        <v>0</v>
      </c>
      <c r="AA526" s="1">
        <v>19753</v>
      </c>
      <c r="AB526" s="32"/>
      <c r="AC526" s="1">
        <v>0</v>
      </c>
      <c r="AE526" s="1">
        <v>0</v>
      </c>
      <c r="AG526" s="1">
        <f t="shared" si="67"/>
        <v>10243020</v>
      </c>
      <c r="AH526" s="1"/>
      <c r="AI526" s="1">
        <f t="shared" si="68"/>
        <v>11892853</v>
      </c>
    </row>
    <row r="527" spans="1:35" ht="12" customHeight="1">
      <c r="A527" s="17" t="s">
        <v>453</v>
      </c>
      <c r="B527" s="17"/>
      <c r="C527" s="17" t="s">
        <v>63</v>
      </c>
      <c r="D527" s="17"/>
      <c r="E527" s="13">
        <v>50062</v>
      </c>
      <c r="G527" s="1">
        <v>2726038</v>
      </c>
      <c r="I527" s="1">
        <v>3472383</v>
      </c>
      <c r="K527" s="1">
        <v>0</v>
      </c>
      <c r="M527" s="1">
        <f t="shared" si="69"/>
        <v>6198421</v>
      </c>
      <c r="O527" s="1">
        <f>10405809+13773+222324</f>
        <v>10641906</v>
      </c>
      <c r="Q527" s="1">
        <v>0</v>
      </c>
      <c r="S527" s="1">
        <v>12258168</v>
      </c>
      <c r="U527" s="1">
        <v>7058</v>
      </c>
      <c r="W527" s="1">
        <v>0</v>
      </c>
      <c r="Y527" s="1">
        <v>0</v>
      </c>
      <c r="AA527" s="1">
        <v>160828</v>
      </c>
      <c r="AB527" s="32"/>
      <c r="AC527" s="1">
        <v>0</v>
      </c>
      <c r="AE527" s="1">
        <v>0</v>
      </c>
      <c r="AG527" s="1">
        <f t="shared" si="67"/>
        <v>23067960</v>
      </c>
      <c r="AH527" s="1"/>
      <c r="AI527" s="1">
        <f t="shared" si="68"/>
        <v>29266381</v>
      </c>
    </row>
    <row r="528" spans="1:35" ht="12" customHeight="1">
      <c r="A528" s="17" t="s">
        <v>770</v>
      </c>
      <c r="B528" s="17"/>
      <c r="C528" s="17" t="s">
        <v>32</v>
      </c>
      <c r="D528" s="17"/>
      <c r="E528" s="13">
        <v>44719</v>
      </c>
      <c r="G528" s="1">
        <v>656896</v>
      </c>
      <c r="I528" s="1">
        <v>2683014</v>
      </c>
      <c r="K528" s="1">
        <v>0</v>
      </c>
      <c r="M528" s="1">
        <f t="shared" si="69"/>
        <v>3339910</v>
      </c>
      <c r="O528" s="1">
        <v>4842506</v>
      </c>
      <c r="Q528" s="1">
        <v>0</v>
      </c>
      <c r="S528" s="1">
        <v>6371826</v>
      </c>
      <c r="U528" s="1">
        <v>6824</v>
      </c>
      <c r="W528" s="1">
        <v>0</v>
      </c>
      <c r="Y528" s="1">
        <v>0</v>
      </c>
      <c r="AA528" s="1">
        <v>328481</v>
      </c>
      <c r="AB528" s="32"/>
      <c r="AC528" s="1">
        <v>0</v>
      </c>
      <c r="AE528" s="1">
        <v>0</v>
      </c>
      <c r="AG528" s="1">
        <f t="shared" ref="AG528:AG534" si="70">SUM(O528:AE528)</f>
        <v>11549637</v>
      </c>
      <c r="AH528" s="1"/>
      <c r="AI528" s="1">
        <f t="shared" ref="AI528:AI587" si="71">+AG528+M528</f>
        <v>14889547</v>
      </c>
    </row>
    <row r="529" spans="1:35" ht="12" customHeight="1">
      <c r="A529" s="17" t="s">
        <v>769</v>
      </c>
      <c r="B529" s="17"/>
      <c r="C529" s="17" t="s">
        <v>15</v>
      </c>
      <c r="D529" s="17"/>
      <c r="E529" s="13">
        <v>45997</v>
      </c>
      <c r="G529" s="1">
        <v>1570596</v>
      </c>
      <c r="I529" s="1">
        <v>1323711</v>
      </c>
      <c r="K529" s="1">
        <v>780673</v>
      </c>
      <c r="M529" s="1">
        <f t="shared" si="69"/>
        <v>3674980</v>
      </c>
      <c r="O529" s="1">
        <f>6167733+744969</f>
        <v>6912702</v>
      </c>
      <c r="Q529" s="1">
        <v>0</v>
      </c>
      <c r="S529" s="1">
        <v>5197222</v>
      </c>
      <c r="U529" s="1">
        <v>12838</v>
      </c>
      <c r="W529" s="1">
        <v>0</v>
      </c>
      <c r="Y529" s="1">
        <v>86492</v>
      </c>
      <c r="AA529" s="1">
        <f>1500+44426</f>
        <v>45926</v>
      </c>
      <c r="AB529" s="32"/>
      <c r="AC529" s="1">
        <v>0</v>
      </c>
      <c r="AE529" s="1">
        <v>0</v>
      </c>
      <c r="AG529" s="1">
        <f t="shared" si="70"/>
        <v>12255180</v>
      </c>
      <c r="AH529" s="1"/>
      <c r="AI529" s="1">
        <f t="shared" si="71"/>
        <v>15930160</v>
      </c>
    </row>
    <row r="530" spans="1:35" ht="12" hidden="1" customHeight="1">
      <c r="A530" s="17" t="s">
        <v>876</v>
      </c>
      <c r="B530" s="17"/>
      <c r="C530" s="17" t="s">
        <v>486</v>
      </c>
      <c r="D530" s="17"/>
      <c r="E530" s="13">
        <v>48587</v>
      </c>
      <c r="M530" s="1">
        <f t="shared" si="69"/>
        <v>0</v>
      </c>
      <c r="AB530" s="32"/>
      <c r="AG530" s="1">
        <f t="shared" si="70"/>
        <v>0</v>
      </c>
      <c r="AH530" s="1"/>
      <c r="AI530" s="1">
        <f t="shared" si="71"/>
        <v>0</v>
      </c>
    </row>
    <row r="531" spans="1:35" ht="12" hidden="1" customHeight="1">
      <c r="A531" s="17" t="s">
        <v>877</v>
      </c>
      <c r="B531" s="17"/>
      <c r="C531" s="17" t="s">
        <v>14</v>
      </c>
      <c r="D531" s="17"/>
      <c r="E531" s="13">
        <v>44727</v>
      </c>
      <c r="M531" s="1">
        <f t="shared" si="69"/>
        <v>0</v>
      </c>
      <c r="AB531" s="32"/>
      <c r="AG531" s="1">
        <f t="shared" si="70"/>
        <v>0</v>
      </c>
      <c r="AH531" s="1"/>
      <c r="AI531" s="1">
        <f t="shared" si="71"/>
        <v>0</v>
      </c>
    </row>
    <row r="532" spans="1:35" s="1" customFormat="1" ht="12" customHeight="1">
      <c r="A532" s="12" t="s">
        <v>412</v>
      </c>
      <c r="B532" s="12"/>
      <c r="C532" s="12" t="s">
        <v>39</v>
      </c>
      <c r="D532" s="12"/>
      <c r="E532" s="13">
        <v>44826</v>
      </c>
      <c r="F532" s="18"/>
      <c r="G532" s="1">
        <v>3928282</v>
      </c>
      <c r="I532" s="1">
        <v>6916015</v>
      </c>
      <c r="K532" s="1">
        <v>180451</v>
      </c>
      <c r="M532" s="1">
        <f t="shared" si="69"/>
        <v>11024748</v>
      </c>
      <c r="O532" s="1">
        <f>3514775+979127+71392</f>
        <v>4565294</v>
      </c>
      <c r="Q532" s="1">
        <v>0</v>
      </c>
      <c r="S532" s="1">
        <v>10267951</v>
      </c>
      <c r="U532" s="1">
        <v>79703</v>
      </c>
      <c r="W532" s="1">
        <v>0</v>
      </c>
      <c r="Y532" s="1">
        <v>66778</v>
      </c>
      <c r="AA532" s="1">
        <v>176747</v>
      </c>
      <c r="AB532" s="32"/>
      <c r="AC532" s="1">
        <v>0</v>
      </c>
      <c r="AE532" s="1">
        <v>0</v>
      </c>
      <c r="AG532" s="1">
        <f t="shared" si="70"/>
        <v>15156473</v>
      </c>
      <c r="AI532" s="1">
        <f t="shared" si="71"/>
        <v>26181221</v>
      </c>
    </row>
    <row r="533" spans="1:35" ht="12" customHeight="1">
      <c r="A533" s="17" t="s">
        <v>595</v>
      </c>
      <c r="B533" s="17"/>
      <c r="C533" s="17" t="s">
        <v>63</v>
      </c>
      <c r="D533" s="17"/>
      <c r="E533" s="13">
        <v>44834</v>
      </c>
      <c r="G533" s="1">
        <v>3493389</v>
      </c>
      <c r="I533" s="1">
        <v>4827199</v>
      </c>
      <c r="K533" s="1">
        <v>0</v>
      </c>
      <c r="M533" s="1">
        <f t="shared" si="69"/>
        <v>8320588</v>
      </c>
      <c r="O533" s="1">
        <f>28256878+575728</f>
        <v>28832606</v>
      </c>
      <c r="Q533" s="1">
        <v>0</v>
      </c>
      <c r="S533" s="1">
        <v>19598385</v>
      </c>
      <c r="U533" s="1">
        <v>107693</v>
      </c>
      <c r="W533" s="1">
        <v>19242</v>
      </c>
      <c r="Y533" s="1">
        <v>0</v>
      </c>
      <c r="AA533" s="1">
        <v>104937</v>
      </c>
      <c r="AB533" s="32"/>
      <c r="AC533" s="1">
        <v>0</v>
      </c>
      <c r="AE533" s="1">
        <v>0</v>
      </c>
      <c r="AG533" s="1">
        <f t="shared" si="70"/>
        <v>48662863</v>
      </c>
      <c r="AH533" s="1"/>
      <c r="AI533" s="1">
        <f t="shared" si="71"/>
        <v>56983451</v>
      </c>
    </row>
    <row r="534" spans="1:35" ht="12" hidden="1" customHeight="1">
      <c r="A534" s="12" t="s">
        <v>878</v>
      </c>
      <c r="B534" s="17"/>
      <c r="C534" s="17" t="s">
        <v>65</v>
      </c>
      <c r="D534" s="17"/>
      <c r="E534" s="13">
        <v>50294</v>
      </c>
      <c r="M534" s="1">
        <f t="shared" si="69"/>
        <v>0</v>
      </c>
      <c r="AB534" s="32"/>
      <c r="AG534" s="1">
        <f t="shared" si="70"/>
        <v>0</v>
      </c>
      <c r="AH534" s="1"/>
      <c r="AI534" s="1">
        <f t="shared" si="71"/>
        <v>0</v>
      </c>
    </row>
    <row r="535" spans="1:35" ht="12" customHeight="1">
      <c r="A535" s="17" t="s">
        <v>538</v>
      </c>
      <c r="B535" s="17"/>
      <c r="C535" s="17" t="s">
        <v>56</v>
      </c>
      <c r="D535" s="17"/>
      <c r="E535" s="13">
        <v>49239</v>
      </c>
      <c r="G535" s="1">
        <v>931477</v>
      </c>
      <c r="I535" s="1">
        <v>1359032</v>
      </c>
      <c r="K535" s="1">
        <v>0</v>
      </c>
      <c r="M535" s="1">
        <f t="shared" si="69"/>
        <v>2290509</v>
      </c>
      <c r="O535" s="1">
        <f>11466028+2477546+639398</f>
        <v>14582972</v>
      </c>
      <c r="Q535" s="1">
        <v>0</v>
      </c>
      <c r="S535" s="1">
        <v>8663500</v>
      </c>
      <c r="U535" s="1">
        <v>3784</v>
      </c>
      <c r="W535" s="1">
        <v>264709</v>
      </c>
      <c r="Y535" s="1">
        <v>0</v>
      </c>
      <c r="AA535" s="1">
        <v>29582</v>
      </c>
      <c r="AB535" s="32"/>
      <c r="AC535" s="1">
        <v>0</v>
      </c>
      <c r="AE535" s="1">
        <v>0</v>
      </c>
      <c r="AG535" s="1">
        <f t="shared" ref="AG535:AG581" si="72">SUM(O535:AE535)</f>
        <v>23544547</v>
      </c>
      <c r="AH535" s="1"/>
      <c r="AI535" s="1">
        <f t="shared" si="71"/>
        <v>25835056</v>
      </c>
    </row>
    <row r="536" spans="1:35" ht="12" customHeight="1">
      <c r="A536" s="17" t="s">
        <v>306</v>
      </c>
      <c r="B536" s="17"/>
      <c r="C536" s="17" t="s">
        <v>20</v>
      </c>
      <c r="D536" s="17"/>
      <c r="E536" s="13">
        <v>44842</v>
      </c>
      <c r="G536" s="1">
        <v>2911158</v>
      </c>
      <c r="I536" s="1">
        <v>4704071</v>
      </c>
      <c r="K536" s="1">
        <v>0</v>
      </c>
      <c r="M536" s="1">
        <f t="shared" si="69"/>
        <v>7615229</v>
      </c>
      <c r="O536" s="1">
        <f>49811922+3213836+1001310</f>
        <v>54027068</v>
      </c>
      <c r="Q536" s="1">
        <v>0</v>
      </c>
      <c r="S536" s="1">
        <v>23303038</v>
      </c>
      <c r="U536" s="1">
        <v>39940</v>
      </c>
      <c r="W536" s="1">
        <v>0</v>
      </c>
      <c r="Y536" s="1">
        <v>0</v>
      </c>
      <c r="AA536" s="1">
        <v>558069</v>
      </c>
      <c r="AB536" s="32"/>
      <c r="AC536" s="1">
        <v>0</v>
      </c>
      <c r="AE536" s="1">
        <v>0</v>
      </c>
      <c r="AG536" s="1">
        <f t="shared" si="72"/>
        <v>77928115</v>
      </c>
      <c r="AH536" s="1"/>
      <c r="AI536" s="1">
        <f t="shared" si="71"/>
        <v>85543344</v>
      </c>
    </row>
    <row r="537" spans="1:35" ht="12" customHeight="1">
      <c r="A537" s="17" t="s">
        <v>470</v>
      </c>
      <c r="B537" s="17"/>
      <c r="C537" s="17" t="s">
        <v>45</v>
      </c>
      <c r="D537" s="17"/>
      <c r="E537" s="13">
        <v>44859</v>
      </c>
      <c r="G537" s="1">
        <v>1690638</v>
      </c>
      <c r="I537" s="1">
        <v>4351375</v>
      </c>
      <c r="K537" s="1">
        <v>0</v>
      </c>
      <c r="M537" s="1">
        <f t="shared" si="69"/>
        <v>6042013</v>
      </c>
      <c r="O537" s="1">
        <f>4286439+472895+52452</f>
        <v>4811786</v>
      </c>
      <c r="Q537" s="1">
        <v>0</v>
      </c>
      <c r="S537" s="1">
        <v>11696656</v>
      </c>
      <c r="U537" s="1">
        <v>18689</v>
      </c>
      <c r="W537" s="1">
        <v>0</v>
      </c>
      <c r="Y537" s="1">
        <v>0</v>
      </c>
      <c r="AA537" s="1">
        <v>36523</v>
      </c>
      <c r="AB537" s="32"/>
      <c r="AC537" s="1">
        <v>0</v>
      </c>
      <c r="AE537" s="1">
        <v>0</v>
      </c>
      <c r="AG537" s="1">
        <f t="shared" si="72"/>
        <v>16563654</v>
      </c>
      <c r="AH537" s="1"/>
      <c r="AI537" s="1">
        <f t="shared" si="71"/>
        <v>22605667</v>
      </c>
    </row>
    <row r="538" spans="1:35" ht="12" customHeight="1">
      <c r="A538" s="17" t="s">
        <v>645</v>
      </c>
      <c r="B538" s="17"/>
      <c r="C538" s="17" t="s">
        <v>643</v>
      </c>
      <c r="D538" s="17"/>
      <c r="E538" s="13">
        <v>50658</v>
      </c>
      <c r="G538" s="1">
        <v>448142</v>
      </c>
      <c r="I538" s="1">
        <v>666112</v>
      </c>
      <c r="K538" s="1">
        <v>0</v>
      </c>
      <c r="M538" s="1">
        <f t="shared" si="69"/>
        <v>1114254</v>
      </c>
      <c r="O538" s="1">
        <f>1091387+44833+280032</f>
        <v>1416252</v>
      </c>
      <c r="Q538" s="1">
        <v>711878</v>
      </c>
      <c r="S538" s="1">
        <v>2542194</v>
      </c>
      <c r="U538" s="1">
        <v>8768</v>
      </c>
      <c r="W538" s="1">
        <v>0</v>
      </c>
      <c r="Y538" s="1">
        <v>14224</v>
      </c>
      <c r="AA538" s="1">
        <v>27785</v>
      </c>
      <c r="AB538" s="32"/>
      <c r="AC538" s="1">
        <v>0</v>
      </c>
      <c r="AE538" s="1">
        <v>0</v>
      </c>
      <c r="AG538" s="1">
        <f t="shared" si="72"/>
        <v>4721101</v>
      </c>
      <c r="AH538" s="1"/>
      <c r="AI538" s="1">
        <f t="shared" si="71"/>
        <v>5835355</v>
      </c>
    </row>
    <row r="539" spans="1:35" ht="12" customHeight="1">
      <c r="A539" s="17" t="s">
        <v>347</v>
      </c>
      <c r="B539" s="17"/>
      <c r="C539" s="17" t="s">
        <v>28</v>
      </c>
      <c r="D539" s="17"/>
      <c r="E539" s="13">
        <v>47092</v>
      </c>
      <c r="G539" s="1">
        <v>1018686</v>
      </c>
      <c r="I539" s="1">
        <v>1469883</v>
      </c>
      <c r="K539" s="1">
        <v>0</v>
      </c>
      <c r="M539" s="1">
        <f t="shared" si="69"/>
        <v>2488569</v>
      </c>
      <c r="O539" s="1">
        <f>4659732+1282371+179533</f>
        <v>6121636</v>
      </c>
      <c r="Q539" s="1">
        <v>1985321</v>
      </c>
      <c r="S539" s="1">
        <v>5773752</v>
      </c>
      <c r="U539" s="1">
        <v>113437</v>
      </c>
      <c r="W539" s="1">
        <v>0</v>
      </c>
      <c r="Y539" s="1">
        <v>5483</v>
      </c>
      <c r="AA539" s="1">
        <v>215191</v>
      </c>
      <c r="AB539" s="32"/>
      <c r="AC539" s="1">
        <v>0</v>
      </c>
      <c r="AE539" s="1">
        <v>0</v>
      </c>
      <c r="AG539" s="1">
        <f t="shared" si="72"/>
        <v>14214820</v>
      </c>
      <c r="AH539" s="1"/>
      <c r="AI539" s="1">
        <f t="shared" si="71"/>
        <v>16703389</v>
      </c>
    </row>
    <row r="540" spans="1:35" ht="12" customHeight="1">
      <c r="A540" s="17" t="s">
        <v>760</v>
      </c>
      <c r="B540" s="17"/>
      <c r="C540" s="17" t="s">
        <v>49</v>
      </c>
      <c r="D540" s="17"/>
      <c r="E540" s="13">
        <v>48652</v>
      </c>
      <c r="G540" s="1">
        <v>657655</v>
      </c>
      <c r="I540" s="1">
        <v>4660624</v>
      </c>
      <c r="K540" s="1">
        <v>235278</v>
      </c>
      <c r="M540" s="1">
        <f t="shared" si="69"/>
        <v>5553557</v>
      </c>
      <c r="O540" s="1">
        <f>6380470+1479641+488522+95933</f>
        <v>8444566</v>
      </c>
      <c r="Q540" s="1">
        <v>0</v>
      </c>
      <c r="S540" s="1">
        <f>16007476+53032995</f>
        <v>69040471</v>
      </c>
      <c r="U540" s="1">
        <v>193751</v>
      </c>
      <c r="W540" s="1">
        <v>0</v>
      </c>
      <c r="Y540" s="1">
        <v>0</v>
      </c>
      <c r="AA540" s="1">
        <v>131189</v>
      </c>
      <c r="AB540" s="32"/>
      <c r="AC540" s="1">
        <v>0</v>
      </c>
      <c r="AE540" s="1">
        <v>0</v>
      </c>
      <c r="AG540" s="1">
        <f t="shared" si="72"/>
        <v>77809977</v>
      </c>
      <c r="AH540" s="1"/>
      <c r="AI540" s="1">
        <f t="shared" si="71"/>
        <v>83363534</v>
      </c>
    </row>
    <row r="541" spans="1:35" ht="12" customHeight="1">
      <c r="A541" s="17" t="s">
        <v>375</v>
      </c>
      <c r="B541" s="17"/>
      <c r="C541" s="17" t="s">
        <v>32</v>
      </c>
      <c r="D541" s="17"/>
      <c r="E541" s="13">
        <v>44867</v>
      </c>
      <c r="G541" s="1">
        <v>3187513</v>
      </c>
      <c r="I541" s="1">
        <v>5258236</v>
      </c>
      <c r="K541" s="1">
        <v>0</v>
      </c>
      <c r="M541" s="1">
        <f t="shared" si="69"/>
        <v>8445749</v>
      </c>
      <c r="O541" s="1">
        <f>53525813+2954152</f>
        <v>56479965</v>
      </c>
      <c r="Q541" s="1">
        <v>0</v>
      </c>
      <c r="S541" s="1">
        <v>19777420</v>
      </c>
      <c r="U541" s="1">
        <v>196188</v>
      </c>
      <c r="W541" s="1">
        <v>685798</v>
      </c>
      <c r="Y541" s="1">
        <v>0</v>
      </c>
      <c r="AA541" s="1">
        <v>241273</v>
      </c>
      <c r="AB541" s="32"/>
      <c r="AC541" s="1">
        <v>0</v>
      </c>
      <c r="AE541" s="1">
        <v>0</v>
      </c>
      <c r="AG541" s="1">
        <f t="shared" si="72"/>
        <v>77380644</v>
      </c>
      <c r="AH541" s="1"/>
      <c r="AI541" s="1">
        <f t="shared" si="71"/>
        <v>85826393</v>
      </c>
    </row>
    <row r="542" spans="1:35" ht="12" customHeight="1">
      <c r="A542" s="17" t="s">
        <v>454</v>
      </c>
      <c r="B542" s="17"/>
      <c r="C542" s="17" t="s">
        <v>117</v>
      </c>
      <c r="D542" s="17"/>
      <c r="E542" s="13">
        <v>44875</v>
      </c>
      <c r="G542" s="1">
        <v>3012621</v>
      </c>
      <c r="I542" s="1">
        <v>6402485</v>
      </c>
      <c r="K542" s="1">
        <v>0</v>
      </c>
      <c r="M542" s="1">
        <f t="shared" si="69"/>
        <v>9415106</v>
      </c>
      <c r="O542" s="1">
        <f>48890899+6953432+362513</f>
        <v>56206844</v>
      </c>
      <c r="Q542" s="1">
        <v>0</v>
      </c>
      <c r="S542" s="1">
        <v>25119293</v>
      </c>
      <c r="U542" s="1">
        <v>668567</v>
      </c>
      <c r="W542" s="1">
        <v>0</v>
      </c>
      <c r="Y542" s="1">
        <v>0</v>
      </c>
      <c r="AA542" s="1">
        <v>491773</v>
      </c>
      <c r="AB542" s="32"/>
      <c r="AC542" s="1">
        <v>0</v>
      </c>
      <c r="AE542" s="1">
        <v>0</v>
      </c>
      <c r="AG542" s="1">
        <f t="shared" si="72"/>
        <v>82486477</v>
      </c>
      <c r="AH542" s="1"/>
      <c r="AI542" s="1">
        <f t="shared" si="71"/>
        <v>91901583</v>
      </c>
    </row>
    <row r="543" spans="1:35" ht="12" customHeight="1">
      <c r="A543" s="17" t="s">
        <v>426</v>
      </c>
      <c r="B543" s="17"/>
      <c r="C543" s="17" t="s">
        <v>420</v>
      </c>
      <c r="D543" s="17"/>
      <c r="E543" s="13">
        <v>47969</v>
      </c>
      <c r="G543" s="1">
        <v>838529</v>
      </c>
      <c r="I543" s="1">
        <v>2492009</v>
      </c>
      <c r="K543" s="1">
        <v>6767</v>
      </c>
      <c r="M543" s="1">
        <f t="shared" si="69"/>
        <v>3337305</v>
      </c>
      <c r="O543" s="1">
        <f>862101+125972+15639</f>
        <v>1003712</v>
      </c>
      <c r="Q543" s="1">
        <v>0</v>
      </c>
      <c r="S543" s="1">
        <v>4964145</v>
      </c>
      <c r="U543" s="1">
        <v>96062</v>
      </c>
      <c r="W543" s="1">
        <v>0</v>
      </c>
      <c r="Y543" s="1">
        <v>0</v>
      </c>
      <c r="AA543" s="1">
        <v>4890</v>
      </c>
      <c r="AB543" s="32"/>
      <c r="AC543" s="1">
        <v>0</v>
      </c>
      <c r="AE543" s="1">
        <v>0</v>
      </c>
      <c r="AG543" s="1">
        <f t="shared" si="72"/>
        <v>6068809</v>
      </c>
      <c r="AH543" s="1"/>
      <c r="AI543" s="1">
        <f t="shared" si="71"/>
        <v>9406114</v>
      </c>
    </row>
    <row r="544" spans="1:35" ht="12" customHeight="1">
      <c r="A544" s="17" t="s">
        <v>900</v>
      </c>
      <c r="B544" s="17"/>
      <c r="C544" s="17" t="s">
        <v>227</v>
      </c>
      <c r="D544" s="17"/>
      <c r="E544" s="13">
        <v>46151</v>
      </c>
      <c r="G544" s="1">
        <v>1765045</v>
      </c>
      <c r="I544" s="1">
        <v>2763673</v>
      </c>
      <c r="K544" s="1">
        <v>0</v>
      </c>
      <c r="M544" s="1">
        <f t="shared" ref="M544:M601" si="73">SUM(G544:L544)</f>
        <v>4528718</v>
      </c>
      <c r="O544" s="1">
        <f>12498724+3398287+1162120</f>
        <v>17059131</v>
      </c>
      <c r="Q544" s="1">
        <v>5276618</v>
      </c>
      <c r="S544" s="1">
        <v>11566756</v>
      </c>
      <c r="U544" s="1">
        <v>290843</v>
      </c>
      <c r="W544" s="1">
        <v>0</v>
      </c>
      <c r="Y544" s="1">
        <v>0</v>
      </c>
      <c r="AA544" s="1">
        <v>386971</v>
      </c>
      <c r="AB544" s="32"/>
      <c r="AC544" s="1">
        <v>0</v>
      </c>
      <c r="AE544" s="1">
        <v>0</v>
      </c>
      <c r="AG544" s="1">
        <f t="shared" si="72"/>
        <v>34580319</v>
      </c>
      <c r="AH544" s="1"/>
      <c r="AI544" s="1">
        <f t="shared" si="71"/>
        <v>39109037</v>
      </c>
    </row>
    <row r="545" spans="1:35" ht="12" customHeight="1">
      <c r="A545" s="17" t="s">
        <v>596</v>
      </c>
      <c r="B545" s="17"/>
      <c r="C545" s="17" t="s">
        <v>63</v>
      </c>
      <c r="D545" s="17"/>
      <c r="E545" s="13">
        <v>44883</v>
      </c>
      <c r="G545" s="1">
        <v>1331151</v>
      </c>
      <c r="I545" s="1">
        <v>2284190</v>
      </c>
      <c r="K545" s="1">
        <v>89951</v>
      </c>
      <c r="M545" s="1">
        <f t="shared" si="73"/>
        <v>3705292</v>
      </c>
      <c r="O545" s="1">
        <f>13209192+314014+1797700</f>
        <v>15320906</v>
      </c>
      <c r="Q545" s="1">
        <v>0</v>
      </c>
      <c r="S545" s="1">
        <v>11311160</v>
      </c>
      <c r="U545" s="1">
        <v>18043</v>
      </c>
      <c r="W545" s="1">
        <v>0</v>
      </c>
      <c r="Y545" s="1">
        <v>0</v>
      </c>
      <c r="AA545" s="1">
        <v>12347</v>
      </c>
      <c r="AB545" s="32"/>
      <c r="AC545" s="1">
        <v>0</v>
      </c>
      <c r="AE545" s="1">
        <v>0</v>
      </c>
      <c r="AG545" s="1">
        <f t="shared" si="72"/>
        <v>26662456</v>
      </c>
      <c r="AH545" s="1"/>
      <c r="AI545" s="1">
        <f t="shared" si="71"/>
        <v>30367748</v>
      </c>
    </row>
    <row r="546" spans="1:35" ht="12" customHeight="1">
      <c r="A546" s="17" t="s">
        <v>527</v>
      </c>
      <c r="B546" s="17"/>
      <c r="C546" s="17" t="s">
        <v>54</v>
      </c>
      <c r="D546" s="17"/>
      <c r="E546" s="13">
        <v>49098</v>
      </c>
      <c r="G546" s="1">
        <v>1219002</v>
      </c>
      <c r="I546" s="1">
        <v>3586028</v>
      </c>
      <c r="K546" s="1">
        <v>0</v>
      </c>
      <c r="M546" s="1">
        <f t="shared" si="73"/>
        <v>4805030</v>
      </c>
      <c r="O546" s="1">
        <f>6838658+2294166+782212</f>
        <v>9915036</v>
      </c>
      <c r="Q546" s="1">
        <f>2658515+168355</f>
        <v>2826870</v>
      </c>
      <c r="S546" s="1">
        <f>16617751+1235433</f>
        <v>17853184</v>
      </c>
      <c r="U546" s="1">
        <v>250847</v>
      </c>
      <c r="W546" s="1">
        <v>103397</v>
      </c>
      <c r="Y546" s="1">
        <v>0</v>
      </c>
      <c r="AA546" s="1">
        <v>28771</v>
      </c>
      <c r="AB546" s="32"/>
      <c r="AC546" s="1">
        <v>0</v>
      </c>
      <c r="AE546" s="1">
        <v>0</v>
      </c>
      <c r="AG546" s="1">
        <f t="shared" si="72"/>
        <v>30978105</v>
      </c>
      <c r="AH546" s="1"/>
      <c r="AI546" s="1">
        <f t="shared" si="71"/>
        <v>35783135</v>
      </c>
    </row>
    <row r="547" spans="1:35" ht="12" customHeight="1">
      <c r="A547" s="17" t="s">
        <v>250</v>
      </c>
      <c r="B547" s="17"/>
      <c r="C547" s="17" t="s">
        <v>17</v>
      </c>
      <c r="D547" s="17"/>
      <c r="E547" s="13">
        <v>46243</v>
      </c>
      <c r="G547" s="1">
        <v>2609129</v>
      </c>
      <c r="I547" s="1">
        <v>4363363</v>
      </c>
      <c r="K547" s="1">
        <v>0</v>
      </c>
      <c r="M547" s="1">
        <f t="shared" si="73"/>
        <v>6972492</v>
      </c>
      <c r="O547" s="1">
        <f>7992367+622770+1104570+115792</f>
        <v>9835499</v>
      </c>
      <c r="Q547" s="1">
        <v>0</v>
      </c>
      <c r="S547" s="1">
        <v>17295423</v>
      </c>
      <c r="U547" s="1">
        <v>25047</v>
      </c>
      <c r="W547" s="1">
        <v>0</v>
      </c>
      <c r="Y547" s="1">
        <v>0</v>
      </c>
      <c r="AA547" s="1">
        <v>215518</v>
      </c>
      <c r="AB547" s="32"/>
      <c r="AC547" s="1">
        <v>0</v>
      </c>
      <c r="AE547" s="1">
        <v>0</v>
      </c>
      <c r="AG547" s="1">
        <f t="shared" si="72"/>
        <v>27371487</v>
      </c>
      <c r="AH547" s="1"/>
      <c r="AI547" s="1">
        <f t="shared" si="71"/>
        <v>34343979</v>
      </c>
    </row>
    <row r="548" spans="1:35" ht="12" customHeight="1">
      <c r="A548" s="12" t="s">
        <v>910</v>
      </c>
      <c r="B548" s="17"/>
      <c r="C548" s="17" t="s">
        <v>32</v>
      </c>
      <c r="D548" s="17"/>
      <c r="E548" s="13">
        <v>47399</v>
      </c>
      <c r="G548" s="1">
        <v>886650</v>
      </c>
      <c r="I548" s="1">
        <v>3390882</v>
      </c>
      <c r="K548" s="1">
        <v>0</v>
      </c>
      <c r="M548" s="1">
        <f t="shared" si="73"/>
        <v>4277532</v>
      </c>
      <c r="O548" s="1">
        <v>12396772</v>
      </c>
      <c r="Q548" s="1">
        <v>0</v>
      </c>
      <c r="S548" s="1">
        <v>7045156</v>
      </c>
      <c r="U548" s="1">
        <v>30464</v>
      </c>
      <c r="W548" s="1">
        <v>2184572</v>
      </c>
      <c r="Y548" s="1">
        <v>50381</v>
      </c>
      <c r="AA548" s="1">
        <v>870336</v>
      </c>
      <c r="AB548" s="32"/>
      <c r="AC548" s="1">
        <v>0</v>
      </c>
      <c r="AE548" s="1">
        <v>0</v>
      </c>
      <c r="AG548" s="1">
        <f t="shared" si="72"/>
        <v>22577681</v>
      </c>
      <c r="AH548" s="1"/>
      <c r="AI548" s="1">
        <f t="shared" si="71"/>
        <v>26855213</v>
      </c>
    </row>
    <row r="549" spans="1:35" ht="12" customHeight="1">
      <c r="A549" s="17" t="s">
        <v>568</v>
      </c>
      <c r="B549" s="17"/>
      <c r="C549" s="17" t="s">
        <v>60</v>
      </c>
      <c r="D549" s="17"/>
      <c r="E549" s="13">
        <v>44891</v>
      </c>
      <c r="G549" s="1">
        <v>2390994</v>
      </c>
      <c r="I549" s="1">
        <v>3370028</v>
      </c>
      <c r="K549" s="1">
        <v>0</v>
      </c>
      <c r="M549" s="1">
        <f t="shared" si="73"/>
        <v>5761022</v>
      </c>
      <c r="O549" s="1">
        <f>10063204+136292+713706+191302</f>
        <v>11104504</v>
      </c>
      <c r="Q549" s="1">
        <v>0</v>
      </c>
      <c r="S549" s="1">
        <v>11205126</v>
      </c>
      <c r="U549" s="1">
        <v>8978</v>
      </c>
      <c r="W549" s="1">
        <v>58620</v>
      </c>
      <c r="Y549" s="1">
        <v>0</v>
      </c>
      <c r="AA549" s="1">
        <v>45497</v>
      </c>
      <c r="AB549" s="32"/>
      <c r="AC549" s="1">
        <v>0</v>
      </c>
      <c r="AE549" s="1">
        <v>192625</v>
      </c>
      <c r="AG549" s="1">
        <f t="shared" si="72"/>
        <v>22615350</v>
      </c>
      <c r="AH549" s="1"/>
      <c r="AI549" s="1">
        <f t="shared" si="71"/>
        <v>28376372</v>
      </c>
    </row>
    <row r="550" spans="1:35" ht="12" customHeight="1">
      <c r="A550" s="17" t="s">
        <v>491</v>
      </c>
      <c r="B550" s="17"/>
      <c r="C550" s="17" t="s">
        <v>48</v>
      </c>
      <c r="D550" s="17"/>
      <c r="E550" s="13">
        <v>45617</v>
      </c>
      <c r="G550" s="1">
        <v>1699138</v>
      </c>
      <c r="I550" s="1">
        <v>1866007</v>
      </c>
      <c r="K550" s="1">
        <v>0</v>
      </c>
      <c r="M550" s="1">
        <f t="shared" si="73"/>
        <v>3565145</v>
      </c>
      <c r="O550" s="1">
        <f>9700079+1399565+529409</f>
        <v>11629053</v>
      </c>
      <c r="Q550" s="1">
        <v>0</v>
      </c>
      <c r="S550" s="1">
        <v>10715402</v>
      </c>
      <c r="U550" s="1">
        <v>23605</v>
      </c>
      <c r="W550" s="1">
        <v>0</v>
      </c>
      <c r="Y550" s="1">
        <v>0</v>
      </c>
      <c r="AA550" s="1">
        <v>196453</v>
      </c>
      <c r="AB550" s="32"/>
      <c r="AC550" s="1">
        <v>0</v>
      </c>
      <c r="AE550" s="1">
        <v>0</v>
      </c>
      <c r="AG550" s="1">
        <f t="shared" si="72"/>
        <v>22564513</v>
      </c>
      <c r="AH550" s="1"/>
      <c r="AI550" s="1">
        <f t="shared" si="71"/>
        <v>26129658</v>
      </c>
    </row>
    <row r="551" spans="1:35" ht="12" customHeight="1">
      <c r="A551" s="17" t="s">
        <v>455</v>
      </c>
      <c r="B551" s="17"/>
      <c r="C551" s="17" t="s">
        <v>117</v>
      </c>
      <c r="D551" s="17"/>
      <c r="E551" s="13">
        <v>44909</v>
      </c>
      <c r="G551" s="1">
        <v>16825596</v>
      </c>
      <c r="I551" s="1">
        <v>71728806</v>
      </c>
      <c r="K551" s="1">
        <v>0</v>
      </c>
      <c r="M551" s="1">
        <f t="shared" si="73"/>
        <v>88554402</v>
      </c>
      <c r="O551" s="1">
        <f>91408483+1062637+8089438+5586245</f>
        <v>106146803</v>
      </c>
      <c r="Q551" s="1">
        <v>0</v>
      </c>
      <c r="S551" s="1">
        <v>233261864</v>
      </c>
      <c r="U551" s="1">
        <v>2590626</v>
      </c>
      <c r="W551" s="1">
        <v>0</v>
      </c>
      <c r="Y551" s="1">
        <v>0</v>
      </c>
      <c r="AA551" s="1">
        <v>263545</v>
      </c>
      <c r="AB551" s="32"/>
      <c r="AC551" s="1">
        <v>0</v>
      </c>
      <c r="AE551" s="1">
        <v>0</v>
      </c>
      <c r="AG551" s="1">
        <f t="shared" si="72"/>
        <v>342262838</v>
      </c>
      <c r="AH551" s="1"/>
      <c r="AI551" s="1">
        <f t="shared" si="71"/>
        <v>430817240</v>
      </c>
    </row>
    <row r="552" spans="1:35" ht="12" hidden="1" customHeight="1">
      <c r="A552" s="12" t="s">
        <v>952</v>
      </c>
      <c r="B552" s="12"/>
      <c r="C552" s="12" t="s">
        <v>117</v>
      </c>
      <c r="D552" s="17"/>
      <c r="E552" s="13"/>
      <c r="M552" s="1">
        <f t="shared" si="73"/>
        <v>0</v>
      </c>
      <c r="AB552" s="32"/>
      <c r="AG552" s="1">
        <f t="shared" si="72"/>
        <v>0</v>
      </c>
      <c r="AH552" s="1"/>
      <c r="AI552" s="1">
        <f t="shared" si="71"/>
        <v>0</v>
      </c>
    </row>
    <row r="553" spans="1:35" ht="12" customHeight="1">
      <c r="A553" s="12" t="s">
        <v>911</v>
      </c>
      <c r="B553" s="17"/>
      <c r="C553" s="17" t="s">
        <v>39</v>
      </c>
      <c r="D553" s="17"/>
      <c r="E553" s="13">
        <v>44917</v>
      </c>
      <c r="G553" s="1">
        <v>876329</v>
      </c>
      <c r="I553" s="1">
        <v>1514377</v>
      </c>
      <c r="K553" s="1">
        <v>0</v>
      </c>
      <c r="M553" s="1">
        <f t="shared" si="73"/>
        <v>2390706</v>
      </c>
      <c r="O553" s="1">
        <v>1413018</v>
      </c>
      <c r="Q553" s="1">
        <v>0</v>
      </c>
      <c r="S553" s="1">
        <v>4583215</v>
      </c>
      <c r="U553" s="1">
        <v>54550</v>
      </c>
      <c r="W553" s="1">
        <v>0</v>
      </c>
      <c r="Y553" s="1">
        <v>5495</v>
      </c>
      <c r="AA553" s="1">
        <f>60379+77325</f>
        <v>137704</v>
      </c>
      <c r="AB553" s="32"/>
      <c r="AC553" s="1">
        <v>0</v>
      </c>
      <c r="AE553" s="1">
        <v>0</v>
      </c>
      <c r="AG553" s="1">
        <f t="shared" si="72"/>
        <v>6193982</v>
      </c>
      <c r="AH553" s="1"/>
      <c r="AI553" s="1">
        <f t="shared" si="71"/>
        <v>8584688</v>
      </c>
    </row>
    <row r="554" spans="1:35" ht="12" customHeight="1">
      <c r="A554" s="17" t="s">
        <v>242</v>
      </c>
      <c r="B554" s="17"/>
      <c r="C554" s="17" t="s">
        <v>240</v>
      </c>
      <c r="D554" s="17"/>
      <c r="E554" s="13">
        <v>46201</v>
      </c>
      <c r="G554" s="1">
        <v>970689</v>
      </c>
      <c r="I554" s="1">
        <v>1094698</v>
      </c>
      <c r="K554" s="1">
        <v>0</v>
      </c>
      <c r="M554" s="1">
        <f t="shared" si="73"/>
        <v>2065387</v>
      </c>
      <c r="O554" s="1">
        <f>1764821+39987+251792</f>
        <v>2056600</v>
      </c>
      <c r="Q554" s="1">
        <v>1557366</v>
      </c>
      <c r="S554" s="1">
        <v>5191142</v>
      </c>
      <c r="U554" s="1">
        <v>10092</v>
      </c>
      <c r="W554" s="1">
        <v>0</v>
      </c>
      <c r="Y554" s="1">
        <v>0</v>
      </c>
      <c r="AA554" s="1">
        <v>32062</v>
      </c>
      <c r="AB554" s="32"/>
      <c r="AC554" s="1">
        <v>0</v>
      </c>
      <c r="AE554" s="1">
        <v>0</v>
      </c>
      <c r="AG554" s="1">
        <f t="shared" si="72"/>
        <v>8847262</v>
      </c>
      <c r="AH554" s="1"/>
      <c r="AI554" s="1">
        <f t="shared" si="71"/>
        <v>10912649</v>
      </c>
    </row>
    <row r="555" spans="1:35" ht="12" customHeight="1">
      <c r="A555" s="17" t="s">
        <v>541</v>
      </c>
      <c r="B555" s="17"/>
      <c r="C555" s="17" t="s">
        <v>57</v>
      </c>
      <c r="D555" s="17"/>
      <c r="E555" s="13">
        <v>91397</v>
      </c>
      <c r="G555" s="1">
        <v>558502</v>
      </c>
      <c r="I555" s="1">
        <v>1152852</v>
      </c>
      <c r="K555" s="1">
        <v>69464</v>
      </c>
      <c r="M555" s="1">
        <f t="shared" si="73"/>
        <v>1780818</v>
      </c>
      <c r="O555" s="1">
        <f>3722897+73544+127017+12827</f>
        <v>3936285</v>
      </c>
      <c r="Q555" s="1">
        <v>0</v>
      </c>
      <c r="S555" s="1">
        <v>4764999</v>
      </c>
      <c r="U555" s="1">
        <v>62355</v>
      </c>
      <c r="W555" s="1">
        <v>0</v>
      </c>
      <c r="Y555" s="1">
        <v>6741</v>
      </c>
      <c r="AA555" s="1">
        <v>34867</v>
      </c>
      <c r="AB555" s="32"/>
      <c r="AC555" s="1">
        <v>0</v>
      </c>
      <c r="AE555" s="1">
        <v>0</v>
      </c>
      <c r="AG555" s="1">
        <f t="shared" si="72"/>
        <v>8805247</v>
      </c>
      <c r="AH555" s="1"/>
      <c r="AI555" s="1">
        <f t="shared" si="71"/>
        <v>10586065</v>
      </c>
    </row>
    <row r="556" spans="1:35" ht="12" customHeight="1">
      <c r="A556" s="17" t="s">
        <v>216</v>
      </c>
      <c r="B556" s="17"/>
      <c r="C556" s="17" t="s">
        <v>13</v>
      </c>
      <c r="D556" s="17"/>
      <c r="E556" s="13">
        <v>45922</v>
      </c>
      <c r="G556" s="1">
        <v>725797</v>
      </c>
      <c r="I556" s="1">
        <v>3297357</v>
      </c>
      <c r="K556" s="1">
        <v>663509</v>
      </c>
      <c r="M556" s="1">
        <f t="shared" si="73"/>
        <v>4686663</v>
      </c>
      <c r="O556" s="1">
        <f>784771+42100+12745</f>
        <v>839616</v>
      </c>
      <c r="Q556" s="1">
        <v>0</v>
      </c>
      <c r="S556" s="1">
        <v>6483157</v>
      </c>
      <c r="U556" s="1">
        <v>3549</v>
      </c>
      <c r="W556" s="1">
        <v>0</v>
      </c>
      <c r="Y556" s="1">
        <v>600</v>
      </c>
      <c r="AA556" s="1">
        <v>86993</v>
      </c>
      <c r="AB556" s="32"/>
      <c r="AC556" s="1">
        <v>0</v>
      </c>
      <c r="AE556" s="1">
        <v>0</v>
      </c>
      <c r="AG556" s="1">
        <f t="shared" si="72"/>
        <v>7413915</v>
      </c>
      <c r="AH556" s="1"/>
      <c r="AI556" s="1">
        <f t="shared" si="71"/>
        <v>12100578</v>
      </c>
    </row>
    <row r="557" spans="1:35" ht="12" customHeight="1">
      <c r="A557" s="17" t="s">
        <v>514</v>
      </c>
      <c r="B557" s="17"/>
      <c r="C557" s="17" t="s">
        <v>51</v>
      </c>
      <c r="D557" s="17"/>
      <c r="E557" s="13">
        <v>48876</v>
      </c>
      <c r="G557" s="1">
        <v>895145</v>
      </c>
      <c r="I557" s="1">
        <v>3224704</v>
      </c>
      <c r="K557" s="1">
        <v>497457</v>
      </c>
      <c r="M557" s="1">
        <f t="shared" si="73"/>
        <v>4617306</v>
      </c>
      <c r="O557" s="1">
        <f>6002732+1207925+118309</f>
        <v>7328966</v>
      </c>
      <c r="Q557" s="1">
        <v>0</v>
      </c>
      <c r="S557" s="1">
        <v>16397884</v>
      </c>
      <c r="U557" s="1">
        <v>119539</v>
      </c>
      <c r="W557" s="1">
        <f>2032548+335579+47940</f>
        <v>2416067</v>
      </c>
      <c r="Y557" s="1">
        <v>0</v>
      </c>
      <c r="AA557" s="1">
        <v>183134</v>
      </c>
      <c r="AB557" s="32"/>
      <c r="AC557" s="1">
        <v>0</v>
      </c>
      <c r="AE557" s="1">
        <v>0</v>
      </c>
      <c r="AG557" s="1">
        <f t="shared" si="72"/>
        <v>26445590</v>
      </c>
      <c r="AH557" s="1"/>
      <c r="AI557" s="1">
        <f t="shared" si="71"/>
        <v>31062896</v>
      </c>
    </row>
    <row r="558" spans="1:35" ht="12" hidden="1" customHeight="1">
      <c r="A558" s="17" t="s">
        <v>859</v>
      </c>
      <c r="B558" s="17"/>
      <c r="C558" s="17" t="s">
        <v>21</v>
      </c>
      <c r="D558" s="17"/>
      <c r="E558" s="13">
        <v>46680</v>
      </c>
      <c r="M558" s="1">
        <f t="shared" si="73"/>
        <v>0</v>
      </c>
      <c r="AB558" s="32"/>
      <c r="AG558" s="1">
        <f t="shared" si="72"/>
        <v>0</v>
      </c>
      <c r="AH558" s="1"/>
      <c r="AI558" s="1">
        <f t="shared" si="71"/>
        <v>0</v>
      </c>
    </row>
    <row r="559" spans="1:35" ht="12" hidden="1" customHeight="1">
      <c r="A559" s="17" t="s">
        <v>933</v>
      </c>
      <c r="B559" s="17"/>
      <c r="C559" s="17" t="s">
        <v>71</v>
      </c>
      <c r="D559" s="17"/>
      <c r="E559" s="13">
        <v>50591</v>
      </c>
      <c r="M559" s="1">
        <f t="shared" si="73"/>
        <v>0</v>
      </c>
      <c r="AB559" s="32"/>
      <c r="AG559" s="1">
        <f t="shared" si="72"/>
        <v>0</v>
      </c>
      <c r="AH559" s="1"/>
      <c r="AI559" s="1">
        <f t="shared" si="71"/>
        <v>0</v>
      </c>
    </row>
    <row r="560" spans="1:35" ht="12" customHeight="1">
      <c r="A560" s="17" t="s">
        <v>505</v>
      </c>
      <c r="B560" s="17"/>
      <c r="C560" s="17" t="s">
        <v>50</v>
      </c>
      <c r="D560" s="17"/>
      <c r="E560" s="13">
        <v>48694</v>
      </c>
      <c r="G560" s="1">
        <v>704717</v>
      </c>
      <c r="I560" s="1">
        <v>9442560</v>
      </c>
      <c r="K560" s="1">
        <v>0</v>
      </c>
      <c r="M560" s="1">
        <f t="shared" si="73"/>
        <v>10147277</v>
      </c>
      <c r="O560" s="1">
        <f>9061543+125002+2034414+661417</f>
        <v>11882376</v>
      </c>
      <c r="Q560" s="1">
        <v>0</v>
      </c>
      <c r="S560" s="1">
        <v>21343328</v>
      </c>
      <c r="U560" s="1">
        <v>51592</v>
      </c>
      <c r="W560" s="1">
        <v>55770</v>
      </c>
      <c r="Y560" s="1">
        <v>0</v>
      </c>
      <c r="AA560" s="1">
        <v>648600</v>
      </c>
      <c r="AB560" s="32"/>
      <c r="AC560" s="1">
        <v>0</v>
      </c>
      <c r="AE560" s="1">
        <v>0</v>
      </c>
      <c r="AG560" s="1">
        <f t="shared" si="72"/>
        <v>33981666</v>
      </c>
      <c r="AH560" s="1"/>
      <c r="AI560" s="1">
        <f t="shared" si="71"/>
        <v>44128943</v>
      </c>
    </row>
    <row r="561" spans="1:35" ht="12" customHeight="1">
      <c r="A561" s="17" t="s">
        <v>492</v>
      </c>
      <c r="B561" s="17"/>
      <c r="C561" s="17" t="s">
        <v>48</v>
      </c>
      <c r="D561" s="17"/>
      <c r="E561" s="13">
        <v>44925</v>
      </c>
      <c r="G561" s="1">
        <v>3265072</v>
      </c>
      <c r="I561" s="1">
        <v>5312328</v>
      </c>
      <c r="K561" s="1">
        <v>58594</v>
      </c>
      <c r="M561" s="1">
        <f t="shared" si="73"/>
        <v>8635994</v>
      </c>
      <c r="O561" s="1">
        <f>13670069+316964+1218759+576420</f>
        <v>15782212</v>
      </c>
      <c r="Q561" s="1">
        <v>8507939</v>
      </c>
      <c r="S561" s="1">
        <v>17249979</v>
      </c>
      <c r="U561" s="1">
        <v>63976</v>
      </c>
      <c r="W561" s="1">
        <v>0</v>
      </c>
      <c r="Y561" s="1">
        <v>0</v>
      </c>
      <c r="AA561" s="1">
        <v>257640</v>
      </c>
      <c r="AB561" s="32"/>
      <c r="AC561" s="1">
        <v>0</v>
      </c>
      <c r="AE561" s="1">
        <v>0</v>
      </c>
      <c r="AG561" s="1">
        <f t="shared" si="72"/>
        <v>41861746</v>
      </c>
      <c r="AH561" s="1"/>
      <c r="AI561" s="1">
        <f t="shared" si="71"/>
        <v>50497740</v>
      </c>
    </row>
    <row r="562" spans="1:35" ht="12" customHeight="1">
      <c r="A562" s="17" t="s">
        <v>624</v>
      </c>
      <c r="B562" s="17"/>
      <c r="C562" s="17" t="s">
        <v>65</v>
      </c>
      <c r="D562" s="17"/>
      <c r="E562" s="13">
        <v>50302</v>
      </c>
      <c r="G562" s="1">
        <v>784357</v>
      </c>
      <c r="I562" s="1">
        <v>1508327</v>
      </c>
      <c r="K562" s="1">
        <v>347</v>
      </c>
      <c r="M562" s="1">
        <f t="shared" si="73"/>
        <v>2293031</v>
      </c>
      <c r="O562" s="1">
        <f>5069568+567398</f>
        <v>5636966</v>
      </c>
      <c r="Q562" s="1">
        <v>0</v>
      </c>
      <c r="S562" s="1">
        <v>6382767</v>
      </c>
      <c r="U562" s="1">
        <v>88500</v>
      </c>
      <c r="W562" s="1">
        <v>0</v>
      </c>
      <c r="Y562" s="1">
        <v>0</v>
      </c>
      <c r="AA562" s="1">
        <v>2746</v>
      </c>
      <c r="AB562" s="32"/>
      <c r="AC562" s="1">
        <v>0</v>
      </c>
      <c r="AE562" s="1">
        <v>0</v>
      </c>
      <c r="AG562" s="1">
        <f t="shared" si="72"/>
        <v>12110979</v>
      </c>
      <c r="AH562" s="1"/>
      <c r="AI562" s="1">
        <f t="shared" si="71"/>
        <v>14404010</v>
      </c>
    </row>
    <row r="563" spans="1:35" ht="12" customHeight="1">
      <c r="A563" s="17" t="s">
        <v>585</v>
      </c>
      <c r="B563" s="17"/>
      <c r="C563" s="17" t="s">
        <v>62</v>
      </c>
      <c r="D563" s="17"/>
      <c r="E563" s="13">
        <v>49957</v>
      </c>
      <c r="G563" s="1">
        <v>1422408</v>
      </c>
      <c r="I563" s="1">
        <v>1420289</v>
      </c>
      <c r="K563" s="1">
        <v>0</v>
      </c>
      <c r="M563" s="1">
        <f t="shared" si="73"/>
        <v>2842697</v>
      </c>
      <c r="O563" s="1">
        <f>3634005+873685</f>
        <v>4507690</v>
      </c>
      <c r="Q563" s="1">
        <v>0</v>
      </c>
      <c r="S563" s="1">
        <v>16590852</v>
      </c>
      <c r="U563" s="1">
        <v>27139</v>
      </c>
      <c r="W563" s="1">
        <v>0</v>
      </c>
      <c r="Y563" s="1">
        <v>0</v>
      </c>
      <c r="AA563" s="1">
        <v>13462</v>
      </c>
      <c r="AB563" s="32"/>
      <c r="AC563" s="1">
        <v>0</v>
      </c>
      <c r="AE563" s="1">
        <v>0</v>
      </c>
      <c r="AG563" s="1">
        <f t="shared" si="72"/>
        <v>21139143</v>
      </c>
      <c r="AH563" s="1"/>
      <c r="AI563" s="1">
        <f t="shared" si="71"/>
        <v>23981840</v>
      </c>
    </row>
    <row r="564" spans="1:35" ht="12" hidden="1" customHeight="1">
      <c r="A564" s="17" t="s">
        <v>865</v>
      </c>
      <c r="B564" s="17"/>
      <c r="C564" s="17" t="s">
        <v>57</v>
      </c>
      <c r="D564" s="17"/>
      <c r="E564" s="13">
        <v>49296</v>
      </c>
      <c r="M564" s="1">
        <f t="shared" si="73"/>
        <v>0</v>
      </c>
      <c r="AB564" s="32"/>
      <c r="AG564" s="1">
        <f t="shared" si="72"/>
        <v>0</v>
      </c>
      <c r="AH564" s="1"/>
      <c r="AI564" s="1">
        <f t="shared" si="71"/>
        <v>0</v>
      </c>
    </row>
    <row r="565" spans="1:35" ht="12" customHeight="1">
      <c r="A565" s="17" t="s">
        <v>597</v>
      </c>
      <c r="B565" s="17"/>
      <c r="C565" s="17" t="s">
        <v>63</v>
      </c>
      <c r="D565" s="17"/>
      <c r="E565" s="13">
        <v>50070</v>
      </c>
      <c r="G565" s="1">
        <v>2076315</v>
      </c>
      <c r="I565" s="1">
        <v>2436372</v>
      </c>
      <c r="K565" s="1">
        <v>3638</v>
      </c>
      <c r="M565" s="1">
        <f t="shared" si="73"/>
        <v>4516325</v>
      </c>
      <c r="O565" s="1">
        <f>23959198+2241073+1606944</f>
        <v>27807215</v>
      </c>
      <c r="Q565" s="1">
        <v>0</v>
      </c>
      <c r="S565" s="1">
        <v>15735651</v>
      </c>
      <c r="U565" s="1">
        <v>68720</v>
      </c>
      <c r="W565" s="1">
        <v>187451</v>
      </c>
      <c r="Y565" s="1">
        <v>0</v>
      </c>
      <c r="AA565" s="1">
        <v>35023</v>
      </c>
      <c r="AB565" s="1"/>
      <c r="AC565" s="1">
        <v>0</v>
      </c>
      <c r="AE565" s="1">
        <v>0</v>
      </c>
      <c r="AG565" s="1">
        <f t="shared" ref="AG565:AG573" si="74">SUM(O565:AE565)</f>
        <v>43834060</v>
      </c>
      <c r="AH565" s="1"/>
      <c r="AI565" s="1">
        <f t="shared" ref="AI565:AI573" si="75">+AG565+M565</f>
        <v>48350385</v>
      </c>
    </row>
    <row r="566" spans="1:35" ht="12" hidden="1" customHeight="1">
      <c r="A566" s="12" t="s">
        <v>931</v>
      </c>
      <c r="B566" s="17"/>
      <c r="C566" s="17" t="s">
        <v>15</v>
      </c>
      <c r="D566" s="17"/>
      <c r="E566" s="13">
        <v>46011</v>
      </c>
      <c r="M566" s="1">
        <f t="shared" si="73"/>
        <v>0</v>
      </c>
      <c r="AB566" s="32"/>
      <c r="AG566" s="1">
        <f t="shared" si="74"/>
        <v>0</v>
      </c>
      <c r="AH566" s="1"/>
      <c r="AI566" s="1">
        <f t="shared" si="75"/>
        <v>0</v>
      </c>
    </row>
    <row r="567" spans="1:35" ht="12" customHeight="1">
      <c r="A567" s="17" t="s">
        <v>553</v>
      </c>
      <c r="B567" s="17"/>
      <c r="C567" s="17" t="s">
        <v>58</v>
      </c>
      <c r="D567" s="17"/>
      <c r="E567" s="13">
        <v>49536</v>
      </c>
      <c r="G567" s="1">
        <v>2876963</v>
      </c>
      <c r="I567" s="1">
        <v>2507493</v>
      </c>
      <c r="K567" s="1">
        <v>0</v>
      </c>
      <c r="M567" s="1">
        <f t="shared" si="73"/>
        <v>5384456</v>
      </c>
      <c r="O567" s="1">
        <f>3462533+303877+61989</f>
        <v>3828399</v>
      </c>
      <c r="Q567" s="1">
        <v>1059756</v>
      </c>
      <c r="S567" s="1">
        <v>10027980</v>
      </c>
      <c r="U567" s="1">
        <v>18227</v>
      </c>
      <c r="W567" s="1">
        <v>0</v>
      </c>
      <c r="Y567" s="1">
        <v>20000</v>
      </c>
      <c r="AA567" s="1">
        <v>118964</v>
      </c>
      <c r="AB567" s="32"/>
      <c r="AC567" s="1">
        <v>0</v>
      </c>
      <c r="AE567" s="1">
        <v>0</v>
      </c>
      <c r="AG567" s="1">
        <f t="shared" si="74"/>
        <v>15073326</v>
      </c>
      <c r="AH567" s="1"/>
      <c r="AI567" s="1">
        <f t="shared" si="75"/>
        <v>20457782</v>
      </c>
    </row>
    <row r="568" spans="1:35" ht="12" customHeight="1">
      <c r="A568" s="17" t="s">
        <v>270</v>
      </c>
      <c r="B568" s="17"/>
      <c r="C568" s="17" t="s">
        <v>114</v>
      </c>
      <c r="D568" s="17"/>
      <c r="E568" s="13">
        <v>46458</v>
      </c>
      <c r="G568" s="1">
        <v>1195870</v>
      </c>
      <c r="I568" s="1">
        <v>1649603</v>
      </c>
      <c r="K568" s="1">
        <v>0</v>
      </c>
      <c r="M568" s="1">
        <f t="shared" si="73"/>
        <v>2845473</v>
      </c>
      <c r="O568" s="1">
        <f>2482512+295278</f>
        <v>2777790</v>
      </c>
      <c r="Q568" s="1">
        <v>592317</v>
      </c>
      <c r="S568" s="1">
        <v>6862557</v>
      </c>
      <c r="U568" s="1">
        <v>202700</v>
      </c>
      <c r="W568" s="1">
        <v>0</v>
      </c>
      <c r="Y568" s="1">
        <v>0</v>
      </c>
      <c r="AA568" s="1">
        <v>37593</v>
      </c>
      <c r="AB568" s="32"/>
      <c r="AC568" s="1">
        <v>0</v>
      </c>
      <c r="AE568" s="1">
        <v>0</v>
      </c>
      <c r="AG568" s="1">
        <f t="shared" si="74"/>
        <v>10472957</v>
      </c>
      <c r="AH568" s="1"/>
      <c r="AI568" s="1">
        <f t="shared" si="75"/>
        <v>13318430</v>
      </c>
    </row>
    <row r="569" spans="1:35" ht="12" customHeight="1">
      <c r="A569" s="17" t="s">
        <v>341</v>
      </c>
      <c r="B569" s="17"/>
      <c r="C569" s="17" t="s">
        <v>27</v>
      </c>
      <c r="D569" s="17"/>
      <c r="E569" s="13">
        <v>44933</v>
      </c>
      <c r="G569" s="1">
        <v>5201652</v>
      </c>
      <c r="I569" s="1">
        <v>3632638</v>
      </c>
      <c r="K569" s="1">
        <v>0</v>
      </c>
      <c r="M569" s="1">
        <f t="shared" si="73"/>
        <v>8834290</v>
      </c>
      <c r="O569" s="1">
        <v>66513356</v>
      </c>
      <c r="Q569" s="1">
        <v>0</v>
      </c>
      <c r="S569" s="1">
        <v>15090269</v>
      </c>
      <c r="U569" s="1">
        <v>530353</v>
      </c>
      <c r="W569" s="1">
        <v>0</v>
      </c>
      <c r="Y569" s="1">
        <v>0</v>
      </c>
      <c r="AA569" s="1">
        <v>1045058</v>
      </c>
      <c r="AB569" s="32"/>
      <c r="AC569" s="1">
        <v>91923</v>
      </c>
      <c r="AE569" s="1">
        <v>0</v>
      </c>
      <c r="AG569" s="1">
        <f t="shared" si="74"/>
        <v>83270959</v>
      </c>
      <c r="AH569" s="1"/>
      <c r="AI569" s="1">
        <f t="shared" si="75"/>
        <v>92105249</v>
      </c>
    </row>
    <row r="570" spans="1:35" ht="12" hidden="1" customHeight="1">
      <c r="A570" s="17" t="s">
        <v>866</v>
      </c>
      <c r="B570" s="17"/>
      <c r="C570" s="17" t="s">
        <v>653</v>
      </c>
      <c r="D570" s="17"/>
      <c r="E570" s="13">
        <v>45625</v>
      </c>
      <c r="M570" s="1">
        <f t="shared" si="73"/>
        <v>0</v>
      </c>
      <c r="AB570" s="32"/>
      <c r="AG570" s="1">
        <f t="shared" si="74"/>
        <v>0</v>
      </c>
      <c r="AH570" s="1"/>
      <c r="AI570" s="1">
        <f t="shared" si="75"/>
        <v>0</v>
      </c>
    </row>
    <row r="571" spans="1:35" ht="12" hidden="1" customHeight="1">
      <c r="A571" s="17" t="s">
        <v>867</v>
      </c>
      <c r="B571" s="17"/>
      <c r="C571" s="17" t="s">
        <v>383</v>
      </c>
      <c r="D571" s="17"/>
      <c r="E571" s="3">
        <v>0</v>
      </c>
      <c r="M571" s="1">
        <f t="shared" si="73"/>
        <v>0</v>
      </c>
      <c r="AB571" s="32"/>
      <c r="AG571" s="1">
        <f t="shared" si="74"/>
        <v>0</v>
      </c>
      <c r="AH571" s="1"/>
      <c r="AI571" s="1">
        <f t="shared" si="75"/>
        <v>0</v>
      </c>
    </row>
    <row r="572" spans="1:35" s="16" customFormat="1" ht="12" customHeight="1">
      <c r="A572" s="14" t="s">
        <v>243</v>
      </c>
      <c r="B572" s="14"/>
      <c r="C572" s="14" t="s">
        <v>240</v>
      </c>
      <c r="D572" s="14"/>
      <c r="E572" s="14">
        <v>44941</v>
      </c>
      <c r="G572" s="1">
        <v>1609266</v>
      </c>
      <c r="H572" s="1"/>
      <c r="I572" s="1">
        <v>3368721</v>
      </c>
      <c r="J572" s="1"/>
      <c r="K572" s="1">
        <v>0</v>
      </c>
      <c r="L572" s="1"/>
      <c r="M572" s="1">
        <f t="shared" si="73"/>
        <v>4977987</v>
      </c>
      <c r="N572" s="1"/>
      <c r="O572" s="1">
        <f>8955673+501916</f>
        <v>9457589</v>
      </c>
      <c r="P572" s="1"/>
      <c r="Q572" s="1">
        <v>0</v>
      </c>
      <c r="R572" s="1"/>
      <c r="S572" s="1">
        <v>11993991</v>
      </c>
      <c r="T572" s="1"/>
      <c r="U572" s="1">
        <v>73537</v>
      </c>
      <c r="V572" s="1"/>
      <c r="W572" s="1">
        <v>0</v>
      </c>
      <c r="X572" s="1"/>
      <c r="Y572" s="1">
        <v>0</v>
      </c>
      <c r="Z572" s="1"/>
      <c r="AA572" s="1">
        <v>62157</v>
      </c>
      <c r="AB572" s="32"/>
      <c r="AC572" s="1">
        <v>0</v>
      </c>
      <c r="AD572" s="1"/>
      <c r="AE572" s="1">
        <v>0</v>
      </c>
      <c r="AF572" s="1"/>
      <c r="AG572" s="1">
        <f t="shared" si="74"/>
        <v>21587274</v>
      </c>
      <c r="AH572" s="1"/>
      <c r="AI572" s="1">
        <f t="shared" si="75"/>
        <v>26565261</v>
      </c>
    </row>
    <row r="573" spans="1:35" ht="12" hidden="1" customHeight="1">
      <c r="A573" s="17" t="s">
        <v>868</v>
      </c>
      <c r="B573" s="17"/>
      <c r="C573" s="17" t="s">
        <v>59</v>
      </c>
      <c r="D573" s="17"/>
      <c r="E573" s="13">
        <v>49643</v>
      </c>
      <c r="M573" s="1">
        <f t="shared" si="73"/>
        <v>0</v>
      </c>
      <c r="AB573" s="32"/>
      <c r="AG573" s="1">
        <f t="shared" si="74"/>
        <v>0</v>
      </c>
      <c r="AH573" s="1"/>
      <c r="AI573" s="1">
        <f t="shared" si="75"/>
        <v>0</v>
      </c>
    </row>
    <row r="574" spans="1:35" ht="12" customHeight="1">
      <c r="A574" s="17" t="s">
        <v>506</v>
      </c>
      <c r="B574" s="17"/>
      <c r="C574" s="17" t="s">
        <v>50</v>
      </c>
      <c r="D574" s="17"/>
      <c r="E574" s="13">
        <v>48744</v>
      </c>
      <c r="G574" s="1">
        <v>994084</v>
      </c>
      <c r="I574" s="1">
        <v>1813272</v>
      </c>
      <c r="K574" s="1">
        <v>0</v>
      </c>
      <c r="M574" s="1">
        <f t="shared" si="73"/>
        <v>2807356</v>
      </c>
      <c r="O574" s="1">
        <f>4312210+554719</f>
        <v>4866929</v>
      </c>
      <c r="Q574" s="1">
        <v>2739490</v>
      </c>
      <c r="S574" s="1">
        <v>8506403</v>
      </c>
      <c r="U574" s="1">
        <v>163855</v>
      </c>
      <c r="W574" s="1">
        <v>0</v>
      </c>
      <c r="Y574" s="1">
        <v>0</v>
      </c>
      <c r="AA574" s="1">
        <v>87666</v>
      </c>
      <c r="AB574" s="32"/>
      <c r="AC574" s="1">
        <v>0</v>
      </c>
      <c r="AE574" s="1">
        <v>0</v>
      </c>
      <c r="AG574" s="1">
        <f t="shared" si="72"/>
        <v>16364343</v>
      </c>
      <c r="AH574" s="1"/>
      <c r="AI574" s="1">
        <f t="shared" si="71"/>
        <v>19171699</v>
      </c>
    </row>
    <row r="575" spans="1:35" ht="12" customHeight="1">
      <c r="A575" s="17" t="s">
        <v>382</v>
      </c>
      <c r="B575" s="17"/>
      <c r="C575" s="17" t="s">
        <v>33</v>
      </c>
      <c r="D575" s="17"/>
      <c r="E575" s="13">
        <v>47464</v>
      </c>
      <c r="G575" s="1">
        <v>1091650</v>
      </c>
      <c r="I575" s="1">
        <v>673392</v>
      </c>
      <c r="K575" s="1">
        <v>24570</v>
      </c>
      <c r="M575" s="1">
        <f t="shared" si="73"/>
        <v>1789612</v>
      </c>
      <c r="O575" s="1">
        <f>4887784+673957+227802</f>
        <v>5789543</v>
      </c>
      <c r="Q575" s="1">
        <v>0</v>
      </c>
      <c r="S575" s="1">
        <v>3896051</v>
      </c>
      <c r="U575" s="1">
        <v>51799</v>
      </c>
      <c r="W575" s="1">
        <v>93448</v>
      </c>
      <c r="Y575" s="1">
        <v>24383</v>
      </c>
      <c r="AA575" s="1">
        <v>80906</v>
      </c>
      <c r="AB575" s="32"/>
      <c r="AC575" s="1">
        <v>0</v>
      </c>
      <c r="AE575" s="1">
        <v>0</v>
      </c>
      <c r="AG575" s="1">
        <f t="shared" ref="AG575:AG580" si="76">SUM(O575:AE575)</f>
        <v>9936130</v>
      </c>
      <c r="AH575" s="1"/>
      <c r="AI575" s="1">
        <f t="shared" si="71"/>
        <v>11725742</v>
      </c>
    </row>
    <row r="576" spans="1:35" ht="12" customHeight="1">
      <c r="A576" s="12" t="s">
        <v>629</v>
      </c>
      <c r="B576" s="17"/>
      <c r="C576" s="17" t="s">
        <v>67</v>
      </c>
      <c r="D576" s="17"/>
      <c r="E576" s="13">
        <v>44966</v>
      </c>
      <c r="G576" s="1">
        <v>1391868</v>
      </c>
      <c r="I576" s="1">
        <v>3590256</v>
      </c>
      <c r="K576" s="1">
        <v>80190</v>
      </c>
      <c r="M576" s="1">
        <f t="shared" si="73"/>
        <v>5062314</v>
      </c>
      <c r="O576" s="1">
        <f>4755468+1305294+326923</f>
        <v>6387685</v>
      </c>
      <c r="Q576" s="1">
        <v>2109334</v>
      </c>
      <c r="S576" s="1">
        <v>36803349</v>
      </c>
      <c r="U576" s="1">
        <v>54975</v>
      </c>
      <c r="W576" s="1">
        <v>198187</v>
      </c>
      <c r="Y576" s="1">
        <v>35182</v>
      </c>
      <c r="AA576" s="1">
        <v>149082</v>
      </c>
      <c r="AB576" s="32"/>
      <c r="AC576" s="1">
        <v>0</v>
      </c>
      <c r="AE576" s="1">
        <v>0</v>
      </c>
      <c r="AG576" s="1">
        <f t="shared" si="76"/>
        <v>45737794</v>
      </c>
      <c r="AH576" s="1"/>
      <c r="AI576" s="1">
        <f t="shared" si="71"/>
        <v>50800108</v>
      </c>
    </row>
    <row r="577" spans="1:35" ht="12" customHeight="1">
      <c r="A577" s="17" t="s">
        <v>507</v>
      </c>
      <c r="B577" s="17"/>
      <c r="C577" s="17" t="s">
        <v>50</v>
      </c>
      <c r="D577" s="17"/>
      <c r="E577" s="13">
        <v>44958</v>
      </c>
      <c r="G577" s="1">
        <v>2362517</v>
      </c>
      <c r="I577" s="1">
        <v>2903739</v>
      </c>
      <c r="K577" s="1">
        <v>0</v>
      </c>
      <c r="M577" s="1">
        <f t="shared" si="73"/>
        <v>5266256</v>
      </c>
      <c r="O577" s="1">
        <f>19070956+1880300</f>
        <v>20951256</v>
      </c>
      <c r="Q577" s="1">
        <v>0</v>
      </c>
      <c r="S577" s="1">
        <v>11453032</v>
      </c>
      <c r="U577" s="1">
        <v>1924940</v>
      </c>
      <c r="W577" s="1">
        <v>0</v>
      </c>
      <c r="Y577" s="1">
        <v>0</v>
      </c>
      <c r="AA577" s="1">
        <f>475+106219</f>
        <v>106694</v>
      </c>
      <c r="AB577" s="32"/>
      <c r="AC577" s="1">
        <v>0</v>
      </c>
      <c r="AE577" s="1">
        <v>0</v>
      </c>
      <c r="AG577" s="1">
        <f t="shared" si="76"/>
        <v>34435922</v>
      </c>
      <c r="AH577" s="1"/>
      <c r="AI577" s="1">
        <f t="shared" si="71"/>
        <v>39702178</v>
      </c>
    </row>
    <row r="578" spans="1:35" ht="12" hidden="1" customHeight="1">
      <c r="A578" s="17" t="s">
        <v>870</v>
      </c>
      <c r="B578" s="17"/>
      <c r="C578" s="17" t="s">
        <v>33</v>
      </c>
      <c r="D578" s="17"/>
      <c r="E578" s="13">
        <v>47472</v>
      </c>
      <c r="M578" s="1">
        <f t="shared" si="73"/>
        <v>0</v>
      </c>
      <c r="AB578" s="32"/>
      <c r="AG578" s="1">
        <f t="shared" si="76"/>
        <v>0</v>
      </c>
      <c r="AH578" s="1"/>
      <c r="AI578" s="1">
        <f t="shared" si="71"/>
        <v>0</v>
      </c>
    </row>
    <row r="579" spans="1:35" ht="12" customHeight="1">
      <c r="A579" s="17" t="s">
        <v>320</v>
      </c>
      <c r="B579" s="17"/>
      <c r="C579" s="17" t="s">
        <v>24</v>
      </c>
      <c r="D579" s="17"/>
      <c r="E579" s="13">
        <v>46821</v>
      </c>
      <c r="G579" s="1">
        <v>1173062</v>
      </c>
      <c r="I579" s="1">
        <v>2320500</v>
      </c>
      <c r="K579" s="1">
        <v>0</v>
      </c>
      <c r="M579" s="1">
        <f t="shared" si="73"/>
        <v>3493562</v>
      </c>
      <c r="O579" s="1">
        <f>15037154+138721</f>
        <v>15175875</v>
      </c>
      <c r="Q579" s="1">
        <v>0</v>
      </c>
      <c r="S579" s="1">
        <v>8126279</v>
      </c>
      <c r="U579" s="1">
        <v>171254</v>
      </c>
      <c r="W579" s="1">
        <v>0</v>
      </c>
      <c r="Y579" s="1">
        <v>0</v>
      </c>
      <c r="AA579" s="1">
        <v>50821</v>
      </c>
      <c r="AB579" s="32"/>
      <c r="AC579" s="1">
        <v>0</v>
      </c>
      <c r="AE579" s="1">
        <v>0</v>
      </c>
      <c r="AG579" s="1">
        <f t="shared" si="76"/>
        <v>23524229</v>
      </c>
      <c r="AH579" s="1"/>
      <c r="AI579" s="1">
        <f t="shared" si="71"/>
        <v>27017791</v>
      </c>
    </row>
    <row r="580" spans="1:35" ht="12" hidden="1" customHeight="1">
      <c r="A580" s="17" t="s">
        <v>871</v>
      </c>
      <c r="B580" s="17"/>
      <c r="C580" s="17" t="s">
        <v>21</v>
      </c>
      <c r="D580" s="17"/>
      <c r="E580" s="13"/>
      <c r="M580" s="1">
        <f t="shared" si="73"/>
        <v>0</v>
      </c>
      <c r="AB580" s="32"/>
      <c r="AG580" s="1">
        <f t="shared" si="76"/>
        <v>0</v>
      </c>
      <c r="AH580" s="1"/>
      <c r="AI580" s="1">
        <f t="shared" si="71"/>
        <v>0</v>
      </c>
    </row>
    <row r="581" spans="1:35" ht="12" customHeight="1">
      <c r="A581" s="17" t="s">
        <v>630</v>
      </c>
      <c r="B581" s="17"/>
      <c r="C581" s="17" t="s">
        <v>68</v>
      </c>
      <c r="D581" s="17"/>
      <c r="E581" s="13">
        <v>50393</v>
      </c>
      <c r="G581" s="1">
        <v>540545</v>
      </c>
      <c r="I581" s="1">
        <v>18186516</v>
      </c>
      <c r="K581" s="1">
        <v>0</v>
      </c>
      <c r="M581" s="1">
        <f t="shared" si="73"/>
        <v>18727061</v>
      </c>
      <c r="O581" s="1">
        <f>3352357+70541+852254</f>
        <v>4275152</v>
      </c>
      <c r="Q581" s="1">
        <v>0</v>
      </c>
      <c r="S581" s="1">
        <v>4924399</v>
      </c>
      <c r="U581" s="1">
        <v>162698</v>
      </c>
      <c r="W581" s="1">
        <v>692010</v>
      </c>
      <c r="Y581" s="1">
        <v>0</v>
      </c>
      <c r="AA581" s="1">
        <f>394863+1926+95537</f>
        <v>492326</v>
      </c>
      <c r="AB581" s="32"/>
      <c r="AC581" s="1">
        <v>0</v>
      </c>
      <c r="AE581" s="1">
        <v>0</v>
      </c>
      <c r="AG581" s="1">
        <f t="shared" si="72"/>
        <v>10546585</v>
      </c>
      <c r="AH581" s="1"/>
      <c r="AI581" s="1">
        <f t="shared" si="71"/>
        <v>29273646</v>
      </c>
    </row>
    <row r="582" spans="1:35" ht="12" customHeight="1">
      <c r="A582" s="17" t="s">
        <v>483</v>
      </c>
      <c r="B582" s="17"/>
      <c r="C582" s="17" t="s">
        <v>47</v>
      </c>
      <c r="D582" s="17"/>
      <c r="E582" s="13">
        <v>44974</v>
      </c>
      <c r="G582" s="1">
        <v>2613842</v>
      </c>
      <c r="I582" s="1">
        <v>2874372</v>
      </c>
      <c r="K582" s="1">
        <v>420045</v>
      </c>
      <c r="M582" s="1">
        <f t="shared" si="73"/>
        <v>5908259</v>
      </c>
      <c r="O582" s="1">
        <f>16460222+4350510</f>
        <v>20810732</v>
      </c>
      <c r="Q582" s="1">
        <v>0</v>
      </c>
      <c r="S582" s="1">
        <f>20053508+39621003</f>
        <v>59674511</v>
      </c>
      <c r="U582" s="1">
        <v>93096</v>
      </c>
      <c r="W582" s="1">
        <v>0</v>
      </c>
      <c r="Y582" s="1">
        <v>0</v>
      </c>
      <c r="AA582" s="1">
        <f>197838+461605</f>
        <v>659443</v>
      </c>
      <c r="AB582" s="32"/>
      <c r="AC582" s="1">
        <v>0</v>
      </c>
      <c r="AE582" s="1">
        <v>15769214</v>
      </c>
      <c r="AG582" s="1">
        <f t="shared" ref="AG582:AG614" si="77">SUM(O582:AE582)</f>
        <v>97006996</v>
      </c>
      <c r="AH582" s="1"/>
      <c r="AI582" s="1">
        <f t="shared" si="71"/>
        <v>102915255</v>
      </c>
    </row>
    <row r="583" spans="1:35" ht="12" customHeight="1">
      <c r="A583" s="17" t="s">
        <v>616</v>
      </c>
      <c r="B583" s="17"/>
      <c r="C583" s="17" t="s">
        <v>64</v>
      </c>
      <c r="D583" s="17"/>
      <c r="E583" s="13">
        <v>44990</v>
      </c>
      <c r="G583" s="1">
        <v>2536405</v>
      </c>
      <c r="I583" s="1">
        <v>14263613</v>
      </c>
      <c r="K583" s="1">
        <v>0</v>
      </c>
      <c r="M583" s="1">
        <f t="shared" si="73"/>
        <v>16800018</v>
      </c>
      <c r="O583" s="1">
        <f>12800873+136749+1695072+146754</f>
        <v>14779448</v>
      </c>
      <c r="Q583" s="1">
        <v>0</v>
      </c>
      <c r="S583" s="1">
        <f>45538136+939415</f>
        <v>46477551</v>
      </c>
      <c r="U583" s="1">
        <v>651850</v>
      </c>
      <c r="W583" s="1">
        <v>0</v>
      </c>
      <c r="Y583" s="1">
        <v>0</v>
      </c>
      <c r="AA583" s="1">
        <v>70228</v>
      </c>
      <c r="AB583" s="32"/>
      <c r="AC583" s="1">
        <v>0</v>
      </c>
      <c r="AE583" s="1">
        <v>0</v>
      </c>
      <c r="AG583" s="1">
        <f t="shared" si="77"/>
        <v>61979077</v>
      </c>
      <c r="AH583" s="1"/>
      <c r="AI583" s="1">
        <f t="shared" si="71"/>
        <v>78779095</v>
      </c>
    </row>
    <row r="584" spans="1:35">
      <c r="A584" s="17" t="s">
        <v>638</v>
      </c>
      <c r="B584" s="17"/>
      <c r="C584" s="17" t="s">
        <v>70</v>
      </c>
      <c r="D584" s="17"/>
      <c r="E584" s="13">
        <v>50500</v>
      </c>
      <c r="G584" s="1">
        <v>2098120</v>
      </c>
      <c r="I584" s="1">
        <v>2640507</v>
      </c>
      <c r="K584" s="1">
        <v>0</v>
      </c>
      <c r="M584" s="1">
        <f t="shared" si="73"/>
        <v>4738627</v>
      </c>
      <c r="O584" s="1">
        <v>5729369</v>
      </c>
      <c r="Q584" s="1">
        <v>0</v>
      </c>
      <c r="S584" s="1">
        <v>12500090</v>
      </c>
      <c r="U584" s="1">
        <v>112431</v>
      </c>
      <c r="W584" s="1">
        <v>0</v>
      </c>
      <c r="Y584" s="1">
        <v>37051</v>
      </c>
      <c r="AA584" s="1">
        <v>56961</v>
      </c>
      <c r="AB584" s="32"/>
      <c r="AC584" s="1">
        <v>0</v>
      </c>
      <c r="AE584" s="1">
        <v>0</v>
      </c>
      <c r="AG584" s="1">
        <f t="shared" si="77"/>
        <v>18435902</v>
      </c>
      <c r="AH584" s="1"/>
      <c r="AI584" s="1">
        <f t="shared" si="71"/>
        <v>23174529</v>
      </c>
    </row>
    <row r="585" spans="1:35" ht="12" customHeight="1">
      <c r="A585" s="17" t="s">
        <v>307</v>
      </c>
      <c r="B585" s="17"/>
      <c r="C585" s="17" t="s">
        <v>20</v>
      </c>
      <c r="D585" s="17"/>
      <c r="E585" s="13">
        <v>45005</v>
      </c>
      <c r="G585" s="1">
        <v>296626</v>
      </c>
      <c r="I585" s="1">
        <v>3244570</v>
      </c>
      <c r="K585" s="1">
        <v>66119</v>
      </c>
      <c r="M585" s="1">
        <f t="shared" si="73"/>
        <v>3607315</v>
      </c>
      <c r="O585" s="1">
        <f>17005514+1949255+504760+132814</f>
        <v>19592343</v>
      </c>
      <c r="Q585" s="1">
        <v>0</v>
      </c>
      <c r="S585" s="1">
        <v>16429129</v>
      </c>
      <c r="U585" s="1">
        <v>34650</v>
      </c>
      <c r="W585" s="1">
        <v>0</v>
      </c>
      <c r="Y585" s="1">
        <v>0</v>
      </c>
      <c r="AA585" s="1">
        <v>91677</v>
      </c>
      <c r="AB585" s="32"/>
      <c r="AC585" s="1">
        <v>0</v>
      </c>
      <c r="AE585" s="1">
        <v>0</v>
      </c>
      <c r="AG585" s="1">
        <f t="shared" si="77"/>
        <v>36147799</v>
      </c>
      <c r="AH585" s="1"/>
      <c r="AI585" s="1">
        <f t="shared" si="71"/>
        <v>39755114</v>
      </c>
    </row>
    <row r="586" spans="1:35" ht="12" customHeight="1">
      <c r="A586" s="17" t="s">
        <v>328</v>
      </c>
      <c r="B586" s="17"/>
      <c r="C586" s="17" t="s">
        <v>26</v>
      </c>
      <c r="D586" s="17"/>
      <c r="E586" s="13">
        <v>45013</v>
      </c>
      <c r="G586" s="1">
        <v>1408386</v>
      </c>
      <c r="I586" s="1">
        <v>4028040</v>
      </c>
      <c r="K586" s="1">
        <v>10439</v>
      </c>
      <c r="M586" s="1">
        <f t="shared" si="73"/>
        <v>5446865</v>
      </c>
      <c r="O586" s="1">
        <f>4078417+84941+1188143+377190</f>
        <v>5728691</v>
      </c>
      <c r="Q586" s="1">
        <v>0</v>
      </c>
      <c r="S586" s="1">
        <v>11879939</v>
      </c>
      <c r="U586" s="1">
        <v>0</v>
      </c>
      <c r="W586" s="1">
        <v>19204</v>
      </c>
      <c r="Y586" s="1">
        <v>3218</v>
      </c>
      <c r="AA586" s="1">
        <v>272802</v>
      </c>
      <c r="AB586" s="32"/>
      <c r="AC586" s="1">
        <v>0</v>
      </c>
      <c r="AE586" s="1">
        <v>0</v>
      </c>
      <c r="AG586" s="1">
        <f t="shared" si="77"/>
        <v>17903854</v>
      </c>
      <c r="AH586" s="1"/>
      <c r="AI586" s="1">
        <f t="shared" si="71"/>
        <v>23350719</v>
      </c>
    </row>
    <row r="587" spans="1:35" ht="12" customHeight="1">
      <c r="A587" s="17" t="s">
        <v>456</v>
      </c>
      <c r="B587" s="17"/>
      <c r="C587" s="17" t="s">
        <v>117</v>
      </c>
      <c r="D587" s="17"/>
      <c r="E587" s="13">
        <v>48231</v>
      </c>
      <c r="G587" s="1">
        <v>2338959</v>
      </c>
      <c r="I587" s="1">
        <v>9166569</v>
      </c>
      <c r="K587" s="1">
        <v>0</v>
      </c>
      <c r="M587" s="1">
        <f t="shared" si="73"/>
        <v>11505528</v>
      </c>
      <c r="O587" s="1">
        <f>32765401+559484+1254444</f>
        <v>34579329</v>
      </c>
      <c r="Q587" s="1">
        <v>0</v>
      </c>
      <c r="S587" s="1">
        <v>32628530</v>
      </c>
      <c r="U587" s="1">
        <v>477533</v>
      </c>
      <c r="W587" s="1">
        <v>3445196</v>
      </c>
      <c r="Y587" s="1">
        <v>0</v>
      </c>
      <c r="AA587" s="1">
        <v>476735</v>
      </c>
      <c r="AB587" s="32"/>
      <c r="AC587" s="1">
        <v>0</v>
      </c>
      <c r="AE587" s="1">
        <v>0</v>
      </c>
      <c r="AG587" s="1">
        <f t="shared" si="77"/>
        <v>71607323</v>
      </c>
      <c r="AH587" s="1"/>
      <c r="AI587" s="1">
        <f t="shared" si="71"/>
        <v>83112851</v>
      </c>
    </row>
    <row r="588" spans="1:35" ht="12" customHeight="1">
      <c r="A588" s="17" t="s">
        <v>565</v>
      </c>
      <c r="B588" s="17"/>
      <c r="C588" s="17" t="s">
        <v>59</v>
      </c>
      <c r="D588" s="17"/>
      <c r="E588" s="13">
        <v>49650</v>
      </c>
      <c r="G588" s="1">
        <v>1643616</v>
      </c>
      <c r="I588" s="1">
        <v>3280761</v>
      </c>
      <c r="K588" s="1">
        <v>0</v>
      </c>
      <c r="M588" s="1">
        <f t="shared" si="73"/>
        <v>4924377</v>
      </c>
      <c r="O588" s="1">
        <f>1340769+24092+197678</f>
        <v>1562539</v>
      </c>
      <c r="Q588" s="1">
        <v>0</v>
      </c>
      <c r="S588" s="1">
        <v>9556222</v>
      </c>
      <c r="U588" s="1">
        <v>98330</v>
      </c>
      <c r="W588" s="1">
        <v>0</v>
      </c>
      <c r="Y588" s="1">
        <v>0</v>
      </c>
      <c r="AA588" s="1">
        <v>121955</v>
      </c>
      <c r="AB588" s="32"/>
      <c r="AC588" s="1">
        <v>0</v>
      </c>
      <c r="AE588" s="1">
        <v>0</v>
      </c>
      <c r="AG588" s="1">
        <f t="shared" si="77"/>
        <v>11339046</v>
      </c>
      <c r="AH588" s="1"/>
      <c r="AI588" s="1">
        <f t="shared" ref="AI588:AI634" si="78">+AG588+M588</f>
        <v>16263423</v>
      </c>
    </row>
    <row r="589" spans="1:35" ht="12" customHeight="1">
      <c r="A589" s="17" t="s">
        <v>539</v>
      </c>
      <c r="B589" s="17"/>
      <c r="C589" s="17" t="s">
        <v>56</v>
      </c>
      <c r="D589" s="17"/>
      <c r="E589" s="13">
        <v>49247</v>
      </c>
      <c r="G589" s="1">
        <v>565293</v>
      </c>
      <c r="I589" s="1">
        <v>1424336</v>
      </c>
      <c r="K589" s="1">
        <v>53194</v>
      </c>
      <c r="M589" s="1">
        <f t="shared" si="73"/>
        <v>2042823</v>
      </c>
      <c r="O589" s="1">
        <f>3281157+118016+800774</f>
        <v>4199947</v>
      </c>
      <c r="Q589" s="1">
        <v>0</v>
      </c>
      <c r="S589" s="1">
        <v>6478626</v>
      </c>
      <c r="U589" s="1">
        <v>20500</v>
      </c>
      <c r="W589" s="1">
        <v>0</v>
      </c>
      <c r="Y589" s="1">
        <v>0</v>
      </c>
      <c r="AA589" s="1">
        <v>90391</v>
      </c>
      <c r="AB589" s="32"/>
      <c r="AC589" s="1">
        <v>0</v>
      </c>
      <c r="AE589" s="1">
        <v>0</v>
      </c>
      <c r="AG589" s="1">
        <f t="shared" si="77"/>
        <v>10789464</v>
      </c>
      <c r="AH589" s="1"/>
      <c r="AI589" s="1">
        <f t="shared" si="78"/>
        <v>12832287</v>
      </c>
    </row>
    <row r="590" spans="1:35" ht="12" customHeight="1">
      <c r="A590" s="17" t="s">
        <v>348</v>
      </c>
      <c r="B590" s="17"/>
      <c r="C590" s="17" t="s">
        <v>28</v>
      </c>
      <c r="D590" s="17"/>
      <c r="E590" s="13">
        <v>45641</v>
      </c>
      <c r="G590" s="1">
        <v>1393947</v>
      </c>
      <c r="I590" s="1">
        <v>1936976</v>
      </c>
      <c r="K590" s="1">
        <v>0</v>
      </c>
      <c r="M590" s="1">
        <f t="shared" si="73"/>
        <v>3330923</v>
      </c>
      <c r="O590" s="1">
        <f>4225921+2078911+82876+156510</f>
        <v>6544218</v>
      </c>
      <c r="Q590" s="1">
        <v>0</v>
      </c>
      <c r="S590" s="1">
        <v>9364342</v>
      </c>
      <c r="U590" s="1">
        <v>135084</v>
      </c>
      <c r="W590" s="1">
        <v>0</v>
      </c>
      <c r="Y590" s="1">
        <v>0</v>
      </c>
      <c r="AA590" s="1">
        <v>90737</v>
      </c>
      <c r="AB590" s="32"/>
      <c r="AC590" s="1">
        <v>0</v>
      </c>
      <c r="AE590" s="1">
        <v>-1597536</v>
      </c>
      <c r="AG590" s="1">
        <f t="shared" si="77"/>
        <v>14536845</v>
      </c>
      <c r="AH590" s="1"/>
      <c r="AI590" s="1">
        <f t="shared" si="78"/>
        <v>17867768</v>
      </c>
    </row>
    <row r="591" spans="1:35" ht="12" customHeight="1">
      <c r="A591" s="17" t="s">
        <v>530</v>
      </c>
      <c r="B591" s="17"/>
      <c r="C591" s="17" t="s">
        <v>55</v>
      </c>
      <c r="D591" s="17"/>
      <c r="E591" s="13">
        <v>49148</v>
      </c>
      <c r="G591" s="1">
        <v>1170293</v>
      </c>
      <c r="I591" s="1">
        <v>3887481</v>
      </c>
      <c r="K591" s="1">
        <v>4460</v>
      </c>
      <c r="M591" s="1">
        <f t="shared" si="73"/>
        <v>5062234</v>
      </c>
      <c r="O591" s="1">
        <f>3119767+558943+60337</f>
        <v>3739047</v>
      </c>
      <c r="Q591" s="1">
        <v>0</v>
      </c>
      <c r="S591" s="1">
        <v>10903589</v>
      </c>
      <c r="U591" s="1">
        <v>8881</v>
      </c>
      <c r="W591" s="1">
        <v>10525</v>
      </c>
      <c r="Y591" s="1">
        <v>0</v>
      </c>
      <c r="AA591" s="1">
        <f>111516+800</f>
        <v>112316</v>
      </c>
      <c r="AB591" s="32"/>
      <c r="AC591" s="1">
        <v>0</v>
      </c>
      <c r="AE591" s="1">
        <v>0</v>
      </c>
      <c r="AG591" s="1">
        <f t="shared" si="77"/>
        <v>14774358</v>
      </c>
      <c r="AH591" s="1"/>
      <c r="AI591" s="1">
        <f t="shared" si="78"/>
        <v>19836592</v>
      </c>
    </row>
    <row r="592" spans="1:35" ht="12" hidden="1" customHeight="1">
      <c r="A592" s="17" t="s">
        <v>881</v>
      </c>
      <c r="B592" s="17"/>
      <c r="C592" s="17" t="s">
        <v>69</v>
      </c>
      <c r="D592" s="17"/>
      <c r="E592" s="13">
        <v>50468</v>
      </c>
      <c r="M592" s="1">
        <f t="shared" si="73"/>
        <v>0</v>
      </c>
      <c r="AB592" s="32"/>
      <c r="AG592" s="1">
        <f t="shared" si="77"/>
        <v>0</v>
      </c>
      <c r="AH592" s="1"/>
      <c r="AI592" s="1">
        <f t="shared" si="78"/>
        <v>0</v>
      </c>
    </row>
    <row r="593" spans="1:36" ht="12" hidden="1" customHeight="1">
      <c r="A593" s="17" t="s">
        <v>746</v>
      </c>
      <c r="B593" s="17"/>
      <c r="C593" s="17" t="s">
        <v>523</v>
      </c>
      <c r="D593" s="17"/>
      <c r="E593" s="13">
        <v>49031</v>
      </c>
      <c r="M593" s="1">
        <f t="shared" si="73"/>
        <v>0</v>
      </c>
      <c r="AB593" s="32"/>
      <c r="AG593" s="1">
        <f t="shared" si="77"/>
        <v>0</v>
      </c>
      <c r="AH593" s="1"/>
      <c r="AI593" s="1">
        <f t="shared" si="78"/>
        <v>0</v>
      </c>
    </row>
    <row r="594" spans="1:36" ht="12" hidden="1" customHeight="1">
      <c r="A594" s="17" t="s">
        <v>789</v>
      </c>
      <c r="B594" s="17"/>
      <c r="C594" s="17" t="s">
        <v>14</v>
      </c>
      <c r="D594" s="17"/>
      <c r="E594" s="13">
        <v>45971</v>
      </c>
      <c r="M594" s="1">
        <f t="shared" si="73"/>
        <v>0</v>
      </c>
      <c r="AB594" s="32"/>
      <c r="AG594" s="1">
        <f t="shared" si="77"/>
        <v>0</v>
      </c>
      <c r="AH594" s="1"/>
      <c r="AI594" s="1">
        <f t="shared" si="78"/>
        <v>0</v>
      </c>
    </row>
    <row r="595" spans="1:36" ht="12" customHeight="1">
      <c r="A595" s="17"/>
      <c r="B595" s="17"/>
      <c r="C595" s="17"/>
      <c r="D595" s="17"/>
      <c r="E595" s="13"/>
      <c r="AB595" s="32"/>
      <c r="AH595" s="1"/>
    </row>
    <row r="596" spans="1:36" ht="12" customHeight="1">
      <c r="A596" s="17"/>
      <c r="B596" s="17"/>
      <c r="C596" s="17"/>
      <c r="D596" s="17"/>
      <c r="E596" s="13"/>
      <c r="AB596" s="32"/>
      <c r="AH596" s="1"/>
      <c r="AI596" s="20" t="s">
        <v>709</v>
      </c>
    </row>
    <row r="597" spans="1:36" ht="12" customHeight="1">
      <c r="A597" s="17"/>
      <c r="B597" s="17"/>
      <c r="C597" s="17"/>
      <c r="D597" s="17"/>
      <c r="E597" s="13"/>
      <c r="AB597" s="32"/>
      <c r="AH597" s="1"/>
    </row>
    <row r="598" spans="1:36" ht="12" customHeight="1">
      <c r="A598" s="17" t="s">
        <v>617</v>
      </c>
      <c r="B598" s="17"/>
      <c r="C598" s="17" t="s">
        <v>64</v>
      </c>
      <c r="D598" s="17"/>
      <c r="E598" s="13">
        <v>50252</v>
      </c>
      <c r="G598" s="16">
        <v>1735448</v>
      </c>
      <c r="H598" s="16"/>
      <c r="I598" s="16">
        <v>1075377</v>
      </c>
      <c r="J598" s="16"/>
      <c r="K598" s="16">
        <v>38544</v>
      </c>
      <c r="L598" s="16"/>
      <c r="M598" s="16">
        <f t="shared" si="73"/>
        <v>2849369</v>
      </c>
      <c r="N598" s="16"/>
      <c r="O598" s="16">
        <f>2411537+109324</f>
        <v>2520861</v>
      </c>
      <c r="P598" s="16"/>
      <c r="Q598" s="16">
        <v>0</v>
      </c>
      <c r="R598" s="16"/>
      <c r="S598" s="16">
        <v>4467885</v>
      </c>
      <c r="T598" s="16"/>
      <c r="U598" s="16">
        <v>29615</v>
      </c>
      <c r="V598" s="16"/>
      <c r="W598" s="16">
        <v>0</v>
      </c>
      <c r="X598" s="16"/>
      <c r="Y598" s="16">
        <v>0</v>
      </c>
      <c r="Z598" s="16"/>
      <c r="AA598" s="16">
        <v>946</v>
      </c>
      <c r="AB598" s="34"/>
      <c r="AC598" s="16">
        <v>0</v>
      </c>
      <c r="AD598" s="16"/>
      <c r="AE598" s="16">
        <v>0</v>
      </c>
      <c r="AF598" s="16"/>
      <c r="AG598" s="16">
        <f t="shared" si="77"/>
        <v>7019307</v>
      </c>
      <c r="AH598" s="16"/>
      <c r="AI598" s="16">
        <f t="shared" si="78"/>
        <v>9868676</v>
      </c>
    </row>
    <row r="599" spans="1:36" ht="12" customHeight="1">
      <c r="A599" s="17" t="s">
        <v>448</v>
      </c>
      <c r="B599" s="17"/>
      <c r="C599" s="17" t="s">
        <v>44</v>
      </c>
      <c r="D599" s="17"/>
      <c r="E599" s="13">
        <v>45658</v>
      </c>
      <c r="G599" s="1">
        <v>986940</v>
      </c>
      <c r="I599" s="1">
        <v>1319674</v>
      </c>
      <c r="K599" s="1">
        <v>0</v>
      </c>
      <c r="M599" s="1">
        <f t="shared" si="73"/>
        <v>2306614</v>
      </c>
      <c r="O599" s="1">
        <v>3535362</v>
      </c>
      <c r="Q599" s="1">
        <v>1561541</v>
      </c>
      <c r="S599" s="1">
        <v>6285971</v>
      </c>
      <c r="U599" s="1">
        <v>2577</v>
      </c>
      <c r="W599" s="1">
        <v>8823</v>
      </c>
      <c r="Y599" s="1">
        <v>0</v>
      </c>
      <c r="AA599" s="1">
        <v>12095</v>
      </c>
      <c r="AB599" s="32"/>
      <c r="AC599" s="1">
        <v>0</v>
      </c>
      <c r="AE599" s="1">
        <v>0</v>
      </c>
      <c r="AG599" s="1">
        <f t="shared" si="77"/>
        <v>11406369</v>
      </c>
      <c r="AH599" s="1"/>
      <c r="AI599" s="1">
        <f t="shared" si="78"/>
        <v>13712983</v>
      </c>
    </row>
    <row r="600" spans="1:36" ht="12" customHeight="1">
      <c r="A600" s="17" t="s">
        <v>409</v>
      </c>
      <c r="B600" s="17"/>
      <c r="C600" s="17" t="s">
        <v>38</v>
      </c>
      <c r="D600" s="17"/>
      <c r="E600" s="13">
        <v>45021</v>
      </c>
      <c r="G600" s="1">
        <v>842292</v>
      </c>
      <c r="I600" s="1">
        <v>3666676</v>
      </c>
      <c r="K600" s="1">
        <v>74078</v>
      </c>
      <c r="M600" s="1">
        <f t="shared" si="73"/>
        <v>4583046</v>
      </c>
      <c r="O600" s="1">
        <f>1993053+202269+38674</f>
        <v>2233996</v>
      </c>
      <c r="Q600" s="1">
        <v>0</v>
      </c>
      <c r="S600" s="1">
        <f>11405869+20673</f>
        <v>11426542</v>
      </c>
      <c r="U600" s="1">
        <v>41582</v>
      </c>
      <c r="W600" s="1">
        <v>0</v>
      </c>
      <c r="Y600" s="1">
        <v>0</v>
      </c>
      <c r="AA600" s="1">
        <f>36284+7000</f>
        <v>43284</v>
      </c>
      <c r="AB600" s="32"/>
      <c r="AC600" s="1">
        <v>0</v>
      </c>
      <c r="AE600" s="1">
        <v>0</v>
      </c>
      <c r="AG600" s="1">
        <f t="shared" si="77"/>
        <v>13745404</v>
      </c>
      <c r="AH600" s="1"/>
      <c r="AI600" s="1">
        <f t="shared" si="78"/>
        <v>18328450</v>
      </c>
    </row>
    <row r="601" spans="1:36" ht="12" customHeight="1">
      <c r="A601" s="17" t="s">
        <v>271</v>
      </c>
      <c r="B601" s="17"/>
      <c r="C601" s="17" t="s">
        <v>114</v>
      </c>
      <c r="D601" s="17"/>
      <c r="E601" s="13">
        <v>45039</v>
      </c>
      <c r="G601" s="1">
        <v>952584</v>
      </c>
      <c r="I601" s="1">
        <v>1865213</v>
      </c>
      <c r="K601" s="1">
        <v>0</v>
      </c>
      <c r="M601" s="1">
        <f t="shared" si="73"/>
        <v>2817797</v>
      </c>
      <c r="O601" s="1">
        <f>832797+127041+104882+14644</f>
        <v>1079364</v>
      </c>
      <c r="Q601" s="1">
        <v>0</v>
      </c>
      <c r="S601" s="1">
        <v>5772035</v>
      </c>
      <c r="U601" s="1">
        <v>47186</v>
      </c>
      <c r="W601" s="1">
        <v>0</v>
      </c>
      <c r="Y601" s="1">
        <v>0</v>
      </c>
      <c r="AA601" s="1">
        <v>28945</v>
      </c>
      <c r="AB601" s="32"/>
      <c r="AC601" s="1">
        <v>0</v>
      </c>
      <c r="AE601" s="1">
        <v>0</v>
      </c>
      <c r="AG601" s="1">
        <f t="shared" si="77"/>
        <v>6927530</v>
      </c>
      <c r="AH601" s="1"/>
      <c r="AI601" s="1">
        <f t="shared" si="78"/>
        <v>9745327</v>
      </c>
    </row>
    <row r="602" spans="1:36">
      <c r="A602" s="17" t="s">
        <v>471</v>
      </c>
      <c r="B602" s="17"/>
      <c r="C602" s="17" t="s">
        <v>45</v>
      </c>
      <c r="D602" s="17"/>
      <c r="E602" s="13">
        <v>48389</v>
      </c>
      <c r="G602" s="1">
        <v>2531602</v>
      </c>
      <c r="I602" s="1">
        <v>2712370</v>
      </c>
      <c r="K602" s="1">
        <v>0</v>
      </c>
      <c r="M602" s="1">
        <f t="shared" ref="M602:M614" si="79">SUM(G602:L602)</f>
        <v>5243972</v>
      </c>
      <c r="O602" s="1">
        <f>4080617+78617+537201</f>
        <v>4696435</v>
      </c>
      <c r="Q602" s="1">
        <v>0</v>
      </c>
      <c r="S602" s="1">
        <v>12277539</v>
      </c>
      <c r="U602" s="1">
        <v>16691</v>
      </c>
      <c r="W602" s="1">
        <v>0</v>
      </c>
      <c r="Y602" s="1">
        <v>0</v>
      </c>
      <c r="AA602" s="1">
        <v>273471</v>
      </c>
      <c r="AB602" s="32"/>
      <c r="AC602" s="1">
        <v>0</v>
      </c>
      <c r="AE602" s="1">
        <v>0</v>
      </c>
      <c r="AG602" s="1">
        <f t="shared" si="77"/>
        <v>17264136</v>
      </c>
      <c r="AH602" s="1"/>
      <c r="AI602" s="1">
        <f t="shared" si="78"/>
        <v>22508108</v>
      </c>
    </row>
    <row r="603" spans="1:36">
      <c r="A603" s="17" t="s">
        <v>880</v>
      </c>
      <c r="B603" s="17"/>
      <c r="C603" s="17" t="s">
        <v>50</v>
      </c>
      <c r="D603" s="17"/>
      <c r="E603" s="13"/>
      <c r="G603" s="1">
        <v>1374692</v>
      </c>
      <c r="I603" s="1">
        <v>4827045</v>
      </c>
      <c r="K603" s="1">
        <v>0</v>
      </c>
      <c r="M603" s="1">
        <f t="shared" si="79"/>
        <v>6201737</v>
      </c>
      <c r="O603" s="1">
        <f>16027816+672221</f>
        <v>16700037</v>
      </c>
      <c r="Q603" s="1">
        <v>0</v>
      </c>
      <c r="S603" s="1">
        <v>18872944</v>
      </c>
      <c r="U603" s="1">
        <v>532718</v>
      </c>
      <c r="W603" s="1">
        <v>0</v>
      </c>
      <c r="Y603" s="1">
        <v>0</v>
      </c>
      <c r="AA603" s="1">
        <v>87171</v>
      </c>
      <c r="AB603" s="32"/>
      <c r="AC603" s="1">
        <v>0</v>
      </c>
      <c r="AE603" s="1">
        <v>0</v>
      </c>
      <c r="AG603" s="1">
        <f t="shared" si="77"/>
        <v>36192870</v>
      </c>
      <c r="AH603" s="1"/>
      <c r="AI603" s="1">
        <f t="shared" si="78"/>
        <v>42394607</v>
      </c>
    </row>
    <row r="604" spans="1:36" ht="12" customHeight="1">
      <c r="A604" s="17" t="s">
        <v>257</v>
      </c>
      <c r="B604" s="17"/>
      <c r="C604" s="17" t="s">
        <v>115</v>
      </c>
      <c r="D604" s="17"/>
      <c r="E604" s="13">
        <v>46359</v>
      </c>
      <c r="G604" s="1">
        <v>2763927</v>
      </c>
      <c r="I604" s="1">
        <v>8225893</v>
      </c>
      <c r="K604" s="1">
        <v>0</v>
      </c>
      <c r="M604" s="1">
        <f t="shared" si="79"/>
        <v>10989820</v>
      </c>
      <c r="O604" s="1">
        <f>37480027+2727047+2378690</f>
        <v>42585764</v>
      </c>
      <c r="Q604" s="1">
        <v>0</v>
      </c>
      <c r="S604" s="1">
        <v>33721974</v>
      </c>
      <c r="U604" s="1">
        <v>614307</v>
      </c>
      <c r="W604" s="1">
        <v>0</v>
      </c>
      <c r="Y604" s="1">
        <v>0</v>
      </c>
      <c r="AA604" s="1">
        <v>554827</v>
      </c>
      <c r="AB604" s="32"/>
      <c r="AC604" s="1">
        <v>0</v>
      </c>
      <c r="AE604" s="1">
        <v>0</v>
      </c>
      <c r="AG604" s="1">
        <f t="shared" si="77"/>
        <v>77476872</v>
      </c>
      <c r="AH604" s="1"/>
      <c r="AI604" s="1">
        <f t="shared" si="78"/>
        <v>88466692</v>
      </c>
    </row>
    <row r="605" spans="1:36" s="1" customFormat="1" ht="12" customHeight="1">
      <c r="A605" s="12" t="s">
        <v>356</v>
      </c>
      <c r="B605" s="12"/>
      <c r="C605" s="12" t="s">
        <v>30</v>
      </c>
      <c r="D605" s="12"/>
      <c r="E605" s="13">
        <v>47225</v>
      </c>
      <c r="F605" s="18"/>
      <c r="G605" s="1">
        <v>1969044</v>
      </c>
      <c r="I605" s="1">
        <v>1858633</v>
      </c>
      <c r="K605" s="1">
        <v>6570</v>
      </c>
      <c r="M605" s="1">
        <f t="shared" si="79"/>
        <v>3834247</v>
      </c>
      <c r="O605" s="1">
        <f>11452809+2413096+4980626</f>
        <v>18846531</v>
      </c>
      <c r="Q605" s="1">
        <v>0</v>
      </c>
      <c r="S605" s="1">
        <v>6790611</v>
      </c>
      <c r="U605" s="1">
        <v>118459</v>
      </c>
      <c r="W605" s="1">
        <v>0</v>
      </c>
      <c r="Y605" s="1">
        <v>7314</v>
      </c>
      <c r="AA605" s="1">
        <v>23654</v>
      </c>
      <c r="AB605" s="32"/>
      <c r="AC605" s="1">
        <v>0</v>
      </c>
      <c r="AE605" s="1">
        <v>0</v>
      </c>
      <c r="AG605" s="1">
        <f t="shared" si="77"/>
        <v>25786569</v>
      </c>
      <c r="AI605" s="1">
        <f t="shared" si="78"/>
        <v>29620816</v>
      </c>
      <c r="AJ605" s="18"/>
    </row>
    <row r="606" spans="1:36" ht="12" customHeight="1">
      <c r="A606" s="17" t="s">
        <v>402</v>
      </c>
      <c r="B606" s="17"/>
      <c r="C606" s="17" t="s">
        <v>36</v>
      </c>
      <c r="D606" s="17"/>
      <c r="E606" s="13">
        <v>47696</v>
      </c>
      <c r="G606" s="1">
        <v>1359077</v>
      </c>
      <c r="I606" s="1">
        <v>2723870</v>
      </c>
      <c r="K606" s="1">
        <v>98589</v>
      </c>
      <c r="M606" s="1">
        <f t="shared" si="79"/>
        <v>4181536</v>
      </c>
      <c r="O606" s="1">
        <f>8220339+965708+403705</f>
        <v>9589752</v>
      </c>
      <c r="Q606" s="1">
        <v>0</v>
      </c>
      <c r="S606" s="1">
        <v>12519318</v>
      </c>
      <c r="U606" s="1">
        <v>114765</v>
      </c>
      <c r="W606" s="1">
        <v>0</v>
      </c>
      <c r="Y606" s="1">
        <v>0</v>
      </c>
      <c r="AA606" s="1">
        <v>133869</v>
      </c>
      <c r="AB606" s="32"/>
      <c r="AC606" s="1">
        <v>0</v>
      </c>
      <c r="AE606" s="1">
        <v>0</v>
      </c>
      <c r="AG606" s="1">
        <f t="shared" si="77"/>
        <v>22357704</v>
      </c>
      <c r="AH606" s="1"/>
      <c r="AI606" s="1">
        <f t="shared" si="78"/>
        <v>26539240</v>
      </c>
    </row>
    <row r="607" spans="1:36" ht="12" customHeight="1">
      <c r="A607" s="17" t="s">
        <v>244</v>
      </c>
      <c r="B607" s="17"/>
      <c r="C607" s="17" t="s">
        <v>240</v>
      </c>
      <c r="D607" s="17"/>
      <c r="E607" s="13">
        <v>46219</v>
      </c>
      <c r="G607" s="1">
        <v>1847261</v>
      </c>
      <c r="I607" s="1">
        <v>1139361</v>
      </c>
      <c r="K607" s="1">
        <v>0</v>
      </c>
      <c r="M607" s="1">
        <f t="shared" si="79"/>
        <v>2986622</v>
      </c>
      <c r="O607" s="1">
        <f>1804473+4322+2814+117271</f>
        <v>1928880</v>
      </c>
      <c r="Q607" s="1">
        <v>1418812</v>
      </c>
      <c r="S607" s="1">
        <v>5916469</v>
      </c>
      <c r="U607" s="1">
        <v>72301</v>
      </c>
      <c r="W607" s="1">
        <v>0</v>
      </c>
      <c r="Y607" s="1">
        <v>0</v>
      </c>
      <c r="AA607" s="1">
        <v>33376</v>
      </c>
      <c r="AB607" s="32"/>
      <c r="AC607" s="1">
        <v>0</v>
      </c>
      <c r="AE607" s="1">
        <v>0</v>
      </c>
      <c r="AG607" s="1">
        <f t="shared" si="77"/>
        <v>9369838</v>
      </c>
      <c r="AH607" s="1"/>
      <c r="AI607" s="1">
        <f t="shared" si="78"/>
        <v>12356460</v>
      </c>
    </row>
    <row r="608" spans="1:36" s="1" customFormat="1" ht="12" customHeight="1">
      <c r="A608" s="12" t="s">
        <v>515</v>
      </c>
      <c r="B608" s="12"/>
      <c r="C608" s="12" t="s">
        <v>51</v>
      </c>
      <c r="D608" s="12"/>
      <c r="E608" s="12">
        <v>48884</v>
      </c>
      <c r="G608" s="1">
        <v>1485082</v>
      </c>
      <c r="I608" s="1">
        <v>2398017</v>
      </c>
      <c r="K608" s="1">
        <v>80799</v>
      </c>
      <c r="M608" s="1">
        <f t="shared" si="79"/>
        <v>3963898</v>
      </c>
      <c r="O608" s="1">
        <f>5085899+1377524</f>
        <v>6463423</v>
      </c>
      <c r="Q608" s="1">
        <v>0</v>
      </c>
      <c r="S608" s="1">
        <v>7337300</v>
      </c>
      <c r="U608" s="1">
        <v>42101</v>
      </c>
      <c r="W608" s="1">
        <v>41583</v>
      </c>
      <c r="Y608" s="1">
        <v>0</v>
      </c>
      <c r="AA608" s="1">
        <v>99891</v>
      </c>
      <c r="AB608" s="32"/>
      <c r="AC608" s="1">
        <v>0</v>
      </c>
      <c r="AE608" s="1">
        <v>0</v>
      </c>
      <c r="AG608" s="1">
        <f t="shared" si="77"/>
        <v>13984298</v>
      </c>
      <c r="AI608" s="1">
        <f t="shared" si="78"/>
        <v>17948196</v>
      </c>
    </row>
    <row r="609" spans="1:35" s="1" customFormat="1" ht="12" customHeight="1">
      <c r="A609" s="12" t="s">
        <v>225</v>
      </c>
      <c r="B609" s="12"/>
      <c r="C609" s="12" t="s">
        <v>77</v>
      </c>
      <c r="D609" s="12"/>
      <c r="E609" s="12">
        <v>46060</v>
      </c>
      <c r="G609" s="1">
        <v>2374797</v>
      </c>
      <c r="I609" s="1">
        <v>5178680</v>
      </c>
      <c r="K609" s="1">
        <v>79000</v>
      </c>
      <c r="M609" s="1">
        <f t="shared" si="79"/>
        <v>7632477</v>
      </c>
      <c r="O609" s="1">
        <f>4082309+459556+79882</f>
        <v>4621747</v>
      </c>
      <c r="Q609" s="1">
        <v>0</v>
      </c>
      <c r="S609" s="1">
        <v>19187402</v>
      </c>
      <c r="U609" s="1">
        <v>20011</v>
      </c>
      <c r="W609" s="1">
        <v>88076</v>
      </c>
      <c r="Y609" s="1">
        <v>2366</v>
      </c>
      <c r="AA609" s="1">
        <f>287354+35360</f>
        <v>322714</v>
      </c>
      <c r="AB609" s="32"/>
      <c r="AC609" s="1">
        <v>0</v>
      </c>
      <c r="AE609" s="1">
        <v>0</v>
      </c>
      <c r="AG609" s="1">
        <f t="shared" si="77"/>
        <v>24242316</v>
      </c>
      <c r="AI609" s="1">
        <f t="shared" si="78"/>
        <v>31874793</v>
      </c>
    </row>
    <row r="610" spans="1:35" ht="12" customHeight="1">
      <c r="A610" s="17" t="s">
        <v>531</v>
      </c>
      <c r="B610" s="17"/>
      <c r="C610" s="17" t="s">
        <v>55</v>
      </c>
      <c r="D610" s="17"/>
      <c r="E610" s="13">
        <v>49155</v>
      </c>
      <c r="G610" s="1">
        <v>271589</v>
      </c>
      <c r="I610" s="1">
        <v>3008194</v>
      </c>
      <c r="K610" s="1">
        <v>0</v>
      </c>
      <c r="M610" s="1">
        <f t="shared" si="79"/>
        <v>3279783</v>
      </c>
      <c r="O610" s="1">
        <f>739031+81865+13308</f>
        <v>834204</v>
      </c>
      <c r="Q610" s="1">
        <v>0</v>
      </c>
      <c r="S610" s="1">
        <v>5960240</v>
      </c>
      <c r="U610" s="1">
        <v>90610</v>
      </c>
      <c r="W610" s="1">
        <v>0</v>
      </c>
      <c r="Y610" s="1">
        <v>5591</v>
      </c>
      <c r="AA610" s="1">
        <v>3540</v>
      </c>
      <c r="AB610" s="32"/>
      <c r="AC610" s="1">
        <v>0</v>
      </c>
      <c r="AE610" s="1">
        <v>0</v>
      </c>
      <c r="AG610" s="1">
        <f t="shared" si="77"/>
        <v>6894185</v>
      </c>
      <c r="AH610" s="1"/>
      <c r="AI610" s="1">
        <f t="shared" si="78"/>
        <v>10173968</v>
      </c>
    </row>
    <row r="611" spans="1:35" ht="12" customHeight="1">
      <c r="A611" s="17" t="s">
        <v>407</v>
      </c>
      <c r="B611" s="17"/>
      <c r="C611" s="17" t="s">
        <v>37</v>
      </c>
      <c r="D611" s="17"/>
      <c r="E611" s="13">
        <v>47746</v>
      </c>
      <c r="G611" s="1">
        <v>1042091</v>
      </c>
      <c r="I611" s="1">
        <v>1431293</v>
      </c>
      <c r="K611" s="1">
        <v>0</v>
      </c>
      <c r="M611" s="1">
        <f t="shared" si="79"/>
        <v>2473384</v>
      </c>
      <c r="O611" s="1">
        <f>2156397+45797+273504</f>
        <v>2475698</v>
      </c>
      <c r="Q611" s="1">
        <v>1546735</v>
      </c>
      <c r="S611" s="1">
        <v>6417271</v>
      </c>
      <c r="U611" s="1">
        <v>38279</v>
      </c>
      <c r="W611" s="1">
        <v>0</v>
      </c>
      <c r="Y611" s="1">
        <v>0</v>
      </c>
      <c r="AA611" s="1">
        <v>73450</v>
      </c>
      <c r="AB611" s="32"/>
      <c r="AC611" s="1">
        <v>0</v>
      </c>
      <c r="AE611" s="1">
        <v>0</v>
      </c>
      <c r="AG611" s="1">
        <f t="shared" si="77"/>
        <v>10551433</v>
      </c>
      <c r="AH611" s="1"/>
      <c r="AI611" s="1">
        <f t="shared" si="78"/>
        <v>13024817</v>
      </c>
    </row>
    <row r="612" spans="1:35" ht="12" customHeight="1">
      <c r="A612" s="17" t="s">
        <v>407</v>
      </c>
      <c r="B612" s="17"/>
      <c r="C612" s="17" t="s">
        <v>45</v>
      </c>
      <c r="D612" s="17"/>
      <c r="E612" s="13">
        <v>48397</v>
      </c>
      <c r="G612" s="1">
        <v>1029415</v>
      </c>
      <c r="I612" s="1">
        <v>667949</v>
      </c>
      <c r="K612" s="1">
        <v>0</v>
      </c>
      <c r="M612" s="1">
        <f t="shared" si="79"/>
        <v>1697364</v>
      </c>
      <c r="O612" s="1">
        <f>2554736+610153+122271+69041</f>
        <v>3356201</v>
      </c>
      <c r="Q612" s="1">
        <v>0</v>
      </c>
      <c r="S612" s="1">
        <v>3425480</v>
      </c>
      <c r="U612" s="1">
        <v>154028</v>
      </c>
      <c r="W612" s="1">
        <v>0</v>
      </c>
      <c r="Y612" s="1">
        <v>0</v>
      </c>
      <c r="AA612" s="1">
        <v>65544</v>
      </c>
      <c r="AB612" s="32"/>
      <c r="AC612" s="1">
        <v>0</v>
      </c>
      <c r="AE612" s="1">
        <v>0</v>
      </c>
      <c r="AG612" s="1">
        <f t="shared" si="77"/>
        <v>7001253</v>
      </c>
      <c r="AH612" s="1"/>
      <c r="AI612" s="1">
        <f t="shared" si="78"/>
        <v>8698617</v>
      </c>
    </row>
    <row r="613" spans="1:35" ht="12" customHeight="1">
      <c r="A613" s="17" t="s">
        <v>342</v>
      </c>
      <c r="B613" s="17"/>
      <c r="C613" s="17" t="s">
        <v>27</v>
      </c>
      <c r="D613" s="17"/>
      <c r="E613" s="13">
        <v>45047</v>
      </c>
      <c r="G613" s="1">
        <v>5857298</v>
      </c>
      <c r="I613" s="1">
        <v>9498432</v>
      </c>
      <c r="K613" s="1">
        <v>0</v>
      </c>
      <c r="M613" s="1">
        <f t="shared" si="79"/>
        <v>15355730</v>
      </c>
      <c r="O613" s="1">
        <f>92703533+10695455+5273876</f>
        <v>108672864</v>
      </c>
      <c r="Q613" s="1">
        <v>0</v>
      </c>
      <c r="S613" s="1">
        <v>52929017</v>
      </c>
      <c r="U613" s="1">
        <v>54648</v>
      </c>
      <c r="W613" s="1">
        <v>1117132</v>
      </c>
      <c r="Y613" s="1">
        <v>0</v>
      </c>
      <c r="AA613" s="1">
        <v>862998</v>
      </c>
      <c r="AB613" s="32"/>
      <c r="AC613" s="1">
        <v>0</v>
      </c>
      <c r="AE613" s="1">
        <v>0</v>
      </c>
      <c r="AG613" s="1">
        <f t="shared" si="77"/>
        <v>163636659</v>
      </c>
      <c r="AH613" s="1"/>
      <c r="AI613" s="1">
        <f t="shared" si="78"/>
        <v>178992389</v>
      </c>
    </row>
    <row r="614" spans="1:35" ht="12" customHeight="1">
      <c r="A614" s="17" t="s">
        <v>528</v>
      </c>
      <c r="B614" s="17"/>
      <c r="C614" s="17" t="s">
        <v>54</v>
      </c>
      <c r="D614" s="17"/>
      <c r="E614" s="13">
        <v>49106</v>
      </c>
      <c r="G614" s="1">
        <v>1309772</v>
      </c>
      <c r="I614" s="1">
        <v>1832920</v>
      </c>
      <c r="K614" s="1">
        <v>0</v>
      </c>
      <c r="M614" s="1">
        <f t="shared" si="79"/>
        <v>3142692</v>
      </c>
      <c r="O614" s="1">
        <f>3058252+47387+448400+435704</f>
        <v>3989743</v>
      </c>
      <c r="Q614" s="1">
        <v>0</v>
      </c>
      <c r="S614" s="1">
        <v>7943210</v>
      </c>
      <c r="U614" s="1">
        <v>38943</v>
      </c>
      <c r="W614" s="1">
        <v>505815</v>
      </c>
      <c r="Y614" s="1">
        <v>0</v>
      </c>
      <c r="AA614" s="1">
        <v>252775</v>
      </c>
      <c r="AB614" s="32"/>
      <c r="AC614" s="1">
        <v>0</v>
      </c>
      <c r="AE614" s="1">
        <v>0</v>
      </c>
      <c r="AG614" s="1">
        <f t="shared" si="77"/>
        <v>12730486</v>
      </c>
      <c r="AH614" s="1"/>
      <c r="AI614" s="1">
        <f t="shared" si="78"/>
        <v>15873178</v>
      </c>
    </row>
    <row r="615" spans="1:35" ht="12" customHeight="1">
      <c r="A615" s="17" t="s">
        <v>308</v>
      </c>
      <c r="B615" s="17"/>
      <c r="C615" s="17" t="s">
        <v>20</v>
      </c>
      <c r="D615" s="17"/>
      <c r="E615" s="13">
        <v>45062</v>
      </c>
      <c r="G615" s="1">
        <v>2084454</v>
      </c>
      <c r="I615" s="1">
        <v>3380067</v>
      </c>
      <c r="K615" s="1">
        <v>0</v>
      </c>
      <c r="M615" s="1">
        <f t="shared" ref="M615:M633" si="80">SUM(G615:L615)</f>
        <v>5464521</v>
      </c>
      <c r="O615" s="1">
        <f>39046558+2737032</f>
        <v>41783590</v>
      </c>
      <c r="Q615" s="1">
        <v>0</v>
      </c>
      <c r="S615" s="1">
        <v>11003434</v>
      </c>
      <c r="U615" s="1">
        <v>280765</v>
      </c>
      <c r="W615" s="1">
        <v>0</v>
      </c>
      <c r="Y615" s="1">
        <v>0</v>
      </c>
      <c r="AA615" s="1">
        <v>108120</v>
      </c>
      <c r="AB615" s="32"/>
      <c r="AC615" s="1">
        <v>0</v>
      </c>
      <c r="AE615" s="1">
        <v>0</v>
      </c>
      <c r="AG615" s="1">
        <f t="shared" ref="AG615:AG634" si="81">SUM(O615:AE615)</f>
        <v>53175909</v>
      </c>
      <c r="AH615" s="1"/>
      <c r="AI615" s="1">
        <f t="shared" si="78"/>
        <v>58640430</v>
      </c>
    </row>
    <row r="616" spans="1:35" ht="12" customHeight="1">
      <c r="A616" s="17" t="s">
        <v>566</v>
      </c>
      <c r="B616" s="17"/>
      <c r="C616" s="17" t="s">
        <v>59</v>
      </c>
      <c r="D616" s="17"/>
      <c r="E616" s="13">
        <v>49668</v>
      </c>
      <c r="G616" s="1">
        <v>2423657</v>
      </c>
      <c r="I616" s="1">
        <v>2207340</v>
      </c>
      <c r="K616" s="1">
        <v>31295</v>
      </c>
      <c r="M616" s="1">
        <f t="shared" si="80"/>
        <v>4662292</v>
      </c>
      <c r="O616" s="1">
        <f>2587139+669673+62007+54596</f>
        <v>3373415</v>
      </c>
      <c r="Q616" s="1">
        <v>0</v>
      </c>
      <c r="S616" s="1">
        <v>6997694</v>
      </c>
      <c r="U616" s="1">
        <v>78189</v>
      </c>
      <c r="W616" s="1">
        <v>0</v>
      </c>
      <c r="Y616" s="1">
        <v>2816</v>
      </c>
      <c r="AA616" s="1">
        <f>62709+25000</f>
        <v>87709</v>
      </c>
      <c r="AB616" s="32"/>
      <c r="AC616" s="1">
        <v>0</v>
      </c>
      <c r="AE616" s="1">
        <v>0</v>
      </c>
      <c r="AG616" s="1">
        <f t="shared" si="81"/>
        <v>10539823</v>
      </c>
      <c r="AH616" s="1"/>
      <c r="AI616" s="1">
        <f t="shared" si="78"/>
        <v>15202115</v>
      </c>
    </row>
    <row r="617" spans="1:35" ht="12" customHeight="1">
      <c r="A617" s="17" t="s">
        <v>343</v>
      </c>
      <c r="B617" s="17"/>
      <c r="C617" s="17" t="s">
        <v>27</v>
      </c>
      <c r="D617" s="17"/>
      <c r="E617" s="13">
        <v>45070</v>
      </c>
      <c r="G617" s="1">
        <v>675542</v>
      </c>
      <c r="I617" s="1">
        <v>5650995</v>
      </c>
      <c r="K617" s="1">
        <v>0</v>
      </c>
      <c r="M617" s="1">
        <f t="shared" si="80"/>
        <v>6326537</v>
      </c>
      <c r="O617" s="1">
        <f>9135218+1888854+102787</f>
        <v>11126859</v>
      </c>
      <c r="Q617" s="1">
        <v>0</v>
      </c>
      <c r="S617" s="1">
        <v>19510239</v>
      </c>
      <c r="U617" s="1">
        <v>1133772</v>
      </c>
      <c r="W617" s="1">
        <v>1611576</v>
      </c>
      <c r="Y617" s="1">
        <v>0</v>
      </c>
      <c r="AA617" s="1">
        <v>158735</v>
      </c>
      <c r="AB617" s="32"/>
      <c r="AC617" s="1">
        <v>0</v>
      </c>
      <c r="AE617" s="1">
        <v>0</v>
      </c>
      <c r="AG617" s="1">
        <f t="shared" si="81"/>
        <v>33541181</v>
      </c>
      <c r="AH617" s="1"/>
      <c r="AI617" s="1">
        <f t="shared" si="78"/>
        <v>39867718</v>
      </c>
    </row>
    <row r="618" spans="1:35" ht="12" hidden="1" customHeight="1">
      <c r="A618" s="17" t="s">
        <v>744</v>
      </c>
      <c r="B618" s="17"/>
      <c r="C618" s="17" t="s">
        <v>41</v>
      </c>
      <c r="D618" s="17"/>
      <c r="E618" s="13">
        <v>45088</v>
      </c>
      <c r="M618" s="1">
        <f t="shared" si="80"/>
        <v>0</v>
      </c>
      <c r="AB618" s="32"/>
      <c r="AG618" s="1">
        <f t="shared" si="81"/>
        <v>0</v>
      </c>
      <c r="AH618" s="1"/>
      <c r="AI618" s="1">
        <f t="shared" si="78"/>
        <v>0</v>
      </c>
    </row>
    <row r="619" spans="1:35" ht="12" customHeight="1">
      <c r="A619" s="17" t="s">
        <v>408</v>
      </c>
      <c r="B619" s="17"/>
      <c r="C619" s="17" t="s">
        <v>37</v>
      </c>
      <c r="D619" s="17"/>
      <c r="E619" s="13">
        <v>45096</v>
      </c>
      <c r="G619" s="1">
        <v>993897</v>
      </c>
      <c r="I619" s="1">
        <v>3218558</v>
      </c>
      <c r="K619" s="1">
        <v>0</v>
      </c>
      <c r="M619" s="1">
        <f t="shared" si="80"/>
        <v>4212455</v>
      </c>
      <c r="O619" s="1">
        <f>4790343+158762+150440</f>
        <v>5099545</v>
      </c>
      <c r="Q619" s="1">
        <v>0</v>
      </c>
      <c r="S619" s="1">
        <v>10660482</v>
      </c>
      <c r="U619" s="1">
        <v>26543</v>
      </c>
      <c r="W619" s="1">
        <v>0</v>
      </c>
      <c r="Y619" s="1">
        <v>0</v>
      </c>
      <c r="AA619" s="1">
        <v>113355</v>
      </c>
      <c r="AB619" s="32"/>
      <c r="AC619" s="1">
        <v>0</v>
      </c>
      <c r="AE619" s="1">
        <v>0</v>
      </c>
      <c r="AG619" s="1">
        <f t="shared" si="81"/>
        <v>15899925</v>
      </c>
      <c r="AH619" s="1"/>
      <c r="AI619" s="1">
        <f t="shared" si="78"/>
        <v>20112380</v>
      </c>
    </row>
    <row r="620" spans="1:35" ht="12" customHeight="1">
      <c r="A620" s="17" t="s">
        <v>258</v>
      </c>
      <c r="B620" s="17"/>
      <c r="C620" s="17" t="s">
        <v>115</v>
      </c>
      <c r="D620" s="17"/>
      <c r="E620" s="13">
        <v>46367</v>
      </c>
      <c r="G620" s="1">
        <v>1071029</v>
      </c>
      <c r="I620" s="1">
        <v>1296797</v>
      </c>
      <c r="K620" s="1">
        <v>0</v>
      </c>
      <c r="M620" s="1">
        <f t="shared" si="80"/>
        <v>2367826</v>
      </c>
      <c r="O620" s="1">
        <f>3398780+299284+47089</f>
        <v>3745153</v>
      </c>
      <c r="Q620" s="1">
        <v>0</v>
      </c>
      <c r="S620" s="1">
        <v>4319292</v>
      </c>
      <c r="U620" s="1">
        <v>24790</v>
      </c>
      <c r="W620" s="1">
        <v>0</v>
      </c>
      <c r="Y620" s="1">
        <v>44806</v>
      </c>
      <c r="AA620" s="1">
        <v>247619</v>
      </c>
      <c r="AB620" s="32"/>
      <c r="AC620" s="1">
        <v>0</v>
      </c>
      <c r="AE620" s="1">
        <v>0</v>
      </c>
      <c r="AG620" s="1">
        <f t="shared" si="81"/>
        <v>8381660</v>
      </c>
      <c r="AH620" s="1"/>
      <c r="AI620" s="1">
        <f t="shared" si="78"/>
        <v>10749486</v>
      </c>
    </row>
    <row r="621" spans="1:35" ht="12" customHeight="1">
      <c r="A621" s="17" t="s">
        <v>418</v>
      </c>
      <c r="B621" s="17"/>
      <c r="C621" s="17" t="s">
        <v>41</v>
      </c>
      <c r="D621" s="17"/>
      <c r="E621" s="13">
        <v>45104</v>
      </c>
      <c r="G621" s="1">
        <v>5242911</v>
      </c>
      <c r="I621" s="1">
        <v>7614000</v>
      </c>
      <c r="K621" s="1">
        <v>0</v>
      </c>
      <c r="M621" s="1">
        <f t="shared" si="80"/>
        <v>12856911</v>
      </c>
      <c r="O621" s="1">
        <f>139135+1078298+242934+54273259</f>
        <v>55733626</v>
      </c>
      <c r="Q621" s="1">
        <v>0</v>
      </c>
      <c r="S621" s="1">
        <v>28181066</v>
      </c>
      <c r="U621" s="1">
        <v>122053</v>
      </c>
      <c r="W621" s="1">
        <v>0</v>
      </c>
      <c r="Y621" s="1">
        <v>0</v>
      </c>
      <c r="AA621" s="1">
        <v>489689</v>
      </c>
      <c r="AB621" s="32"/>
      <c r="AC621" s="1">
        <v>0</v>
      </c>
      <c r="AE621" s="1">
        <v>0</v>
      </c>
      <c r="AG621" s="1">
        <f>SUM(O621:AE621)</f>
        <v>84526434</v>
      </c>
      <c r="AH621" s="1"/>
      <c r="AI621" s="1">
        <f t="shared" si="78"/>
        <v>97383345</v>
      </c>
    </row>
    <row r="622" spans="1:35" ht="12" customHeight="1">
      <c r="A622" s="17" t="s">
        <v>262</v>
      </c>
      <c r="B622" s="17"/>
      <c r="C622" s="17" t="s">
        <v>18</v>
      </c>
      <c r="D622" s="17"/>
      <c r="E622" s="13">
        <v>45112</v>
      </c>
      <c r="G622" s="1">
        <v>1435229</v>
      </c>
      <c r="I622" s="1">
        <v>3296605</v>
      </c>
      <c r="K622" s="1">
        <v>0</v>
      </c>
      <c r="M622" s="1">
        <f t="shared" si="80"/>
        <v>4731834</v>
      </c>
      <c r="O622" s="1">
        <f>8625748+181428+1052993+135951</f>
        <v>9996120</v>
      </c>
      <c r="Q622" s="1">
        <v>3491215</v>
      </c>
      <c r="S622" s="1">
        <v>10128661</v>
      </c>
      <c r="U622" s="1">
        <v>28438</v>
      </c>
      <c r="W622" s="1">
        <v>5355</v>
      </c>
      <c r="Y622" s="1">
        <v>73130</v>
      </c>
      <c r="AA622" s="1">
        <v>25512</v>
      </c>
      <c r="AB622" s="32"/>
      <c r="AC622" s="1">
        <v>0</v>
      </c>
      <c r="AE622" s="1">
        <v>0</v>
      </c>
      <c r="AG622" s="1">
        <f t="shared" si="81"/>
        <v>23748431</v>
      </c>
      <c r="AH622" s="1"/>
      <c r="AI622" s="1">
        <f t="shared" si="78"/>
        <v>28480265</v>
      </c>
    </row>
    <row r="623" spans="1:35" ht="12" customHeight="1">
      <c r="A623" s="17" t="s">
        <v>540</v>
      </c>
      <c r="B623" s="17"/>
      <c r="C623" s="17" t="s">
        <v>56</v>
      </c>
      <c r="D623" s="17"/>
      <c r="E623" s="13">
        <v>45666</v>
      </c>
      <c r="G623" s="1">
        <v>405322</v>
      </c>
      <c r="I623" s="1">
        <v>1666777</v>
      </c>
      <c r="K623" s="1">
        <v>0</v>
      </c>
      <c r="M623" s="1">
        <f t="shared" si="80"/>
        <v>2072099</v>
      </c>
      <c r="O623" s="1">
        <f>1502855+63532+19557</f>
        <v>1585944</v>
      </c>
      <c r="Q623" s="1">
        <v>0</v>
      </c>
      <c r="S623" s="1">
        <v>6189625</v>
      </c>
      <c r="U623" s="1">
        <v>2558</v>
      </c>
      <c r="W623" s="1">
        <v>11022</v>
      </c>
      <c r="Y623" s="1">
        <v>0</v>
      </c>
      <c r="AA623" s="1">
        <v>89682</v>
      </c>
      <c r="AB623" s="32"/>
      <c r="AC623" s="1">
        <v>0</v>
      </c>
      <c r="AE623" s="1">
        <v>-3424847</v>
      </c>
      <c r="AG623" s="1">
        <f t="shared" si="81"/>
        <v>4453984</v>
      </c>
      <c r="AH623" s="1"/>
      <c r="AI623" s="1">
        <f t="shared" si="78"/>
        <v>6526083</v>
      </c>
    </row>
    <row r="624" spans="1:35" ht="12" customHeight="1">
      <c r="A624" s="17" t="s">
        <v>376</v>
      </c>
      <c r="B624" s="17"/>
      <c r="C624" s="17" t="s">
        <v>32</v>
      </c>
      <c r="D624" s="17"/>
      <c r="E624" s="13">
        <v>44081</v>
      </c>
      <c r="G624" s="1">
        <v>1527039</v>
      </c>
      <c r="I624" s="1">
        <v>6620355</v>
      </c>
      <c r="K624" s="1">
        <v>0</v>
      </c>
      <c r="M624" s="1">
        <f t="shared" si="80"/>
        <v>8147394</v>
      </c>
      <c r="O624" s="1">
        <f>22451708+757191</f>
        <v>23208899</v>
      </c>
      <c r="Q624" s="1">
        <v>0</v>
      </c>
      <c r="S624" s="1">
        <v>17108746</v>
      </c>
      <c r="U624" s="1">
        <v>33569</v>
      </c>
      <c r="W624" s="1">
        <v>311830</v>
      </c>
      <c r="Y624" s="1">
        <v>0</v>
      </c>
      <c r="AA624" s="1">
        <v>246986</v>
      </c>
      <c r="AB624" s="32"/>
      <c r="AC624" s="1">
        <v>0</v>
      </c>
      <c r="AE624" s="1">
        <v>0</v>
      </c>
      <c r="AG624" s="1">
        <f t="shared" si="81"/>
        <v>40910030</v>
      </c>
      <c r="AH624" s="1"/>
      <c r="AI624" s="1">
        <f t="shared" si="78"/>
        <v>49057424</v>
      </c>
    </row>
    <row r="625" spans="1:35" ht="12" customHeight="1">
      <c r="A625" s="17" t="s">
        <v>639</v>
      </c>
      <c r="B625" s="17"/>
      <c r="C625" s="17" t="s">
        <v>70</v>
      </c>
      <c r="D625" s="17"/>
      <c r="E625" s="13">
        <v>50518</v>
      </c>
      <c r="G625" s="1">
        <v>598461</v>
      </c>
      <c r="I625" s="1">
        <v>629354</v>
      </c>
      <c r="K625" s="1">
        <v>0</v>
      </c>
      <c r="M625" s="1">
        <f t="shared" si="80"/>
        <v>1227815</v>
      </c>
      <c r="O625" s="1">
        <f>4257787+429765</f>
        <v>4687552</v>
      </c>
      <c r="Q625" s="1">
        <v>0</v>
      </c>
      <c r="S625" s="1">
        <v>2598287</v>
      </c>
      <c r="U625" s="1">
        <v>127372</v>
      </c>
      <c r="W625" s="1">
        <v>0</v>
      </c>
      <c r="Y625" s="1">
        <v>76000</v>
      </c>
      <c r="AA625" s="1">
        <v>47948</v>
      </c>
      <c r="AB625" s="32"/>
      <c r="AC625" s="1">
        <v>0</v>
      </c>
      <c r="AE625" s="1">
        <v>0</v>
      </c>
      <c r="AG625" s="1">
        <f t="shared" si="81"/>
        <v>7537159</v>
      </c>
      <c r="AH625" s="1"/>
      <c r="AI625" s="1">
        <f t="shared" si="78"/>
        <v>8764974</v>
      </c>
    </row>
    <row r="626" spans="1:35" ht="12" customHeight="1">
      <c r="A626" s="17" t="s">
        <v>558</v>
      </c>
      <c r="B626" s="17"/>
      <c r="C626" s="17" t="s">
        <v>79</v>
      </c>
      <c r="D626" s="17"/>
      <c r="E626" s="13">
        <v>49577</v>
      </c>
      <c r="G626" s="1">
        <v>832267</v>
      </c>
      <c r="I626" s="1">
        <v>1088891</v>
      </c>
      <c r="K626" s="1">
        <v>0</v>
      </c>
      <c r="M626" s="1">
        <f t="shared" si="80"/>
        <v>1921158</v>
      </c>
      <c r="O626" s="1">
        <f>3666917+458796</f>
        <v>4125713</v>
      </c>
      <c r="Q626" s="1">
        <v>0</v>
      </c>
      <c r="S626" s="1">
        <v>4765719</v>
      </c>
      <c r="U626" s="1">
        <v>2470</v>
      </c>
      <c r="W626" s="1">
        <v>85000</v>
      </c>
      <c r="Y626" s="1">
        <v>0</v>
      </c>
      <c r="AA626" s="1">
        <v>15120</v>
      </c>
      <c r="AB626" s="32"/>
      <c r="AC626" s="1">
        <v>0</v>
      </c>
      <c r="AE626" s="1">
        <v>0</v>
      </c>
      <c r="AG626" s="1">
        <f t="shared" ref="AG626:AG628" si="82">SUM(O626:AE626)</f>
        <v>8994022</v>
      </c>
      <c r="AH626" s="1"/>
      <c r="AI626" s="1">
        <f t="shared" si="78"/>
        <v>10915180</v>
      </c>
    </row>
    <row r="627" spans="1:35" ht="12" customHeight="1">
      <c r="A627" s="17" t="s">
        <v>598</v>
      </c>
      <c r="B627" s="17"/>
      <c r="C627" s="17" t="s">
        <v>63</v>
      </c>
      <c r="D627" s="17"/>
      <c r="E627" s="13">
        <v>49973</v>
      </c>
      <c r="G627" s="1">
        <v>1851221</v>
      </c>
      <c r="I627" s="1">
        <v>2066669</v>
      </c>
      <c r="K627" s="1">
        <v>79053</v>
      </c>
      <c r="M627" s="1">
        <f t="shared" si="80"/>
        <v>3996943</v>
      </c>
      <c r="O627" s="1">
        <f>14209537+1435327+381033</f>
        <v>16025897</v>
      </c>
      <c r="Q627" s="1">
        <v>0</v>
      </c>
      <c r="S627" s="1">
        <v>5615417</v>
      </c>
      <c r="U627" s="1">
        <v>32388</v>
      </c>
      <c r="W627" s="1">
        <v>311461</v>
      </c>
      <c r="Y627" s="1">
        <v>1368859</v>
      </c>
      <c r="AA627" s="1">
        <v>156017</v>
      </c>
      <c r="AB627" s="32"/>
      <c r="AC627" s="1">
        <v>0</v>
      </c>
      <c r="AE627" s="1">
        <v>0</v>
      </c>
      <c r="AG627" s="1">
        <f t="shared" si="82"/>
        <v>23510039</v>
      </c>
      <c r="AH627" s="1"/>
      <c r="AI627" s="1">
        <f t="shared" si="78"/>
        <v>27506982</v>
      </c>
    </row>
    <row r="628" spans="1:35" ht="12" customHeight="1">
      <c r="A628" s="17" t="s">
        <v>745</v>
      </c>
      <c r="B628" s="17"/>
      <c r="C628" s="17" t="s">
        <v>71</v>
      </c>
      <c r="D628" s="17"/>
      <c r="E628" s="13">
        <v>45138</v>
      </c>
      <c r="G628" s="1">
        <v>3929253</v>
      </c>
      <c r="I628" s="1">
        <v>5213073</v>
      </c>
      <c r="K628" s="1">
        <v>300000</v>
      </c>
      <c r="M628" s="1">
        <f t="shared" si="80"/>
        <v>9442326</v>
      </c>
      <c r="O628" s="1">
        <f>19063907+1787963+403156</f>
        <v>21255026</v>
      </c>
      <c r="Q628" s="1">
        <v>0</v>
      </c>
      <c r="S628" s="1">
        <v>17591805</v>
      </c>
      <c r="U628" s="1">
        <v>145510</v>
      </c>
      <c r="W628" s="1">
        <v>0</v>
      </c>
      <c r="Y628" s="1">
        <v>0</v>
      </c>
      <c r="AA628" s="1">
        <v>129273</v>
      </c>
      <c r="AB628" s="32"/>
      <c r="AC628" s="1">
        <v>0</v>
      </c>
      <c r="AE628" s="1">
        <v>0</v>
      </c>
      <c r="AG628" s="1">
        <f t="shared" si="82"/>
        <v>39121614</v>
      </c>
      <c r="AH628" s="1"/>
      <c r="AI628" s="1">
        <f t="shared" si="78"/>
        <v>48563940</v>
      </c>
    </row>
    <row r="629" spans="1:35" ht="12" customHeight="1">
      <c r="A629" s="17" t="s">
        <v>344</v>
      </c>
      <c r="B629" s="17"/>
      <c r="C629" s="17" t="s">
        <v>27</v>
      </c>
      <c r="D629" s="17"/>
      <c r="E629" s="13">
        <v>46524</v>
      </c>
      <c r="G629" s="1">
        <v>5588286</v>
      </c>
      <c r="I629" s="1">
        <v>9085628</v>
      </c>
      <c r="K629" s="1">
        <v>0</v>
      </c>
      <c r="M629" s="1">
        <f t="shared" si="80"/>
        <v>14673914</v>
      </c>
      <c r="O629" s="1">
        <f>77937496+6313705</f>
        <v>84251201</v>
      </c>
      <c r="Q629" s="1">
        <v>0</v>
      </c>
      <c r="S629" s="1">
        <v>38083058</v>
      </c>
      <c r="U629" s="1">
        <v>429863</v>
      </c>
      <c r="W629" s="1">
        <v>0</v>
      </c>
      <c r="Y629" s="1">
        <v>0</v>
      </c>
      <c r="AA629" s="1">
        <v>802439</v>
      </c>
      <c r="AB629" s="32"/>
      <c r="AC629" s="1">
        <v>0</v>
      </c>
      <c r="AE629" s="1">
        <v>0</v>
      </c>
      <c r="AG629" s="1">
        <f>SUM(O629:AE629)</f>
        <v>123566561</v>
      </c>
      <c r="AH629" s="1"/>
      <c r="AI629" s="1">
        <f t="shared" si="78"/>
        <v>138240475</v>
      </c>
    </row>
    <row r="630" spans="1:35" ht="12" customHeight="1">
      <c r="A630" s="17" t="s">
        <v>279</v>
      </c>
      <c r="B630" s="17"/>
      <c r="C630" s="17" t="s">
        <v>113</v>
      </c>
      <c r="D630" s="17"/>
      <c r="E630" s="13">
        <v>45146</v>
      </c>
      <c r="G630" s="1">
        <v>1148585</v>
      </c>
      <c r="I630" s="1">
        <v>1127876</v>
      </c>
      <c r="K630" s="1">
        <v>0</v>
      </c>
      <c r="M630" s="1">
        <f t="shared" si="80"/>
        <v>2276461</v>
      </c>
      <c r="O630" s="1">
        <f>3198432+553854</f>
        <v>3752286</v>
      </c>
      <c r="Q630" s="1">
        <v>0</v>
      </c>
      <c r="S630" s="1">
        <v>5663117</v>
      </c>
      <c r="U630" s="1">
        <v>45460</v>
      </c>
      <c r="W630" s="1">
        <v>0</v>
      </c>
      <c r="Y630" s="1">
        <v>0</v>
      </c>
      <c r="AA630" s="1">
        <v>17464</v>
      </c>
      <c r="AB630" s="32"/>
      <c r="AC630" s="1">
        <v>0</v>
      </c>
      <c r="AE630" s="1">
        <v>0</v>
      </c>
      <c r="AG630" s="1">
        <f t="shared" ref="AG630" si="83">SUM(O630:AE630)</f>
        <v>9478327</v>
      </c>
      <c r="AH630" s="1"/>
      <c r="AI630" s="1">
        <f t="shared" si="78"/>
        <v>11754788</v>
      </c>
    </row>
    <row r="631" spans="1:35" ht="12" customHeight="1">
      <c r="A631" s="17" t="s">
        <v>377</v>
      </c>
      <c r="B631" s="17"/>
      <c r="C631" s="17" t="s">
        <v>32</v>
      </c>
      <c r="D631" s="17"/>
      <c r="E631" s="13">
        <v>45153</v>
      </c>
      <c r="G631" s="1">
        <v>1349398</v>
      </c>
      <c r="I631" s="1">
        <v>1508906</v>
      </c>
      <c r="K631" s="1">
        <v>0</v>
      </c>
      <c r="M631" s="1">
        <f t="shared" si="80"/>
        <v>2858304</v>
      </c>
      <c r="O631" s="1">
        <f>8311271+1470573+398751</f>
        <v>10180595</v>
      </c>
      <c r="Q631" s="1">
        <v>5786539</v>
      </c>
      <c r="S631" s="1">
        <v>6689698</v>
      </c>
      <c r="U631" s="1">
        <v>130612</v>
      </c>
      <c r="W631" s="1">
        <v>63340</v>
      </c>
      <c r="Y631" s="1">
        <v>0</v>
      </c>
      <c r="AA631" s="1">
        <v>412580</v>
      </c>
      <c r="AB631" s="32"/>
      <c r="AC631" s="1">
        <v>0</v>
      </c>
      <c r="AE631" s="1">
        <v>0</v>
      </c>
      <c r="AG631" s="1">
        <f t="shared" si="81"/>
        <v>23263364</v>
      </c>
      <c r="AH631" s="1"/>
      <c r="AI631" s="1">
        <f t="shared" si="78"/>
        <v>26121668</v>
      </c>
    </row>
    <row r="632" spans="1:35" ht="12" customHeight="1">
      <c r="A632" s="17" t="s">
        <v>359</v>
      </c>
      <c r="B632" s="17"/>
      <c r="C632" s="17" t="s">
        <v>116</v>
      </c>
      <c r="D632" s="17"/>
      <c r="E632" s="13">
        <v>45674</v>
      </c>
      <c r="G632" s="1">
        <v>1133105</v>
      </c>
      <c r="I632" s="1">
        <v>707853</v>
      </c>
      <c r="K632" s="1">
        <v>0</v>
      </c>
      <c r="M632" s="1">
        <f t="shared" si="80"/>
        <v>1840958</v>
      </c>
      <c r="O632" s="1">
        <f>3161131+119658+263347</f>
        <v>3544136</v>
      </c>
      <c r="Q632" s="1">
        <v>1083016</v>
      </c>
      <c r="S632" s="1">
        <v>1904410</v>
      </c>
      <c r="U632" s="1">
        <v>31675</v>
      </c>
      <c r="W632" s="1">
        <v>0</v>
      </c>
      <c r="Y632" s="1">
        <v>19641</v>
      </c>
      <c r="AA632" s="1">
        <v>11459</v>
      </c>
      <c r="AB632" s="32"/>
      <c r="AC632" s="1">
        <v>0</v>
      </c>
      <c r="AE632" s="1">
        <v>0</v>
      </c>
      <c r="AG632" s="1">
        <f t="shared" si="81"/>
        <v>6594337</v>
      </c>
      <c r="AH632" s="1"/>
      <c r="AI632" s="1">
        <f t="shared" si="78"/>
        <v>8435295</v>
      </c>
    </row>
    <row r="633" spans="1:35" ht="12" customHeight="1">
      <c r="A633" s="17" t="s">
        <v>472</v>
      </c>
      <c r="B633" s="17"/>
      <c r="C633" s="17" t="s">
        <v>45</v>
      </c>
      <c r="D633" s="17"/>
      <c r="E633" s="13">
        <v>45161</v>
      </c>
      <c r="G633" s="1">
        <v>1988622</v>
      </c>
      <c r="I633" s="1">
        <v>27675796</v>
      </c>
      <c r="K633" s="1">
        <v>542141</v>
      </c>
      <c r="M633" s="1">
        <f t="shared" si="80"/>
        <v>30206559</v>
      </c>
      <c r="O633" s="1">
        <f>20072575+1565463+205023</f>
        <v>21843061</v>
      </c>
      <c r="Q633" s="1">
        <v>0</v>
      </c>
      <c r="S633" s="1">
        <f>85468562+660800</f>
        <v>86129362</v>
      </c>
      <c r="U633" s="1">
        <v>124913</v>
      </c>
      <c r="W633" s="1">
        <v>0</v>
      </c>
      <c r="Y633" s="1">
        <v>0</v>
      </c>
      <c r="AA633" s="1">
        <v>497467</v>
      </c>
      <c r="AB633" s="32"/>
      <c r="AC633" s="1">
        <v>0</v>
      </c>
      <c r="AE633" s="1">
        <v>0</v>
      </c>
      <c r="AG633" s="1">
        <f t="shared" si="81"/>
        <v>108594803</v>
      </c>
      <c r="AH633" s="1"/>
      <c r="AI633" s="1">
        <f t="shared" si="78"/>
        <v>138801362</v>
      </c>
    </row>
    <row r="634" spans="1:35" ht="12" customHeight="1">
      <c r="A634" s="17" t="s">
        <v>554</v>
      </c>
      <c r="B634" s="17"/>
      <c r="C634" s="17" t="s">
        <v>58</v>
      </c>
      <c r="D634" s="17"/>
      <c r="E634" s="13">
        <v>49544</v>
      </c>
      <c r="G634" s="1">
        <v>1092638</v>
      </c>
      <c r="I634" s="1">
        <v>5818624</v>
      </c>
      <c r="K634" s="1">
        <v>0</v>
      </c>
      <c r="M634" s="1">
        <f t="shared" ref="M634:M635" si="84">SUM(G634:L634)</f>
        <v>6911262</v>
      </c>
      <c r="O634" s="1">
        <f>3886937+337334+67873</f>
        <v>4292144</v>
      </c>
      <c r="Q634" s="1">
        <v>4951</v>
      </c>
      <c r="S634" s="1">
        <v>3388133</v>
      </c>
      <c r="U634" s="1">
        <v>89831</v>
      </c>
      <c r="W634" s="1">
        <v>0</v>
      </c>
      <c r="Y634" s="1">
        <v>0</v>
      </c>
      <c r="AA634" s="1">
        <v>80208</v>
      </c>
      <c r="AB634" s="32"/>
      <c r="AC634" s="1">
        <v>0</v>
      </c>
      <c r="AE634" s="1">
        <v>0</v>
      </c>
      <c r="AG634" s="1">
        <f t="shared" si="81"/>
        <v>7855267</v>
      </c>
      <c r="AH634" s="1"/>
      <c r="AI634" s="1">
        <f t="shared" si="78"/>
        <v>14766529</v>
      </c>
    </row>
    <row r="635" spans="1:35" ht="12" customHeight="1">
      <c r="A635" s="17" t="s">
        <v>516</v>
      </c>
      <c r="B635" s="17"/>
      <c r="C635" s="17" t="s">
        <v>51</v>
      </c>
      <c r="D635" s="17"/>
      <c r="E635" s="13">
        <v>45179</v>
      </c>
      <c r="G635" s="1">
        <v>2577607</v>
      </c>
      <c r="I635" s="1">
        <v>8127728</v>
      </c>
      <c r="K635" s="1">
        <v>46802</v>
      </c>
      <c r="M635" s="1">
        <f t="shared" si="84"/>
        <v>10752137</v>
      </c>
      <c r="O635" s="1">
        <f>8130402+1957338+165500</f>
        <v>10253240</v>
      </c>
      <c r="Q635" s="1">
        <v>0</v>
      </c>
      <c r="S635" s="1">
        <f>25218656+707200</f>
        <v>25925856</v>
      </c>
      <c r="U635" s="1">
        <v>94101</v>
      </c>
      <c r="W635" s="1">
        <v>14169</v>
      </c>
      <c r="Y635" s="1">
        <v>0</v>
      </c>
      <c r="AA635" s="1">
        <v>122950</v>
      </c>
      <c r="AB635" s="32"/>
      <c r="AC635" s="1">
        <v>0</v>
      </c>
      <c r="AE635" s="1">
        <v>0</v>
      </c>
      <c r="AG635" s="1">
        <f t="shared" ref="AG635" si="85">SUM(O635:AE635)</f>
        <v>36410316</v>
      </c>
      <c r="AH635" s="1"/>
      <c r="AI635" s="1">
        <f>+AG635+M635</f>
        <v>47162453</v>
      </c>
    </row>
    <row r="636" spans="1:35" ht="12" customHeight="1">
      <c r="A636" s="17"/>
      <c r="B636" s="17"/>
      <c r="C636" s="17"/>
      <c r="D636" s="17"/>
      <c r="E636" s="13"/>
      <c r="AB636" s="32"/>
      <c r="AH636" s="1"/>
    </row>
    <row r="637" spans="1:35" ht="12" customHeight="1">
      <c r="A637" s="17"/>
      <c r="B637" s="17"/>
      <c r="C637" s="17"/>
      <c r="D637" s="17"/>
      <c r="E637" s="13"/>
      <c r="AB637" s="32"/>
      <c r="AH637" s="1"/>
    </row>
    <row r="638" spans="1:35" ht="12" customHeight="1">
      <c r="A638" s="17"/>
      <c r="B638" s="17"/>
      <c r="C638" s="17"/>
      <c r="D638" s="17"/>
      <c r="E638" s="13"/>
      <c r="AB638" s="32"/>
      <c r="AH638" s="1"/>
    </row>
    <row r="639" spans="1:35" ht="12" customHeight="1">
      <c r="A639" s="17"/>
      <c r="B639" s="17"/>
      <c r="C639" s="17"/>
      <c r="D639" s="17"/>
    </row>
    <row r="640" spans="1:35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</sheetData>
  <mergeCells count="4">
    <mergeCell ref="S5:AA5"/>
    <mergeCell ref="O4:Q4"/>
    <mergeCell ref="O5:Q5"/>
    <mergeCell ref="S4:AA4"/>
  </mergeCells>
  <phoneticPr fontId="3" type="noConversion"/>
  <pageMargins left="0.9" right="0.75" top="0.5" bottom="0.5" header="0.25" footer="0.25"/>
  <pageSetup scale="77" firstPageNumber="22" pageOrder="overThenDown" orientation="portrait" useFirstPageNumber="1" r:id="rId1"/>
  <headerFooter scaleWithDoc="0" alignWithMargins="0">
    <oddFooter>&amp;C&amp;"Times New Roman,Regular"&amp;11&amp;P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E1027"/>
  <sheetViews>
    <sheetView zoomScaleNormal="100" zoomScaleSheetLayoutView="100" workbookViewId="0">
      <pane xSplit="6" ySplit="9" topLeftCell="AL136" activePane="bottomRight" state="frozen"/>
      <selection pane="topRight" activeCell="G1" sqref="G1"/>
      <selection pane="bottomLeft" activeCell="A10" sqref="A10"/>
      <selection pane="bottomRight" activeCell="BL10" sqref="BL10"/>
    </sheetView>
  </sheetViews>
  <sheetFormatPr defaultColWidth="9.140625" defaultRowHeight="12"/>
  <cols>
    <col min="1" max="1" width="33.28515625" style="18" customWidth="1"/>
    <col min="2" max="2" width="1.7109375" style="18" customWidth="1"/>
    <col min="3" max="3" width="10.140625" style="18" bestFit="1" customWidth="1"/>
    <col min="4" max="4" width="1.7109375" style="18" hidden="1" customWidth="1"/>
    <col min="5" max="5" width="11.7109375" style="3" hidden="1" customWidth="1"/>
    <col min="6" max="6" width="1.7109375" style="18" customWidth="1"/>
    <col min="7" max="7" width="10.140625" style="18" bestFit="1" customWidth="1"/>
    <col min="8" max="8" width="1.28515625" style="18" customWidth="1"/>
    <col min="9" max="9" width="10.140625" style="18" bestFit="1" customWidth="1"/>
    <col min="10" max="10" width="1.140625" style="18" customWidth="1"/>
    <col min="11" max="11" width="9.28515625" style="18" bestFit="1" customWidth="1"/>
    <col min="12" max="12" width="1.7109375" style="18" customWidth="1"/>
    <col min="13" max="13" width="9.28515625" style="18" bestFit="1" customWidth="1"/>
    <col min="14" max="14" width="1.140625" style="18" customWidth="1"/>
    <col min="15" max="15" width="10.140625" style="18" bestFit="1" customWidth="1"/>
    <col min="16" max="16" width="1" style="18" customWidth="1"/>
    <col min="17" max="17" width="9.7109375" style="18" bestFit="1" customWidth="1"/>
    <col min="18" max="18" width="1.42578125" style="18" customWidth="1"/>
    <col min="19" max="19" width="9.85546875" style="18" customWidth="1"/>
    <col min="20" max="20" width="1.7109375" style="18" customWidth="1"/>
    <col min="21" max="21" width="12.28515625" style="18" customWidth="1"/>
    <col min="22" max="22" width="1.7109375" style="18" customWidth="1"/>
    <col min="23" max="23" width="9.28515625" style="18" bestFit="1" customWidth="1"/>
    <col min="24" max="24" width="1.7109375" style="18" customWidth="1"/>
    <col min="25" max="25" width="9.28515625" style="18" bestFit="1" customWidth="1"/>
    <col min="26" max="26" width="1.7109375" style="18" customWidth="1"/>
    <col min="27" max="27" width="11.140625" style="18" customWidth="1"/>
    <col min="28" max="28" width="1.7109375" style="18" customWidth="1"/>
    <col min="29" max="29" width="12.42578125" style="18" customWidth="1"/>
    <col min="30" max="30" width="1.7109375" style="18" customWidth="1"/>
    <col min="31" max="31" width="9.28515625" style="18" bestFit="1" customWidth="1"/>
    <col min="32" max="32" width="1.7109375" style="18" customWidth="1"/>
    <col min="33" max="33" width="9.28515625" style="18" bestFit="1" customWidth="1"/>
    <col min="34" max="34" width="1.7109375" style="18" customWidth="1"/>
    <col min="35" max="35" width="10.140625" style="18" bestFit="1" customWidth="1"/>
    <col min="36" max="36" width="2.7109375" style="18" hidden="1" customWidth="1"/>
    <col min="37" max="37" width="33.140625" style="18" customWidth="1"/>
    <col min="38" max="38" width="1.7109375" style="18" customWidth="1"/>
    <col min="39" max="39" width="11.5703125" style="18" customWidth="1"/>
    <col min="40" max="40" width="1.7109375" style="18" customWidth="1"/>
    <col min="41" max="41" width="12.42578125" style="18" customWidth="1"/>
    <col min="42" max="42" width="1.7109375" style="18" customWidth="1"/>
    <col min="43" max="43" width="10.7109375" style="18" customWidth="1"/>
    <col min="44" max="44" width="1.7109375" style="18" hidden="1" customWidth="1"/>
    <col min="45" max="45" width="1.28515625" style="18" hidden="1" customWidth="1"/>
    <col min="46" max="46" width="1.42578125" style="18" customWidth="1"/>
    <col min="47" max="47" width="12.140625" style="18" customWidth="1"/>
    <col min="48" max="48" width="1.7109375" style="18" customWidth="1"/>
    <col min="49" max="49" width="12.42578125" style="1" customWidth="1"/>
    <col min="50" max="50" width="1.7109375" style="1" customWidth="1"/>
    <col min="51" max="51" width="11" style="1" customWidth="1"/>
    <col min="52" max="52" width="1.7109375" style="1" customWidth="1"/>
    <col min="53" max="53" width="11" style="1" bestFit="1" customWidth="1"/>
    <col min="54" max="54" width="1.7109375" style="1" customWidth="1"/>
    <col min="55" max="55" width="11" style="1" bestFit="1" customWidth="1"/>
    <col min="56" max="56" width="1.7109375" style="1" customWidth="1"/>
    <col min="57" max="57" width="11.7109375" style="1" customWidth="1"/>
    <col min="58" max="58" width="1.7109375" style="18" customWidth="1"/>
    <col min="59" max="59" width="11.7109375" style="18" customWidth="1"/>
    <col min="60" max="16384" width="9.140625" style="18"/>
  </cols>
  <sheetData>
    <row r="1" spans="1:57" ht="12" customHeight="1">
      <c r="A1" s="108" t="s">
        <v>126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08" t="s">
        <v>126</v>
      </c>
      <c r="AL1" s="108"/>
      <c r="AM1" s="108"/>
      <c r="AN1" s="108"/>
      <c r="AO1" s="108"/>
      <c r="AP1" s="108"/>
      <c r="AQ1" s="108"/>
      <c r="AR1" s="108"/>
      <c r="AS1" s="1"/>
      <c r="AT1" s="1"/>
      <c r="AU1" s="1"/>
      <c r="AV1" s="1"/>
    </row>
    <row r="2" spans="1:57" ht="12" customHeight="1">
      <c r="A2" s="5" t="s">
        <v>919</v>
      </c>
      <c r="B2" s="5"/>
      <c r="C2" s="5"/>
      <c r="D2" s="5"/>
      <c r="E2" s="2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5" t="s">
        <v>919</v>
      </c>
      <c r="AL2" s="5"/>
      <c r="AM2" s="5"/>
      <c r="AN2" s="5"/>
      <c r="AO2" s="1"/>
      <c r="AP2" s="1"/>
      <c r="AQ2" s="1"/>
      <c r="AR2" s="1"/>
      <c r="AS2" s="74" t="s">
        <v>665</v>
      </c>
      <c r="AT2" s="1"/>
      <c r="AU2" s="1"/>
      <c r="AV2" s="1"/>
    </row>
    <row r="3" spans="1:57" ht="12" customHeight="1">
      <c r="A3" s="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5" t="s">
        <v>709</v>
      </c>
      <c r="AO3" s="1"/>
      <c r="AP3" s="1"/>
      <c r="AQ3" s="1"/>
      <c r="AR3" s="1"/>
      <c r="AS3" s="74" t="s">
        <v>666</v>
      </c>
      <c r="AT3" s="1"/>
      <c r="AU3" s="1"/>
      <c r="AV3" s="1"/>
    </row>
    <row r="4" spans="1:57" ht="12" customHeight="1">
      <c r="A4" s="5" t="s">
        <v>171</v>
      </c>
      <c r="B4" s="5"/>
      <c r="C4" s="5"/>
      <c r="D4" s="5"/>
      <c r="E4" s="2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5" t="s">
        <v>171</v>
      </c>
      <c r="AL4" s="5"/>
      <c r="AM4" s="5"/>
      <c r="AN4" s="5"/>
      <c r="AO4" s="1"/>
      <c r="AP4" s="1"/>
      <c r="AQ4" s="1"/>
      <c r="AR4" s="1"/>
      <c r="AS4" s="74" t="s">
        <v>667</v>
      </c>
      <c r="AT4" s="1"/>
      <c r="AU4" s="1"/>
      <c r="AV4" s="1"/>
    </row>
    <row r="5" spans="1:57" s="7" customFormat="1" ht="12" customHeight="1">
      <c r="A5" s="75"/>
      <c r="E5" s="76"/>
      <c r="AK5" s="75"/>
    </row>
    <row r="6" spans="1:57" s="83" customFormat="1">
      <c r="A6" s="77" t="s">
        <v>747</v>
      </c>
      <c r="B6" s="78"/>
      <c r="C6" s="78"/>
      <c r="D6" s="78"/>
      <c r="E6" s="79"/>
      <c r="F6" s="7"/>
      <c r="G6" s="22" t="s">
        <v>145</v>
      </c>
      <c r="H6" s="80"/>
      <c r="I6" s="80"/>
      <c r="J6" s="80"/>
      <c r="K6" s="80"/>
      <c r="L6" s="80"/>
      <c r="M6" s="80"/>
      <c r="N6" s="7"/>
      <c r="O6" s="105" t="s">
        <v>146</v>
      </c>
      <c r="P6" s="105"/>
      <c r="Q6" s="105"/>
      <c r="R6" s="81"/>
      <c r="S6" s="105" t="s">
        <v>955</v>
      </c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7"/>
      <c r="AG6" s="105" t="s">
        <v>158</v>
      </c>
      <c r="AH6" s="105"/>
      <c r="AI6" s="105"/>
      <c r="AJ6" s="81"/>
      <c r="AK6" s="77" t="s">
        <v>747</v>
      </c>
      <c r="AL6" s="78"/>
      <c r="AM6" s="78"/>
      <c r="AN6" s="78"/>
      <c r="AO6" s="7"/>
      <c r="AP6" s="7"/>
      <c r="AQ6" s="7"/>
      <c r="AR6" s="7"/>
      <c r="AS6" s="82" t="s">
        <v>656</v>
      </c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82" t="s">
        <v>102</v>
      </c>
    </row>
    <row r="7" spans="1:57" s="83" customFormat="1" ht="12" customHeight="1">
      <c r="A7" s="84" t="s">
        <v>748</v>
      </c>
      <c r="E7" s="76"/>
      <c r="F7" s="7"/>
      <c r="M7" s="85"/>
      <c r="Q7" s="7"/>
      <c r="R7" s="7"/>
      <c r="S7" s="7"/>
      <c r="T7" s="7"/>
      <c r="U7" s="7"/>
      <c r="V7" s="7"/>
      <c r="W7" s="7"/>
      <c r="X7" s="7"/>
      <c r="Y7" s="7"/>
      <c r="Z7" s="7"/>
      <c r="AA7" s="86" t="s">
        <v>153</v>
      </c>
      <c r="AB7" s="7"/>
      <c r="AC7" s="7"/>
      <c r="AD7" s="7"/>
      <c r="AE7" s="7"/>
      <c r="AF7" s="7"/>
      <c r="AG7" s="7"/>
      <c r="AH7" s="7"/>
      <c r="AI7" s="7"/>
      <c r="AJ7" s="7"/>
      <c r="AK7" s="84" t="s">
        <v>748</v>
      </c>
      <c r="AO7" s="7"/>
      <c r="AP7" s="7"/>
      <c r="AQ7" s="7"/>
      <c r="AR7" s="7"/>
      <c r="AS7" s="82" t="s">
        <v>657</v>
      </c>
      <c r="AT7" s="7"/>
      <c r="AU7" s="7"/>
      <c r="AV7" s="7"/>
      <c r="AW7" s="7"/>
      <c r="AX7" s="7"/>
      <c r="AY7" s="82"/>
      <c r="AZ7" s="82"/>
      <c r="BA7" s="103" t="s">
        <v>102</v>
      </c>
      <c r="BB7" s="103"/>
      <c r="BC7" s="103" t="s">
        <v>102</v>
      </c>
      <c r="BD7" s="7"/>
      <c r="BE7" s="82" t="s">
        <v>169</v>
      </c>
    </row>
    <row r="8" spans="1:57">
      <c r="A8" s="77" t="s">
        <v>915</v>
      </c>
      <c r="B8" s="25"/>
      <c r="C8" s="25"/>
      <c r="D8" s="25"/>
      <c r="E8" s="26"/>
      <c r="F8" s="1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 t="s">
        <v>147</v>
      </c>
      <c r="R8" s="102"/>
      <c r="S8" s="102" t="s">
        <v>149</v>
      </c>
      <c r="T8" s="102"/>
      <c r="U8" s="102"/>
      <c r="V8" s="102"/>
      <c r="W8" s="102"/>
      <c r="X8" s="102"/>
      <c r="Y8" s="102"/>
      <c r="Z8" s="102"/>
      <c r="AA8" s="102" t="s">
        <v>154</v>
      </c>
      <c r="AB8" s="102"/>
      <c r="AC8" s="102" t="s">
        <v>156</v>
      </c>
      <c r="AD8" s="102"/>
      <c r="AE8" s="102"/>
      <c r="AF8" s="102"/>
      <c r="AG8" s="103" t="s">
        <v>159</v>
      </c>
      <c r="AH8" s="103"/>
      <c r="AI8" s="24"/>
      <c r="AJ8" s="24"/>
      <c r="AK8" s="77" t="s">
        <v>915</v>
      </c>
      <c r="AL8" s="25"/>
      <c r="AM8" s="25"/>
      <c r="AN8" s="25"/>
      <c r="AO8" s="24" t="s">
        <v>161</v>
      </c>
      <c r="AP8" s="24"/>
      <c r="AQ8" s="24"/>
      <c r="AR8" s="24"/>
      <c r="AS8" s="24" t="s">
        <v>658</v>
      </c>
      <c r="AT8" s="24"/>
      <c r="AU8" s="24" t="s">
        <v>674</v>
      </c>
      <c r="AV8" s="24"/>
      <c r="AW8" s="102" t="s">
        <v>3</v>
      </c>
      <c r="AX8" s="103"/>
      <c r="AY8" s="103" t="s">
        <v>121</v>
      </c>
      <c r="AZ8" s="103"/>
      <c r="BA8" s="102" t="s">
        <v>165</v>
      </c>
      <c r="BB8" s="103"/>
      <c r="BC8" s="103" t="s">
        <v>167</v>
      </c>
      <c r="BE8" s="103" t="s">
        <v>170</v>
      </c>
    </row>
    <row r="9" spans="1:57">
      <c r="A9" s="27" t="s">
        <v>202</v>
      </c>
      <c r="B9" s="24"/>
      <c r="C9" s="27" t="s">
        <v>4</v>
      </c>
      <c r="D9" s="24"/>
      <c r="E9" s="11" t="s">
        <v>201</v>
      </c>
      <c r="F9" s="1"/>
      <c r="G9" s="67" t="s">
        <v>689</v>
      </c>
      <c r="H9" s="1"/>
      <c r="I9" s="67" t="s">
        <v>2</v>
      </c>
      <c r="J9" s="1"/>
      <c r="K9" s="67" t="s">
        <v>144</v>
      </c>
      <c r="L9" s="1"/>
      <c r="M9" s="67" t="s">
        <v>82</v>
      </c>
      <c r="N9" s="8"/>
      <c r="O9" s="67" t="s">
        <v>695</v>
      </c>
      <c r="P9" s="1"/>
      <c r="Q9" s="67" t="s">
        <v>148</v>
      </c>
      <c r="R9" s="1"/>
      <c r="S9" s="67" t="s">
        <v>150</v>
      </c>
      <c r="T9" s="1"/>
      <c r="U9" s="67" t="s">
        <v>151</v>
      </c>
      <c r="V9" s="1"/>
      <c r="W9" s="67" t="s">
        <v>152</v>
      </c>
      <c r="X9" s="102"/>
      <c r="Y9" s="101" t="s">
        <v>654</v>
      </c>
      <c r="Z9" s="1"/>
      <c r="AA9" s="67" t="s">
        <v>155</v>
      </c>
      <c r="AB9" s="102"/>
      <c r="AC9" s="101" t="s">
        <v>157</v>
      </c>
      <c r="AD9" s="102"/>
      <c r="AE9" s="101" t="s">
        <v>655</v>
      </c>
      <c r="AF9" s="8"/>
      <c r="AG9" s="101" t="s">
        <v>160</v>
      </c>
      <c r="AH9" s="1"/>
      <c r="AI9" s="27" t="s">
        <v>82</v>
      </c>
      <c r="AJ9" s="87"/>
      <c r="AK9" s="27" t="s">
        <v>202</v>
      </c>
      <c r="AL9" s="24"/>
      <c r="AM9" s="27" t="s">
        <v>4</v>
      </c>
      <c r="AN9" s="87"/>
      <c r="AO9" s="27" t="s">
        <v>162</v>
      </c>
      <c r="AP9" s="87"/>
      <c r="AQ9" s="27" t="s">
        <v>163</v>
      </c>
      <c r="AR9" s="87"/>
      <c r="AS9" s="27" t="s">
        <v>659</v>
      </c>
      <c r="AT9" s="87"/>
      <c r="AU9" s="27" t="s">
        <v>124</v>
      </c>
      <c r="AV9" s="87"/>
      <c r="AW9" s="101" t="s">
        <v>124</v>
      </c>
      <c r="AX9" s="102"/>
      <c r="AY9" s="101" t="s">
        <v>102</v>
      </c>
      <c r="AZ9" s="103"/>
      <c r="BA9" s="101" t="s">
        <v>166</v>
      </c>
      <c r="BB9" s="103"/>
      <c r="BC9" s="101" t="s">
        <v>168</v>
      </c>
      <c r="BE9" s="101" t="s">
        <v>137</v>
      </c>
    </row>
    <row r="10" spans="1:57" ht="12.75" customHeight="1">
      <c r="A10" s="17"/>
      <c r="B10" s="17"/>
      <c r="C10" s="17"/>
      <c r="D10" s="17"/>
      <c r="E10" s="13"/>
      <c r="F10" s="1"/>
      <c r="G10" s="102"/>
      <c r="H10" s="1"/>
      <c r="I10" s="102"/>
      <c r="J10" s="1"/>
      <c r="K10" s="102"/>
      <c r="L10" s="1"/>
      <c r="M10" s="102"/>
      <c r="N10" s="1"/>
      <c r="O10" s="102"/>
      <c r="P10" s="1"/>
      <c r="Q10" s="102"/>
      <c r="R10" s="1"/>
      <c r="S10" s="102"/>
      <c r="T10" s="1"/>
      <c r="U10" s="102"/>
      <c r="V10" s="1"/>
      <c r="W10" s="102"/>
      <c r="X10" s="102"/>
      <c r="Y10" s="102"/>
      <c r="Z10" s="1"/>
      <c r="AA10" s="102"/>
      <c r="AB10" s="102"/>
      <c r="AC10" s="102"/>
      <c r="AD10" s="102"/>
      <c r="AE10" s="102"/>
      <c r="AF10" s="1"/>
      <c r="AG10" s="102"/>
      <c r="AH10" s="1"/>
      <c r="AI10" s="102"/>
      <c r="AJ10" s="102"/>
      <c r="AK10" s="17"/>
      <c r="AL10" s="17"/>
      <c r="AM10" s="17"/>
      <c r="AN10" s="17"/>
      <c r="AO10" s="102"/>
      <c r="AQ10" s="102"/>
      <c r="AS10" s="102"/>
      <c r="AU10" s="102"/>
      <c r="BA10" s="102"/>
    </row>
    <row r="11" spans="1:57" s="16" customFormat="1">
      <c r="A11" s="14" t="s">
        <v>920</v>
      </c>
      <c r="B11" s="14"/>
      <c r="C11" s="14" t="s">
        <v>203</v>
      </c>
      <c r="D11" s="14"/>
      <c r="E11" s="13">
        <v>61903</v>
      </c>
      <c r="G11" s="16">
        <v>21398093</v>
      </c>
      <c r="I11" s="16">
        <v>4841162</v>
      </c>
      <c r="K11" s="16">
        <v>2834658</v>
      </c>
      <c r="M11" s="16">
        <f>392655+520397</f>
        <v>913052</v>
      </c>
      <c r="O11" s="16">
        <v>2188527</v>
      </c>
      <c r="Q11" s="16">
        <v>3366000</v>
      </c>
      <c r="S11" s="16">
        <v>42433</v>
      </c>
      <c r="U11" s="16">
        <v>3145260</v>
      </c>
      <c r="W11" s="16">
        <v>1061228</v>
      </c>
      <c r="Y11" s="16">
        <v>475803</v>
      </c>
      <c r="AA11" s="16">
        <v>3167286</v>
      </c>
      <c r="AC11" s="16">
        <v>3228520</v>
      </c>
      <c r="AE11" s="16">
        <v>306719</v>
      </c>
      <c r="AG11" s="16">
        <v>2470717</v>
      </c>
      <c r="AI11" s="16">
        <v>0</v>
      </c>
      <c r="AK11" s="14" t="s">
        <v>920</v>
      </c>
      <c r="AL11" s="14"/>
      <c r="AM11" s="14" t="s">
        <v>203</v>
      </c>
      <c r="AN11" s="14"/>
      <c r="AO11" s="16">
        <v>555786</v>
      </c>
      <c r="AQ11" s="16">
        <v>1775736</v>
      </c>
      <c r="AU11" s="16">
        <v>0</v>
      </c>
      <c r="AW11" s="16">
        <f>SUM(G11:AV11)</f>
        <v>51770980</v>
      </c>
      <c r="AY11" s="16">
        <f>+'St of Activites - GA Rev'!AI11-'St of Activities - GA Exp'!AW11</f>
        <v>-4652954</v>
      </c>
      <c r="BA11" s="16">
        <v>80998712</v>
      </c>
      <c r="BC11" s="16">
        <f>+AY11+BA11</f>
        <v>76345758</v>
      </c>
      <c r="BE11" s="16">
        <f>+'St of Net Assets - GA'!AA11-'St of Activities - GA Exp'!BC11</f>
        <v>0</v>
      </c>
    </row>
    <row r="12" spans="1:57">
      <c r="A12" s="17" t="s">
        <v>549</v>
      </c>
      <c r="B12" s="17"/>
      <c r="C12" s="17" t="s">
        <v>58</v>
      </c>
      <c r="D12" s="17"/>
      <c r="E12" s="13">
        <v>49494</v>
      </c>
      <c r="G12" s="1">
        <v>5733975</v>
      </c>
      <c r="H12" s="1"/>
      <c r="I12" s="1">
        <v>1284833</v>
      </c>
      <c r="J12" s="1"/>
      <c r="K12" s="1">
        <v>8272</v>
      </c>
      <c r="L12" s="1"/>
      <c r="M12" s="1">
        <v>796586</v>
      </c>
      <c r="N12" s="1"/>
      <c r="O12" s="1">
        <v>397692</v>
      </c>
      <c r="P12" s="1"/>
      <c r="Q12" s="1">
        <v>600230</v>
      </c>
      <c r="R12" s="1"/>
      <c r="S12" s="1">
        <v>43281</v>
      </c>
      <c r="T12" s="1"/>
      <c r="U12" s="1">
        <v>949590</v>
      </c>
      <c r="V12" s="1"/>
      <c r="W12" s="1">
        <v>332326</v>
      </c>
      <c r="X12" s="1"/>
      <c r="Y12" s="1">
        <v>0</v>
      </c>
      <c r="Z12" s="1"/>
      <c r="AA12" s="1">
        <v>996630</v>
      </c>
      <c r="AB12" s="1"/>
      <c r="AC12" s="1">
        <v>866064</v>
      </c>
      <c r="AD12" s="1"/>
      <c r="AE12" s="1">
        <v>77257</v>
      </c>
      <c r="AF12" s="1"/>
      <c r="AG12" s="1">
        <v>423180</v>
      </c>
      <c r="AH12" s="1"/>
      <c r="AI12" s="1">
        <v>0</v>
      </c>
      <c r="AJ12" s="1"/>
      <c r="AK12" s="17" t="s">
        <v>549</v>
      </c>
      <c r="AL12" s="17"/>
      <c r="AM12" s="17" t="s">
        <v>58</v>
      </c>
      <c r="AN12" s="17"/>
      <c r="AO12" s="1">
        <v>322333</v>
      </c>
      <c r="AP12" s="1"/>
      <c r="AQ12" s="1">
        <v>113466</v>
      </c>
      <c r="AR12" s="1"/>
      <c r="AS12" s="1"/>
      <c r="AT12" s="1"/>
      <c r="AU12" s="1">
        <v>0</v>
      </c>
      <c r="AV12" s="1"/>
      <c r="AW12" s="1">
        <f t="shared" ref="AW12:AW78" si="0">SUM(G12:AV12)</f>
        <v>12945715</v>
      </c>
      <c r="AY12" s="1">
        <f>+'St of Activites - GA Rev'!AI12-'St of Activities - GA Exp'!AW12</f>
        <v>624146</v>
      </c>
      <c r="BA12" s="1">
        <v>21469993</v>
      </c>
      <c r="BC12" s="1">
        <f t="shared" ref="BC12:BC78" si="1">+AY12+BA12</f>
        <v>22094139</v>
      </c>
      <c r="BE12" s="1">
        <f>+'St of Net Assets - GA'!AA12-'St of Activities - GA Exp'!BC12</f>
        <v>0</v>
      </c>
    </row>
    <row r="13" spans="1:57">
      <c r="A13" s="17" t="s">
        <v>586</v>
      </c>
      <c r="B13" s="17"/>
      <c r="C13" s="17" t="s">
        <v>63</v>
      </c>
      <c r="D13" s="17"/>
      <c r="E13" s="13">
        <v>43489</v>
      </c>
      <c r="G13" s="1">
        <v>156500000</v>
      </c>
      <c r="H13" s="1"/>
      <c r="I13" s="1">
        <v>34500000</v>
      </c>
      <c r="J13" s="1"/>
      <c r="K13" s="1">
        <v>12100000</v>
      </c>
      <c r="L13" s="1"/>
      <c r="M13" s="1">
        <f>672000+11100000-58000</f>
        <v>11714000</v>
      </c>
      <c r="N13" s="1"/>
      <c r="O13" s="1">
        <v>19700000</v>
      </c>
      <c r="P13" s="1"/>
      <c r="Q13" s="1">
        <v>26900000</v>
      </c>
      <c r="R13" s="1"/>
      <c r="S13" s="1">
        <v>86000</v>
      </c>
      <c r="T13" s="1"/>
      <c r="U13" s="1">
        <v>21300000</v>
      </c>
      <c r="V13" s="1"/>
      <c r="W13" s="1">
        <v>4300000</v>
      </c>
      <c r="X13" s="1"/>
      <c r="Y13" s="1">
        <v>2600000</v>
      </c>
      <c r="Z13" s="1"/>
      <c r="AA13" s="1">
        <v>37900000</v>
      </c>
      <c r="AB13" s="1"/>
      <c r="AC13" s="1">
        <v>11800000</v>
      </c>
      <c r="AD13" s="1"/>
      <c r="AE13" s="1">
        <v>10400000</v>
      </c>
      <c r="AF13" s="1"/>
      <c r="AG13" s="1">
        <v>8600000</v>
      </c>
      <c r="AH13" s="1"/>
      <c r="AI13" s="1">
        <v>3700000</v>
      </c>
      <c r="AJ13" s="1"/>
      <c r="AK13" s="17" t="s">
        <v>586</v>
      </c>
      <c r="AL13" s="17"/>
      <c r="AM13" s="17" t="s">
        <v>63</v>
      </c>
      <c r="AN13" s="17"/>
      <c r="AO13" s="1">
        <v>3500000</v>
      </c>
      <c r="AP13" s="1"/>
      <c r="AQ13" s="1">
        <v>0</v>
      </c>
      <c r="AR13" s="1"/>
      <c r="AS13" s="1"/>
      <c r="AT13" s="1"/>
      <c r="AU13" s="1">
        <v>0</v>
      </c>
      <c r="AV13" s="1"/>
      <c r="AW13" s="1">
        <f t="shared" si="0"/>
        <v>365600000</v>
      </c>
      <c r="AY13" s="1">
        <f>+'St of Activites - GA Rev'!AI13-'St of Activities - GA Exp'!AW13</f>
        <v>19800000</v>
      </c>
      <c r="BA13" s="1">
        <v>311900000</v>
      </c>
      <c r="BC13" s="1">
        <f t="shared" si="1"/>
        <v>331700000</v>
      </c>
      <c r="BE13" s="1">
        <f>+'St of Net Assets - GA'!AA13-'St of Activities - GA Exp'!BC13</f>
        <v>0</v>
      </c>
    </row>
    <row r="14" spans="1:57" ht="12" hidden="1" customHeight="1">
      <c r="A14" s="12" t="s">
        <v>738</v>
      </c>
      <c r="B14" s="17"/>
      <c r="C14" s="17" t="s">
        <v>13</v>
      </c>
      <c r="D14" s="17"/>
      <c r="E14" s="13">
        <v>45906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2" t="s">
        <v>738</v>
      </c>
      <c r="AL14" s="17"/>
      <c r="AM14" s="17" t="s">
        <v>13</v>
      </c>
      <c r="AN14" s="17"/>
      <c r="AO14" s="1"/>
      <c r="AP14" s="1"/>
      <c r="AQ14" s="1"/>
      <c r="AR14" s="1"/>
      <c r="AS14" s="1"/>
      <c r="AT14" s="1"/>
      <c r="AU14" s="1"/>
      <c r="AV14" s="1"/>
      <c r="AW14" s="1">
        <f t="shared" si="0"/>
        <v>0</v>
      </c>
      <c r="AY14" s="1">
        <f>+'St of Activites - GA Rev'!AI14-'St of Activities - GA Exp'!AW14</f>
        <v>0</v>
      </c>
      <c r="BC14" s="1">
        <f t="shared" si="1"/>
        <v>0</v>
      </c>
      <c r="BE14" s="1">
        <f>+'St of Net Assets - GA'!AA14-'St of Activities - GA Exp'!BC14</f>
        <v>0</v>
      </c>
    </row>
    <row r="15" spans="1:57">
      <c r="A15" s="17" t="s">
        <v>572</v>
      </c>
      <c r="B15" s="17"/>
      <c r="C15" s="17" t="s">
        <v>62</v>
      </c>
      <c r="D15" s="17"/>
      <c r="E15" s="13">
        <v>43497</v>
      </c>
      <c r="G15" s="1">
        <v>12262615</v>
      </c>
      <c r="H15" s="1"/>
      <c r="I15" s="1">
        <v>4908515</v>
      </c>
      <c r="J15" s="1"/>
      <c r="K15" s="1">
        <v>1208308</v>
      </c>
      <c r="L15" s="1"/>
      <c r="M15" s="1">
        <f>839306+466202+111858</f>
        <v>1417366</v>
      </c>
      <c r="N15" s="1"/>
      <c r="O15" s="1">
        <v>1996522</v>
      </c>
      <c r="P15" s="1"/>
      <c r="Q15" s="1">
        <v>1464228</v>
      </c>
      <c r="R15" s="1"/>
      <c r="S15" s="1">
        <v>35352</v>
      </c>
      <c r="T15" s="1"/>
      <c r="U15" s="1">
        <v>2843067</v>
      </c>
      <c r="V15" s="1"/>
      <c r="W15" s="1">
        <v>320324</v>
      </c>
      <c r="X15" s="1"/>
      <c r="Y15" s="1">
        <v>357607</v>
      </c>
      <c r="Z15" s="1"/>
      <c r="AA15" s="1">
        <v>2954176</v>
      </c>
      <c r="AB15" s="1"/>
      <c r="AC15" s="1">
        <v>788817</v>
      </c>
      <c r="AD15" s="1"/>
      <c r="AE15" s="1">
        <v>137187</v>
      </c>
      <c r="AF15" s="1"/>
      <c r="AG15" s="1">
        <v>1442598</v>
      </c>
      <c r="AH15" s="1"/>
      <c r="AI15" s="1">
        <f>129754+10322</f>
        <v>140076</v>
      </c>
      <c r="AJ15" s="1"/>
      <c r="AK15" s="17" t="s">
        <v>572</v>
      </c>
      <c r="AL15" s="17"/>
      <c r="AM15" s="17" t="s">
        <v>62</v>
      </c>
      <c r="AN15" s="17"/>
      <c r="AO15" s="1">
        <v>598854</v>
      </c>
      <c r="AP15" s="1"/>
      <c r="AQ15" s="1">
        <v>479260</v>
      </c>
      <c r="AR15" s="1"/>
      <c r="AS15" s="1"/>
      <c r="AT15" s="1"/>
      <c r="AU15" s="1">
        <v>0</v>
      </c>
      <c r="AV15" s="1"/>
      <c r="AW15" s="1">
        <f t="shared" si="0"/>
        <v>33354872</v>
      </c>
      <c r="AY15" s="1">
        <f>+'St of Activites - GA Rev'!AI15-'St of Activities - GA Exp'!AW15</f>
        <v>979921</v>
      </c>
      <c r="BA15" s="1">
        <v>41449589</v>
      </c>
      <c r="BC15" s="1">
        <f t="shared" si="1"/>
        <v>42429510</v>
      </c>
      <c r="BE15" s="1">
        <f>+'St of Net Assets - GA'!AA15-'St of Activities - GA Exp'!BC15</f>
        <v>0</v>
      </c>
    </row>
    <row r="16" spans="1:57">
      <c r="A16" s="17" t="s">
        <v>321</v>
      </c>
      <c r="B16" s="17"/>
      <c r="C16" s="17" t="s">
        <v>25</v>
      </c>
      <c r="D16" s="17"/>
      <c r="E16" s="13">
        <v>46847</v>
      </c>
      <c r="G16" s="1">
        <v>7453882</v>
      </c>
      <c r="H16" s="1"/>
      <c r="I16" s="1">
        <v>2015445</v>
      </c>
      <c r="J16" s="1"/>
      <c r="K16" s="1">
        <v>478691</v>
      </c>
      <c r="L16" s="1"/>
      <c r="M16" s="1">
        <f>130932+20561</f>
        <v>151493</v>
      </c>
      <c r="N16" s="1"/>
      <c r="O16" s="1">
        <v>546690</v>
      </c>
      <c r="P16" s="1"/>
      <c r="Q16" s="1">
        <v>382931</v>
      </c>
      <c r="R16" s="1"/>
      <c r="S16" s="1">
        <v>48821</v>
      </c>
      <c r="T16" s="1"/>
      <c r="U16" s="1">
        <v>1080596</v>
      </c>
      <c r="V16" s="1"/>
      <c r="W16" s="1">
        <v>342393</v>
      </c>
      <c r="X16" s="1"/>
      <c r="Y16" s="1">
        <v>35752</v>
      </c>
      <c r="Z16" s="1"/>
      <c r="AA16" s="1">
        <v>1459669</v>
      </c>
      <c r="AB16" s="1"/>
      <c r="AC16" s="1">
        <v>1096870</v>
      </c>
      <c r="AD16" s="1"/>
      <c r="AE16" s="1">
        <v>17186</v>
      </c>
      <c r="AF16" s="1"/>
      <c r="AG16" s="1">
        <v>781957</v>
      </c>
      <c r="AH16" s="1"/>
      <c r="AI16" s="1">
        <v>0</v>
      </c>
      <c r="AJ16" s="1"/>
      <c r="AK16" s="17" t="s">
        <v>321</v>
      </c>
      <c r="AL16" s="17"/>
      <c r="AM16" s="17" t="s">
        <v>25</v>
      </c>
      <c r="AN16" s="17"/>
      <c r="AO16" s="1">
        <v>393684</v>
      </c>
      <c r="AP16" s="1"/>
      <c r="AQ16" s="1">
        <v>153868</v>
      </c>
      <c r="AR16" s="1"/>
      <c r="AS16" s="1"/>
      <c r="AT16" s="1"/>
      <c r="AU16" s="1">
        <v>0</v>
      </c>
      <c r="AV16" s="1"/>
      <c r="AW16" s="1">
        <f t="shared" si="0"/>
        <v>16439928</v>
      </c>
      <c r="AY16" s="1">
        <f>+'St of Activites - GA Rev'!AI16-'St of Activities - GA Exp'!AW16</f>
        <v>-524348</v>
      </c>
      <c r="BA16" s="1">
        <v>29405628</v>
      </c>
      <c r="BC16" s="1">
        <f t="shared" si="1"/>
        <v>28881280</v>
      </c>
      <c r="BE16" s="1">
        <f>+'St of Net Assets - GA'!AA16-'St of Activities - GA Exp'!BC16</f>
        <v>0</v>
      </c>
    </row>
    <row r="17" spans="1:57" s="1" customFormat="1" ht="12" customHeight="1">
      <c r="A17" s="12" t="s">
        <v>685</v>
      </c>
      <c r="B17" s="12"/>
      <c r="C17" s="12" t="s">
        <v>44</v>
      </c>
      <c r="D17" s="12"/>
      <c r="E17" s="13">
        <v>45195</v>
      </c>
      <c r="G17" s="1">
        <v>19115431</v>
      </c>
      <c r="I17" s="1">
        <v>5501250</v>
      </c>
      <c r="K17" s="1">
        <v>365567</v>
      </c>
      <c r="M17" s="1">
        <v>0</v>
      </c>
      <c r="O17" s="1">
        <v>1463781</v>
      </c>
      <c r="Q17" s="1">
        <v>1895597</v>
      </c>
      <c r="S17" s="1">
        <v>156624</v>
      </c>
      <c r="U17" s="1">
        <v>3120476</v>
      </c>
      <c r="W17" s="1">
        <v>769155</v>
      </c>
      <c r="Y17" s="1">
        <v>0</v>
      </c>
      <c r="AA17" s="1">
        <v>3681770</v>
      </c>
      <c r="AC17" s="1">
        <v>1443053</v>
      </c>
      <c r="AE17" s="1">
        <v>17574</v>
      </c>
      <c r="AG17" s="1">
        <v>1774119</v>
      </c>
      <c r="AI17" s="1">
        <v>0</v>
      </c>
      <c r="AK17" s="12" t="s">
        <v>685</v>
      </c>
      <c r="AL17" s="12"/>
      <c r="AM17" s="12" t="s">
        <v>44</v>
      </c>
      <c r="AN17" s="12"/>
      <c r="AO17" s="1">
        <v>707297</v>
      </c>
      <c r="AQ17" s="1">
        <v>1124706</v>
      </c>
      <c r="AU17" s="1">
        <v>0</v>
      </c>
      <c r="AW17" s="1">
        <f>SUM(G17:AV17)</f>
        <v>41136400</v>
      </c>
      <c r="AY17" s="1">
        <f>+'St of Activites - GA Rev'!AI17-'St of Activities - GA Exp'!AW17</f>
        <v>729474</v>
      </c>
      <c r="BA17" s="1">
        <v>8284855</v>
      </c>
      <c r="BC17" s="1">
        <f>+AY17+BA17</f>
        <v>9014329</v>
      </c>
      <c r="BE17" s="1">
        <f>+'St of Net Assets - GA'!AA17-'St of Activities - GA Exp'!BC17</f>
        <v>0</v>
      </c>
    </row>
    <row r="18" spans="1:57" hidden="1">
      <c r="A18" s="12" t="s">
        <v>921</v>
      </c>
      <c r="B18" s="17"/>
      <c r="C18" s="17" t="s">
        <v>61</v>
      </c>
      <c r="D18" s="17"/>
      <c r="E18" s="13">
        <v>49759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2" t="s">
        <v>921</v>
      </c>
      <c r="AL18" s="17"/>
      <c r="AM18" s="17" t="s">
        <v>61</v>
      </c>
      <c r="AN18" s="17"/>
      <c r="AO18" s="1"/>
      <c r="AP18" s="1"/>
      <c r="AQ18" s="1"/>
      <c r="AR18" s="1"/>
      <c r="AS18" s="1"/>
      <c r="AT18" s="1"/>
      <c r="AU18" s="1"/>
      <c r="AV18" s="1"/>
      <c r="AW18" s="1">
        <f t="shared" si="0"/>
        <v>0</v>
      </c>
      <c r="AY18" s="1">
        <f>+'St of Activites - GA Rev'!AI18-'St of Activities - GA Exp'!AW18</f>
        <v>0</v>
      </c>
      <c r="BC18" s="1">
        <f t="shared" si="1"/>
        <v>0</v>
      </c>
      <c r="BE18" s="1">
        <f>+'St of Net Assets - GA'!AA18-'St of Activities - GA Exp'!BC18</f>
        <v>0</v>
      </c>
    </row>
    <row r="19" spans="1:57" hidden="1">
      <c r="A19" s="12" t="s">
        <v>860</v>
      </c>
      <c r="B19" s="12"/>
      <c r="C19" s="12" t="s">
        <v>718</v>
      </c>
      <c r="D19" s="17"/>
      <c r="E19" s="1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2" t="s">
        <v>860</v>
      </c>
      <c r="AL19" s="12"/>
      <c r="AM19" s="12" t="s">
        <v>718</v>
      </c>
      <c r="AN19" s="17"/>
      <c r="AO19" s="1"/>
      <c r="AP19" s="1"/>
      <c r="AQ19" s="1"/>
      <c r="AR19" s="1"/>
      <c r="AS19" s="1"/>
      <c r="AT19" s="1"/>
      <c r="AU19" s="1"/>
      <c r="AV19" s="1"/>
      <c r="AW19" s="1">
        <f t="shared" si="0"/>
        <v>0</v>
      </c>
      <c r="AY19" s="1">
        <f>+'St of Activites - GA Rev'!AI19-'St of Activities - GA Exp'!AW19</f>
        <v>0</v>
      </c>
      <c r="BC19" s="1">
        <f t="shared" si="1"/>
        <v>0</v>
      </c>
      <c r="BE19" s="1">
        <f>+'St of Net Assets - GA'!AA19-'St of Activities - GA Exp'!BC19</f>
        <v>0</v>
      </c>
    </row>
    <row r="20" spans="1:57">
      <c r="A20" s="17" t="s">
        <v>449</v>
      </c>
      <c r="B20" s="17"/>
      <c r="C20" s="17" t="s">
        <v>117</v>
      </c>
      <c r="D20" s="17"/>
      <c r="E20" s="13">
        <v>48207</v>
      </c>
      <c r="G20" s="1">
        <v>18363045</v>
      </c>
      <c r="H20" s="1"/>
      <c r="I20" s="1">
        <v>3026429</v>
      </c>
      <c r="J20" s="1"/>
      <c r="K20" s="1">
        <v>9620</v>
      </c>
      <c r="L20" s="1"/>
      <c r="M20" s="1">
        <v>0</v>
      </c>
      <c r="N20" s="1"/>
      <c r="O20" s="1">
        <v>1710235</v>
      </c>
      <c r="P20" s="1"/>
      <c r="Q20" s="1">
        <v>942756</v>
      </c>
      <c r="R20" s="1"/>
      <c r="S20" s="1">
        <v>806612</v>
      </c>
      <c r="T20" s="1"/>
      <c r="U20" s="1">
        <v>2917083</v>
      </c>
      <c r="V20" s="1"/>
      <c r="W20" s="1">
        <v>874858</v>
      </c>
      <c r="X20" s="1"/>
      <c r="Y20" s="1">
        <v>21300</v>
      </c>
      <c r="Z20" s="1"/>
      <c r="AA20" s="1">
        <v>4263705</v>
      </c>
      <c r="AB20" s="1"/>
      <c r="AC20" s="1">
        <v>2586799</v>
      </c>
      <c r="AD20" s="1"/>
      <c r="AE20" s="1">
        <v>62221</v>
      </c>
      <c r="AF20" s="1"/>
      <c r="AG20" s="1">
        <v>1108773</v>
      </c>
      <c r="AH20" s="1"/>
      <c r="AI20" s="1">
        <v>218669</v>
      </c>
      <c r="AJ20" s="1"/>
      <c r="AK20" s="17" t="s">
        <v>449</v>
      </c>
      <c r="AL20" s="17"/>
      <c r="AM20" s="17" t="s">
        <v>117</v>
      </c>
      <c r="AN20" s="17"/>
      <c r="AO20" s="1">
        <v>1051183</v>
      </c>
      <c r="AP20" s="1"/>
      <c r="AQ20" s="1">
        <v>1563201</v>
      </c>
      <c r="AR20" s="1"/>
      <c r="AS20" s="1"/>
      <c r="AT20" s="1"/>
      <c r="AU20" s="1">
        <v>0</v>
      </c>
      <c r="AV20" s="1"/>
      <c r="AW20" s="1">
        <f t="shared" si="0"/>
        <v>39526489</v>
      </c>
      <c r="AY20" s="1">
        <f>+'St of Activites - GA Rev'!AI20-'St of Activities - GA Exp'!AW20</f>
        <v>1153421</v>
      </c>
      <c r="BA20" s="1">
        <v>5292349</v>
      </c>
      <c r="BC20" s="1">
        <f t="shared" si="1"/>
        <v>6445770</v>
      </c>
      <c r="BE20" s="1">
        <f>+'St of Net Assets - GA'!AA20-'St of Activities - GA Exp'!BC20</f>
        <v>0</v>
      </c>
    </row>
    <row r="21" spans="1:57">
      <c r="A21" s="17" t="s">
        <v>378</v>
      </c>
      <c r="B21" s="17"/>
      <c r="C21" s="17" t="s">
        <v>33</v>
      </c>
      <c r="D21" s="17"/>
      <c r="E21" s="13">
        <v>47415</v>
      </c>
      <c r="G21" s="1">
        <v>2728231</v>
      </c>
      <c r="H21" s="1"/>
      <c r="I21" s="1">
        <v>579060</v>
      </c>
      <c r="J21" s="1"/>
      <c r="K21" s="1">
        <v>312403</v>
      </c>
      <c r="L21" s="1"/>
      <c r="M21" s="1">
        <v>0</v>
      </c>
      <c r="N21" s="1"/>
      <c r="O21" s="1">
        <v>222212</v>
      </c>
      <c r="P21" s="1"/>
      <c r="Q21" s="1">
        <v>182680</v>
      </c>
      <c r="R21" s="1"/>
      <c r="S21" s="1">
        <v>29806</v>
      </c>
      <c r="T21" s="1"/>
      <c r="U21" s="1">
        <v>578326</v>
      </c>
      <c r="V21" s="1"/>
      <c r="W21" s="1">
        <v>185292</v>
      </c>
      <c r="X21" s="1"/>
      <c r="Y21" s="1">
        <v>0</v>
      </c>
      <c r="Z21" s="1"/>
      <c r="AA21" s="1">
        <v>452307</v>
      </c>
      <c r="AB21" s="1"/>
      <c r="AC21" s="1">
        <v>303245</v>
      </c>
      <c r="AD21" s="1"/>
      <c r="AE21" s="1">
        <v>2000</v>
      </c>
      <c r="AF21" s="1"/>
      <c r="AG21" s="1">
        <v>273360</v>
      </c>
      <c r="AH21" s="1"/>
      <c r="AI21" s="1">
        <v>0</v>
      </c>
      <c r="AJ21" s="1"/>
      <c r="AK21" s="17" t="s">
        <v>378</v>
      </c>
      <c r="AL21" s="17"/>
      <c r="AM21" s="17" t="s">
        <v>33</v>
      </c>
      <c r="AN21" s="17"/>
      <c r="AO21" s="1">
        <v>260276</v>
      </c>
      <c r="AP21" s="1"/>
      <c r="AQ21" s="1">
        <v>0</v>
      </c>
      <c r="AR21" s="1"/>
      <c r="AS21" s="1"/>
      <c r="AT21" s="1"/>
      <c r="AU21" s="1">
        <v>0</v>
      </c>
      <c r="AV21" s="1"/>
      <c r="AW21" s="1">
        <f t="shared" si="0"/>
        <v>6109198</v>
      </c>
      <c r="AY21" s="1">
        <f>+'St of Activites - GA Rev'!AI21-'St of Activities - GA Exp'!AW21</f>
        <v>300646</v>
      </c>
      <c r="BA21" s="1">
        <v>4193358</v>
      </c>
      <c r="BC21" s="1">
        <f t="shared" si="1"/>
        <v>4494004</v>
      </c>
      <c r="BE21" s="1">
        <f>+'St of Net Assets - GA'!AA21-'St of Activities - GA Exp'!BC21</f>
        <v>0</v>
      </c>
    </row>
    <row r="22" spans="1:57" ht="12" hidden="1" customHeight="1">
      <c r="A22" s="12" t="s">
        <v>823</v>
      </c>
      <c r="B22" s="17"/>
      <c r="C22" s="17" t="s">
        <v>21</v>
      </c>
      <c r="D22" s="17"/>
      <c r="E22" s="13">
        <v>46631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2" t="s">
        <v>823</v>
      </c>
      <c r="AL22" s="17"/>
      <c r="AM22" s="17" t="s">
        <v>21</v>
      </c>
      <c r="AN22" s="17"/>
      <c r="AO22" s="1"/>
      <c r="AP22" s="1"/>
      <c r="AQ22" s="1"/>
      <c r="AR22" s="1"/>
      <c r="AS22" s="1"/>
      <c r="AT22" s="1"/>
      <c r="AU22" s="1"/>
      <c r="AV22" s="1"/>
      <c r="AW22" s="1">
        <f t="shared" si="0"/>
        <v>0</v>
      </c>
      <c r="AY22" s="1">
        <f>+'St of Activites - GA Rev'!AI22-'St of Activities - GA Exp'!AW22</f>
        <v>0</v>
      </c>
      <c r="BC22" s="1">
        <f t="shared" si="1"/>
        <v>0</v>
      </c>
      <c r="BE22" s="1">
        <f>+'St of Net Assets - GA'!AA22-'St of Activities - GA Exp'!BC22</f>
        <v>0</v>
      </c>
    </row>
    <row r="23" spans="1:57">
      <c r="A23" s="12" t="s">
        <v>922</v>
      </c>
      <c r="B23" s="17"/>
      <c r="C23" s="17" t="s">
        <v>28</v>
      </c>
      <c r="D23" s="17"/>
      <c r="E23" s="13">
        <v>47043</v>
      </c>
      <c r="G23" s="1">
        <v>6836904</v>
      </c>
      <c r="H23" s="1"/>
      <c r="I23" s="1">
        <v>1043504</v>
      </c>
      <c r="J23" s="1"/>
      <c r="K23" s="1">
        <v>208175</v>
      </c>
      <c r="L23" s="1"/>
      <c r="M23" s="1">
        <f>10453+11487</f>
        <v>21940</v>
      </c>
      <c r="N23" s="1"/>
      <c r="O23" s="1">
        <v>914944</v>
      </c>
      <c r="P23" s="1"/>
      <c r="Q23" s="1">
        <v>530624</v>
      </c>
      <c r="R23" s="1"/>
      <c r="S23" s="1">
        <v>87537</v>
      </c>
      <c r="T23" s="1"/>
      <c r="U23" s="1">
        <v>751383</v>
      </c>
      <c r="V23" s="1"/>
      <c r="W23" s="1">
        <v>378740</v>
      </c>
      <c r="X23" s="1"/>
      <c r="Y23" s="1">
        <v>0</v>
      </c>
      <c r="Z23" s="1"/>
      <c r="AA23" s="1">
        <v>1154555</v>
      </c>
      <c r="AB23" s="1"/>
      <c r="AC23" s="1">
        <v>494183</v>
      </c>
      <c r="AD23" s="1"/>
      <c r="AE23" s="1">
        <v>0</v>
      </c>
      <c r="AF23" s="1"/>
      <c r="AG23" s="1">
        <v>518407</v>
      </c>
      <c r="AH23" s="1"/>
      <c r="AI23" s="1">
        <v>0</v>
      </c>
      <c r="AJ23" s="1"/>
      <c r="AK23" s="12" t="s">
        <v>922</v>
      </c>
      <c r="AL23" s="17"/>
      <c r="AM23" s="17" t="s">
        <v>28</v>
      </c>
      <c r="AN23" s="17"/>
      <c r="AO23" s="1">
        <v>734960</v>
      </c>
      <c r="AP23" s="1"/>
      <c r="AQ23" s="1">
        <v>0</v>
      </c>
      <c r="AR23" s="1"/>
      <c r="AS23" s="1"/>
      <c r="AT23" s="1"/>
      <c r="AU23" s="1">
        <f>152900+581172</f>
        <v>734072</v>
      </c>
      <c r="AV23" s="1"/>
      <c r="AW23" s="1">
        <f t="shared" si="0"/>
        <v>14409928</v>
      </c>
      <c r="AY23" s="1">
        <f>+'St of Activites - GA Rev'!AI23-'St of Activities - GA Exp'!AW23</f>
        <v>756815</v>
      </c>
      <c r="BA23" s="1">
        <v>13229889</v>
      </c>
      <c r="BC23" s="1">
        <f t="shared" si="1"/>
        <v>13986704</v>
      </c>
      <c r="BE23" s="1">
        <f>+'St of Net Assets - GA'!AA23-'St of Activities - GA Exp'!BC23</f>
        <v>0</v>
      </c>
    </row>
    <row r="24" spans="1:57">
      <c r="A24" s="17" t="s">
        <v>379</v>
      </c>
      <c r="B24" s="17"/>
      <c r="C24" s="17" t="s">
        <v>33</v>
      </c>
      <c r="D24" s="17"/>
      <c r="E24" s="13">
        <v>47423</v>
      </c>
      <c r="G24" s="1">
        <v>3186548</v>
      </c>
      <c r="H24" s="1"/>
      <c r="I24" s="1">
        <v>795170</v>
      </c>
      <c r="J24" s="1"/>
      <c r="K24" s="1">
        <v>273665</v>
      </c>
      <c r="L24" s="1"/>
      <c r="M24" s="1">
        <v>0</v>
      </c>
      <c r="N24" s="1"/>
      <c r="O24" s="1">
        <v>281886</v>
      </c>
      <c r="P24" s="1"/>
      <c r="Q24" s="1">
        <v>349526</v>
      </c>
      <c r="R24" s="1"/>
      <c r="S24" s="1">
        <v>25208</v>
      </c>
      <c r="T24" s="1"/>
      <c r="U24" s="1">
        <v>497972</v>
      </c>
      <c r="V24" s="1"/>
      <c r="W24" s="1">
        <v>185464</v>
      </c>
      <c r="X24" s="1"/>
      <c r="Y24" s="1">
        <v>0</v>
      </c>
      <c r="Z24" s="1"/>
      <c r="AA24" s="1">
        <v>573947</v>
      </c>
      <c r="AB24" s="1"/>
      <c r="AC24" s="1">
        <v>260575</v>
      </c>
      <c r="AD24" s="1"/>
      <c r="AE24" s="1">
        <v>1428</v>
      </c>
      <c r="AF24" s="1"/>
      <c r="AG24" s="1">
        <v>257358</v>
      </c>
      <c r="AH24" s="1"/>
      <c r="AI24" s="1">
        <v>0</v>
      </c>
      <c r="AJ24" s="1"/>
      <c r="AK24" s="17" t="s">
        <v>379</v>
      </c>
      <c r="AL24" s="17"/>
      <c r="AM24" s="17" t="s">
        <v>33</v>
      </c>
      <c r="AN24" s="17"/>
      <c r="AO24" s="1">
        <v>301454</v>
      </c>
      <c r="AP24" s="1"/>
      <c r="AQ24" s="1">
        <v>12656</v>
      </c>
      <c r="AR24" s="1"/>
      <c r="AS24" s="1"/>
      <c r="AT24" s="1"/>
      <c r="AU24" s="1">
        <v>0</v>
      </c>
      <c r="AV24" s="1"/>
      <c r="AW24" s="1">
        <f t="shared" si="0"/>
        <v>7002857</v>
      </c>
      <c r="AY24" s="1">
        <f>+'St of Activites - GA Rev'!AI24-'St of Activities - GA Exp'!AW24</f>
        <v>-307946</v>
      </c>
      <c r="BA24" s="1">
        <v>6442946</v>
      </c>
      <c r="BC24" s="1">
        <f t="shared" si="1"/>
        <v>6135000</v>
      </c>
      <c r="BE24" s="1">
        <f>+'St of Net Assets - GA'!AA24-'St of Activities - GA Exp'!BC24</f>
        <v>0</v>
      </c>
    </row>
    <row r="25" spans="1:57">
      <c r="A25" s="17" t="s">
        <v>206</v>
      </c>
      <c r="B25" s="17"/>
      <c r="C25" s="17" t="s">
        <v>11</v>
      </c>
      <c r="D25" s="17"/>
      <c r="E25" s="13">
        <v>43505</v>
      </c>
      <c r="F25" s="1"/>
      <c r="G25" s="1">
        <v>14111939</v>
      </c>
      <c r="H25" s="1"/>
      <c r="I25" s="1">
        <v>4813709</v>
      </c>
      <c r="J25" s="1"/>
      <c r="K25" s="1">
        <v>932942</v>
      </c>
      <c r="L25" s="1"/>
      <c r="M25" s="1">
        <f>37955+1799064</f>
        <v>1837019</v>
      </c>
      <c r="N25" s="1"/>
      <c r="O25" s="1">
        <v>1655919</v>
      </c>
      <c r="P25" s="1"/>
      <c r="Q25" s="1">
        <v>1976565</v>
      </c>
      <c r="R25" s="1"/>
      <c r="S25" s="1">
        <v>139135</v>
      </c>
      <c r="T25" s="1"/>
      <c r="U25" s="1">
        <v>2696124</v>
      </c>
      <c r="V25" s="1"/>
      <c r="W25" s="1">
        <v>766784</v>
      </c>
      <c r="X25" s="1"/>
      <c r="Y25" s="1">
        <v>364888</v>
      </c>
      <c r="Z25" s="1"/>
      <c r="AA25" s="1">
        <v>2748724</v>
      </c>
      <c r="AB25" s="1"/>
      <c r="AC25" s="1">
        <v>1234973</v>
      </c>
      <c r="AD25" s="1"/>
      <c r="AE25" s="1">
        <v>317431</v>
      </c>
      <c r="AF25" s="1"/>
      <c r="AG25" s="1">
        <v>1402103</v>
      </c>
      <c r="AH25" s="1"/>
      <c r="AI25" s="1">
        <v>175177</v>
      </c>
      <c r="AJ25" s="1"/>
      <c r="AK25" s="17" t="s">
        <v>206</v>
      </c>
      <c r="AL25" s="17"/>
      <c r="AM25" s="17" t="s">
        <v>11</v>
      </c>
      <c r="AN25" s="17"/>
      <c r="AO25" s="1">
        <v>922217</v>
      </c>
      <c r="AP25" s="1"/>
      <c r="AQ25" s="1">
        <v>145262</v>
      </c>
      <c r="AR25" s="1"/>
      <c r="AS25" s="1"/>
      <c r="AT25" s="1"/>
      <c r="AU25" s="1">
        <v>0</v>
      </c>
      <c r="AV25" s="1"/>
      <c r="AW25" s="1">
        <f t="shared" si="0"/>
        <v>36240911</v>
      </c>
      <c r="AY25" s="1">
        <f>+'St of Activites - GA Rev'!AI25-'St of Activities - GA Exp'!AW25</f>
        <v>-567115</v>
      </c>
      <c r="BA25" s="1">
        <v>16399804</v>
      </c>
      <c r="BC25" s="1">
        <f t="shared" si="1"/>
        <v>15832689</v>
      </c>
      <c r="BE25" s="1">
        <f>+'St of Net Assets - GA'!AA25-'St of Activities - GA Exp'!BC25</f>
        <v>0</v>
      </c>
    </row>
    <row r="26" spans="1:57" ht="12" customHeight="1">
      <c r="A26" s="12" t="s">
        <v>672</v>
      </c>
      <c r="B26" s="12"/>
      <c r="C26" s="12" t="s">
        <v>12</v>
      </c>
      <c r="D26" s="12"/>
      <c r="E26" s="13">
        <v>43513</v>
      </c>
      <c r="G26" s="1">
        <v>19019184</v>
      </c>
      <c r="H26" s="1"/>
      <c r="I26" s="1">
        <v>7418614</v>
      </c>
      <c r="J26" s="1"/>
      <c r="K26" s="1">
        <v>171224</v>
      </c>
      <c r="L26" s="1"/>
      <c r="M26" s="1">
        <v>754078</v>
      </c>
      <c r="N26" s="1"/>
      <c r="O26" s="1">
        <v>1742016</v>
      </c>
      <c r="P26" s="1"/>
      <c r="Q26" s="1">
        <v>3192728</v>
      </c>
      <c r="R26" s="1"/>
      <c r="S26" s="1">
        <v>186051</v>
      </c>
      <c r="T26" s="1"/>
      <c r="U26" s="1">
        <v>2528435</v>
      </c>
      <c r="V26" s="1"/>
      <c r="W26" s="1">
        <v>924314</v>
      </c>
      <c r="X26" s="1"/>
      <c r="Y26" s="1">
        <v>604078</v>
      </c>
      <c r="Z26" s="1"/>
      <c r="AA26" s="1">
        <v>4077998</v>
      </c>
      <c r="AB26" s="1"/>
      <c r="AC26" s="1">
        <v>2335947</v>
      </c>
      <c r="AD26" s="1"/>
      <c r="AE26" s="1">
        <v>68164</v>
      </c>
      <c r="AF26" s="1"/>
      <c r="AG26" s="1">
        <v>1657951</v>
      </c>
      <c r="AH26" s="1"/>
      <c r="AI26" s="1">
        <v>0</v>
      </c>
      <c r="AJ26" s="1"/>
      <c r="AK26" s="12" t="s">
        <v>672</v>
      </c>
      <c r="AL26" s="12"/>
      <c r="AM26" s="12" t="s">
        <v>12</v>
      </c>
      <c r="AN26" s="12"/>
      <c r="AO26" s="1">
        <v>878439</v>
      </c>
      <c r="AP26" s="1"/>
      <c r="AQ26" s="1">
        <v>1726574</v>
      </c>
      <c r="AR26" s="1"/>
      <c r="AS26" s="1"/>
      <c r="AT26" s="1"/>
      <c r="AU26" s="1">
        <v>290781</v>
      </c>
      <c r="AV26" s="1"/>
      <c r="AW26" s="1">
        <f t="shared" si="0"/>
        <v>47576576</v>
      </c>
      <c r="AY26" s="1">
        <f>+'St of Activites - GA Rev'!AI26-'St of Activities - GA Exp'!AW26</f>
        <v>8532147</v>
      </c>
      <c r="BA26" s="1">
        <v>57077630</v>
      </c>
      <c r="BC26" s="1">
        <f t="shared" si="1"/>
        <v>65609777</v>
      </c>
      <c r="BE26" s="1">
        <f>+'St of Net Assets - GA'!AA26-'St of Activities - GA Exp'!BC26</f>
        <v>0</v>
      </c>
    </row>
    <row r="27" spans="1:57">
      <c r="A27" s="17" t="s">
        <v>214</v>
      </c>
      <c r="B27" s="17"/>
      <c r="C27" s="17" t="s">
        <v>13</v>
      </c>
      <c r="D27" s="17"/>
      <c r="E27" s="13">
        <v>43521</v>
      </c>
      <c r="G27" s="1">
        <v>16382027</v>
      </c>
      <c r="H27" s="1"/>
      <c r="I27" s="1">
        <v>3685796</v>
      </c>
      <c r="J27" s="1"/>
      <c r="K27" s="1">
        <v>419445</v>
      </c>
      <c r="L27" s="1"/>
      <c r="M27" s="1">
        <v>148213</v>
      </c>
      <c r="N27" s="1"/>
      <c r="O27" s="1">
        <v>1520110</v>
      </c>
      <c r="P27" s="1"/>
      <c r="Q27" s="1">
        <v>2479736</v>
      </c>
      <c r="R27" s="1"/>
      <c r="S27" s="1">
        <v>164636</v>
      </c>
      <c r="T27" s="1"/>
      <c r="U27" s="1">
        <v>1938680</v>
      </c>
      <c r="V27" s="1"/>
      <c r="W27" s="1">
        <v>702311</v>
      </c>
      <c r="X27" s="1"/>
      <c r="Y27" s="1">
        <v>602219</v>
      </c>
      <c r="Z27" s="1"/>
      <c r="AA27" s="1">
        <v>3798711</v>
      </c>
      <c r="AB27" s="1"/>
      <c r="AC27" s="1">
        <v>1923397</v>
      </c>
      <c r="AD27" s="1"/>
      <c r="AE27" s="1">
        <v>203103</v>
      </c>
      <c r="AF27" s="1"/>
      <c r="AG27" s="1">
        <v>849165</v>
      </c>
      <c r="AH27" s="1"/>
      <c r="AI27" s="1">
        <v>5398</v>
      </c>
      <c r="AJ27" s="1"/>
      <c r="AK27" s="17" t="s">
        <v>214</v>
      </c>
      <c r="AL27" s="17"/>
      <c r="AM27" s="17" t="s">
        <v>13</v>
      </c>
      <c r="AN27" s="17"/>
      <c r="AO27" s="1">
        <v>475833</v>
      </c>
      <c r="AP27" s="1"/>
      <c r="AQ27" s="1">
        <v>678788</v>
      </c>
      <c r="AR27" s="1"/>
      <c r="AS27" s="1"/>
      <c r="AT27" s="1"/>
      <c r="AU27" s="1">
        <v>0</v>
      </c>
      <c r="AV27" s="1"/>
      <c r="AW27" s="1">
        <f t="shared" si="0"/>
        <v>35977568</v>
      </c>
      <c r="AY27" s="1">
        <f>+'St of Activites - GA Rev'!AI27-'St of Activities - GA Exp'!AW27</f>
        <v>23314</v>
      </c>
      <c r="BA27" s="1">
        <v>23617594</v>
      </c>
      <c r="BC27" s="1">
        <f t="shared" si="1"/>
        <v>23640908</v>
      </c>
      <c r="BE27" s="1">
        <f>+'St of Net Assets - GA'!AA27-'St of Activities - GA Exp'!BC27</f>
        <v>0</v>
      </c>
    </row>
    <row r="28" spans="1:57">
      <c r="A28" s="17" t="s">
        <v>532</v>
      </c>
      <c r="B28" s="17"/>
      <c r="C28" s="17" t="s">
        <v>56</v>
      </c>
      <c r="D28" s="17"/>
      <c r="E28" s="13">
        <v>49171</v>
      </c>
      <c r="G28" s="1">
        <v>13473053</v>
      </c>
      <c r="H28" s="1"/>
      <c r="I28" s="1">
        <v>2202898</v>
      </c>
      <c r="J28" s="1"/>
      <c r="K28" s="1">
        <v>234775</v>
      </c>
      <c r="L28" s="1"/>
      <c r="M28" s="1">
        <v>1277031</v>
      </c>
      <c r="N28" s="1"/>
      <c r="O28" s="1">
        <v>1851748</v>
      </c>
      <c r="P28" s="1"/>
      <c r="Q28" s="1">
        <v>2289496</v>
      </c>
      <c r="R28" s="1"/>
      <c r="S28" s="1">
        <v>175828</v>
      </c>
      <c r="T28" s="1"/>
      <c r="U28" s="1">
        <v>2628494</v>
      </c>
      <c r="V28" s="1"/>
      <c r="W28" s="1">
        <v>840734</v>
      </c>
      <c r="X28" s="1"/>
      <c r="Y28" s="1">
        <v>186601</v>
      </c>
      <c r="Z28" s="1"/>
      <c r="AA28" s="1">
        <v>3790696</v>
      </c>
      <c r="AB28" s="1"/>
      <c r="AC28" s="1">
        <v>1584327</v>
      </c>
      <c r="AD28" s="1"/>
      <c r="AE28" s="1">
        <v>109479</v>
      </c>
      <c r="AF28" s="1"/>
      <c r="AG28" s="1">
        <v>935757</v>
      </c>
      <c r="AH28" s="1"/>
      <c r="AI28" s="1">
        <v>0</v>
      </c>
      <c r="AJ28" s="1"/>
      <c r="AK28" s="17" t="s">
        <v>532</v>
      </c>
      <c r="AL28" s="17"/>
      <c r="AM28" s="17" t="s">
        <v>56</v>
      </c>
      <c r="AN28" s="17"/>
      <c r="AO28" s="1">
        <v>1040802</v>
      </c>
      <c r="AP28" s="1"/>
      <c r="AQ28" s="1">
        <v>1594365</v>
      </c>
      <c r="AR28" s="1"/>
      <c r="AS28" s="1"/>
      <c r="AT28" s="1"/>
      <c r="AU28" s="1">
        <v>0</v>
      </c>
      <c r="AV28" s="1"/>
      <c r="AW28" s="1">
        <f t="shared" si="0"/>
        <v>34216084</v>
      </c>
      <c r="AY28" s="1">
        <f>+'St of Activites - GA Rev'!AI28-'St of Activities - GA Exp'!AW28</f>
        <v>406935</v>
      </c>
      <c r="BA28" s="1">
        <v>4788328</v>
      </c>
      <c r="BC28" s="1">
        <f t="shared" si="1"/>
        <v>5195263</v>
      </c>
      <c r="BE28" s="1">
        <f>+'St of Net Assets - GA'!AA28-'St of Activities - GA Exp'!BC28</f>
        <v>0</v>
      </c>
    </row>
    <row r="29" spans="1:57">
      <c r="A29" s="17" t="s">
        <v>461</v>
      </c>
      <c r="B29" s="17"/>
      <c r="C29" s="17" t="s">
        <v>45</v>
      </c>
      <c r="D29" s="17"/>
      <c r="E29" s="13">
        <v>48298</v>
      </c>
      <c r="G29" s="1">
        <v>19689324</v>
      </c>
      <c r="H29" s="1"/>
      <c r="I29" s="1">
        <v>5945781</v>
      </c>
      <c r="J29" s="1"/>
      <c r="K29" s="1">
        <v>255143</v>
      </c>
      <c r="L29" s="1"/>
      <c r="M29" s="1">
        <v>1851855</v>
      </c>
      <c r="N29" s="1"/>
      <c r="O29" s="1">
        <v>2767898</v>
      </c>
      <c r="P29" s="1"/>
      <c r="Q29" s="1">
        <v>1963838</v>
      </c>
      <c r="R29" s="1"/>
      <c r="S29" s="1">
        <v>51886</v>
      </c>
      <c r="T29" s="1"/>
      <c r="U29" s="1">
        <v>3703502</v>
      </c>
      <c r="V29" s="1"/>
      <c r="W29" s="1">
        <v>837264</v>
      </c>
      <c r="X29" s="1"/>
      <c r="Y29" s="1">
        <v>3772</v>
      </c>
      <c r="Z29" s="1"/>
      <c r="AA29" s="1">
        <v>4130588</v>
      </c>
      <c r="AB29" s="1"/>
      <c r="AC29" s="1">
        <v>2543253</v>
      </c>
      <c r="AD29" s="1"/>
      <c r="AE29" s="1">
        <v>337</v>
      </c>
      <c r="AF29" s="1"/>
      <c r="AG29" s="1">
        <v>1851766</v>
      </c>
      <c r="AH29" s="1"/>
      <c r="AI29" s="1">
        <v>337536</v>
      </c>
      <c r="AJ29" s="1"/>
      <c r="AK29" s="17" t="s">
        <v>461</v>
      </c>
      <c r="AL29" s="17"/>
      <c r="AM29" s="17" t="s">
        <v>45</v>
      </c>
      <c r="AN29" s="17"/>
      <c r="AO29" s="1">
        <v>1096890</v>
      </c>
      <c r="AP29" s="1"/>
      <c r="AQ29" s="1">
        <v>1218649</v>
      </c>
      <c r="AR29" s="1"/>
      <c r="AS29" s="1"/>
      <c r="AT29" s="1"/>
      <c r="AU29" s="1">
        <v>98683</v>
      </c>
      <c r="AV29" s="1"/>
      <c r="AW29" s="1">
        <f t="shared" si="0"/>
        <v>48347965</v>
      </c>
      <c r="AY29" s="1">
        <f>+'St of Activites - GA Rev'!AI29-'St of Activities - GA Exp'!AW29</f>
        <v>1064936</v>
      </c>
      <c r="BA29" s="1">
        <v>11491169</v>
      </c>
      <c r="BC29" s="1">
        <f t="shared" si="1"/>
        <v>12556105</v>
      </c>
      <c r="BE29" s="1">
        <f>+'St of Net Assets - GA'!AA29-'St of Activities - GA Exp'!BC29</f>
        <v>0</v>
      </c>
    </row>
    <row r="30" spans="1:57">
      <c r="A30" s="17" t="s">
        <v>436</v>
      </c>
      <c r="B30" s="17"/>
      <c r="C30" s="17" t="s">
        <v>44</v>
      </c>
      <c r="D30" s="17"/>
      <c r="E30" s="13">
        <v>48124</v>
      </c>
      <c r="G30" s="1">
        <v>19551234</v>
      </c>
      <c r="H30" s="1"/>
      <c r="I30" s="1">
        <v>3061161</v>
      </c>
      <c r="J30" s="1"/>
      <c r="K30" s="1">
        <v>213572</v>
      </c>
      <c r="L30" s="1"/>
      <c r="M30" s="1">
        <f>19879+1147296</f>
        <v>1167175</v>
      </c>
      <c r="N30" s="1"/>
      <c r="O30" s="1">
        <v>3304479</v>
      </c>
      <c r="P30" s="1"/>
      <c r="Q30" s="1">
        <v>974710</v>
      </c>
      <c r="R30" s="1"/>
      <c r="S30" s="1">
        <v>32737</v>
      </c>
      <c r="T30" s="1"/>
      <c r="U30" s="1">
        <v>3492495</v>
      </c>
      <c r="V30" s="1"/>
      <c r="W30" s="1">
        <v>1135733</v>
      </c>
      <c r="X30" s="1"/>
      <c r="Y30" s="1">
        <v>417440</v>
      </c>
      <c r="Z30" s="1"/>
      <c r="AA30" s="1">
        <v>6781144</v>
      </c>
      <c r="AB30" s="1"/>
      <c r="AC30" s="1">
        <v>1530111</v>
      </c>
      <c r="AD30" s="1"/>
      <c r="AE30" s="1">
        <v>158131</v>
      </c>
      <c r="AF30" s="1"/>
      <c r="AG30" s="1">
        <v>1246386</v>
      </c>
      <c r="AH30" s="1"/>
      <c r="AI30" s="1">
        <v>219142</v>
      </c>
      <c r="AJ30" s="1"/>
      <c r="AK30" s="17" t="s">
        <v>436</v>
      </c>
      <c r="AL30" s="17"/>
      <c r="AM30" s="17" t="s">
        <v>44</v>
      </c>
      <c r="AN30" s="17"/>
      <c r="AO30" s="1">
        <v>1212842</v>
      </c>
      <c r="AP30" s="1"/>
      <c r="AQ30" s="1">
        <v>3430329</v>
      </c>
      <c r="AR30" s="1"/>
      <c r="AS30" s="1"/>
      <c r="AT30" s="1"/>
      <c r="AU30" s="1">
        <v>0</v>
      </c>
      <c r="AV30" s="1"/>
      <c r="AW30" s="1">
        <f t="shared" si="0"/>
        <v>47928821</v>
      </c>
      <c r="AY30" s="1">
        <f>+'St of Activites - GA Rev'!AI30-'St of Activities - GA Exp'!AW30</f>
        <v>-2835929</v>
      </c>
      <c r="BA30" s="1">
        <v>27526156</v>
      </c>
      <c r="BC30" s="1">
        <f t="shared" si="1"/>
        <v>24690227</v>
      </c>
      <c r="BE30" s="1">
        <f>+'St of Net Assets - GA'!AA30-'St of Activities - GA Exp'!BC30</f>
        <v>0</v>
      </c>
    </row>
    <row r="31" spans="1:57">
      <c r="A31" s="17" t="s">
        <v>437</v>
      </c>
      <c r="B31" s="17"/>
      <c r="C31" s="17" t="s">
        <v>44</v>
      </c>
      <c r="D31" s="17"/>
      <c r="E31" s="13">
        <v>48116</v>
      </c>
      <c r="G31" s="1">
        <v>14436771</v>
      </c>
      <c r="H31" s="1"/>
      <c r="I31" s="1">
        <v>4024424</v>
      </c>
      <c r="J31" s="1"/>
      <c r="K31" s="1">
        <v>168425</v>
      </c>
      <c r="L31" s="1"/>
      <c r="M31" s="1">
        <v>561479</v>
      </c>
      <c r="N31" s="1"/>
      <c r="O31" s="1">
        <v>1265309</v>
      </c>
      <c r="P31" s="1"/>
      <c r="Q31" s="1">
        <v>1737791</v>
      </c>
      <c r="R31" s="1"/>
      <c r="S31" s="1">
        <v>228608</v>
      </c>
      <c r="T31" s="1"/>
      <c r="U31" s="1">
        <v>2066854</v>
      </c>
      <c r="V31" s="1"/>
      <c r="W31" s="1">
        <v>808343</v>
      </c>
      <c r="X31" s="1"/>
      <c r="Y31" s="1">
        <v>41761</v>
      </c>
      <c r="Z31" s="1"/>
      <c r="AA31" s="1">
        <v>2377533</v>
      </c>
      <c r="AB31" s="1"/>
      <c r="AC31" s="1">
        <v>2081166</v>
      </c>
      <c r="AD31" s="1"/>
      <c r="AE31" s="1">
        <v>364092</v>
      </c>
      <c r="AF31" s="1"/>
      <c r="AG31" s="1">
        <v>900067</v>
      </c>
      <c r="AH31" s="1"/>
      <c r="AI31" s="1">
        <f>140080+178720</f>
        <v>318800</v>
      </c>
      <c r="AJ31" s="1"/>
      <c r="AK31" s="17" t="s">
        <v>437</v>
      </c>
      <c r="AL31" s="17"/>
      <c r="AM31" s="17" t="s">
        <v>44</v>
      </c>
      <c r="AN31" s="17"/>
      <c r="AO31" s="1">
        <f>76410+801281+36630</f>
        <v>914321</v>
      </c>
      <c r="AP31" s="1"/>
      <c r="AQ31" s="1">
        <v>1931113</v>
      </c>
      <c r="AR31" s="1"/>
      <c r="AS31" s="1"/>
      <c r="AT31" s="1"/>
      <c r="AU31" s="1">
        <v>0</v>
      </c>
      <c r="AV31" s="1"/>
      <c r="AW31" s="1">
        <f t="shared" si="0"/>
        <v>34226857</v>
      </c>
      <c r="AY31" s="1">
        <f>+'St of Activites - GA Rev'!AI31-'St of Activities - GA Exp'!AW31</f>
        <v>-1054581</v>
      </c>
      <c r="BA31" s="1">
        <v>19972031</v>
      </c>
      <c r="BC31" s="1">
        <f t="shared" si="1"/>
        <v>18917450</v>
      </c>
      <c r="BE31" s="1">
        <f>+'St of Net Assets - GA'!AA31-'St of Activities - GA Exp'!BC31</f>
        <v>0</v>
      </c>
    </row>
    <row r="32" spans="1:57">
      <c r="A32" s="17" t="s">
        <v>310</v>
      </c>
      <c r="B32" s="17"/>
      <c r="C32" s="17" t="s">
        <v>22</v>
      </c>
      <c r="D32" s="17"/>
      <c r="E32" s="13">
        <v>46706</v>
      </c>
      <c r="G32" s="1">
        <v>3864787</v>
      </c>
      <c r="H32" s="1"/>
      <c r="I32" s="1">
        <v>451016</v>
      </c>
      <c r="J32" s="1"/>
      <c r="K32" s="1">
        <v>59725</v>
      </c>
      <c r="L32" s="1"/>
      <c r="M32" s="1">
        <v>464069</v>
      </c>
      <c r="N32" s="1"/>
      <c r="O32" s="1">
        <v>394309</v>
      </c>
      <c r="P32" s="1"/>
      <c r="Q32" s="1">
        <v>356254</v>
      </c>
      <c r="R32" s="1"/>
      <c r="S32" s="1">
        <v>33603</v>
      </c>
      <c r="T32" s="1"/>
      <c r="U32" s="1">
        <v>636091</v>
      </c>
      <c r="V32" s="1"/>
      <c r="W32" s="1">
        <v>296364</v>
      </c>
      <c r="X32" s="1"/>
      <c r="Y32" s="1">
        <v>0</v>
      </c>
      <c r="Z32" s="1"/>
      <c r="AA32" s="1">
        <v>612471</v>
      </c>
      <c r="AB32" s="1"/>
      <c r="AC32" s="1">
        <v>262846</v>
      </c>
      <c r="AD32" s="1"/>
      <c r="AE32" s="1">
        <v>62654</v>
      </c>
      <c r="AF32" s="1"/>
      <c r="AG32" s="1">
        <v>336719</v>
      </c>
      <c r="AH32" s="1"/>
      <c r="AI32" s="1">
        <v>123781</v>
      </c>
      <c r="AJ32" s="1"/>
      <c r="AK32" s="17" t="s">
        <v>310</v>
      </c>
      <c r="AL32" s="17"/>
      <c r="AM32" s="17" t="s">
        <v>22</v>
      </c>
      <c r="AN32" s="17"/>
      <c r="AO32" s="1">
        <v>475007</v>
      </c>
      <c r="AP32" s="1"/>
      <c r="AQ32" s="1">
        <v>6643</v>
      </c>
      <c r="AR32" s="1"/>
      <c r="AS32" s="1"/>
      <c r="AT32" s="1"/>
      <c r="AU32" s="1">
        <v>0</v>
      </c>
      <c r="AV32" s="1"/>
      <c r="AW32" s="1">
        <f t="shared" si="0"/>
        <v>8436339</v>
      </c>
      <c r="AY32" s="1">
        <f>+'St of Activites - GA Rev'!AI32-'St of Activities - GA Exp'!AW32</f>
        <v>164717</v>
      </c>
      <c r="BA32" s="1">
        <v>5078722</v>
      </c>
      <c r="BC32" s="1">
        <f t="shared" si="1"/>
        <v>5243439</v>
      </c>
      <c r="BE32" s="1">
        <f>+'St of Net Assets - GA'!AA32-'St of Activities - GA Exp'!BC32</f>
        <v>0</v>
      </c>
    </row>
    <row r="33" spans="1:57">
      <c r="A33" s="17" t="s">
        <v>587</v>
      </c>
      <c r="B33" s="17"/>
      <c r="C33" s="17" t="s">
        <v>63</v>
      </c>
      <c r="D33" s="17"/>
      <c r="E33" s="13">
        <v>43539</v>
      </c>
      <c r="G33" s="1">
        <v>17952342</v>
      </c>
      <c r="H33" s="1"/>
      <c r="I33" s="1">
        <v>6799979</v>
      </c>
      <c r="J33" s="1"/>
      <c r="K33" s="1">
        <v>1341807</v>
      </c>
      <c r="L33" s="1"/>
      <c r="M33" s="1">
        <v>4546120</v>
      </c>
      <c r="N33" s="1"/>
      <c r="O33" s="1">
        <v>2179881</v>
      </c>
      <c r="P33" s="1"/>
      <c r="Q33" s="1">
        <v>2486644</v>
      </c>
      <c r="R33" s="1"/>
      <c r="S33" s="1">
        <v>30701</v>
      </c>
      <c r="T33" s="1"/>
      <c r="U33" s="1">
        <v>3256598</v>
      </c>
      <c r="V33" s="1"/>
      <c r="W33" s="1">
        <v>685717</v>
      </c>
      <c r="X33" s="1"/>
      <c r="Y33" s="1">
        <v>279734</v>
      </c>
      <c r="Z33" s="1"/>
      <c r="AA33" s="1">
        <v>4193819</v>
      </c>
      <c r="AB33" s="1"/>
      <c r="AC33" s="1">
        <v>1105787</v>
      </c>
      <c r="AD33" s="1"/>
      <c r="AE33" s="1">
        <v>120227</v>
      </c>
      <c r="AF33" s="1"/>
      <c r="AG33" s="1">
        <v>2080132</v>
      </c>
      <c r="AH33" s="1"/>
      <c r="AI33" s="1">
        <v>291000</v>
      </c>
      <c r="AJ33" s="1"/>
      <c r="AK33" s="17" t="s">
        <v>587</v>
      </c>
      <c r="AL33" s="17"/>
      <c r="AM33" s="17" t="s">
        <v>63</v>
      </c>
      <c r="AN33" s="17"/>
      <c r="AO33" s="1">
        <v>1883943</v>
      </c>
      <c r="AP33" s="1"/>
      <c r="AQ33" s="1">
        <v>2775069</v>
      </c>
      <c r="AR33" s="1"/>
      <c r="AS33" s="1"/>
      <c r="AT33" s="1"/>
      <c r="AU33" s="1">
        <v>0</v>
      </c>
      <c r="AV33" s="1"/>
      <c r="AW33" s="1">
        <f t="shared" si="0"/>
        <v>52009500</v>
      </c>
      <c r="AY33" s="1">
        <f>+'St of Activites - GA Rev'!AI33-'St of Activities - GA Exp'!AW33</f>
        <v>-933053</v>
      </c>
      <c r="BA33" s="1">
        <v>84225743</v>
      </c>
      <c r="BC33" s="1">
        <f t="shared" si="1"/>
        <v>83292690</v>
      </c>
      <c r="BE33" s="1">
        <f>+'St of Net Assets - GA'!AA33-'St of Activities - GA Exp'!BC33</f>
        <v>0</v>
      </c>
    </row>
    <row r="34" spans="1:57">
      <c r="A34" s="17" t="s">
        <v>719</v>
      </c>
      <c r="B34" s="17"/>
      <c r="C34" s="17" t="s">
        <v>15</v>
      </c>
      <c r="D34" s="17"/>
      <c r="E34" s="13"/>
      <c r="G34" s="1">
        <v>5112331</v>
      </c>
      <c r="H34" s="1"/>
      <c r="I34" s="1">
        <v>1028228</v>
      </c>
      <c r="J34" s="1"/>
      <c r="K34" s="1">
        <v>113945</v>
      </c>
      <c r="L34" s="1"/>
      <c r="M34" s="1">
        <v>207868</v>
      </c>
      <c r="N34" s="1"/>
      <c r="O34" s="1">
        <v>566539</v>
      </c>
      <c r="P34" s="1"/>
      <c r="Q34" s="1">
        <v>268328</v>
      </c>
      <c r="R34" s="1"/>
      <c r="S34" s="1">
        <v>168099</v>
      </c>
      <c r="T34" s="1"/>
      <c r="U34" s="1">
        <v>970573</v>
      </c>
      <c r="V34" s="1"/>
      <c r="W34" s="1">
        <v>413277</v>
      </c>
      <c r="X34" s="1"/>
      <c r="Y34" s="1">
        <v>32963</v>
      </c>
      <c r="Z34" s="1"/>
      <c r="AA34" s="1">
        <v>1275773</v>
      </c>
      <c r="AB34" s="1"/>
      <c r="AC34" s="1">
        <v>535641</v>
      </c>
      <c r="AD34" s="1"/>
      <c r="AE34" s="1">
        <v>133058</v>
      </c>
      <c r="AF34" s="1"/>
      <c r="AG34" s="1">
        <v>432595</v>
      </c>
      <c r="AH34" s="1"/>
      <c r="AI34" s="1">
        <v>44715</v>
      </c>
      <c r="AJ34" s="1"/>
      <c r="AK34" s="17" t="s">
        <v>719</v>
      </c>
      <c r="AL34" s="17"/>
      <c r="AM34" s="17" t="s">
        <v>15</v>
      </c>
      <c r="AN34" s="17"/>
      <c r="AO34" s="1">
        <v>216623</v>
      </c>
      <c r="AP34" s="1"/>
      <c r="AQ34" s="1">
        <v>144701</v>
      </c>
      <c r="AR34" s="1"/>
      <c r="AS34" s="1"/>
      <c r="AT34" s="1"/>
      <c r="AU34" s="1">
        <v>0</v>
      </c>
      <c r="AV34" s="1"/>
      <c r="AW34" s="1">
        <f t="shared" si="0"/>
        <v>11665257</v>
      </c>
      <c r="AY34" s="1">
        <f>+'St of Activites - GA Rev'!AI34-'St of Activities - GA Exp'!AW34</f>
        <v>-180968</v>
      </c>
      <c r="BA34" s="1">
        <v>15818052</v>
      </c>
      <c r="BC34" s="1">
        <f t="shared" si="1"/>
        <v>15637084</v>
      </c>
      <c r="BE34" s="1">
        <f>+'St of Net Assets - GA'!AA34-'St of Activities - GA Exp'!BC34</f>
        <v>0</v>
      </c>
    </row>
    <row r="35" spans="1:57">
      <c r="A35" s="17" t="s">
        <v>251</v>
      </c>
      <c r="B35" s="17"/>
      <c r="C35" s="17" t="s">
        <v>115</v>
      </c>
      <c r="D35" s="17"/>
      <c r="E35" s="13">
        <v>46300</v>
      </c>
      <c r="G35" s="1">
        <v>8843722</v>
      </c>
      <c r="H35" s="1"/>
      <c r="I35" s="1">
        <v>4191978</v>
      </c>
      <c r="J35" s="1"/>
      <c r="K35" s="1">
        <v>0</v>
      </c>
      <c r="L35" s="1"/>
      <c r="M35" s="1">
        <v>158460</v>
      </c>
      <c r="N35" s="1"/>
      <c r="O35" s="1">
        <v>545125</v>
      </c>
      <c r="P35" s="1"/>
      <c r="Q35" s="1">
        <v>493195</v>
      </c>
      <c r="R35" s="1"/>
      <c r="S35" s="1">
        <v>125415</v>
      </c>
      <c r="T35" s="1"/>
      <c r="U35" s="1">
        <v>1304848</v>
      </c>
      <c r="V35" s="1"/>
      <c r="W35" s="1">
        <v>453088</v>
      </c>
      <c r="X35" s="1"/>
      <c r="Y35" s="1">
        <v>0</v>
      </c>
      <c r="Z35" s="1"/>
      <c r="AA35" s="1">
        <v>1493985</v>
      </c>
      <c r="AB35" s="1"/>
      <c r="AC35" s="1">
        <v>1348320</v>
      </c>
      <c r="AD35" s="1"/>
      <c r="AE35" s="1">
        <v>3917</v>
      </c>
      <c r="AF35" s="1"/>
      <c r="AG35" s="1">
        <v>821171</v>
      </c>
      <c r="AH35" s="1"/>
      <c r="AI35" s="1">
        <v>131583</v>
      </c>
      <c r="AJ35" s="1"/>
      <c r="AK35" s="17" t="s">
        <v>251</v>
      </c>
      <c r="AL35" s="17"/>
      <c r="AM35" s="17" t="s">
        <v>115</v>
      </c>
      <c r="AN35" s="17"/>
      <c r="AO35" s="1">
        <v>529020</v>
      </c>
      <c r="AP35" s="1"/>
      <c r="AQ35" s="1">
        <v>456379</v>
      </c>
      <c r="AR35" s="1"/>
      <c r="AS35" s="1"/>
      <c r="AT35" s="1"/>
      <c r="AU35" s="1">
        <v>0</v>
      </c>
      <c r="AV35" s="1"/>
      <c r="AW35" s="1">
        <f t="shared" si="0"/>
        <v>20900206</v>
      </c>
      <c r="AY35" s="1">
        <f>+'St of Activites - GA Rev'!AI35-'St of Activities - GA Exp'!AW35</f>
        <v>-108488</v>
      </c>
      <c r="BA35" s="1">
        <v>4948550</v>
      </c>
      <c r="BC35" s="1">
        <f t="shared" si="1"/>
        <v>4840062</v>
      </c>
      <c r="BE35" s="1">
        <f>+'St of Net Assets - GA'!AA35-'St of Activities - GA Exp'!BC35</f>
        <v>0</v>
      </c>
    </row>
    <row r="36" spans="1:57" ht="12" hidden="1" customHeight="1">
      <c r="A36" s="12" t="s">
        <v>824</v>
      </c>
      <c r="B36" s="17"/>
      <c r="C36" s="17" t="s">
        <v>10</v>
      </c>
      <c r="D36" s="17"/>
      <c r="E36" s="13">
        <v>45765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2" t="s">
        <v>824</v>
      </c>
      <c r="AL36" s="17"/>
      <c r="AM36" s="17" t="s">
        <v>10</v>
      </c>
      <c r="AN36" s="17"/>
      <c r="AO36" s="1"/>
      <c r="AP36" s="1"/>
      <c r="AQ36" s="1"/>
      <c r="AR36" s="1"/>
      <c r="AS36" s="1"/>
      <c r="AT36" s="1"/>
      <c r="AU36" s="1"/>
      <c r="AV36" s="1"/>
      <c r="AW36" s="1">
        <f t="shared" si="0"/>
        <v>0</v>
      </c>
      <c r="AY36" s="1">
        <f>+'St of Activites - GA Rev'!AI36-'St of Activities - GA Exp'!AW36</f>
        <v>0</v>
      </c>
      <c r="BC36" s="1">
        <f t="shared" si="1"/>
        <v>0</v>
      </c>
      <c r="BE36" s="1">
        <f>+'St of Net Assets - GA'!AA36-'St of Activities - GA Exp'!BC36</f>
        <v>0</v>
      </c>
    </row>
    <row r="37" spans="1:57" ht="12" customHeight="1">
      <c r="A37" s="17" t="s">
        <v>280</v>
      </c>
      <c r="B37" s="17"/>
      <c r="C37" s="17" t="s">
        <v>20</v>
      </c>
      <c r="D37" s="17"/>
      <c r="E37" s="13">
        <v>43547</v>
      </c>
      <c r="G37" s="1">
        <v>12635035</v>
      </c>
      <c r="H37" s="1"/>
      <c r="I37" s="1">
        <v>2257976</v>
      </c>
      <c r="J37" s="1"/>
      <c r="K37" s="1">
        <v>316458</v>
      </c>
      <c r="L37" s="1"/>
      <c r="M37" s="1">
        <v>834016</v>
      </c>
      <c r="N37" s="1"/>
      <c r="O37" s="1">
        <v>3034795</v>
      </c>
      <c r="P37" s="1"/>
      <c r="Q37" s="1">
        <v>992963</v>
      </c>
      <c r="R37" s="1"/>
      <c r="S37" s="1">
        <v>27094</v>
      </c>
      <c r="T37" s="1"/>
      <c r="U37" s="1">
        <v>2165929</v>
      </c>
      <c r="V37" s="1"/>
      <c r="W37" s="1">
        <v>641812</v>
      </c>
      <c r="X37" s="1"/>
      <c r="Y37" s="1">
        <v>241686</v>
      </c>
      <c r="Z37" s="1"/>
      <c r="AA37" s="1">
        <v>3015743</v>
      </c>
      <c r="AB37" s="1"/>
      <c r="AC37" s="1">
        <v>988049</v>
      </c>
      <c r="AD37" s="1"/>
      <c r="AE37" s="1">
        <v>407599</v>
      </c>
      <c r="AF37" s="1"/>
      <c r="AG37" s="1">
        <v>845074</v>
      </c>
      <c r="AH37" s="1"/>
      <c r="AI37" s="1">
        <f>716580+831679</f>
        <v>1548259</v>
      </c>
      <c r="AJ37" s="1"/>
      <c r="AK37" s="17" t="s">
        <v>280</v>
      </c>
      <c r="AL37" s="17"/>
      <c r="AM37" s="17" t="s">
        <v>20</v>
      </c>
      <c r="AN37" s="17"/>
      <c r="AO37" s="1">
        <f>99207+935820+202653</f>
        <v>1237680</v>
      </c>
      <c r="AP37" s="1"/>
      <c r="AQ37" s="1">
        <v>1044736</v>
      </c>
      <c r="AR37" s="1"/>
      <c r="AS37" s="1"/>
      <c r="AT37" s="1"/>
      <c r="AU37" s="1">
        <v>0</v>
      </c>
      <c r="AV37" s="1"/>
      <c r="AW37" s="1">
        <f t="shared" si="0"/>
        <v>32234904</v>
      </c>
      <c r="AY37" s="1">
        <f>+'St of Activites - GA Rev'!AI37-'St of Activities - GA Exp'!AW37</f>
        <v>37589</v>
      </c>
      <c r="BA37" s="1">
        <v>17402085</v>
      </c>
      <c r="BC37" s="1">
        <f t="shared" si="1"/>
        <v>17439674</v>
      </c>
      <c r="BE37" s="1">
        <f>+'St of Net Assets - GA'!AA37-'St of Activities - GA Exp'!BC37</f>
        <v>0</v>
      </c>
    </row>
    <row r="38" spans="1:57">
      <c r="A38" s="17" t="s">
        <v>281</v>
      </c>
      <c r="B38" s="17"/>
      <c r="C38" s="17" t="s">
        <v>20</v>
      </c>
      <c r="D38" s="17"/>
      <c r="E38" s="13">
        <v>43554</v>
      </c>
      <c r="G38" s="1">
        <v>11732566</v>
      </c>
      <c r="H38" s="1"/>
      <c r="I38" s="1">
        <v>5787279</v>
      </c>
      <c r="J38" s="1"/>
      <c r="K38" s="1">
        <v>1489827</v>
      </c>
      <c r="L38" s="1"/>
      <c r="M38" s="1">
        <f>229767+225758</f>
        <v>455525</v>
      </c>
      <c r="N38" s="1"/>
      <c r="O38" s="1">
        <v>2599282</v>
      </c>
      <c r="P38" s="1"/>
      <c r="Q38" s="1">
        <v>1115463</v>
      </c>
      <c r="R38" s="1"/>
      <c r="S38" s="1">
        <v>522649</v>
      </c>
      <c r="T38" s="1"/>
      <c r="U38" s="1">
        <v>2337526</v>
      </c>
      <c r="V38" s="1"/>
      <c r="W38" s="1">
        <v>1136671</v>
      </c>
      <c r="X38" s="1"/>
      <c r="Y38" s="1">
        <v>493005</v>
      </c>
      <c r="Z38" s="1"/>
      <c r="AA38" s="1">
        <v>3340931</v>
      </c>
      <c r="AB38" s="1"/>
      <c r="AC38" s="1">
        <v>2100921</v>
      </c>
      <c r="AD38" s="1"/>
      <c r="AE38" s="1">
        <v>756795</v>
      </c>
      <c r="AF38" s="1"/>
      <c r="AG38" s="1">
        <v>1526872</v>
      </c>
      <c r="AH38" s="1"/>
      <c r="AI38" s="1">
        <v>0</v>
      </c>
      <c r="AJ38" s="1"/>
      <c r="AK38" s="17" t="s">
        <v>281</v>
      </c>
      <c r="AL38" s="17"/>
      <c r="AM38" s="17" t="s">
        <v>20</v>
      </c>
      <c r="AN38" s="17"/>
      <c r="AO38" s="1">
        <v>982846</v>
      </c>
      <c r="AP38" s="1"/>
      <c r="AQ38" s="1">
        <v>481661</v>
      </c>
      <c r="AR38" s="1"/>
      <c r="AS38" s="1"/>
      <c r="AT38" s="1"/>
      <c r="AU38" s="1">
        <v>0</v>
      </c>
      <c r="AV38" s="1"/>
      <c r="AW38" s="1">
        <f t="shared" si="0"/>
        <v>36859819</v>
      </c>
      <c r="AY38" s="1">
        <f>+'St of Activites - GA Rev'!AI38-'St of Activities - GA Exp'!AW38</f>
        <v>289743</v>
      </c>
      <c r="BA38" s="1">
        <v>34886406</v>
      </c>
      <c r="BC38" s="1">
        <f t="shared" si="1"/>
        <v>35176149</v>
      </c>
      <c r="BE38" s="1">
        <f>+'St of Net Assets - GA'!AA38-'St of Activities - GA Exp'!BC38</f>
        <v>0</v>
      </c>
    </row>
    <row r="39" spans="1:57">
      <c r="A39" s="17" t="s">
        <v>263</v>
      </c>
      <c r="B39" s="17"/>
      <c r="C39" s="17" t="s">
        <v>114</v>
      </c>
      <c r="D39" s="17"/>
      <c r="E39" s="13">
        <v>46425</v>
      </c>
      <c r="G39" s="1">
        <v>10599113</v>
      </c>
      <c r="H39" s="1"/>
      <c r="I39" s="1">
        <v>2625113</v>
      </c>
      <c r="J39" s="1"/>
      <c r="K39" s="1">
        <v>19560</v>
      </c>
      <c r="L39" s="1"/>
      <c r="M39" s="1">
        <f>12+8506</f>
        <v>8518</v>
      </c>
      <c r="N39" s="1"/>
      <c r="O39" s="1">
        <v>586713</v>
      </c>
      <c r="P39" s="1"/>
      <c r="Q39" s="1">
        <v>337104</v>
      </c>
      <c r="R39" s="1"/>
      <c r="S39" s="1">
        <v>30707</v>
      </c>
      <c r="T39" s="1"/>
      <c r="U39" s="1">
        <v>1803521</v>
      </c>
      <c r="V39" s="1"/>
      <c r="W39" s="1">
        <v>434485</v>
      </c>
      <c r="X39" s="1"/>
      <c r="Y39" s="1">
        <v>0</v>
      </c>
      <c r="Z39" s="1"/>
      <c r="AA39" s="1">
        <v>1549688</v>
      </c>
      <c r="AB39" s="1"/>
      <c r="AC39" s="1">
        <v>1321840</v>
      </c>
      <c r="AD39" s="1"/>
      <c r="AE39" s="1">
        <v>0</v>
      </c>
      <c r="AF39" s="1"/>
      <c r="AG39" s="1">
        <v>876772</v>
      </c>
      <c r="AH39" s="1"/>
      <c r="AI39" s="1">
        <v>0</v>
      </c>
      <c r="AJ39" s="1"/>
      <c r="AK39" s="17" t="s">
        <v>263</v>
      </c>
      <c r="AL39" s="17"/>
      <c r="AM39" s="17" t="s">
        <v>114</v>
      </c>
      <c r="AN39" s="17"/>
      <c r="AO39" s="1">
        <v>538928</v>
      </c>
      <c r="AP39" s="1"/>
      <c r="AQ39" s="1">
        <v>40239</v>
      </c>
      <c r="AR39" s="1"/>
      <c r="AS39" s="1"/>
      <c r="AT39" s="1"/>
      <c r="AU39" s="1">
        <v>87188</v>
      </c>
      <c r="AV39" s="1"/>
      <c r="AW39" s="1">
        <f t="shared" si="0"/>
        <v>20859489</v>
      </c>
      <c r="AY39" s="1">
        <f>+'St of Activites - GA Rev'!AI39-'St of Activities - GA Exp'!AW39</f>
        <v>397500</v>
      </c>
      <c r="BA39" s="1">
        <v>1198016</v>
      </c>
      <c r="BC39" s="1">
        <f t="shared" si="1"/>
        <v>1595516</v>
      </c>
      <c r="BE39" s="1">
        <f>+'St of Net Assets - GA'!AA39-'St of Activities - GA Exp'!BC39</f>
        <v>0</v>
      </c>
    </row>
    <row r="40" spans="1:57">
      <c r="A40" s="17" t="s">
        <v>357</v>
      </c>
      <c r="B40" s="17"/>
      <c r="C40" s="17" t="s">
        <v>116</v>
      </c>
      <c r="D40" s="17"/>
      <c r="E40" s="13">
        <v>47241</v>
      </c>
      <c r="G40" s="1">
        <v>33285946</v>
      </c>
      <c r="H40" s="1"/>
      <c r="I40" s="1">
        <v>9743911</v>
      </c>
      <c r="J40" s="1"/>
      <c r="K40" s="1">
        <v>337915</v>
      </c>
      <c r="L40" s="1"/>
      <c r="M40" s="1">
        <f>876536+973627</f>
        <v>1850163</v>
      </c>
      <c r="N40" s="1"/>
      <c r="O40" s="1">
        <v>4730140</v>
      </c>
      <c r="P40" s="1"/>
      <c r="Q40" s="1">
        <v>5940406</v>
      </c>
      <c r="R40" s="1"/>
      <c r="S40" s="1">
        <v>51360</v>
      </c>
      <c r="T40" s="1"/>
      <c r="U40" s="1">
        <v>4443579</v>
      </c>
      <c r="V40" s="1"/>
      <c r="W40" s="1">
        <v>1921817</v>
      </c>
      <c r="X40" s="1"/>
      <c r="Y40" s="1">
        <v>526555</v>
      </c>
      <c r="Z40" s="1"/>
      <c r="AA40" s="1">
        <v>7387419</v>
      </c>
      <c r="AB40" s="1"/>
      <c r="AC40" s="1">
        <v>5861323</v>
      </c>
      <c r="AD40" s="1"/>
      <c r="AE40" s="1">
        <v>2694712</v>
      </c>
      <c r="AF40" s="1"/>
      <c r="AG40" s="1">
        <v>3788730</v>
      </c>
      <c r="AH40" s="1"/>
      <c r="AI40" s="1">
        <v>0</v>
      </c>
      <c r="AJ40" s="1"/>
      <c r="AK40" s="17" t="s">
        <v>357</v>
      </c>
      <c r="AL40" s="17"/>
      <c r="AM40" s="17" t="s">
        <v>116</v>
      </c>
      <c r="AN40" s="17"/>
      <c r="AO40" s="1">
        <v>1627322</v>
      </c>
      <c r="AP40" s="1"/>
      <c r="AQ40" s="1">
        <v>6140935</v>
      </c>
      <c r="AR40" s="1"/>
      <c r="AS40" s="1"/>
      <c r="AT40" s="1"/>
      <c r="AU40" s="1">
        <v>0</v>
      </c>
      <c r="AV40" s="1"/>
      <c r="AW40" s="1">
        <f t="shared" si="0"/>
        <v>90332233</v>
      </c>
      <c r="AY40" s="1">
        <f>+'St of Activites - GA Rev'!AI40-'St of Activities - GA Exp'!AW40</f>
        <v>1254992</v>
      </c>
      <c r="BA40" s="1">
        <v>30551556</v>
      </c>
      <c r="BC40" s="1">
        <f t="shared" si="1"/>
        <v>31806548</v>
      </c>
      <c r="BE40" s="1">
        <f>+'St of Net Assets - GA'!AA40-'St of Activities - GA Exp'!BC40</f>
        <v>0</v>
      </c>
    </row>
    <row r="41" spans="1:57">
      <c r="A41" s="17" t="s">
        <v>282</v>
      </c>
      <c r="B41" s="17"/>
      <c r="C41" s="17" t="s">
        <v>20</v>
      </c>
      <c r="D41" s="17"/>
      <c r="E41" s="13">
        <v>43562</v>
      </c>
      <c r="G41" s="1">
        <v>19377261</v>
      </c>
      <c r="H41" s="1"/>
      <c r="I41" s="1">
        <v>6056638</v>
      </c>
      <c r="J41" s="1"/>
      <c r="K41" s="1">
        <v>1274034</v>
      </c>
      <c r="L41" s="1"/>
      <c r="M41" s="1">
        <v>94775</v>
      </c>
      <c r="N41" s="1"/>
      <c r="O41" s="1">
        <v>3015745</v>
      </c>
      <c r="P41" s="1"/>
      <c r="Q41" s="1">
        <v>2544377</v>
      </c>
      <c r="R41" s="1"/>
      <c r="S41" s="1">
        <v>243585</v>
      </c>
      <c r="T41" s="1"/>
      <c r="U41" s="1">
        <v>2809020</v>
      </c>
      <c r="V41" s="1"/>
      <c r="W41" s="1">
        <v>1381083</v>
      </c>
      <c r="X41" s="1"/>
      <c r="Y41" s="1">
        <v>667683</v>
      </c>
      <c r="Z41" s="1"/>
      <c r="AA41" s="1">
        <v>7070172</v>
      </c>
      <c r="AB41" s="1"/>
      <c r="AC41" s="1">
        <v>3578892</v>
      </c>
      <c r="AD41" s="1"/>
      <c r="AE41" s="1">
        <v>321466</v>
      </c>
      <c r="AF41" s="1"/>
      <c r="AG41" s="1">
        <v>1697599</v>
      </c>
      <c r="AH41" s="1"/>
      <c r="AI41" s="1">
        <v>340054</v>
      </c>
      <c r="AJ41" s="1"/>
      <c r="AK41" s="17" t="s">
        <v>282</v>
      </c>
      <c r="AL41" s="17"/>
      <c r="AM41" s="17" t="s">
        <v>20</v>
      </c>
      <c r="AN41" s="17"/>
      <c r="AO41" s="1">
        <v>804712</v>
      </c>
      <c r="AP41" s="1"/>
      <c r="AQ41" s="1">
        <v>437058</v>
      </c>
      <c r="AR41" s="1"/>
      <c r="AS41" s="1"/>
      <c r="AT41" s="1"/>
      <c r="AU41" s="1">
        <v>0</v>
      </c>
      <c r="AV41" s="1"/>
      <c r="AW41" s="1">
        <f t="shared" si="0"/>
        <v>51714154</v>
      </c>
      <c r="AY41" s="1">
        <f>+'St of Activites - GA Rev'!AI41-'St of Activities - GA Exp'!AW41</f>
        <v>1027605</v>
      </c>
      <c r="BA41" s="1">
        <v>31880538</v>
      </c>
      <c r="BC41" s="1">
        <f t="shared" si="1"/>
        <v>32908143</v>
      </c>
      <c r="BE41" s="1">
        <f>+'St of Net Assets - GA'!AA41-'St of Activities - GA Exp'!BC41</f>
        <v>0</v>
      </c>
    </row>
    <row r="42" spans="1:57">
      <c r="A42" s="17" t="s">
        <v>219</v>
      </c>
      <c r="B42" s="17"/>
      <c r="C42" s="17" t="s">
        <v>15</v>
      </c>
      <c r="D42" s="17"/>
      <c r="E42" s="13">
        <v>43570</v>
      </c>
      <c r="G42" s="1">
        <v>8844652</v>
      </c>
      <c r="H42" s="1"/>
      <c r="I42" s="1">
        <v>2138668</v>
      </c>
      <c r="J42" s="1"/>
      <c r="K42" s="1">
        <v>22374</v>
      </c>
      <c r="L42" s="1"/>
      <c r="M42" s="1">
        <v>22876</v>
      </c>
      <c r="N42" s="1"/>
      <c r="O42" s="1">
        <v>1396747</v>
      </c>
      <c r="P42" s="1"/>
      <c r="Q42" s="1">
        <v>131279</v>
      </c>
      <c r="R42" s="1"/>
      <c r="S42" s="1">
        <v>27277</v>
      </c>
      <c r="T42" s="1"/>
      <c r="U42" s="1">
        <v>1380280</v>
      </c>
      <c r="V42" s="1"/>
      <c r="W42" s="1">
        <v>399091</v>
      </c>
      <c r="X42" s="1"/>
      <c r="Y42" s="1">
        <v>0</v>
      </c>
      <c r="Z42" s="1"/>
      <c r="AA42" s="1">
        <v>1639545</v>
      </c>
      <c r="AB42" s="1"/>
      <c r="AC42" s="1">
        <v>1050860</v>
      </c>
      <c r="AD42" s="1"/>
      <c r="AE42" s="1">
        <v>980</v>
      </c>
      <c r="AF42" s="1"/>
      <c r="AG42" s="1">
        <v>842901</v>
      </c>
      <c r="AH42" s="1"/>
      <c r="AI42" s="1">
        <v>232686</v>
      </c>
      <c r="AJ42" s="1"/>
      <c r="AK42" s="17" t="s">
        <v>219</v>
      </c>
      <c r="AL42" s="17"/>
      <c r="AM42" s="17" t="s">
        <v>15</v>
      </c>
      <c r="AN42" s="17"/>
      <c r="AO42" s="1">
        <v>299115</v>
      </c>
      <c r="AP42" s="1"/>
      <c r="AQ42" s="1">
        <v>290622</v>
      </c>
      <c r="AR42" s="1"/>
      <c r="AS42" s="1"/>
      <c r="AT42" s="1"/>
      <c r="AU42" s="1">
        <v>0</v>
      </c>
      <c r="AV42" s="1"/>
      <c r="AW42" s="1">
        <f t="shared" si="0"/>
        <v>18719953</v>
      </c>
      <c r="AY42" s="1">
        <f>+'St of Activites - GA Rev'!AI42-'St of Activities - GA Exp'!AW42</f>
        <v>-2524258</v>
      </c>
      <c r="BA42" s="1">
        <v>16646856</v>
      </c>
      <c r="BC42" s="1">
        <f t="shared" si="1"/>
        <v>14122598</v>
      </c>
      <c r="BE42" s="1">
        <f>+'St of Net Assets - GA'!AA42-'St of Activities - GA Exp'!BC42</f>
        <v>0</v>
      </c>
    </row>
    <row r="43" spans="1:57">
      <c r="A43" s="17" t="s">
        <v>951</v>
      </c>
      <c r="B43" s="17"/>
      <c r="C43" s="17" t="s">
        <v>116</v>
      </c>
      <c r="D43" s="17"/>
      <c r="E43" s="13">
        <v>47274</v>
      </c>
      <c r="G43" s="1">
        <v>10735776</v>
      </c>
      <c r="H43" s="1"/>
      <c r="I43" s="1">
        <v>1840755</v>
      </c>
      <c r="J43" s="1"/>
      <c r="K43" s="1">
        <v>6203</v>
      </c>
      <c r="L43" s="1"/>
      <c r="M43" s="1">
        <v>0</v>
      </c>
      <c r="N43" s="1"/>
      <c r="O43" s="1">
        <v>2337572</v>
      </c>
      <c r="P43" s="1"/>
      <c r="Q43" s="1">
        <v>1086129</v>
      </c>
      <c r="R43" s="1"/>
      <c r="S43" s="1">
        <v>71446</v>
      </c>
      <c r="T43" s="1"/>
      <c r="U43" s="1">
        <v>1765772</v>
      </c>
      <c r="V43" s="1"/>
      <c r="W43" s="1">
        <v>929919</v>
      </c>
      <c r="X43" s="1"/>
      <c r="Y43" s="1">
        <v>198549</v>
      </c>
      <c r="Z43" s="1"/>
      <c r="AA43" s="1">
        <v>2394367</v>
      </c>
      <c r="AB43" s="1"/>
      <c r="AC43" s="1">
        <v>1360191</v>
      </c>
      <c r="AD43" s="1"/>
      <c r="AE43" s="1">
        <v>48190</v>
      </c>
      <c r="AF43" s="1"/>
      <c r="AG43" s="1">
        <v>0</v>
      </c>
      <c r="AH43" s="1"/>
      <c r="AI43" s="1">
        <v>710268</v>
      </c>
      <c r="AJ43" s="1"/>
      <c r="AK43" s="17" t="s">
        <v>951</v>
      </c>
      <c r="AL43" s="17"/>
      <c r="AM43" s="17" t="s">
        <v>116</v>
      </c>
      <c r="AN43" s="17"/>
      <c r="AO43" s="1">
        <v>1243134</v>
      </c>
      <c r="AP43" s="1"/>
      <c r="AQ43" s="1">
        <v>2147827</v>
      </c>
      <c r="AR43" s="1"/>
      <c r="AS43" s="1"/>
      <c r="AT43" s="1"/>
      <c r="AU43" s="1">
        <v>1806254</v>
      </c>
      <c r="AV43" s="1"/>
      <c r="AW43" s="1">
        <f t="shared" si="0"/>
        <v>28682352</v>
      </c>
      <c r="AY43" s="1">
        <f>+'St of Activites - GA Rev'!AI43-'St of Activities - GA Exp'!AW43</f>
        <v>1585474</v>
      </c>
      <c r="BA43" s="1">
        <v>4860448</v>
      </c>
      <c r="BC43" s="1">
        <f t="shared" si="1"/>
        <v>6445922</v>
      </c>
      <c r="BE43" s="1">
        <f>+'St of Net Assets - GA'!AA43-'St of Activities - GA Exp'!BC43</f>
        <v>0</v>
      </c>
    </row>
    <row r="44" spans="1:57">
      <c r="A44" s="17" t="s">
        <v>403</v>
      </c>
      <c r="B44" s="17"/>
      <c r="C44" s="17" t="s">
        <v>37</v>
      </c>
      <c r="D44" s="17"/>
      <c r="E44" s="13">
        <v>43596</v>
      </c>
      <c r="G44" s="1">
        <v>7695342</v>
      </c>
      <c r="H44" s="1"/>
      <c r="I44" s="1">
        <v>3030444</v>
      </c>
      <c r="J44" s="1"/>
      <c r="K44" s="1">
        <v>402596</v>
      </c>
      <c r="L44" s="1"/>
      <c r="M44" s="1">
        <f>5308+979914</f>
        <v>985222</v>
      </c>
      <c r="N44" s="1"/>
      <c r="O44" s="1">
        <v>1338750</v>
      </c>
      <c r="P44" s="1"/>
      <c r="Q44" s="1">
        <v>877519</v>
      </c>
      <c r="R44" s="1"/>
      <c r="S44" s="1">
        <v>20924</v>
      </c>
      <c r="T44" s="1"/>
      <c r="U44" s="1">
        <v>1823552</v>
      </c>
      <c r="V44" s="1"/>
      <c r="W44" s="1">
        <v>505727</v>
      </c>
      <c r="X44" s="1"/>
      <c r="Y44" s="1">
        <v>12618</v>
      </c>
      <c r="Z44" s="1"/>
      <c r="AA44" s="1">
        <v>1871032</v>
      </c>
      <c r="AB44" s="1"/>
      <c r="AC44" s="1">
        <v>1296022</v>
      </c>
      <c r="AD44" s="1"/>
      <c r="AE44" s="1">
        <v>70994</v>
      </c>
      <c r="AF44" s="1"/>
      <c r="AG44" s="1">
        <v>798773</v>
      </c>
      <c r="AH44" s="1"/>
      <c r="AI44" s="1">
        <v>88971</v>
      </c>
      <c r="AJ44" s="1"/>
      <c r="AK44" s="17" t="s">
        <v>403</v>
      </c>
      <c r="AL44" s="17"/>
      <c r="AM44" s="17" t="s">
        <v>37</v>
      </c>
      <c r="AN44" s="17"/>
      <c r="AO44" s="1">
        <v>658592</v>
      </c>
      <c r="AP44" s="1"/>
      <c r="AQ44" s="1">
        <v>349947</v>
      </c>
      <c r="AR44" s="1"/>
      <c r="AS44" s="1"/>
      <c r="AT44" s="1"/>
      <c r="AU44" s="1">
        <v>0</v>
      </c>
      <c r="AV44" s="1"/>
      <c r="AW44" s="1">
        <f t="shared" si="0"/>
        <v>21827025</v>
      </c>
      <c r="AY44" s="1">
        <f>+'St of Activites - GA Rev'!AI44-'St of Activities - GA Exp'!AW44</f>
        <v>18644995</v>
      </c>
      <c r="BA44" s="1">
        <v>6633740</v>
      </c>
      <c r="BC44" s="1">
        <f t="shared" si="1"/>
        <v>25278735</v>
      </c>
      <c r="BE44" s="1">
        <f>+'St of Net Assets - GA'!AA44-'St of Activities - GA Exp'!BC44</f>
        <v>0</v>
      </c>
    </row>
    <row r="45" spans="1:57">
      <c r="A45" s="17" t="s">
        <v>636</v>
      </c>
      <c r="B45" s="17"/>
      <c r="C45" s="17" t="s">
        <v>70</v>
      </c>
      <c r="D45" s="17"/>
      <c r="E45" s="13">
        <v>43604</v>
      </c>
      <c r="G45" s="1">
        <v>4670228</v>
      </c>
      <c r="H45" s="1"/>
      <c r="I45" s="1">
        <v>1621466</v>
      </c>
      <c r="J45" s="1"/>
      <c r="K45" s="1">
        <v>1298</v>
      </c>
      <c r="L45" s="1"/>
      <c r="M45" s="1">
        <v>34505</v>
      </c>
      <c r="N45" s="1"/>
      <c r="O45" s="1">
        <v>1001996</v>
      </c>
      <c r="P45" s="1"/>
      <c r="Q45" s="1">
        <v>545671</v>
      </c>
      <c r="R45" s="1"/>
      <c r="S45" s="1">
        <v>57876</v>
      </c>
      <c r="T45" s="1"/>
      <c r="U45" s="1">
        <v>917949</v>
      </c>
      <c r="V45" s="1"/>
      <c r="W45" s="1">
        <v>387138</v>
      </c>
      <c r="X45" s="1"/>
      <c r="Y45" s="1">
        <v>790</v>
      </c>
      <c r="Z45" s="1"/>
      <c r="AA45" s="1">
        <v>1114347</v>
      </c>
      <c r="AB45" s="1"/>
      <c r="AC45" s="1">
        <v>403193</v>
      </c>
      <c r="AD45" s="1"/>
      <c r="AE45" s="1">
        <v>5013</v>
      </c>
      <c r="AF45" s="1"/>
      <c r="AG45" s="1">
        <v>442310</v>
      </c>
      <c r="AH45" s="1"/>
      <c r="AI45" s="1">
        <v>6185</v>
      </c>
      <c r="AJ45" s="1"/>
      <c r="AK45" s="17" t="s">
        <v>636</v>
      </c>
      <c r="AL45" s="17"/>
      <c r="AM45" s="17" t="s">
        <v>70</v>
      </c>
      <c r="AN45" s="17"/>
      <c r="AO45" s="1">
        <v>309355</v>
      </c>
      <c r="AP45" s="1"/>
      <c r="AQ45" s="1">
        <v>2733</v>
      </c>
      <c r="AR45" s="1"/>
      <c r="AS45" s="1"/>
      <c r="AT45" s="1"/>
      <c r="AU45" s="1">
        <v>0</v>
      </c>
      <c r="AV45" s="1"/>
      <c r="AW45" s="1">
        <f t="shared" si="0"/>
        <v>11522053</v>
      </c>
      <c r="AY45" s="1">
        <f>+'St of Activites - GA Rev'!AI45-'St of Activities - GA Exp'!AW45</f>
        <v>296176</v>
      </c>
      <c r="BA45" s="1">
        <v>5882707</v>
      </c>
      <c r="BC45" s="1">
        <f t="shared" si="1"/>
        <v>6178883</v>
      </c>
      <c r="BE45" s="1">
        <f>+'St of Net Assets - GA'!AA45-'St of Activities - GA Exp'!BC45</f>
        <v>0</v>
      </c>
    </row>
    <row r="46" spans="1:57">
      <c r="A46" s="17" t="s">
        <v>519</v>
      </c>
      <c r="B46" s="17"/>
      <c r="C46" s="17" t="s">
        <v>53</v>
      </c>
      <c r="D46" s="17"/>
      <c r="E46" s="13">
        <v>48926</v>
      </c>
      <c r="G46" s="1">
        <v>9644150</v>
      </c>
      <c r="H46" s="1"/>
      <c r="I46" s="1">
        <v>2001627</v>
      </c>
      <c r="J46" s="1"/>
      <c r="K46" s="1">
        <v>23091</v>
      </c>
      <c r="L46" s="1"/>
      <c r="M46" s="1">
        <f>14607+194628</f>
        <v>209235</v>
      </c>
      <c r="N46" s="1"/>
      <c r="O46" s="1">
        <v>984049</v>
      </c>
      <c r="P46" s="1"/>
      <c r="Q46" s="1">
        <v>1301320</v>
      </c>
      <c r="R46" s="1"/>
      <c r="S46" s="1">
        <v>83381</v>
      </c>
      <c r="T46" s="1"/>
      <c r="U46" s="1">
        <v>1850362</v>
      </c>
      <c r="V46" s="1"/>
      <c r="W46" s="1">
        <v>465016</v>
      </c>
      <c r="X46" s="1"/>
      <c r="Y46" s="1">
        <v>0</v>
      </c>
      <c r="Z46" s="1"/>
      <c r="AA46" s="1">
        <v>2868528</v>
      </c>
      <c r="AB46" s="1"/>
      <c r="AC46" s="1">
        <v>1269017</v>
      </c>
      <c r="AD46" s="1"/>
      <c r="AE46" s="1">
        <v>259721</v>
      </c>
      <c r="AF46" s="1"/>
      <c r="AG46" s="1">
        <v>891085</v>
      </c>
      <c r="AH46" s="1"/>
      <c r="AI46" s="1">
        <v>225971</v>
      </c>
      <c r="AJ46" s="1"/>
      <c r="AK46" s="17" t="s">
        <v>519</v>
      </c>
      <c r="AL46" s="17"/>
      <c r="AM46" s="17" t="s">
        <v>53</v>
      </c>
      <c r="AN46" s="17"/>
      <c r="AO46" s="1">
        <v>722802</v>
      </c>
      <c r="AP46" s="1"/>
      <c r="AQ46" s="1">
        <v>0</v>
      </c>
      <c r="AR46" s="1"/>
      <c r="AS46" s="1"/>
      <c r="AT46" s="1"/>
      <c r="AU46" s="1">
        <v>0</v>
      </c>
      <c r="AV46" s="1"/>
      <c r="AW46" s="1">
        <f t="shared" si="0"/>
        <v>22799355</v>
      </c>
      <c r="AY46" s="1">
        <f>+'St of Activites - GA Rev'!AI46-'St of Activities - GA Exp'!AW46</f>
        <v>-1255391</v>
      </c>
      <c r="BA46" s="1">
        <v>16821913</v>
      </c>
      <c r="BC46" s="1">
        <f t="shared" si="1"/>
        <v>15566522</v>
      </c>
      <c r="BE46" s="1">
        <f>+'St of Net Assets - GA'!AA46-'St of Activities - GA Exp'!BC46</f>
        <v>0</v>
      </c>
    </row>
    <row r="47" spans="1:57">
      <c r="A47" s="17" t="s">
        <v>283</v>
      </c>
      <c r="B47" s="17"/>
      <c r="C47" s="17" t="s">
        <v>20</v>
      </c>
      <c r="D47" s="17"/>
      <c r="E47" s="13">
        <v>43612</v>
      </c>
      <c r="G47" s="1">
        <v>45065039</v>
      </c>
      <c r="H47" s="1"/>
      <c r="I47" s="1">
        <v>10038403</v>
      </c>
      <c r="J47" s="1"/>
      <c r="K47" s="1">
        <v>825472</v>
      </c>
      <c r="L47" s="1"/>
      <c r="M47" s="1">
        <v>227267</v>
      </c>
      <c r="N47" s="1"/>
      <c r="O47" s="1">
        <v>5264854</v>
      </c>
      <c r="P47" s="1"/>
      <c r="Q47" s="1">
        <v>7503450</v>
      </c>
      <c r="R47" s="1"/>
      <c r="S47" s="1">
        <v>40655</v>
      </c>
      <c r="T47" s="1"/>
      <c r="U47" s="1">
        <v>4847968</v>
      </c>
      <c r="V47" s="1"/>
      <c r="W47" s="1">
        <v>1644105</v>
      </c>
      <c r="X47" s="1"/>
      <c r="Y47" s="1">
        <v>732957</v>
      </c>
      <c r="Z47" s="1"/>
      <c r="AA47" s="1">
        <v>7582239</v>
      </c>
      <c r="AB47" s="1"/>
      <c r="AC47" s="1">
        <v>4039473</v>
      </c>
      <c r="AD47" s="1"/>
      <c r="AE47" s="1">
        <v>2203808</v>
      </c>
      <c r="AF47" s="1"/>
      <c r="AG47" s="1">
        <v>3409255</v>
      </c>
      <c r="AH47" s="1"/>
      <c r="AI47" s="1">
        <v>0</v>
      </c>
      <c r="AJ47" s="1"/>
      <c r="AK47" s="17" t="s">
        <v>283</v>
      </c>
      <c r="AL47" s="17"/>
      <c r="AM47" s="17" t="s">
        <v>20</v>
      </c>
      <c r="AN47" s="17"/>
      <c r="AO47" s="1">
        <v>1793990</v>
      </c>
      <c r="AP47" s="1"/>
      <c r="AQ47" s="1">
        <v>1721024</v>
      </c>
      <c r="AR47" s="1"/>
      <c r="AS47" s="1"/>
      <c r="AT47" s="1"/>
      <c r="AU47" s="1">
        <v>0</v>
      </c>
      <c r="AV47" s="1"/>
      <c r="AW47" s="1">
        <f t="shared" si="0"/>
        <v>96939959</v>
      </c>
      <c r="AY47" s="1">
        <f>+'St of Activites - GA Rev'!AI47-'St of Activities - GA Exp'!AW47</f>
        <v>-4970130</v>
      </c>
      <c r="BA47" s="1">
        <v>50880816</v>
      </c>
      <c r="BC47" s="1">
        <f>+AY47+BA47</f>
        <v>45910686</v>
      </c>
      <c r="BE47" s="1">
        <f>+'St of Net Assets - GA'!AA47-'St of Activities - GA Exp'!BC47</f>
        <v>-10686</v>
      </c>
    </row>
    <row r="48" spans="1:57" ht="12" customHeight="1">
      <c r="A48" s="17" t="s">
        <v>351</v>
      </c>
      <c r="B48" s="17"/>
      <c r="C48" s="17" t="s">
        <v>30</v>
      </c>
      <c r="D48" s="17"/>
      <c r="E48" s="13">
        <v>47167</v>
      </c>
      <c r="G48" s="1">
        <v>4830346</v>
      </c>
      <c r="H48" s="1"/>
      <c r="I48" s="1">
        <v>1529679</v>
      </c>
      <c r="J48" s="1"/>
      <c r="K48" s="1">
        <v>76125</v>
      </c>
      <c r="L48" s="1"/>
      <c r="M48" s="1">
        <v>339048</v>
      </c>
      <c r="N48" s="1"/>
      <c r="O48" s="1">
        <v>600884</v>
      </c>
      <c r="P48" s="1"/>
      <c r="Q48" s="1">
        <v>455767</v>
      </c>
      <c r="R48" s="1"/>
      <c r="S48" s="1">
        <v>41679</v>
      </c>
      <c r="T48" s="1"/>
      <c r="U48" s="1">
        <v>1113593</v>
      </c>
      <c r="V48" s="1"/>
      <c r="W48" s="1">
        <v>382159</v>
      </c>
      <c r="X48" s="1"/>
      <c r="Y48" s="1">
        <v>28687</v>
      </c>
      <c r="Z48" s="1"/>
      <c r="AA48" s="1">
        <v>878611</v>
      </c>
      <c r="AB48" s="1"/>
      <c r="AC48" s="1">
        <v>791630</v>
      </c>
      <c r="AD48" s="1"/>
      <c r="AE48" s="1">
        <v>0</v>
      </c>
      <c r="AF48" s="1"/>
      <c r="AG48" s="1">
        <v>264105</v>
      </c>
      <c r="AH48" s="1"/>
      <c r="AI48" s="1">
        <v>0</v>
      </c>
      <c r="AJ48" s="1"/>
      <c r="AK48" s="17" t="s">
        <v>351</v>
      </c>
      <c r="AL48" s="17"/>
      <c r="AM48" s="17" t="s">
        <v>30</v>
      </c>
      <c r="AN48" s="17"/>
      <c r="AO48" s="1">
        <v>382735</v>
      </c>
      <c r="AP48" s="1"/>
      <c r="AQ48" s="1">
        <v>0</v>
      </c>
      <c r="AR48" s="1"/>
      <c r="AS48" s="1"/>
      <c r="AT48" s="1"/>
      <c r="AU48" s="1">
        <v>0</v>
      </c>
      <c r="AV48" s="1"/>
      <c r="AW48" s="1">
        <f t="shared" si="0"/>
        <v>11715048</v>
      </c>
      <c r="AY48" s="1">
        <f>+'St of Activites - GA Rev'!AI48-'St of Activities - GA Exp'!AW48</f>
        <v>64589</v>
      </c>
      <c r="BA48" s="1">
        <v>5600708</v>
      </c>
      <c r="BC48" s="1">
        <f t="shared" si="1"/>
        <v>5665297</v>
      </c>
      <c r="BE48" s="1">
        <f>+'St of Net Assets - GA'!AA48-'St of Activities - GA Exp'!BC48</f>
        <v>0</v>
      </c>
    </row>
    <row r="49" spans="1:57">
      <c r="A49" s="17" t="s">
        <v>314</v>
      </c>
      <c r="B49" s="17"/>
      <c r="C49" s="17" t="s">
        <v>24</v>
      </c>
      <c r="D49" s="17"/>
      <c r="E49" s="13">
        <v>46789</v>
      </c>
      <c r="G49" s="1">
        <v>7274829</v>
      </c>
      <c r="H49" s="1"/>
      <c r="I49" s="1">
        <v>2646281</v>
      </c>
      <c r="J49" s="1"/>
      <c r="K49" s="1">
        <v>69046</v>
      </c>
      <c r="L49" s="1"/>
      <c r="M49" s="1">
        <v>526695</v>
      </c>
      <c r="N49" s="1"/>
      <c r="O49" s="1">
        <v>939981</v>
      </c>
      <c r="P49" s="1"/>
      <c r="Q49" s="1">
        <v>364351</v>
      </c>
      <c r="R49" s="1"/>
      <c r="S49" s="1">
        <v>34622</v>
      </c>
      <c r="T49" s="1"/>
      <c r="U49" s="1">
        <v>1268200</v>
      </c>
      <c r="V49" s="1"/>
      <c r="W49" s="1">
        <v>303023</v>
      </c>
      <c r="X49" s="1"/>
      <c r="Y49" s="1">
        <v>0</v>
      </c>
      <c r="Z49" s="1"/>
      <c r="AA49" s="1">
        <v>941528</v>
      </c>
      <c r="AB49" s="1"/>
      <c r="AC49" s="1">
        <v>706079</v>
      </c>
      <c r="AD49" s="1"/>
      <c r="AE49" s="1">
        <v>149935</v>
      </c>
      <c r="AF49" s="1"/>
      <c r="AG49" s="1">
        <v>630491</v>
      </c>
      <c r="AH49" s="1"/>
      <c r="AI49" s="1">
        <v>114897</v>
      </c>
      <c r="AJ49" s="1"/>
      <c r="AK49" s="17" t="s">
        <v>314</v>
      </c>
      <c r="AL49" s="17"/>
      <c r="AM49" s="17" t="s">
        <v>24</v>
      </c>
      <c r="AN49" s="17"/>
      <c r="AO49" s="1">
        <v>754075</v>
      </c>
      <c r="AP49" s="1"/>
      <c r="AQ49" s="1">
        <v>0</v>
      </c>
      <c r="AR49" s="1"/>
      <c r="AS49" s="1"/>
      <c r="AT49" s="1"/>
      <c r="AU49" s="1">
        <v>0</v>
      </c>
      <c r="AV49" s="1"/>
      <c r="AW49" s="1">
        <f t="shared" si="0"/>
        <v>16724033</v>
      </c>
      <c r="AY49" s="1">
        <f>+'St of Activites - GA Rev'!AI49-'St of Activities - GA Exp'!AW49</f>
        <v>322061</v>
      </c>
      <c r="BA49" s="1">
        <v>8689143</v>
      </c>
      <c r="BC49" s="1">
        <f t="shared" si="1"/>
        <v>9011204</v>
      </c>
      <c r="BE49" s="1">
        <f>+'St of Net Assets - GA'!AA49-'St of Activities - GA Exp'!BC49</f>
        <v>0</v>
      </c>
    </row>
    <row r="50" spans="1:57">
      <c r="A50" s="17" t="s">
        <v>322</v>
      </c>
      <c r="B50" s="17"/>
      <c r="C50" s="17" t="s">
        <v>25</v>
      </c>
      <c r="D50" s="17"/>
      <c r="E50" s="13">
        <v>46854</v>
      </c>
      <c r="G50" s="1">
        <v>4384224</v>
      </c>
      <c r="H50" s="1"/>
      <c r="I50" s="1">
        <v>1373424</v>
      </c>
      <c r="J50" s="1"/>
      <c r="K50" s="1">
        <v>137803</v>
      </c>
      <c r="L50" s="1"/>
      <c r="M50" s="1">
        <v>200496</v>
      </c>
      <c r="N50" s="1"/>
      <c r="O50" s="1">
        <v>243157</v>
      </c>
      <c r="P50" s="1"/>
      <c r="Q50" s="1">
        <v>571063</v>
      </c>
      <c r="R50" s="1"/>
      <c r="S50" s="1">
        <v>15263</v>
      </c>
      <c r="T50" s="1"/>
      <c r="U50" s="1">
        <v>781009</v>
      </c>
      <c r="V50" s="1"/>
      <c r="W50" s="1">
        <v>294201</v>
      </c>
      <c r="X50" s="1"/>
      <c r="Y50" s="1">
        <v>13162</v>
      </c>
      <c r="Z50" s="1"/>
      <c r="AA50" s="1">
        <v>759954</v>
      </c>
      <c r="AB50" s="1"/>
      <c r="AC50" s="1">
        <v>633040</v>
      </c>
      <c r="AD50" s="1"/>
      <c r="AE50" s="1">
        <v>35081</v>
      </c>
      <c r="AF50" s="1"/>
      <c r="AG50" s="1">
        <v>294137</v>
      </c>
      <c r="AH50" s="1"/>
      <c r="AI50" s="1">
        <v>25993</v>
      </c>
      <c r="AJ50" s="1"/>
      <c r="AK50" s="17" t="s">
        <v>322</v>
      </c>
      <c r="AL50" s="17"/>
      <c r="AM50" s="17" t="s">
        <v>25</v>
      </c>
      <c r="AN50" s="17"/>
      <c r="AO50" s="1">
        <v>304972</v>
      </c>
      <c r="AP50" s="1"/>
      <c r="AQ50" s="1">
        <v>228200</v>
      </c>
      <c r="AR50" s="1"/>
      <c r="AS50" s="1"/>
      <c r="AT50" s="1"/>
      <c r="AU50" s="1">
        <v>0</v>
      </c>
      <c r="AV50" s="1"/>
      <c r="AW50" s="1">
        <f t="shared" si="0"/>
        <v>10295179</v>
      </c>
      <c r="AY50" s="1">
        <f>+'St of Activites - GA Rev'!AI50-'St of Activities - GA Exp'!AW50</f>
        <v>13987</v>
      </c>
      <c r="BA50" s="1">
        <v>8129579</v>
      </c>
      <c r="BC50" s="1">
        <f t="shared" si="1"/>
        <v>8143566</v>
      </c>
      <c r="BE50" s="1">
        <f>+'St of Net Assets - GA'!AA50-'St of Activities - GA Exp'!BC50</f>
        <v>0</v>
      </c>
    </row>
    <row r="51" spans="1:57">
      <c r="A51" s="17" t="s">
        <v>487</v>
      </c>
      <c r="B51" s="17"/>
      <c r="C51" s="17" t="s">
        <v>48</v>
      </c>
      <c r="D51" s="17"/>
      <c r="E51" s="13">
        <v>48611</v>
      </c>
      <c r="G51" s="1">
        <v>3511073</v>
      </c>
      <c r="H51" s="1"/>
      <c r="I51" s="1">
        <v>1028828</v>
      </c>
      <c r="J51" s="1"/>
      <c r="K51" s="1">
        <v>0</v>
      </c>
      <c r="L51" s="1"/>
      <c r="M51" s="1">
        <v>465981</v>
      </c>
      <c r="N51" s="1"/>
      <c r="O51" s="1">
        <v>395044</v>
      </c>
      <c r="P51" s="1"/>
      <c r="Q51" s="1">
        <v>277476</v>
      </c>
      <c r="R51" s="1"/>
      <c r="S51" s="1">
        <v>31903</v>
      </c>
      <c r="T51" s="1"/>
      <c r="U51" s="1">
        <v>715031</v>
      </c>
      <c r="V51" s="1"/>
      <c r="W51" s="1">
        <v>309300</v>
      </c>
      <c r="X51" s="1"/>
      <c r="Y51" s="1">
        <v>65864</v>
      </c>
      <c r="Z51" s="1"/>
      <c r="AA51" s="1">
        <v>663041</v>
      </c>
      <c r="AB51" s="1"/>
      <c r="AC51" s="1">
        <v>644114</v>
      </c>
      <c r="AD51" s="1"/>
      <c r="AE51" s="1">
        <v>167311</v>
      </c>
      <c r="AF51" s="1"/>
      <c r="AG51" s="1">
        <v>260428</v>
      </c>
      <c r="AH51" s="1"/>
      <c r="AI51" s="1">
        <v>0</v>
      </c>
      <c r="AJ51" s="1"/>
      <c r="AK51" s="17" t="s">
        <v>487</v>
      </c>
      <c r="AL51" s="17"/>
      <c r="AM51" s="17" t="s">
        <v>48</v>
      </c>
      <c r="AN51" s="17"/>
      <c r="AO51" s="1">
        <v>285947</v>
      </c>
      <c r="AP51" s="1"/>
      <c r="AQ51" s="1">
        <v>46947</v>
      </c>
      <c r="AR51" s="1"/>
      <c r="AS51" s="1"/>
      <c r="AT51" s="1"/>
      <c r="AU51" s="1">
        <v>95004</v>
      </c>
      <c r="AV51" s="1"/>
      <c r="AW51" s="1">
        <f t="shared" si="0"/>
        <v>8963292</v>
      </c>
      <c r="AY51" s="1">
        <f>+'St of Activites - GA Rev'!AI51-'St of Activities - GA Exp'!AW51</f>
        <v>-514288</v>
      </c>
      <c r="BA51" s="1">
        <v>4907649</v>
      </c>
      <c r="BC51" s="1">
        <f t="shared" si="1"/>
        <v>4393361</v>
      </c>
      <c r="BE51" s="1">
        <f>+'St of Net Assets - GA'!AA51-'St of Activities - GA Exp'!BC51</f>
        <v>0</v>
      </c>
    </row>
    <row r="52" spans="1:57">
      <c r="A52" s="17" t="s">
        <v>252</v>
      </c>
      <c r="B52" s="17"/>
      <c r="C52" s="17" t="s">
        <v>115</v>
      </c>
      <c r="D52" s="17"/>
      <c r="E52" s="13">
        <v>46318</v>
      </c>
      <c r="G52" s="1">
        <v>8771869</v>
      </c>
      <c r="H52" s="1"/>
      <c r="I52" s="1">
        <v>1779075</v>
      </c>
      <c r="J52" s="1"/>
      <c r="K52" s="1">
        <v>150681</v>
      </c>
      <c r="L52" s="1"/>
      <c r="M52" s="1">
        <v>39033</v>
      </c>
      <c r="N52" s="1"/>
      <c r="O52" s="1">
        <v>602035</v>
      </c>
      <c r="P52" s="1"/>
      <c r="Q52" s="1">
        <v>599248</v>
      </c>
      <c r="R52" s="1"/>
      <c r="S52" s="1">
        <v>9764</v>
      </c>
      <c r="T52" s="1"/>
      <c r="U52" s="1">
        <v>1177621</v>
      </c>
      <c r="V52" s="1"/>
      <c r="W52" s="1">
        <v>368079</v>
      </c>
      <c r="X52" s="1"/>
      <c r="Y52" s="1">
        <v>0</v>
      </c>
      <c r="Z52" s="1"/>
      <c r="AA52" s="1">
        <v>1533432</v>
      </c>
      <c r="AB52" s="1"/>
      <c r="AC52" s="1">
        <v>855273</v>
      </c>
      <c r="AD52" s="1"/>
      <c r="AE52" s="1">
        <v>147414</v>
      </c>
      <c r="AF52" s="1"/>
      <c r="AG52" s="1">
        <v>555126</v>
      </c>
      <c r="AH52" s="1"/>
      <c r="AI52" s="1">
        <v>0</v>
      </c>
      <c r="AJ52" s="1"/>
      <c r="AK52" s="17" t="s">
        <v>252</v>
      </c>
      <c r="AL52" s="17"/>
      <c r="AM52" s="17" t="s">
        <v>115</v>
      </c>
      <c r="AN52" s="17"/>
      <c r="AO52" s="1">
        <v>403768</v>
      </c>
      <c r="AP52" s="1"/>
      <c r="AQ52" s="1">
        <v>413491</v>
      </c>
      <c r="AR52" s="1"/>
      <c r="AS52" s="1"/>
      <c r="AT52" s="1"/>
      <c r="AU52" s="1">
        <v>0</v>
      </c>
      <c r="AV52" s="1"/>
      <c r="AW52" s="1">
        <f t="shared" si="0"/>
        <v>17405909</v>
      </c>
      <c r="AY52" s="1">
        <f>+'St of Activites - GA Rev'!AI52-'St of Activities - GA Exp'!AW52</f>
        <v>344921</v>
      </c>
      <c r="BA52" s="1">
        <v>21840786</v>
      </c>
      <c r="BC52" s="1">
        <f t="shared" si="1"/>
        <v>22185707</v>
      </c>
      <c r="BE52" s="1">
        <f>+'St of Net Assets - GA'!AA52-'St of Activities - GA Exp'!BC52</f>
        <v>0</v>
      </c>
    </row>
    <row r="53" spans="1:57" ht="12" hidden="1" customHeight="1">
      <c r="A53" s="12" t="s">
        <v>825</v>
      </c>
      <c r="B53" s="17"/>
      <c r="C53" s="17" t="s">
        <v>60</v>
      </c>
      <c r="D53" s="17"/>
      <c r="E53" s="13">
        <v>49692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2" t="s">
        <v>825</v>
      </c>
      <c r="AL53" s="17"/>
      <c r="AM53" s="17" t="s">
        <v>60</v>
      </c>
      <c r="AN53" s="17"/>
      <c r="AO53" s="1"/>
      <c r="AP53" s="1"/>
      <c r="AQ53" s="1"/>
      <c r="AR53" s="1"/>
      <c r="AS53" s="1"/>
      <c r="AT53" s="1"/>
      <c r="AU53" s="1"/>
      <c r="AV53" s="1"/>
      <c r="AW53" s="1">
        <f t="shared" si="0"/>
        <v>0</v>
      </c>
      <c r="AY53" s="1">
        <f>+'St of Activites - GA Rev'!AI53-'St of Activities - GA Exp'!AW53</f>
        <v>0</v>
      </c>
      <c r="BC53" s="1">
        <f t="shared" si="1"/>
        <v>0</v>
      </c>
      <c r="BE53" s="1">
        <f>+'St of Net Assets - GA'!AA53-'St of Activities - GA Exp'!BC53</f>
        <v>0</v>
      </c>
    </row>
    <row r="54" spans="1:57">
      <c r="A54" s="17" t="s">
        <v>329</v>
      </c>
      <c r="B54" s="17"/>
      <c r="C54" s="17" t="s">
        <v>27</v>
      </c>
      <c r="D54" s="17"/>
      <c r="E54" s="13">
        <v>43620</v>
      </c>
      <c r="G54" s="1">
        <v>15208759</v>
      </c>
      <c r="H54" s="1"/>
      <c r="I54" s="1">
        <v>3584733</v>
      </c>
      <c r="J54" s="1"/>
      <c r="K54" s="1">
        <v>301985</v>
      </c>
      <c r="L54" s="1"/>
      <c r="M54" s="1">
        <v>0</v>
      </c>
      <c r="N54" s="1"/>
      <c r="O54" s="1">
        <v>1543323</v>
      </c>
      <c r="P54" s="1"/>
      <c r="Q54" s="1">
        <v>2121037</v>
      </c>
      <c r="R54" s="1"/>
      <c r="S54" s="1">
        <v>55370</v>
      </c>
      <c r="T54" s="1"/>
      <c r="U54" s="1">
        <v>2000147</v>
      </c>
      <c r="V54" s="1"/>
      <c r="W54" s="1">
        <v>0</v>
      </c>
      <c r="X54" s="1"/>
      <c r="Y54" s="1">
        <v>1227239</v>
      </c>
      <c r="Z54" s="1"/>
      <c r="AA54" s="1">
        <v>3157885</v>
      </c>
      <c r="AB54" s="1"/>
      <c r="AC54" s="1">
        <v>550754</v>
      </c>
      <c r="AD54" s="1"/>
      <c r="AE54" s="1">
        <v>136981</v>
      </c>
      <c r="AF54" s="1"/>
      <c r="AG54" s="1">
        <v>582620</v>
      </c>
      <c r="AH54" s="1"/>
      <c r="AI54" s="1">
        <v>647479</v>
      </c>
      <c r="AJ54" s="1"/>
      <c r="AK54" s="17" t="s">
        <v>329</v>
      </c>
      <c r="AL54" s="17"/>
      <c r="AM54" s="17" t="s">
        <v>27</v>
      </c>
      <c r="AN54" s="17"/>
      <c r="AO54" s="1">
        <v>1152987</v>
      </c>
      <c r="AP54" s="1"/>
      <c r="AQ54" s="1">
        <v>1299084</v>
      </c>
      <c r="AR54" s="1"/>
      <c r="AS54" s="1"/>
      <c r="AT54" s="1"/>
      <c r="AU54" s="1">
        <v>1064536</v>
      </c>
      <c r="AV54" s="1"/>
      <c r="AW54" s="1">
        <f t="shared" si="0"/>
        <v>34634919</v>
      </c>
      <c r="AY54" s="1">
        <f>+'St of Activites - GA Rev'!AI54-'St of Activities - GA Exp'!AW54</f>
        <v>769748</v>
      </c>
      <c r="BA54" s="1">
        <v>32118829</v>
      </c>
      <c r="BC54" s="1">
        <f t="shared" si="1"/>
        <v>32888577</v>
      </c>
      <c r="BE54" s="1">
        <f>+'St of Net Assets - GA'!AA54-'St of Activities - GA Exp'!BC54</f>
        <v>0</v>
      </c>
    </row>
    <row r="55" spans="1:57" ht="12" customHeight="1">
      <c r="A55" s="17" t="s">
        <v>311</v>
      </c>
      <c r="B55" s="17"/>
      <c r="C55" s="17" t="s">
        <v>23</v>
      </c>
      <c r="D55" s="17"/>
      <c r="E55" s="13">
        <v>46748</v>
      </c>
      <c r="G55" s="1">
        <v>13227046</v>
      </c>
      <c r="H55" s="1"/>
      <c r="I55" s="1">
        <v>2410093</v>
      </c>
      <c r="J55" s="1"/>
      <c r="K55" s="1">
        <v>308959</v>
      </c>
      <c r="L55" s="1"/>
      <c r="M55" s="1">
        <v>0</v>
      </c>
      <c r="N55" s="1"/>
      <c r="O55" s="1">
        <v>1428226</v>
      </c>
      <c r="P55" s="1"/>
      <c r="Q55" s="1">
        <v>1830485</v>
      </c>
      <c r="R55" s="1"/>
      <c r="S55" s="1">
        <v>132398</v>
      </c>
      <c r="T55" s="1"/>
      <c r="U55" s="1">
        <v>2624405</v>
      </c>
      <c r="V55" s="1"/>
      <c r="W55" s="1">
        <v>829078</v>
      </c>
      <c r="X55" s="1"/>
      <c r="Y55" s="1">
        <v>257499</v>
      </c>
      <c r="Z55" s="1"/>
      <c r="AA55" s="1">
        <v>2181680</v>
      </c>
      <c r="AB55" s="1"/>
      <c r="AC55" s="1">
        <v>2035825</v>
      </c>
      <c r="AD55" s="1"/>
      <c r="AE55" s="1">
        <v>13076</v>
      </c>
      <c r="AF55" s="1"/>
      <c r="AG55" s="1">
        <v>1202563</v>
      </c>
      <c r="AH55" s="1"/>
      <c r="AI55" s="1">
        <v>0</v>
      </c>
      <c r="AJ55" s="1"/>
      <c r="AK55" s="17" t="s">
        <v>311</v>
      </c>
      <c r="AL55" s="17"/>
      <c r="AM55" s="17" t="s">
        <v>23</v>
      </c>
      <c r="AN55" s="17"/>
      <c r="AO55" s="1">
        <v>715823</v>
      </c>
      <c r="AP55" s="1"/>
      <c r="AQ55" s="1">
        <v>1933711</v>
      </c>
      <c r="AR55" s="1"/>
      <c r="AS55" s="1"/>
      <c r="AT55" s="1"/>
      <c r="AU55" s="1">
        <v>0</v>
      </c>
      <c r="AV55" s="1"/>
      <c r="AW55" s="1">
        <f t="shared" si="0"/>
        <v>31130867</v>
      </c>
      <c r="AY55" s="1">
        <f>+'St of Activites - GA Rev'!AI55-'St of Activities - GA Exp'!AW55</f>
        <v>860084</v>
      </c>
      <c r="BA55" s="1">
        <v>7987804</v>
      </c>
      <c r="BC55" s="1">
        <f t="shared" si="1"/>
        <v>8847888</v>
      </c>
      <c r="BE55" s="1">
        <f>+'St of Net Assets - GA'!AA55-'St of Activities - GA Exp'!BC55</f>
        <v>0</v>
      </c>
    </row>
    <row r="56" spans="1:57" ht="12" customHeight="1">
      <c r="A56" s="17" t="s">
        <v>478</v>
      </c>
      <c r="B56" s="17"/>
      <c r="C56" s="17" t="s">
        <v>47</v>
      </c>
      <c r="D56" s="17"/>
      <c r="E56" s="13">
        <v>48462</v>
      </c>
      <c r="G56" s="1">
        <v>7359692</v>
      </c>
      <c r="H56" s="1"/>
      <c r="I56" s="1">
        <v>2088322</v>
      </c>
      <c r="J56" s="1"/>
      <c r="K56" s="1">
        <v>60870</v>
      </c>
      <c r="L56" s="1"/>
      <c r="M56" s="1">
        <v>2344</v>
      </c>
      <c r="N56" s="1"/>
      <c r="O56" s="1">
        <v>758206</v>
      </c>
      <c r="P56" s="1"/>
      <c r="Q56" s="1">
        <v>663705</v>
      </c>
      <c r="R56" s="1"/>
      <c r="S56" s="1">
        <v>31989</v>
      </c>
      <c r="T56" s="1"/>
      <c r="U56" s="1">
        <v>1236568</v>
      </c>
      <c r="V56" s="1"/>
      <c r="W56" s="1">
        <v>337460</v>
      </c>
      <c r="X56" s="1"/>
      <c r="Y56" s="1">
        <v>26901</v>
      </c>
      <c r="Z56" s="1"/>
      <c r="AA56" s="1">
        <v>1069752</v>
      </c>
      <c r="AB56" s="1"/>
      <c r="AC56" s="1">
        <v>1041836</v>
      </c>
      <c r="AD56" s="1"/>
      <c r="AE56" s="1">
        <v>31951</v>
      </c>
      <c r="AF56" s="1"/>
      <c r="AG56" s="1">
        <v>495213</v>
      </c>
      <c r="AH56" s="1"/>
      <c r="AI56" s="1">
        <v>0</v>
      </c>
      <c r="AJ56" s="1"/>
      <c r="AK56" s="17" t="s">
        <v>478</v>
      </c>
      <c r="AL56" s="17"/>
      <c r="AM56" s="17" t="s">
        <v>47</v>
      </c>
      <c r="AN56" s="17"/>
      <c r="AO56" s="1">
        <v>642492</v>
      </c>
      <c r="AP56" s="1"/>
      <c r="AQ56" s="1">
        <v>353012</v>
      </c>
      <c r="AR56" s="1"/>
      <c r="AS56" s="1"/>
      <c r="AT56" s="1"/>
      <c r="AU56" s="1">
        <v>0</v>
      </c>
      <c r="AV56" s="1"/>
      <c r="AW56" s="1">
        <f t="shared" si="0"/>
        <v>16200313</v>
      </c>
      <c r="AY56" s="1">
        <f>+'St of Activites - GA Rev'!AI56-'St of Activities - GA Exp'!AW56</f>
        <v>-229274</v>
      </c>
      <c r="BA56" s="1">
        <v>6884514</v>
      </c>
      <c r="BC56" s="1">
        <f t="shared" si="1"/>
        <v>6655240</v>
      </c>
      <c r="BE56" s="1">
        <f>+'St of Net Assets - GA'!AA56-'St of Activities - GA Exp'!BC56</f>
        <v>0</v>
      </c>
    </row>
    <row r="57" spans="1:57">
      <c r="A57" s="17" t="s">
        <v>259</v>
      </c>
      <c r="B57" s="17"/>
      <c r="C57" s="17" t="s">
        <v>18</v>
      </c>
      <c r="D57" s="17"/>
      <c r="E57" s="13">
        <v>46383</v>
      </c>
      <c r="G57" s="1">
        <v>6607345</v>
      </c>
      <c r="H57" s="1"/>
      <c r="I57" s="1">
        <v>1163922</v>
      </c>
      <c r="J57" s="1"/>
      <c r="K57" s="1">
        <v>376885</v>
      </c>
      <c r="L57" s="1"/>
      <c r="M57" s="1">
        <v>650148</v>
      </c>
      <c r="N57" s="1"/>
      <c r="O57" s="1">
        <v>657932</v>
      </c>
      <c r="P57" s="1"/>
      <c r="Q57" s="1">
        <v>1758236</v>
      </c>
      <c r="R57" s="1"/>
      <c r="S57" s="1">
        <v>30287</v>
      </c>
      <c r="T57" s="1"/>
      <c r="U57" s="1">
        <v>1373417</v>
      </c>
      <c r="V57" s="1"/>
      <c r="W57" s="1">
        <v>403294</v>
      </c>
      <c r="X57" s="1"/>
      <c r="Y57" s="1">
        <v>7499</v>
      </c>
      <c r="Z57" s="1"/>
      <c r="AA57" s="1">
        <v>1473115</v>
      </c>
      <c r="AB57" s="1"/>
      <c r="AC57" s="1">
        <v>959778</v>
      </c>
      <c r="AD57" s="1"/>
      <c r="AE57" s="1">
        <v>16832</v>
      </c>
      <c r="AF57" s="1"/>
      <c r="AG57" s="1">
        <v>891974</v>
      </c>
      <c r="AH57" s="1"/>
      <c r="AI57" s="1">
        <v>0</v>
      </c>
      <c r="AJ57" s="1"/>
      <c r="AK57" s="17" t="s">
        <v>259</v>
      </c>
      <c r="AL57" s="17"/>
      <c r="AM57" s="17" t="s">
        <v>18</v>
      </c>
      <c r="AN57" s="17"/>
      <c r="AO57" s="1">
        <v>437901</v>
      </c>
      <c r="AP57" s="1"/>
      <c r="AQ57" s="1">
        <v>169940</v>
      </c>
      <c r="AR57" s="1"/>
      <c r="AS57" s="1"/>
      <c r="AT57" s="1"/>
      <c r="AU57" s="1">
        <v>0</v>
      </c>
      <c r="AV57" s="1"/>
      <c r="AW57" s="1">
        <f t="shared" si="0"/>
        <v>16978505</v>
      </c>
      <c r="AY57" s="1">
        <f>+'St of Activites - GA Rev'!AI57-'St of Activities - GA Exp'!AW57</f>
        <v>-292724</v>
      </c>
      <c r="BA57" s="1">
        <v>21226864</v>
      </c>
      <c r="BC57" s="1">
        <f t="shared" si="1"/>
        <v>20934140</v>
      </c>
      <c r="BE57" s="1">
        <f>+'St of Net Assets - GA'!AA57-'St of Activities - GA Exp'!BC57</f>
        <v>0</v>
      </c>
    </row>
    <row r="58" spans="1:57">
      <c r="A58" s="17" t="s">
        <v>323</v>
      </c>
      <c r="B58" s="17"/>
      <c r="C58" s="17" t="s">
        <v>25</v>
      </c>
      <c r="D58" s="17"/>
      <c r="E58" s="13">
        <v>46862</v>
      </c>
      <c r="G58" s="1">
        <v>5496618</v>
      </c>
      <c r="H58" s="1"/>
      <c r="I58" s="1">
        <v>1616280</v>
      </c>
      <c r="J58" s="1"/>
      <c r="K58" s="1">
        <v>240761</v>
      </c>
      <c r="L58" s="1"/>
      <c r="M58" s="1">
        <f>89386+530247</f>
        <v>619633</v>
      </c>
      <c r="N58" s="1"/>
      <c r="O58" s="1">
        <v>801890</v>
      </c>
      <c r="P58" s="1"/>
      <c r="Q58" s="1">
        <v>806348</v>
      </c>
      <c r="R58" s="1"/>
      <c r="S58" s="1">
        <v>145696</v>
      </c>
      <c r="T58" s="1"/>
      <c r="U58" s="1">
        <v>1695708</v>
      </c>
      <c r="V58" s="1"/>
      <c r="W58" s="1">
        <v>264178</v>
      </c>
      <c r="X58" s="1"/>
      <c r="Y58" s="1">
        <v>0</v>
      </c>
      <c r="Z58" s="1"/>
      <c r="AA58" s="1">
        <v>1282510</v>
      </c>
      <c r="AB58" s="1"/>
      <c r="AC58" s="1">
        <v>1068216</v>
      </c>
      <c r="AD58" s="1"/>
      <c r="AE58" s="1">
        <v>107770</v>
      </c>
      <c r="AF58" s="1"/>
      <c r="AG58" s="1">
        <v>431919</v>
      </c>
      <c r="AH58" s="1"/>
      <c r="AI58" s="1">
        <v>3000</v>
      </c>
      <c r="AJ58" s="1"/>
      <c r="AK58" s="17" t="s">
        <v>323</v>
      </c>
      <c r="AL58" s="17"/>
      <c r="AM58" s="17" t="s">
        <v>25</v>
      </c>
      <c r="AN58" s="17"/>
      <c r="AO58" s="1">
        <v>561944</v>
      </c>
      <c r="AP58" s="1"/>
      <c r="AQ58" s="1">
        <v>379588</v>
      </c>
      <c r="AR58" s="1"/>
      <c r="AS58" s="1"/>
      <c r="AT58" s="1"/>
      <c r="AU58" s="1">
        <v>0</v>
      </c>
      <c r="AV58" s="1"/>
      <c r="AW58" s="1">
        <f t="shared" si="0"/>
        <v>15522059</v>
      </c>
      <c r="AY58" s="1">
        <f>+'St of Activites - GA Rev'!AI58-'St of Activities - GA Exp'!AW58</f>
        <v>440542</v>
      </c>
      <c r="BA58" s="1">
        <v>6497496</v>
      </c>
      <c r="BC58" s="1">
        <f t="shared" si="1"/>
        <v>6938038</v>
      </c>
      <c r="BE58" s="1">
        <f>+'St of Net Assets - GA'!AA58-'St of Activities - GA Exp'!BC58</f>
        <v>0</v>
      </c>
    </row>
    <row r="59" spans="1:57">
      <c r="A59" s="17" t="s">
        <v>599</v>
      </c>
      <c r="B59" s="17"/>
      <c r="C59" s="17" t="s">
        <v>64</v>
      </c>
      <c r="D59" s="17"/>
      <c r="E59" s="13">
        <v>50096</v>
      </c>
      <c r="G59" s="1">
        <v>1591884</v>
      </c>
      <c r="H59" s="1"/>
      <c r="I59" s="1">
        <v>605813</v>
      </c>
      <c r="J59" s="1"/>
      <c r="K59" s="1">
        <v>71656</v>
      </c>
      <c r="L59" s="1"/>
      <c r="M59" s="1">
        <v>0</v>
      </c>
      <c r="N59" s="1"/>
      <c r="O59" s="1">
        <v>132280</v>
      </c>
      <c r="P59" s="1"/>
      <c r="Q59" s="1">
        <v>258977</v>
      </c>
      <c r="R59" s="1"/>
      <c r="S59" s="1">
        <v>12950</v>
      </c>
      <c r="T59" s="1"/>
      <c r="U59" s="1">
        <v>450023</v>
      </c>
      <c r="V59" s="1"/>
      <c r="W59" s="1">
        <v>251773</v>
      </c>
      <c r="X59" s="1"/>
      <c r="Y59" s="1">
        <v>0</v>
      </c>
      <c r="Z59" s="1"/>
      <c r="AA59" s="1">
        <v>356563</v>
      </c>
      <c r="AB59" s="1"/>
      <c r="AC59" s="1">
        <v>231027</v>
      </c>
      <c r="AD59" s="1"/>
      <c r="AE59" s="1">
        <v>4573</v>
      </c>
      <c r="AF59" s="1"/>
      <c r="AG59" s="1">
        <v>138536</v>
      </c>
      <c r="AH59" s="1"/>
      <c r="AI59" s="1">
        <v>3426</v>
      </c>
      <c r="AJ59" s="1"/>
      <c r="AK59" s="17" t="s">
        <v>599</v>
      </c>
      <c r="AL59" s="17"/>
      <c r="AM59" s="17" t="s">
        <v>64</v>
      </c>
      <c r="AN59" s="17"/>
      <c r="AO59" s="1">
        <v>99103</v>
      </c>
      <c r="AP59" s="1"/>
      <c r="AQ59" s="1">
        <v>5895</v>
      </c>
      <c r="AR59" s="1"/>
      <c r="AS59" s="1"/>
      <c r="AT59" s="1"/>
      <c r="AU59" s="1">
        <v>0</v>
      </c>
      <c r="AV59" s="1"/>
      <c r="AW59" s="1">
        <f t="shared" si="0"/>
        <v>4214479</v>
      </c>
      <c r="AY59" s="1">
        <f>+'St of Activites - GA Rev'!AI59-'St of Activities - GA Exp'!AW59</f>
        <v>128342</v>
      </c>
      <c r="BA59" s="1">
        <v>1300194</v>
      </c>
      <c r="BC59" s="1">
        <f t="shared" si="1"/>
        <v>1428536</v>
      </c>
      <c r="BE59" s="1">
        <f>+'St of Net Assets - GA'!AA59-'St of Activities - GA Exp'!BC59</f>
        <v>0</v>
      </c>
    </row>
    <row r="60" spans="1:57">
      <c r="A60" s="17" t="s">
        <v>559</v>
      </c>
      <c r="B60" s="17"/>
      <c r="C60" s="17" t="s">
        <v>59</v>
      </c>
      <c r="D60" s="17"/>
      <c r="E60" s="13">
        <v>49593</v>
      </c>
      <c r="G60" s="1">
        <v>4244884</v>
      </c>
      <c r="H60" s="1"/>
      <c r="I60" s="1">
        <v>1335328</v>
      </c>
      <c r="J60" s="1"/>
      <c r="K60" s="1">
        <v>15000</v>
      </c>
      <c r="L60" s="1"/>
      <c r="M60" s="1">
        <v>174958</v>
      </c>
      <c r="N60" s="1"/>
      <c r="O60" s="1">
        <v>354243</v>
      </c>
      <c r="P60" s="1"/>
      <c r="Q60" s="1">
        <v>413656</v>
      </c>
      <c r="R60" s="1"/>
      <c r="S60" s="1">
        <v>32996</v>
      </c>
      <c r="T60" s="1"/>
      <c r="U60" s="1">
        <v>805623</v>
      </c>
      <c r="V60" s="1"/>
      <c r="W60" s="1">
        <v>203482</v>
      </c>
      <c r="X60" s="1"/>
      <c r="Y60" s="1">
        <v>27163</v>
      </c>
      <c r="Z60" s="1"/>
      <c r="AA60" s="1">
        <v>1094103</v>
      </c>
      <c r="AB60" s="1"/>
      <c r="AC60" s="1">
        <v>860013</v>
      </c>
      <c r="AD60" s="1"/>
      <c r="AE60" s="1">
        <v>9558</v>
      </c>
      <c r="AF60" s="1"/>
      <c r="AG60" s="1">
        <v>557164</v>
      </c>
      <c r="AH60" s="1"/>
      <c r="AI60" s="1">
        <v>0</v>
      </c>
      <c r="AJ60" s="1"/>
      <c r="AK60" s="17" t="s">
        <v>559</v>
      </c>
      <c r="AL60" s="17"/>
      <c r="AM60" s="17" t="s">
        <v>59</v>
      </c>
      <c r="AN60" s="17"/>
      <c r="AO60" s="1">
        <v>188846</v>
      </c>
      <c r="AP60" s="1"/>
      <c r="AQ60" s="1">
        <v>31166</v>
      </c>
      <c r="AR60" s="1"/>
      <c r="AS60" s="1"/>
      <c r="AT60" s="1"/>
      <c r="AU60" s="1">
        <v>29000</v>
      </c>
      <c r="AV60" s="1"/>
      <c r="AW60" s="1">
        <f>SUM(G60:AV60)</f>
        <v>10377183</v>
      </c>
      <c r="AY60" s="1">
        <f>+'St of Activites - GA Rev'!AI60-'St of Activities - GA Exp'!AW60</f>
        <v>-140316</v>
      </c>
      <c r="BA60" s="1">
        <v>17357562</v>
      </c>
      <c r="BC60" s="1">
        <f>+AY60+BA60</f>
        <v>17217246</v>
      </c>
      <c r="BE60" s="1">
        <f>+'St of Net Assets - GA'!AA60-'St of Activities - GA Exp'!BC60</f>
        <v>0</v>
      </c>
    </row>
    <row r="61" spans="1:57" hidden="1">
      <c r="A61" s="12" t="s">
        <v>791</v>
      </c>
      <c r="B61" s="17"/>
      <c r="C61" s="17" t="s">
        <v>10</v>
      </c>
      <c r="D61" s="17"/>
      <c r="E61" s="13">
        <v>49593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2" t="s">
        <v>791</v>
      </c>
      <c r="AL61" s="17"/>
      <c r="AM61" s="17" t="s">
        <v>10</v>
      </c>
      <c r="AN61" s="17"/>
      <c r="AO61" s="1"/>
      <c r="AP61" s="1"/>
      <c r="AQ61" s="1"/>
      <c r="AR61" s="1"/>
      <c r="AS61" s="1"/>
      <c r="AT61" s="1"/>
      <c r="AU61" s="1"/>
      <c r="AV61" s="1"/>
      <c r="AW61" s="1">
        <f t="shared" si="0"/>
        <v>0</v>
      </c>
      <c r="AY61" s="1">
        <f>+'St of Activites - GA Rev'!AI61-'St of Activities - GA Exp'!AW61</f>
        <v>0</v>
      </c>
      <c r="BC61" s="1">
        <f t="shared" si="1"/>
        <v>0</v>
      </c>
      <c r="BE61" s="1">
        <f>+'St of Net Assets - GA'!AA61-'St of Activities - GA Exp'!BC61</f>
        <v>0</v>
      </c>
    </row>
    <row r="62" spans="1:57" ht="12" customHeight="1">
      <c r="A62" s="17" t="s">
        <v>462</v>
      </c>
      <c r="B62" s="17"/>
      <c r="C62" s="17" t="s">
        <v>45</v>
      </c>
      <c r="D62" s="17"/>
      <c r="E62" s="13">
        <v>48306</v>
      </c>
      <c r="G62" s="1">
        <v>22803844</v>
      </c>
      <c r="H62" s="1"/>
      <c r="I62" s="1">
        <v>4772583</v>
      </c>
      <c r="J62" s="1"/>
      <c r="K62" s="1">
        <v>2376</v>
      </c>
      <c r="L62" s="1"/>
      <c r="M62" s="1">
        <v>209042</v>
      </c>
      <c r="N62" s="1"/>
      <c r="O62" s="1">
        <v>2048315</v>
      </c>
      <c r="P62" s="1"/>
      <c r="Q62" s="1">
        <v>2834740</v>
      </c>
      <c r="R62" s="1"/>
      <c r="S62" s="1">
        <v>113187</v>
      </c>
      <c r="T62" s="1"/>
      <c r="U62" s="1">
        <v>2726582</v>
      </c>
      <c r="V62" s="1"/>
      <c r="W62" s="1">
        <v>997334</v>
      </c>
      <c r="X62" s="1"/>
      <c r="Y62" s="1">
        <v>150706</v>
      </c>
      <c r="Z62" s="1"/>
      <c r="AA62" s="1">
        <v>4661734</v>
      </c>
      <c r="AB62" s="1"/>
      <c r="AC62" s="1">
        <v>3172692</v>
      </c>
      <c r="AD62" s="1"/>
      <c r="AE62" s="1">
        <v>87144</v>
      </c>
      <c r="AF62" s="1"/>
      <c r="AG62" s="1">
        <v>1433011</v>
      </c>
      <c r="AH62" s="1"/>
      <c r="AI62" s="1">
        <v>757769</v>
      </c>
      <c r="AJ62" s="1"/>
      <c r="AK62" s="17" t="s">
        <v>462</v>
      </c>
      <c r="AL62" s="17"/>
      <c r="AM62" s="17" t="s">
        <v>45</v>
      </c>
      <c r="AN62" s="17"/>
      <c r="AO62" s="1">
        <v>1208048</v>
      </c>
      <c r="AP62" s="1"/>
      <c r="AQ62" s="1">
        <v>432682</v>
      </c>
      <c r="AR62" s="1"/>
      <c r="AS62" s="1"/>
      <c r="AT62" s="1"/>
      <c r="AU62" s="1">
        <v>0</v>
      </c>
      <c r="AV62" s="1"/>
      <c r="AW62" s="1">
        <f t="shared" si="0"/>
        <v>48411789</v>
      </c>
      <c r="AY62" s="1">
        <f>+'St of Activites - GA Rev'!AI62-'St of Activities - GA Exp'!AW62</f>
        <v>-526989</v>
      </c>
      <c r="BA62" s="1">
        <v>24810975</v>
      </c>
      <c r="BC62" s="1">
        <f t="shared" si="1"/>
        <v>24283986</v>
      </c>
      <c r="BE62" s="1">
        <f>+'St of Net Assets - GA'!AA62-'St of Activities - GA Exp'!BC62</f>
        <v>0</v>
      </c>
    </row>
    <row r="63" spans="1:57" hidden="1">
      <c r="A63" s="12" t="s">
        <v>923</v>
      </c>
      <c r="B63" s="17"/>
      <c r="C63" s="17" t="s">
        <v>61</v>
      </c>
      <c r="D63" s="17"/>
      <c r="E63" s="13">
        <v>49767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2" t="s">
        <v>923</v>
      </c>
      <c r="AL63" s="17"/>
      <c r="AM63" s="17" t="s">
        <v>61</v>
      </c>
      <c r="AN63" s="17"/>
      <c r="AO63" s="1"/>
      <c r="AP63" s="1"/>
      <c r="AQ63" s="1"/>
      <c r="AR63" s="1"/>
      <c r="AS63" s="1"/>
      <c r="AT63" s="1"/>
      <c r="AU63" s="1"/>
      <c r="AV63" s="1"/>
      <c r="AW63" s="1">
        <f t="shared" si="0"/>
        <v>0</v>
      </c>
      <c r="AY63" s="1">
        <f>+'St of Activites - GA Rev'!AI63-'St of Activities - GA Exp'!AW63</f>
        <v>0</v>
      </c>
      <c r="BC63" s="1">
        <f t="shared" si="1"/>
        <v>0</v>
      </c>
      <c r="BE63" s="1">
        <f>+'St of Net Assets - GA'!AA63-'St of Activities - GA Exp'!BC63</f>
        <v>0</v>
      </c>
    </row>
    <row r="64" spans="1:57">
      <c r="A64" s="17" t="s">
        <v>646</v>
      </c>
      <c r="B64" s="17"/>
      <c r="C64" s="17" t="s">
        <v>72</v>
      </c>
      <c r="D64" s="17"/>
      <c r="E64" s="13">
        <v>43638</v>
      </c>
      <c r="G64" s="1">
        <v>18600447</v>
      </c>
      <c r="H64" s="1"/>
      <c r="I64" s="1">
        <v>0</v>
      </c>
      <c r="J64" s="1"/>
      <c r="K64" s="1">
        <v>0</v>
      </c>
      <c r="L64" s="1"/>
      <c r="M64" s="1">
        <v>0</v>
      </c>
      <c r="N64" s="1"/>
      <c r="O64" s="1">
        <v>11294331</v>
      </c>
      <c r="P64" s="1"/>
      <c r="Q64" s="1">
        <v>0</v>
      </c>
      <c r="R64" s="1"/>
      <c r="S64" s="1">
        <v>0</v>
      </c>
      <c r="T64" s="1"/>
      <c r="U64" s="1">
        <v>0</v>
      </c>
      <c r="V64" s="1"/>
      <c r="W64" s="1">
        <v>0</v>
      </c>
      <c r="X64" s="1"/>
      <c r="Y64" s="1">
        <v>0</v>
      </c>
      <c r="Z64" s="1"/>
      <c r="AA64" s="1">
        <v>0</v>
      </c>
      <c r="AB64" s="1"/>
      <c r="AC64" s="1">
        <v>0</v>
      </c>
      <c r="AD64" s="1"/>
      <c r="AE64" s="1">
        <v>0</v>
      </c>
      <c r="AF64" s="1"/>
      <c r="AG64" s="1">
        <v>1247728</v>
      </c>
      <c r="AH64" s="1"/>
      <c r="AI64" s="1">
        <f>333668+9483</f>
        <v>343151</v>
      </c>
      <c r="AJ64" s="1"/>
      <c r="AK64" s="17" t="s">
        <v>646</v>
      </c>
      <c r="AL64" s="17"/>
      <c r="AM64" s="17" t="s">
        <v>72</v>
      </c>
      <c r="AN64" s="17"/>
      <c r="AO64" s="1">
        <v>811873</v>
      </c>
      <c r="AP64" s="1"/>
      <c r="AQ64" s="1">
        <v>1249566</v>
      </c>
      <c r="AR64" s="1"/>
      <c r="AS64" s="1"/>
      <c r="AT64" s="1"/>
      <c r="AU64" s="1">
        <f>367951+2138375</f>
        <v>2506326</v>
      </c>
      <c r="AV64" s="1"/>
      <c r="AW64" s="1">
        <f t="shared" si="0"/>
        <v>36053422</v>
      </c>
      <c r="AY64" s="1">
        <f>+'St of Activites - GA Rev'!AI64-'St of Activities - GA Exp'!AW64</f>
        <v>-1345705</v>
      </c>
      <c r="BA64" s="1">
        <f>18952743+191272</f>
        <v>19144015</v>
      </c>
      <c r="BC64" s="1">
        <f t="shared" si="1"/>
        <v>17798310</v>
      </c>
      <c r="BE64" s="1">
        <f>+'St of Net Assets - GA'!AA64-'St of Activities - GA Exp'!BC64</f>
        <v>0</v>
      </c>
    </row>
    <row r="65" spans="1:57" hidden="1">
      <c r="A65" s="12" t="s">
        <v>832</v>
      </c>
      <c r="B65" s="17"/>
      <c r="C65" s="17" t="s">
        <v>48</v>
      </c>
      <c r="D65" s="17"/>
      <c r="E65" s="13">
        <v>43646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2" t="s">
        <v>832</v>
      </c>
      <c r="AL65" s="17" t="s">
        <v>774</v>
      </c>
      <c r="AM65" s="17" t="s">
        <v>48</v>
      </c>
      <c r="AN65" s="17"/>
      <c r="AO65" s="1"/>
      <c r="AP65" s="1"/>
      <c r="AQ65" s="1"/>
      <c r="AR65" s="1"/>
      <c r="AS65" s="1"/>
      <c r="AT65" s="1"/>
      <c r="AU65" s="1"/>
      <c r="AV65" s="1"/>
      <c r="AW65" s="1">
        <f>SUM(G65:AV65)</f>
        <v>0</v>
      </c>
      <c r="AY65" s="1">
        <f>+'St of Activites - GA Rev'!AI65-'St of Activities - GA Exp'!AW65</f>
        <v>0</v>
      </c>
      <c r="BC65" s="1">
        <f>+AY65+BA65</f>
        <v>0</v>
      </c>
      <c r="BE65" s="1">
        <f>+'St of Net Assets - GA'!AA65-'St of Activities - GA Exp'!BC65</f>
        <v>0</v>
      </c>
    </row>
    <row r="66" spans="1:57">
      <c r="A66" s="17" t="s">
        <v>772</v>
      </c>
      <c r="B66" s="17"/>
      <c r="C66" s="17" t="s">
        <v>20</v>
      </c>
      <c r="D66" s="17"/>
      <c r="E66" s="13">
        <v>43646</v>
      </c>
      <c r="G66" s="1">
        <v>23757856</v>
      </c>
      <c r="H66" s="1"/>
      <c r="I66" s="1">
        <v>6926501</v>
      </c>
      <c r="J66" s="1"/>
      <c r="K66" s="1">
        <v>218442</v>
      </c>
      <c r="L66" s="1"/>
      <c r="M66" s="1">
        <f>19989+47725</f>
        <v>67714</v>
      </c>
      <c r="N66" s="1"/>
      <c r="O66" s="1">
        <v>3620756</v>
      </c>
      <c r="P66" s="1"/>
      <c r="Q66" s="1">
        <v>2949861</v>
      </c>
      <c r="R66" s="1"/>
      <c r="S66" s="1">
        <v>84986</v>
      </c>
      <c r="T66" s="1"/>
      <c r="U66" s="1">
        <v>3541133</v>
      </c>
      <c r="V66" s="1"/>
      <c r="W66" s="1">
        <v>1283385</v>
      </c>
      <c r="X66" s="1"/>
      <c r="Y66" s="1">
        <v>528197</v>
      </c>
      <c r="Z66" s="1"/>
      <c r="AA66" s="1">
        <v>4772089</v>
      </c>
      <c r="AB66" s="1"/>
      <c r="AC66" s="1">
        <v>3703173</v>
      </c>
      <c r="AD66" s="1"/>
      <c r="AE66" s="1">
        <v>255522</v>
      </c>
      <c r="AF66" s="1"/>
      <c r="AG66" s="1">
        <v>1711925</v>
      </c>
      <c r="AH66" s="1"/>
      <c r="AI66" s="1">
        <f>654884+398613</f>
        <v>1053497</v>
      </c>
      <c r="AJ66" s="1"/>
      <c r="AK66" s="17" t="s">
        <v>772</v>
      </c>
      <c r="AL66" s="17"/>
      <c r="AM66" s="17" t="s">
        <v>20</v>
      </c>
      <c r="AN66" s="17"/>
      <c r="AO66" s="1">
        <v>1191276</v>
      </c>
      <c r="AP66" s="1"/>
      <c r="AQ66" s="1">
        <v>1146401</v>
      </c>
      <c r="AR66" s="1"/>
      <c r="AS66" s="1"/>
      <c r="AT66" s="1"/>
      <c r="AU66" s="1">
        <v>0</v>
      </c>
      <c r="AV66" s="1"/>
      <c r="AW66" s="1">
        <f t="shared" si="0"/>
        <v>56812714</v>
      </c>
      <c r="AY66" s="1">
        <f>+'St of Activites - GA Rev'!AI66-'St of Activities - GA Exp'!AW66</f>
        <v>-404572</v>
      </c>
      <c r="BA66" s="1">
        <v>26207987</v>
      </c>
      <c r="BC66" s="1">
        <f t="shared" si="1"/>
        <v>25803415</v>
      </c>
      <c r="BE66" s="1">
        <f>+'St of Net Assets - GA'!AA66-'St of Activities - GA Exp'!BC66</f>
        <v>0</v>
      </c>
    </row>
    <row r="67" spans="1:57">
      <c r="A67" s="17" t="s">
        <v>220</v>
      </c>
      <c r="B67" s="17"/>
      <c r="C67" s="17" t="s">
        <v>15</v>
      </c>
      <c r="D67" s="17"/>
      <c r="E67" s="13">
        <v>45237</v>
      </c>
      <c r="G67" s="1">
        <v>4013992</v>
      </c>
      <c r="H67" s="1"/>
      <c r="I67" s="1">
        <v>1118469</v>
      </c>
      <c r="J67" s="1"/>
      <c r="K67" s="1">
        <v>43113</v>
      </c>
      <c r="L67" s="1"/>
      <c r="M67" s="1">
        <v>67519</v>
      </c>
      <c r="N67" s="1"/>
      <c r="O67" s="1">
        <v>176432</v>
      </c>
      <c r="P67" s="1"/>
      <c r="Q67" s="1">
        <v>374057</v>
      </c>
      <c r="R67" s="1"/>
      <c r="S67" s="1">
        <v>24498</v>
      </c>
      <c r="T67" s="1"/>
      <c r="U67" s="1">
        <v>587401</v>
      </c>
      <c r="V67" s="1"/>
      <c r="W67" s="1">
        <v>273535</v>
      </c>
      <c r="X67" s="1"/>
      <c r="Y67" s="1">
        <v>46478</v>
      </c>
      <c r="Z67" s="1"/>
      <c r="AA67" s="1">
        <v>835384</v>
      </c>
      <c r="AB67" s="1"/>
      <c r="AC67" s="1">
        <v>299602</v>
      </c>
      <c r="AD67" s="1"/>
      <c r="AE67" s="1">
        <v>11090</v>
      </c>
      <c r="AF67" s="1"/>
      <c r="AG67" s="1">
        <v>395188</v>
      </c>
      <c r="AH67" s="1"/>
      <c r="AI67" s="1">
        <v>74898</v>
      </c>
      <c r="AJ67" s="1"/>
      <c r="AK67" s="17" t="s">
        <v>220</v>
      </c>
      <c r="AL67" s="17"/>
      <c r="AM67" s="17" t="s">
        <v>15</v>
      </c>
      <c r="AN67" s="17"/>
      <c r="AO67" s="1">
        <v>142616</v>
      </c>
      <c r="AP67" s="1"/>
      <c r="AQ67" s="1">
        <v>209916</v>
      </c>
      <c r="AR67" s="1"/>
      <c r="AS67" s="1"/>
      <c r="AT67" s="1"/>
      <c r="AU67" s="1">
        <v>264024</v>
      </c>
      <c r="AV67" s="1"/>
      <c r="AW67" s="1">
        <f t="shared" si="0"/>
        <v>8958212</v>
      </c>
      <c r="AY67" s="1">
        <f>+'St of Activites - GA Rev'!AI67-'St of Activities - GA Exp'!AW67</f>
        <v>-59136</v>
      </c>
      <c r="BA67" s="1">
        <v>15794624</v>
      </c>
      <c r="BC67" s="1">
        <f t="shared" si="1"/>
        <v>15735488</v>
      </c>
      <c r="BE67" s="1">
        <f>+'St of Net Assets - GA'!AA67-'St of Activities - GA Exp'!BC67</f>
        <v>0</v>
      </c>
    </row>
    <row r="68" spans="1:57">
      <c r="A68" s="17" t="s">
        <v>394</v>
      </c>
      <c r="B68" s="17"/>
      <c r="C68" s="17" t="s">
        <v>395</v>
      </c>
      <c r="D68" s="17"/>
      <c r="E68" s="13">
        <v>47613</v>
      </c>
      <c r="G68" s="1">
        <v>4068646</v>
      </c>
      <c r="H68" s="1"/>
      <c r="I68" s="1">
        <v>941307</v>
      </c>
      <c r="J68" s="1"/>
      <c r="K68" s="1">
        <v>191305</v>
      </c>
      <c r="L68" s="1"/>
      <c r="M68" s="1">
        <v>61061</v>
      </c>
      <c r="N68" s="1"/>
      <c r="O68" s="1">
        <v>460788</v>
      </c>
      <c r="P68" s="1"/>
      <c r="Q68" s="1">
        <v>568340</v>
      </c>
      <c r="R68" s="1"/>
      <c r="S68" s="1">
        <v>47806</v>
      </c>
      <c r="T68" s="1"/>
      <c r="U68" s="1">
        <v>466654</v>
      </c>
      <c r="V68" s="1"/>
      <c r="W68" s="1">
        <v>305424</v>
      </c>
      <c r="X68" s="1"/>
      <c r="Y68" s="1">
        <v>4280</v>
      </c>
      <c r="Z68" s="1"/>
      <c r="AA68" s="1">
        <v>645870</v>
      </c>
      <c r="AB68" s="1"/>
      <c r="AC68" s="1">
        <v>737242</v>
      </c>
      <c r="AD68" s="1"/>
      <c r="AE68" s="1">
        <v>0</v>
      </c>
      <c r="AF68" s="1"/>
      <c r="AG68" s="1">
        <v>378519</v>
      </c>
      <c r="AH68" s="1"/>
      <c r="AI68" s="1">
        <v>406</v>
      </c>
      <c r="AJ68" s="1"/>
      <c r="AK68" s="17" t="s">
        <v>394</v>
      </c>
      <c r="AL68" s="17"/>
      <c r="AM68" s="17" t="s">
        <v>395</v>
      </c>
      <c r="AN68" s="17"/>
      <c r="AO68" s="1">
        <v>118508</v>
      </c>
      <c r="AP68" s="1"/>
      <c r="AQ68" s="1">
        <v>21334</v>
      </c>
      <c r="AR68" s="1"/>
      <c r="AS68" s="1"/>
      <c r="AT68" s="1"/>
      <c r="AU68" s="1">
        <v>0</v>
      </c>
      <c r="AV68" s="1"/>
      <c r="AW68" s="1">
        <f t="shared" si="0"/>
        <v>9017490</v>
      </c>
      <c r="AY68" s="1">
        <f>+'St of Activites - GA Rev'!AI68-'St of Activities - GA Exp'!AW68</f>
        <v>-549576</v>
      </c>
      <c r="BA68" s="1">
        <v>16301448</v>
      </c>
      <c r="BC68" s="1">
        <f t="shared" si="1"/>
        <v>15751872</v>
      </c>
      <c r="BE68" s="1">
        <f>+'St of Net Assets - GA'!AA68-'St of Activities - GA Exp'!BC68</f>
        <v>0</v>
      </c>
    </row>
    <row r="69" spans="1:57">
      <c r="A69" s="17" t="s">
        <v>600</v>
      </c>
      <c r="B69" s="17"/>
      <c r="C69" s="17" t="s">
        <v>64</v>
      </c>
      <c r="D69" s="17"/>
      <c r="E69" s="13">
        <v>50112</v>
      </c>
      <c r="G69" s="1">
        <v>3769307</v>
      </c>
      <c r="H69" s="1"/>
      <c r="I69" s="1">
        <v>740606</v>
      </c>
      <c r="J69" s="1"/>
      <c r="K69" s="1">
        <v>59989</v>
      </c>
      <c r="L69" s="1"/>
      <c r="M69" s="1">
        <v>2964</v>
      </c>
      <c r="N69" s="1"/>
      <c r="O69" s="1">
        <v>224659</v>
      </c>
      <c r="P69" s="1"/>
      <c r="Q69" s="1">
        <v>177645</v>
      </c>
      <c r="R69" s="1"/>
      <c r="S69" s="1">
        <v>26820</v>
      </c>
      <c r="T69" s="1"/>
      <c r="U69" s="1">
        <v>571836</v>
      </c>
      <c r="V69" s="1"/>
      <c r="W69" s="1">
        <v>217579</v>
      </c>
      <c r="X69" s="1"/>
      <c r="Y69" s="1">
        <v>26209</v>
      </c>
      <c r="Z69" s="1"/>
      <c r="AA69" s="1">
        <v>617164</v>
      </c>
      <c r="AB69" s="1"/>
      <c r="AC69" s="1">
        <v>423773</v>
      </c>
      <c r="AD69" s="1"/>
      <c r="AE69" s="1">
        <v>7658</v>
      </c>
      <c r="AF69" s="1"/>
      <c r="AG69" s="1">
        <v>225346</v>
      </c>
      <c r="AH69" s="1"/>
      <c r="AI69" s="1">
        <v>12083</v>
      </c>
      <c r="AJ69" s="1"/>
      <c r="AK69" s="17" t="s">
        <v>600</v>
      </c>
      <c r="AL69" s="17"/>
      <c r="AM69" s="17" t="s">
        <v>64</v>
      </c>
      <c r="AN69" s="17"/>
      <c r="AO69" s="1">
        <v>177285</v>
      </c>
      <c r="AP69" s="1"/>
      <c r="AQ69" s="1">
        <v>80783</v>
      </c>
      <c r="AR69" s="1"/>
      <c r="AS69" s="1"/>
      <c r="AT69" s="1"/>
      <c r="AU69" s="1">
        <v>0</v>
      </c>
      <c r="AV69" s="1"/>
      <c r="AW69" s="1">
        <f t="shared" si="0"/>
        <v>7361706</v>
      </c>
      <c r="AY69" s="1">
        <f>+'St of Activites - GA Rev'!AI69-'St of Activities - GA Exp'!AW69</f>
        <v>605253</v>
      </c>
      <c r="BA69" s="1">
        <v>9144889</v>
      </c>
      <c r="BC69" s="1">
        <f t="shared" si="1"/>
        <v>9750142</v>
      </c>
      <c r="BE69" s="1">
        <f>+'St of Net Assets - GA'!AA69-'St of Activities - GA Exp'!BC69</f>
        <v>0</v>
      </c>
    </row>
    <row r="70" spans="1:57" ht="12" customHeight="1">
      <c r="A70" s="12" t="s">
        <v>827</v>
      </c>
      <c r="B70" s="17"/>
      <c r="C70" s="17" t="s">
        <v>64</v>
      </c>
      <c r="D70" s="17"/>
      <c r="E70" s="13">
        <v>50120</v>
      </c>
      <c r="G70" s="1">
        <v>4903059</v>
      </c>
      <c r="H70" s="1"/>
      <c r="I70" s="1">
        <v>1822755</v>
      </c>
      <c r="J70" s="1"/>
      <c r="K70" s="1">
        <v>143306</v>
      </c>
      <c r="L70" s="1"/>
      <c r="M70" s="1">
        <v>0</v>
      </c>
      <c r="N70" s="1"/>
      <c r="O70" s="1">
        <v>469640</v>
      </c>
      <c r="P70" s="1"/>
      <c r="Q70" s="1">
        <v>329388</v>
      </c>
      <c r="R70" s="1"/>
      <c r="S70" s="1">
        <v>8108</v>
      </c>
      <c r="T70" s="1"/>
      <c r="U70" s="1">
        <v>813356</v>
      </c>
      <c r="V70" s="1"/>
      <c r="W70" s="1">
        <v>308462</v>
      </c>
      <c r="X70" s="1"/>
      <c r="Y70" s="1">
        <v>58739</v>
      </c>
      <c r="Z70" s="1"/>
      <c r="AA70" s="1">
        <v>1099864</v>
      </c>
      <c r="AB70" s="1"/>
      <c r="AC70" s="1">
        <v>616663</v>
      </c>
      <c r="AD70" s="1"/>
      <c r="AE70" s="1">
        <v>3175</v>
      </c>
      <c r="AF70" s="1"/>
      <c r="AG70" s="1">
        <v>582410</v>
      </c>
      <c r="AH70" s="1"/>
      <c r="AI70" s="1">
        <v>0</v>
      </c>
      <c r="AJ70" s="1"/>
      <c r="AK70" s="12" t="s">
        <v>827</v>
      </c>
      <c r="AL70" s="17"/>
      <c r="AM70" s="17" t="s">
        <v>64</v>
      </c>
      <c r="AN70" s="17"/>
      <c r="AO70" s="1">
        <v>320447</v>
      </c>
      <c r="AP70" s="1"/>
      <c r="AQ70" s="1">
        <v>709370</v>
      </c>
      <c r="AR70" s="1"/>
      <c r="AS70" s="1"/>
      <c r="AT70" s="1"/>
      <c r="AU70" s="1">
        <v>0</v>
      </c>
      <c r="AV70" s="1"/>
      <c r="AW70" s="1">
        <f>SUM(G70:AV70)</f>
        <v>12188742</v>
      </c>
      <c r="AY70" s="1">
        <f>+'St of Activites - GA Rev'!AI70-'St of Activities - GA Exp'!AW70</f>
        <v>426562</v>
      </c>
      <c r="BA70" s="1">
        <v>21416823</v>
      </c>
      <c r="BC70" s="1">
        <f t="shared" si="1"/>
        <v>21843385</v>
      </c>
      <c r="BE70" s="1">
        <f>+'St of Net Assets - GA'!AA70-'St of Activities - GA Exp'!BC70</f>
        <v>0</v>
      </c>
    </row>
    <row r="71" spans="1:57">
      <c r="A71" s="17" t="s">
        <v>284</v>
      </c>
      <c r="B71" s="17"/>
      <c r="C71" s="17" t="s">
        <v>20</v>
      </c>
      <c r="D71" s="17"/>
      <c r="E71" s="13">
        <v>43653</v>
      </c>
      <c r="G71" s="1">
        <v>7098922</v>
      </c>
      <c r="H71" s="1"/>
      <c r="I71" s="1">
        <v>2248610</v>
      </c>
      <c r="J71" s="1"/>
      <c r="K71" s="1">
        <v>116720</v>
      </c>
      <c r="L71" s="1"/>
      <c r="M71" s="1">
        <v>0</v>
      </c>
      <c r="N71" s="1"/>
      <c r="O71" s="1">
        <v>1406570</v>
      </c>
      <c r="P71" s="1"/>
      <c r="Q71" s="1">
        <v>92702</v>
      </c>
      <c r="R71" s="1"/>
      <c r="S71" s="1">
        <v>33659</v>
      </c>
      <c r="T71" s="1"/>
      <c r="U71" s="1">
        <v>1631179</v>
      </c>
      <c r="V71" s="1"/>
      <c r="W71" s="1">
        <v>649478</v>
      </c>
      <c r="X71" s="1"/>
      <c r="Y71" s="1">
        <v>98712</v>
      </c>
      <c r="Z71" s="1"/>
      <c r="AA71" s="1">
        <v>1282424</v>
      </c>
      <c r="AB71" s="1"/>
      <c r="AC71" s="1">
        <v>306132</v>
      </c>
      <c r="AD71" s="1"/>
      <c r="AE71" s="1">
        <v>118587</v>
      </c>
      <c r="AF71" s="1"/>
      <c r="AG71" s="1">
        <v>503980</v>
      </c>
      <c r="AH71" s="1"/>
      <c r="AI71" s="1">
        <v>355243</v>
      </c>
      <c r="AJ71" s="1"/>
      <c r="AK71" s="17" t="s">
        <v>284</v>
      </c>
      <c r="AL71" s="17"/>
      <c r="AM71" s="17" t="s">
        <v>20</v>
      </c>
      <c r="AN71" s="17"/>
      <c r="AO71" s="1">
        <v>431306</v>
      </c>
      <c r="AP71" s="1"/>
      <c r="AQ71" s="1">
        <v>0</v>
      </c>
      <c r="AR71" s="1"/>
      <c r="AS71" s="1"/>
      <c r="AT71" s="1"/>
      <c r="AU71" s="1">
        <v>366699</v>
      </c>
      <c r="AV71" s="1"/>
      <c r="AW71" s="1">
        <f t="shared" si="0"/>
        <v>16740923</v>
      </c>
      <c r="AY71" s="1">
        <f>+'St of Activites - GA Rev'!AI71-'St of Activities - GA Exp'!AW71</f>
        <v>866887</v>
      </c>
      <c r="BA71" s="1">
        <v>7551231</v>
      </c>
      <c r="BC71" s="1">
        <f t="shared" si="1"/>
        <v>8418118</v>
      </c>
      <c r="BE71" s="1">
        <f>+'St of Net Assets - GA'!AA71-'St of Activities - GA Exp'!BC71</f>
        <v>0</v>
      </c>
    </row>
    <row r="72" spans="1:57">
      <c r="A72" s="12" t="s">
        <v>828</v>
      </c>
      <c r="B72" s="17"/>
      <c r="C72" s="17" t="s">
        <v>50</v>
      </c>
      <c r="D72" s="17"/>
      <c r="E72" s="13">
        <v>48678</v>
      </c>
      <c r="G72" s="1">
        <v>6193263</v>
      </c>
      <c r="H72" s="1"/>
      <c r="I72" s="1">
        <v>1296892</v>
      </c>
      <c r="J72" s="1"/>
      <c r="K72" s="1">
        <v>185624</v>
      </c>
      <c r="L72" s="1"/>
      <c r="M72" s="1">
        <v>33921</v>
      </c>
      <c r="N72" s="1"/>
      <c r="O72" s="1">
        <v>894890</v>
      </c>
      <c r="P72" s="1"/>
      <c r="Q72" s="1">
        <v>1059747</v>
      </c>
      <c r="R72" s="1"/>
      <c r="S72" s="1">
        <v>28122</v>
      </c>
      <c r="T72" s="1"/>
      <c r="U72" s="1">
        <v>1385682</v>
      </c>
      <c r="V72" s="1"/>
      <c r="W72" s="1">
        <v>316297</v>
      </c>
      <c r="X72" s="1"/>
      <c r="Y72" s="1">
        <v>4835</v>
      </c>
      <c r="Z72" s="1"/>
      <c r="AA72" s="1">
        <v>1217112</v>
      </c>
      <c r="AB72" s="1"/>
      <c r="AC72" s="1">
        <v>649911</v>
      </c>
      <c r="AD72" s="1"/>
      <c r="AE72" s="1">
        <v>30128</v>
      </c>
      <c r="AF72" s="1"/>
      <c r="AG72" s="1">
        <v>766584</v>
      </c>
      <c r="AH72" s="1"/>
      <c r="AI72" s="1">
        <v>0</v>
      </c>
      <c r="AJ72" s="1"/>
      <c r="AK72" s="12" t="s">
        <v>828</v>
      </c>
      <c r="AL72" s="17"/>
      <c r="AM72" s="17" t="s">
        <v>50</v>
      </c>
      <c r="AN72" s="17"/>
      <c r="AO72" s="1">
        <v>619828</v>
      </c>
      <c r="AP72" s="1"/>
      <c r="AQ72" s="1">
        <v>957603</v>
      </c>
      <c r="AR72" s="1"/>
      <c r="AS72" s="1"/>
      <c r="AT72" s="1"/>
      <c r="AU72" s="1">
        <v>0</v>
      </c>
      <c r="AV72" s="1"/>
      <c r="AW72" s="1">
        <f t="shared" si="0"/>
        <v>15640439</v>
      </c>
      <c r="AY72" s="1">
        <f>+'St of Activites - GA Rev'!AI72-'St of Activities - GA Exp'!AW72</f>
        <v>371439</v>
      </c>
      <c r="BA72" s="1">
        <v>25334715</v>
      </c>
      <c r="BC72" s="1">
        <f t="shared" si="1"/>
        <v>25706154</v>
      </c>
      <c r="BE72" s="1">
        <f>+'St of Net Assets - GA'!AA72-'St of Activities - GA Exp'!BC72</f>
        <v>0</v>
      </c>
    </row>
    <row r="73" spans="1:57">
      <c r="A73" s="17" t="s">
        <v>237</v>
      </c>
      <c r="B73" s="17"/>
      <c r="C73" s="17" t="s">
        <v>16</v>
      </c>
      <c r="D73" s="17"/>
      <c r="E73" s="13">
        <v>46177</v>
      </c>
      <c r="G73" s="1">
        <v>4006648</v>
      </c>
      <c r="H73" s="1"/>
      <c r="I73" s="1">
        <v>487132</v>
      </c>
      <c r="J73" s="1"/>
      <c r="K73" s="1">
        <v>53883</v>
      </c>
      <c r="L73" s="1"/>
      <c r="M73" s="1">
        <v>0</v>
      </c>
      <c r="N73" s="1"/>
      <c r="O73" s="1">
        <v>244918</v>
      </c>
      <c r="P73" s="1"/>
      <c r="Q73" s="1">
        <v>362591</v>
      </c>
      <c r="R73" s="1"/>
      <c r="S73" s="1">
        <v>197633</v>
      </c>
      <c r="T73" s="1"/>
      <c r="U73" s="1">
        <v>590802</v>
      </c>
      <c r="V73" s="1"/>
      <c r="W73" s="1">
        <v>150307</v>
      </c>
      <c r="X73" s="1"/>
      <c r="Y73" s="1">
        <v>5234</v>
      </c>
      <c r="Z73" s="1"/>
      <c r="AA73" s="1">
        <v>539502</v>
      </c>
      <c r="AB73" s="1"/>
      <c r="AC73" s="1">
        <v>332923</v>
      </c>
      <c r="AD73" s="1"/>
      <c r="AE73" s="1">
        <v>10430</v>
      </c>
      <c r="AF73" s="1"/>
      <c r="AG73" s="1">
        <v>336204</v>
      </c>
      <c r="AH73" s="1"/>
      <c r="AI73" s="1">
        <v>0</v>
      </c>
      <c r="AJ73" s="1"/>
      <c r="AK73" s="17" t="s">
        <v>237</v>
      </c>
      <c r="AL73" s="17"/>
      <c r="AM73" s="17" t="s">
        <v>16</v>
      </c>
      <c r="AN73" s="17"/>
      <c r="AO73" s="1">
        <v>291631</v>
      </c>
      <c r="AP73" s="1"/>
      <c r="AQ73" s="1">
        <v>3422</v>
      </c>
      <c r="AR73" s="1"/>
      <c r="AS73" s="1"/>
      <c r="AT73" s="1"/>
      <c r="AU73" s="1">
        <v>0</v>
      </c>
      <c r="AV73" s="1"/>
      <c r="AW73" s="1">
        <f t="shared" si="0"/>
        <v>7613260</v>
      </c>
      <c r="AY73" s="1">
        <f>+'St of Activites - GA Rev'!AI73-'St of Activities - GA Exp'!AW73</f>
        <v>-164645</v>
      </c>
      <c r="BA73" s="1">
        <v>4643159</v>
      </c>
      <c r="BC73" s="1">
        <f t="shared" si="1"/>
        <v>4478514</v>
      </c>
      <c r="BE73" s="1">
        <f>+'St of Net Assets - GA'!AA73-'St of Activities - GA Exp'!BC73</f>
        <v>0</v>
      </c>
    </row>
    <row r="74" spans="1:57">
      <c r="A74" s="17" t="s">
        <v>479</v>
      </c>
      <c r="B74" s="17"/>
      <c r="C74" s="17" t="s">
        <v>47</v>
      </c>
      <c r="D74" s="17"/>
      <c r="E74" s="13">
        <v>43661</v>
      </c>
      <c r="G74" s="1">
        <v>31145458</v>
      </c>
      <c r="H74" s="1"/>
      <c r="I74" s="1">
        <v>7830635</v>
      </c>
      <c r="J74" s="1"/>
      <c r="K74" s="1">
        <v>168382</v>
      </c>
      <c r="L74" s="1"/>
      <c r="M74" s="1">
        <v>1755908</v>
      </c>
      <c r="N74" s="1"/>
      <c r="O74" s="1">
        <v>5664838</v>
      </c>
      <c r="P74" s="1"/>
      <c r="Q74" s="1">
        <v>3081895</v>
      </c>
      <c r="R74" s="1"/>
      <c r="S74" s="1">
        <v>732256</v>
      </c>
      <c r="T74" s="1"/>
      <c r="U74" s="1">
        <v>4691986</v>
      </c>
      <c r="V74" s="1"/>
      <c r="W74" s="1">
        <v>576992</v>
      </c>
      <c r="X74" s="1"/>
      <c r="Y74" s="1">
        <v>442661</v>
      </c>
      <c r="Z74" s="1"/>
      <c r="AA74" s="1">
        <v>6430953</v>
      </c>
      <c r="AB74" s="1"/>
      <c r="AC74" s="1">
        <v>4951195</v>
      </c>
      <c r="AD74" s="1"/>
      <c r="AE74" s="1">
        <v>260603</v>
      </c>
      <c r="AF74" s="1"/>
      <c r="AG74" s="1">
        <v>2164845</v>
      </c>
      <c r="AH74" s="1"/>
      <c r="AI74" s="1">
        <v>445843</v>
      </c>
      <c r="AJ74" s="1"/>
      <c r="AK74" s="17" t="s">
        <v>479</v>
      </c>
      <c r="AL74" s="17"/>
      <c r="AM74" s="17" t="s">
        <v>47</v>
      </c>
      <c r="AN74" s="17"/>
      <c r="AO74" s="1">
        <v>1719088</v>
      </c>
      <c r="AP74" s="1"/>
      <c r="AQ74" s="1">
        <v>903728</v>
      </c>
      <c r="AR74" s="1"/>
      <c r="AS74" s="1"/>
      <c r="AT74" s="1"/>
      <c r="AU74" s="1">
        <v>0</v>
      </c>
      <c r="AV74" s="1"/>
      <c r="AW74" s="1">
        <f t="shared" si="0"/>
        <v>72967266</v>
      </c>
      <c r="AY74" s="1">
        <f>+'St of Activites - GA Rev'!AI74-'St of Activities - GA Exp'!AW74</f>
        <v>5569900</v>
      </c>
      <c r="BA74" s="1">
        <v>8045526</v>
      </c>
      <c r="BC74" s="1">
        <f t="shared" si="1"/>
        <v>13615426</v>
      </c>
      <c r="BE74" s="1">
        <f>+'St of Net Assets - GA'!AA74-'St of Activities - GA Exp'!BC74</f>
        <v>0</v>
      </c>
    </row>
    <row r="75" spans="1:57" ht="12" hidden="1" customHeight="1">
      <c r="A75" s="12" t="s">
        <v>829</v>
      </c>
      <c r="B75" s="17"/>
      <c r="C75" s="17" t="s">
        <v>643</v>
      </c>
      <c r="D75" s="17"/>
      <c r="E75" s="13">
        <v>43679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2" t="s">
        <v>829</v>
      </c>
      <c r="AL75" s="17"/>
      <c r="AM75" s="17" t="s">
        <v>643</v>
      </c>
      <c r="AN75" s="17"/>
      <c r="AO75" s="1"/>
      <c r="AP75" s="1"/>
      <c r="AQ75" s="1"/>
      <c r="AR75" s="1"/>
      <c r="AS75" s="1"/>
      <c r="AT75" s="1"/>
      <c r="AU75" s="1"/>
      <c r="AV75" s="1"/>
      <c r="AW75" s="1">
        <f t="shared" si="0"/>
        <v>0</v>
      </c>
      <c r="AY75" s="1">
        <f>+'St of Activites - GA Rev'!AI75-'St of Activities - GA Exp'!AW75</f>
        <v>0</v>
      </c>
      <c r="BC75" s="1">
        <f t="shared" si="1"/>
        <v>0</v>
      </c>
      <c r="BE75" s="1">
        <f>+'St of Net Assets - GA'!AA75-'St of Activities - GA Exp'!BC75</f>
        <v>0</v>
      </c>
    </row>
    <row r="76" spans="1:57">
      <c r="A76" s="17" t="s">
        <v>275</v>
      </c>
      <c r="B76" s="17"/>
      <c r="C76" s="17" t="s">
        <v>113</v>
      </c>
      <c r="D76" s="17"/>
      <c r="E76" s="13">
        <v>46508</v>
      </c>
      <c r="G76" s="1">
        <v>5726747</v>
      </c>
      <c r="H76" s="1"/>
      <c r="I76" s="1">
        <v>937678</v>
      </c>
      <c r="J76" s="1"/>
      <c r="K76" s="1">
        <v>135328</v>
      </c>
      <c r="L76" s="1"/>
      <c r="M76" s="1">
        <v>6775</v>
      </c>
      <c r="N76" s="1"/>
      <c r="O76" s="1">
        <v>225933</v>
      </c>
      <c r="P76" s="1"/>
      <c r="Q76" s="1">
        <v>318137</v>
      </c>
      <c r="R76" s="1"/>
      <c r="S76" s="1">
        <v>23247</v>
      </c>
      <c r="T76" s="1"/>
      <c r="U76" s="1">
        <v>1002732</v>
      </c>
      <c r="V76" s="1"/>
      <c r="W76" s="1">
        <v>330285</v>
      </c>
      <c r="X76" s="1"/>
      <c r="Y76" s="1">
        <v>14622</v>
      </c>
      <c r="Z76" s="1"/>
      <c r="AA76" s="1">
        <v>713117</v>
      </c>
      <c r="AB76" s="1"/>
      <c r="AC76" s="1">
        <v>653794</v>
      </c>
      <c r="AD76" s="1"/>
      <c r="AE76" s="1">
        <v>64536</v>
      </c>
      <c r="AF76" s="1"/>
      <c r="AG76" s="1">
        <v>351268</v>
      </c>
      <c r="AH76" s="1"/>
      <c r="AI76" s="1">
        <v>176985</v>
      </c>
      <c r="AJ76" s="1"/>
      <c r="AK76" s="17" t="s">
        <v>275</v>
      </c>
      <c r="AL76" s="17"/>
      <c r="AM76" s="17" t="s">
        <v>113</v>
      </c>
      <c r="AN76" s="17"/>
      <c r="AO76" s="1">
        <v>537790</v>
      </c>
      <c r="AP76" s="1"/>
      <c r="AQ76" s="1">
        <v>392684</v>
      </c>
      <c r="AR76" s="1"/>
      <c r="AS76" s="1"/>
      <c r="AT76" s="1"/>
      <c r="AU76" s="1">
        <v>0</v>
      </c>
      <c r="AV76" s="1"/>
      <c r="AW76" s="1">
        <f t="shared" si="0"/>
        <v>11611658</v>
      </c>
      <c r="AY76" s="1">
        <f>+'St of Activites - GA Rev'!AI76-'St of Activities - GA Exp'!AW76</f>
        <v>-1598474</v>
      </c>
      <c r="BA76" s="1">
        <v>21769942</v>
      </c>
      <c r="BC76" s="1">
        <f t="shared" si="1"/>
        <v>20171468</v>
      </c>
      <c r="BE76" s="1">
        <f>+'St of Net Assets - GA'!AA76-'St of Activities - GA Exp'!BC76</f>
        <v>0</v>
      </c>
    </row>
    <row r="77" spans="1:57">
      <c r="A77" s="17" t="s">
        <v>209</v>
      </c>
      <c r="B77" s="17"/>
      <c r="C77" s="17" t="s">
        <v>12</v>
      </c>
      <c r="D77" s="17"/>
      <c r="E77" s="13">
        <v>45856</v>
      </c>
      <c r="G77" s="1">
        <v>10562667</v>
      </c>
      <c r="H77" s="1"/>
      <c r="I77" s="1">
        <v>1940735</v>
      </c>
      <c r="J77" s="1"/>
      <c r="K77" s="1">
        <v>246290</v>
      </c>
      <c r="L77" s="1"/>
      <c r="M77" s="1">
        <v>4495</v>
      </c>
      <c r="N77" s="1"/>
      <c r="O77" s="1">
        <v>607464</v>
      </c>
      <c r="P77" s="1"/>
      <c r="Q77" s="1">
        <v>411145</v>
      </c>
      <c r="R77" s="1"/>
      <c r="S77" s="1">
        <v>27720</v>
      </c>
      <c r="T77" s="1"/>
      <c r="U77" s="1">
        <v>1333438</v>
      </c>
      <c r="V77" s="1"/>
      <c r="W77" s="1">
        <v>524620</v>
      </c>
      <c r="X77" s="1"/>
      <c r="Y77" s="1">
        <v>95780</v>
      </c>
      <c r="Z77" s="1"/>
      <c r="AA77" s="1">
        <v>2057929</v>
      </c>
      <c r="AB77" s="1"/>
      <c r="AC77" s="1">
        <v>1361788</v>
      </c>
      <c r="AD77" s="1"/>
      <c r="AE77" s="1">
        <v>43667</v>
      </c>
      <c r="AF77" s="1"/>
      <c r="AG77" s="1">
        <v>869208</v>
      </c>
      <c r="AH77" s="1"/>
      <c r="AI77" s="1">
        <v>6652</v>
      </c>
      <c r="AJ77" s="1"/>
      <c r="AK77" s="17" t="s">
        <v>209</v>
      </c>
      <c r="AL77" s="17"/>
      <c r="AM77" s="17" t="s">
        <v>12</v>
      </c>
      <c r="AN77" s="17"/>
      <c r="AO77" s="1">
        <v>486371</v>
      </c>
      <c r="AP77" s="1"/>
      <c r="AQ77" s="1">
        <v>23773</v>
      </c>
      <c r="AR77" s="1"/>
      <c r="AS77" s="1"/>
      <c r="AT77" s="1"/>
      <c r="AU77" s="1">
        <v>0</v>
      </c>
      <c r="AV77" s="1"/>
      <c r="AW77" s="1">
        <f t="shared" si="0"/>
        <v>20603742</v>
      </c>
      <c r="AY77" s="1">
        <f>+'St of Activites - GA Rev'!AI77-'St of Activities - GA Exp'!AW77</f>
        <v>307459</v>
      </c>
      <c r="BA77" s="1">
        <v>7663657</v>
      </c>
      <c r="BC77" s="1">
        <f t="shared" si="1"/>
        <v>7971116</v>
      </c>
      <c r="BE77" s="1">
        <f>+'St of Net Assets - GA'!AA77-'St of Activities - GA Exp'!BC77</f>
        <v>0</v>
      </c>
    </row>
    <row r="78" spans="1:57">
      <c r="A78" s="17" t="s">
        <v>209</v>
      </c>
      <c r="B78" s="17"/>
      <c r="C78" s="17" t="s">
        <v>39</v>
      </c>
      <c r="D78" s="17"/>
      <c r="E78" s="13">
        <v>47787</v>
      </c>
      <c r="G78" s="1">
        <v>9050177</v>
      </c>
      <c r="H78" s="1"/>
      <c r="I78" s="1">
        <v>2562906</v>
      </c>
      <c r="J78" s="1"/>
      <c r="K78" s="1">
        <v>779782</v>
      </c>
      <c r="L78" s="1"/>
      <c r="M78" s="1">
        <v>288768</v>
      </c>
      <c r="N78" s="1"/>
      <c r="O78" s="1">
        <v>761388</v>
      </c>
      <c r="P78" s="1"/>
      <c r="Q78" s="1">
        <v>984795</v>
      </c>
      <c r="R78" s="1"/>
      <c r="S78" s="1">
        <v>137800</v>
      </c>
      <c r="T78" s="1"/>
      <c r="U78" s="1">
        <v>1916671</v>
      </c>
      <c r="V78" s="1"/>
      <c r="W78" s="1">
        <v>440914</v>
      </c>
      <c r="X78" s="1"/>
      <c r="Y78" s="1">
        <v>39536</v>
      </c>
      <c r="Z78" s="1"/>
      <c r="AA78" s="1">
        <v>2106273</v>
      </c>
      <c r="AB78" s="1"/>
      <c r="AC78" s="1">
        <v>1733443</v>
      </c>
      <c r="AD78" s="1"/>
      <c r="AE78" s="1">
        <v>0</v>
      </c>
      <c r="AF78" s="1"/>
      <c r="AG78" s="1">
        <v>1014758</v>
      </c>
      <c r="AH78" s="1"/>
      <c r="AI78" s="1">
        <v>11227</v>
      </c>
      <c r="AJ78" s="1"/>
      <c r="AK78" s="17" t="s">
        <v>209</v>
      </c>
      <c r="AL78" s="17"/>
      <c r="AM78" s="17" t="s">
        <v>39</v>
      </c>
      <c r="AN78" s="17"/>
      <c r="AO78" s="1">
        <v>427331</v>
      </c>
      <c r="AP78" s="1"/>
      <c r="AQ78" s="1">
        <v>72500</v>
      </c>
      <c r="AR78" s="1"/>
      <c r="AS78" s="1"/>
      <c r="AT78" s="1"/>
      <c r="AU78" s="1">
        <v>0</v>
      </c>
      <c r="AV78" s="1"/>
      <c r="AW78" s="1">
        <f t="shared" si="0"/>
        <v>22328269</v>
      </c>
      <c r="AY78" s="1">
        <f>+'St of Activites - GA Rev'!AI78-'St of Activities - GA Exp'!AW78</f>
        <v>521600</v>
      </c>
      <c r="BA78" s="1">
        <v>7562216</v>
      </c>
      <c r="BC78" s="1">
        <f t="shared" si="1"/>
        <v>8083816</v>
      </c>
      <c r="BE78" s="1">
        <f>+'St of Net Assets - GA'!AA78-'St of Activities - GA Exp'!BC78</f>
        <v>0</v>
      </c>
    </row>
    <row r="79" spans="1:57" ht="12" customHeight="1">
      <c r="A79" s="12" t="s">
        <v>830</v>
      </c>
      <c r="B79" s="17"/>
      <c r="C79" s="17" t="s">
        <v>47</v>
      </c>
      <c r="D79" s="17"/>
      <c r="E79" s="13">
        <v>48470</v>
      </c>
      <c r="G79" s="1">
        <v>9821791</v>
      </c>
      <c r="H79" s="1"/>
      <c r="I79" s="1">
        <v>2383995</v>
      </c>
      <c r="J79" s="1"/>
      <c r="K79" s="1">
        <v>225885</v>
      </c>
      <c r="L79" s="1"/>
      <c r="M79" s="1">
        <v>547575</v>
      </c>
      <c r="N79" s="1"/>
      <c r="O79" s="1">
        <v>1103431</v>
      </c>
      <c r="P79" s="1"/>
      <c r="Q79" s="1">
        <v>1292824</v>
      </c>
      <c r="R79" s="1"/>
      <c r="S79" s="1">
        <v>34238</v>
      </c>
      <c r="T79" s="1"/>
      <c r="U79" s="1">
        <v>1920011</v>
      </c>
      <c r="V79" s="1"/>
      <c r="W79" s="1">
        <v>214946</v>
      </c>
      <c r="X79" s="1"/>
      <c r="Y79" s="1">
        <v>35787</v>
      </c>
      <c r="Z79" s="1"/>
      <c r="AA79" s="1">
        <v>1764223</v>
      </c>
      <c r="AB79" s="1"/>
      <c r="AC79" s="1">
        <v>1587550</v>
      </c>
      <c r="AD79" s="1"/>
      <c r="AE79" s="1">
        <v>44292</v>
      </c>
      <c r="AF79" s="1"/>
      <c r="AG79" s="1">
        <v>626408</v>
      </c>
      <c r="AH79" s="1"/>
      <c r="AI79" s="1">
        <v>35301</v>
      </c>
      <c r="AJ79" s="1"/>
      <c r="AK79" s="12" t="s">
        <v>830</v>
      </c>
      <c r="AL79" s="17"/>
      <c r="AM79" s="17" t="s">
        <v>47</v>
      </c>
      <c r="AN79" s="17"/>
      <c r="AO79" s="1">
        <v>721326</v>
      </c>
      <c r="AP79" s="1"/>
      <c r="AQ79" s="1">
        <v>1340647</v>
      </c>
      <c r="AR79" s="1"/>
      <c r="AS79" s="1"/>
      <c r="AT79" s="1"/>
      <c r="AU79" s="1">
        <v>0</v>
      </c>
      <c r="AV79" s="1"/>
      <c r="AW79" s="1">
        <f t="shared" ref="AW79:AW90" si="2">SUM(G79:AV79)</f>
        <v>23700230</v>
      </c>
      <c r="AY79" s="1">
        <f>+'St of Activites - GA Rev'!AI79-'St of Activities - GA Exp'!AW79</f>
        <v>244456</v>
      </c>
      <c r="BA79" s="1">
        <v>10656437</v>
      </c>
      <c r="BC79" s="1">
        <f t="shared" ref="BC79:BC91" si="3">+AY79+BA79</f>
        <v>10900893</v>
      </c>
      <c r="BE79" s="1">
        <f>+'St of Net Assets - GA'!AA79-'St of Activities - GA Exp'!BC79</f>
        <v>0</v>
      </c>
    </row>
    <row r="80" spans="1:57" ht="12" customHeight="1">
      <c r="A80" s="1" t="s">
        <v>775</v>
      </c>
      <c r="B80" s="17"/>
      <c r="C80" s="17" t="s">
        <v>114</v>
      </c>
      <c r="D80" s="17"/>
      <c r="E80" s="13">
        <v>46755</v>
      </c>
      <c r="G80" s="1">
        <f>3860230+1358401</f>
        <v>5218631</v>
      </c>
      <c r="H80" s="1"/>
      <c r="I80" s="1">
        <v>0</v>
      </c>
      <c r="J80" s="1"/>
      <c r="K80" s="1">
        <v>0</v>
      </c>
      <c r="L80" s="1"/>
      <c r="M80" s="1">
        <v>0</v>
      </c>
      <c r="N80" s="1"/>
      <c r="O80" s="1">
        <v>2233005</v>
      </c>
      <c r="P80" s="1"/>
      <c r="Q80" s="1">
        <v>0</v>
      </c>
      <c r="R80" s="1"/>
      <c r="S80" s="1">
        <v>0</v>
      </c>
      <c r="T80" s="1"/>
      <c r="U80" s="1">
        <v>0</v>
      </c>
      <c r="V80" s="1"/>
      <c r="W80" s="1">
        <v>0</v>
      </c>
      <c r="X80" s="1"/>
      <c r="Y80" s="1">
        <v>0</v>
      </c>
      <c r="Z80" s="1"/>
      <c r="AA80" s="1">
        <v>0</v>
      </c>
      <c r="AB80" s="1"/>
      <c r="AC80" s="1">
        <v>0</v>
      </c>
      <c r="AD80" s="1"/>
      <c r="AE80" s="1">
        <v>0</v>
      </c>
      <c r="AF80" s="1"/>
      <c r="AG80" s="1">
        <v>0</v>
      </c>
      <c r="AH80" s="1"/>
      <c r="AI80" s="1">
        <v>2589745</v>
      </c>
      <c r="AJ80" s="1"/>
      <c r="AK80" s="17" t="s">
        <v>775</v>
      </c>
      <c r="AL80" s="17"/>
      <c r="AM80" s="17" t="s">
        <v>114</v>
      </c>
      <c r="AN80" s="17"/>
      <c r="AO80" s="1">
        <v>0</v>
      </c>
      <c r="AP80" s="1"/>
      <c r="AQ80" s="1">
        <f>970935+86564</f>
        <v>1057499</v>
      </c>
      <c r="AR80" s="1"/>
      <c r="AS80" s="1"/>
      <c r="AT80" s="1"/>
      <c r="AU80" s="1">
        <f>50098+88</f>
        <v>50186</v>
      </c>
      <c r="AV80" s="1"/>
      <c r="AW80" s="1">
        <f t="shared" si="2"/>
        <v>11149066</v>
      </c>
      <c r="AY80" s="1">
        <f>+'St of Activites - GA Rev'!AI80-'St of Activities - GA Exp'!AW80</f>
        <v>298144</v>
      </c>
      <c r="BA80" s="1">
        <v>3169819</v>
      </c>
      <c r="BC80" s="1">
        <f t="shared" si="3"/>
        <v>3467963</v>
      </c>
      <c r="BE80" s="1">
        <f>+'St of Net Assets - GA'!AA80-'St of Activities - GA Exp'!BC80</f>
        <v>0</v>
      </c>
    </row>
    <row r="81" spans="1:57" ht="12" customHeight="1">
      <c r="A81" s="17" t="s">
        <v>312</v>
      </c>
      <c r="B81" s="17"/>
      <c r="C81" s="17" t="s">
        <v>23</v>
      </c>
      <c r="D81" s="17"/>
      <c r="E81" s="13">
        <v>46755</v>
      </c>
      <c r="G81" s="1">
        <v>11545846</v>
      </c>
      <c r="H81" s="1"/>
      <c r="I81" s="1">
        <v>2200102</v>
      </c>
      <c r="J81" s="1"/>
      <c r="K81" s="1">
        <v>290135</v>
      </c>
      <c r="L81" s="1"/>
      <c r="M81" s="1">
        <v>16562</v>
      </c>
      <c r="N81" s="1"/>
      <c r="O81" s="1">
        <v>2256191</v>
      </c>
      <c r="P81" s="1"/>
      <c r="Q81" s="1">
        <v>537630</v>
      </c>
      <c r="R81" s="1"/>
      <c r="S81" s="1">
        <v>169459</v>
      </c>
      <c r="T81" s="1"/>
      <c r="U81" s="1">
        <v>2092564</v>
      </c>
      <c r="V81" s="1"/>
      <c r="W81" s="1">
        <v>594962</v>
      </c>
      <c r="X81" s="1"/>
      <c r="Y81" s="1">
        <v>0</v>
      </c>
      <c r="Z81" s="1"/>
      <c r="AA81" s="1">
        <v>2436355</v>
      </c>
      <c r="AB81" s="1"/>
      <c r="AC81" s="1">
        <v>1755888</v>
      </c>
      <c r="AD81" s="1"/>
      <c r="AE81" s="1">
        <v>38814</v>
      </c>
      <c r="AF81" s="1"/>
      <c r="AG81" s="1">
        <v>797893</v>
      </c>
      <c r="AH81" s="1"/>
      <c r="AI81" s="1">
        <v>27482</v>
      </c>
      <c r="AJ81" s="1"/>
      <c r="AK81" s="17" t="s">
        <v>312</v>
      </c>
      <c r="AL81" s="17"/>
      <c r="AM81" s="17" t="s">
        <v>23</v>
      </c>
      <c r="AN81" s="17"/>
      <c r="AO81" s="1">
        <v>531492</v>
      </c>
      <c r="AP81" s="1"/>
      <c r="AQ81" s="1">
        <v>1308339</v>
      </c>
      <c r="AR81" s="1"/>
      <c r="AS81" s="1"/>
      <c r="AT81" s="1"/>
      <c r="AU81" s="1">
        <v>0</v>
      </c>
      <c r="AV81" s="1"/>
      <c r="AW81" s="1">
        <f t="shared" si="2"/>
        <v>26599714</v>
      </c>
      <c r="AY81" s="1">
        <f>+'St of Activites - GA Rev'!AI81-'St of Activities - GA Exp'!AW81</f>
        <v>-50476</v>
      </c>
      <c r="BA81" s="1">
        <v>14009779</v>
      </c>
      <c r="BC81" s="1">
        <f t="shared" si="3"/>
        <v>13959303</v>
      </c>
      <c r="BE81" s="1">
        <f>+'St of Net Assets - GA'!AA81-'St of Activities - GA Exp'!BC81</f>
        <v>0</v>
      </c>
    </row>
    <row r="82" spans="1:57">
      <c r="A82" s="17" t="s">
        <v>276</v>
      </c>
      <c r="B82" s="17"/>
      <c r="C82" s="17" t="s">
        <v>113</v>
      </c>
      <c r="D82" s="17"/>
      <c r="E82" s="13">
        <v>43687</v>
      </c>
      <c r="G82" s="1">
        <v>9650619</v>
      </c>
      <c r="H82" s="1"/>
      <c r="I82" s="1">
        <v>2247686</v>
      </c>
      <c r="J82" s="1"/>
      <c r="K82" s="1">
        <v>315077</v>
      </c>
      <c r="L82" s="1"/>
      <c r="M82" s="1">
        <v>0</v>
      </c>
      <c r="N82" s="1"/>
      <c r="O82" s="1">
        <v>1095979</v>
      </c>
      <c r="P82" s="1"/>
      <c r="Q82" s="1">
        <v>1380855</v>
      </c>
      <c r="R82" s="1"/>
      <c r="S82" s="1">
        <v>94409</v>
      </c>
      <c r="T82" s="1"/>
      <c r="U82" s="1">
        <v>1527049</v>
      </c>
      <c r="V82" s="1"/>
      <c r="W82" s="1">
        <v>532309</v>
      </c>
      <c r="X82" s="1"/>
      <c r="Y82" s="1">
        <v>307776</v>
      </c>
      <c r="Z82" s="1"/>
      <c r="AA82" s="1">
        <v>1533562</v>
      </c>
      <c r="AB82" s="1"/>
      <c r="AC82" s="1">
        <v>356279</v>
      </c>
      <c r="AD82" s="1"/>
      <c r="AE82" s="1">
        <v>263410</v>
      </c>
      <c r="AF82" s="1"/>
      <c r="AG82" s="1">
        <v>1506297</v>
      </c>
      <c r="AH82" s="1"/>
      <c r="AI82" s="1">
        <v>0</v>
      </c>
      <c r="AJ82" s="1"/>
      <c r="AK82" s="17" t="s">
        <v>276</v>
      </c>
      <c r="AL82" s="17"/>
      <c r="AM82" s="17" t="s">
        <v>113</v>
      </c>
      <c r="AN82" s="17"/>
      <c r="AO82" s="1">
        <v>485669</v>
      </c>
      <c r="AP82" s="1"/>
      <c r="AQ82" s="1">
        <v>564109</v>
      </c>
      <c r="AR82" s="1"/>
      <c r="AS82" s="1"/>
      <c r="AT82" s="1"/>
      <c r="AU82" s="1">
        <v>0</v>
      </c>
      <c r="AV82" s="1"/>
      <c r="AW82" s="1">
        <f t="shared" si="2"/>
        <v>21861085</v>
      </c>
      <c r="AY82" s="1">
        <f>+'St of Activites - GA Rev'!AI82-'St of Activities - GA Exp'!AW82</f>
        <v>-2860578</v>
      </c>
      <c r="BA82" s="1">
        <v>36851797</v>
      </c>
      <c r="BC82" s="1">
        <f t="shared" si="3"/>
        <v>33991219</v>
      </c>
      <c r="BE82" s="1">
        <f>+'St of Net Assets - GA'!AA82-'St of Activities - GA Exp'!BC82</f>
        <v>0</v>
      </c>
    </row>
    <row r="83" spans="1:57">
      <c r="A83" s="17" t="s">
        <v>517</v>
      </c>
      <c r="B83" s="17"/>
      <c r="C83" s="17" t="s">
        <v>52</v>
      </c>
      <c r="D83" s="17"/>
      <c r="E83" s="13">
        <v>45252</v>
      </c>
      <c r="G83" s="1">
        <v>4492493</v>
      </c>
      <c r="H83" s="1"/>
      <c r="I83" s="1">
        <v>850164</v>
      </c>
      <c r="J83" s="1"/>
      <c r="K83" s="1">
        <v>84991</v>
      </c>
      <c r="L83" s="1"/>
      <c r="M83" s="1">
        <f>4977+2071</f>
        <v>7048</v>
      </c>
      <c r="N83" s="1"/>
      <c r="O83" s="1">
        <v>572650</v>
      </c>
      <c r="P83" s="1"/>
      <c r="Q83" s="1">
        <v>523160</v>
      </c>
      <c r="R83" s="1"/>
      <c r="S83" s="1">
        <v>44086</v>
      </c>
      <c r="T83" s="1"/>
      <c r="U83" s="1">
        <v>735739</v>
      </c>
      <c r="V83" s="1"/>
      <c r="W83" s="1">
        <v>361088</v>
      </c>
      <c r="X83" s="1"/>
      <c r="Y83" s="1">
        <v>0</v>
      </c>
      <c r="Z83" s="1"/>
      <c r="AA83" s="1">
        <v>500494</v>
      </c>
      <c r="AB83" s="1"/>
      <c r="AC83" s="1">
        <v>628818</v>
      </c>
      <c r="AD83" s="1"/>
      <c r="AE83" s="1">
        <v>5000</v>
      </c>
      <c r="AF83" s="1"/>
      <c r="AG83" s="1">
        <v>428962</v>
      </c>
      <c r="AH83" s="1"/>
      <c r="AI83" s="1">
        <v>0</v>
      </c>
      <c r="AJ83" s="1"/>
      <c r="AK83" s="17" t="s">
        <v>517</v>
      </c>
      <c r="AL83" s="17"/>
      <c r="AM83" s="17" t="s">
        <v>52</v>
      </c>
      <c r="AN83" s="17"/>
      <c r="AO83" s="1">
        <v>284621</v>
      </c>
      <c r="AP83" s="1"/>
      <c r="AQ83" s="1">
        <v>0</v>
      </c>
      <c r="AR83" s="1"/>
      <c r="AS83" s="1"/>
      <c r="AT83" s="1"/>
      <c r="AU83" s="1">
        <v>0</v>
      </c>
      <c r="AV83" s="1"/>
      <c r="AW83" s="1">
        <f t="shared" ref="AW83" si="4">SUM(G83:AV83)</f>
        <v>9519314</v>
      </c>
      <c r="AY83" s="1">
        <f>+'St of Activites - GA Rev'!AI83-'St of Activities - GA Exp'!AW83</f>
        <v>-559438</v>
      </c>
      <c r="BA83" s="1">
        <v>8192456</v>
      </c>
      <c r="BC83" s="1">
        <f t="shared" ref="BC83" si="5">+AY83+BA83</f>
        <v>7633018</v>
      </c>
      <c r="BE83" s="1">
        <f>+'St of Net Assets - GA'!AA83-'St of Activities - GA Exp'!BC83</f>
        <v>0</v>
      </c>
    </row>
    <row r="84" spans="1:57">
      <c r="A84" s="17" t="s">
        <v>360</v>
      </c>
      <c r="B84" s="17"/>
      <c r="C84" s="17" t="s">
        <v>31</v>
      </c>
      <c r="D84" s="17"/>
      <c r="E84" s="13">
        <v>43695</v>
      </c>
      <c r="G84" s="1">
        <v>11215867</v>
      </c>
      <c r="H84" s="1"/>
      <c r="I84" s="1">
        <v>3439405</v>
      </c>
      <c r="J84" s="1"/>
      <c r="K84" s="1">
        <v>139179</v>
      </c>
      <c r="L84" s="1"/>
      <c r="M84" s="1">
        <f>13493+305736</f>
        <v>319229</v>
      </c>
      <c r="N84" s="1"/>
      <c r="O84" s="1">
        <v>1110465</v>
      </c>
      <c r="P84" s="1"/>
      <c r="Q84" s="1">
        <v>1397219</v>
      </c>
      <c r="R84" s="1"/>
      <c r="S84" s="1">
        <v>71420</v>
      </c>
      <c r="T84" s="1"/>
      <c r="U84" s="1">
        <v>1668784</v>
      </c>
      <c r="V84" s="1"/>
      <c r="W84" s="1">
        <v>536186</v>
      </c>
      <c r="X84" s="1"/>
      <c r="Y84" s="1">
        <v>92440</v>
      </c>
      <c r="Z84" s="1"/>
      <c r="AA84" s="1">
        <v>2420521</v>
      </c>
      <c r="AB84" s="1"/>
      <c r="AC84" s="1">
        <v>1215294</v>
      </c>
      <c r="AD84" s="1"/>
      <c r="AE84" s="1">
        <v>279127</v>
      </c>
      <c r="AF84" s="1"/>
      <c r="AG84" s="1">
        <v>1187596</v>
      </c>
      <c r="AH84" s="1"/>
      <c r="AI84" s="1">
        <f>49828+21390</f>
        <v>71218</v>
      </c>
      <c r="AJ84" s="16"/>
      <c r="AK84" s="17" t="s">
        <v>360</v>
      </c>
      <c r="AL84" s="17"/>
      <c r="AM84" s="17" t="s">
        <v>31</v>
      </c>
      <c r="AN84" s="17"/>
      <c r="AO84" s="1">
        <v>563839</v>
      </c>
      <c r="AP84" s="1"/>
      <c r="AQ84" s="1">
        <v>298187</v>
      </c>
      <c r="AR84" s="1"/>
      <c r="AS84" s="1"/>
      <c r="AT84" s="1"/>
      <c r="AU84" s="1">
        <v>0</v>
      </c>
      <c r="AV84" s="1"/>
      <c r="AW84" s="1">
        <f t="shared" si="2"/>
        <v>26025976</v>
      </c>
      <c r="AY84" s="1">
        <f>+'St of Activites - GA Rev'!AI84-'St of Activities - GA Exp'!AW84</f>
        <v>-1401003</v>
      </c>
      <c r="BA84" s="1">
        <v>41213014</v>
      </c>
      <c r="BC84" s="1">
        <f t="shared" si="3"/>
        <v>39812011</v>
      </c>
      <c r="BE84" s="1">
        <f>+'St of Net Assets - GA'!AA84-'St of Activities - GA Exp'!BC84</f>
        <v>0</v>
      </c>
    </row>
    <row r="85" spans="1:57" ht="12" customHeight="1">
      <c r="A85" s="17" t="s">
        <v>463</v>
      </c>
      <c r="B85" s="17"/>
      <c r="C85" s="17" t="s">
        <v>45</v>
      </c>
      <c r="D85" s="17"/>
      <c r="E85" s="13">
        <v>43703</v>
      </c>
      <c r="G85" s="1">
        <v>7915820</v>
      </c>
      <c r="H85" s="1"/>
      <c r="I85" s="1">
        <v>2267521</v>
      </c>
      <c r="J85" s="1"/>
      <c r="K85" s="1">
        <v>210685</v>
      </c>
      <c r="L85" s="1"/>
      <c r="M85" s="1">
        <v>561858</v>
      </c>
      <c r="N85" s="1"/>
      <c r="O85" s="1">
        <v>403572</v>
      </c>
      <c r="P85" s="1"/>
      <c r="Q85" s="1">
        <v>541546</v>
      </c>
      <c r="R85" s="1"/>
      <c r="S85" s="1">
        <v>20004</v>
      </c>
      <c r="T85" s="1"/>
      <c r="U85" s="1">
        <v>956858</v>
      </c>
      <c r="V85" s="1"/>
      <c r="W85" s="1">
        <v>317700</v>
      </c>
      <c r="X85" s="1"/>
      <c r="Y85" s="1">
        <v>61845</v>
      </c>
      <c r="Z85" s="1"/>
      <c r="AA85" s="1">
        <v>1654245</v>
      </c>
      <c r="AB85" s="1"/>
      <c r="AC85" s="1">
        <v>485656</v>
      </c>
      <c r="AD85" s="1"/>
      <c r="AE85" s="1">
        <v>0</v>
      </c>
      <c r="AF85" s="1"/>
      <c r="AG85" s="1">
        <v>617512</v>
      </c>
      <c r="AH85" s="1"/>
      <c r="AI85" s="1">
        <v>74915</v>
      </c>
      <c r="AJ85" s="1"/>
      <c r="AK85" s="17" t="s">
        <v>463</v>
      </c>
      <c r="AL85" s="17"/>
      <c r="AM85" s="17" t="s">
        <v>45</v>
      </c>
      <c r="AN85" s="17"/>
      <c r="AO85" s="1">
        <v>674882</v>
      </c>
      <c r="AP85" s="1"/>
      <c r="AQ85" s="1">
        <v>217697</v>
      </c>
      <c r="AR85" s="1"/>
      <c r="AS85" s="1"/>
      <c r="AT85" s="1"/>
      <c r="AU85" s="1">
        <v>0</v>
      </c>
      <c r="AV85" s="1"/>
      <c r="AW85" s="1">
        <f t="shared" si="2"/>
        <v>16982316</v>
      </c>
      <c r="AY85" s="1">
        <f>+'St of Activites - GA Rev'!AI85-'St of Activities - GA Exp'!AW85</f>
        <v>-360497</v>
      </c>
      <c r="BA85" s="1">
        <v>31260041</v>
      </c>
      <c r="BC85" s="1">
        <f t="shared" si="3"/>
        <v>30899544</v>
      </c>
      <c r="BE85" s="1">
        <f>+'St of Net Assets - GA'!AA85-'St of Activities - GA Exp'!BC85</f>
        <v>0</v>
      </c>
    </row>
    <row r="86" spans="1:57">
      <c r="A86" s="17" t="s">
        <v>330</v>
      </c>
      <c r="B86" s="17"/>
      <c r="C86" s="17" t="s">
        <v>27</v>
      </c>
      <c r="D86" s="17"/>
      <c r="E86" s="13">
        <v>46946</v>
      </c>
      <c r="G86" s="1">
        <v>15278518</v>
      </c>
      <c r="H86" s="1"/>
      <c r="I86" s="1">
        <v>3800772</v>
      </c>
      <c r="J86" s="1"/>
      <c r="K86" s="1">
        <v>626461</v>
      </c>
      <c r="L86" s="1"/>
      <c r="M86" s="1">
        <v>1064</v>
      </c>
      <c r="N86" s="1"/>
      <c r="O86" s="1">
        <v>2051878</v>
      </c>
      <c r="P86" s="1"/>
      <c r="Q86" s="1">
        <v>1800144</v>
      </c>
      <c r="R86" s="1"/>
      <c r="S86" s="1">
        <v>368594</v>
      </c>
      <c r="T86" s="1"/>
      <c r="U86" s="1">
        <v>2716355</v>
      </c>
      <c r="V86" s="1"/>
      <c r="W86" s="1">
        <v>795708</v>
      </c>
      <c r="X86" s="1"/>
      <c r="Y86" s="1">
        <v>0</v>
      </c>
      <c r="Z86" s="1"/>
      <c r="AA86" s="1">
        <v>3932395</v>
      </c>
      <c r="AB86" s="1"/>
      <c r="AC86" s="1">
        <v>2406878</v>
      </c>
      <c r="AD86" s="1"/>
      <c r="AE86" s="1">
        <v>214195</v>
      </c>
      <c r="AF86" s="1"/>
      <c r="AG86" s="1">
        <v>1202060</v>
      </c>
      <c r="AH86" s="1"/>
      <c r="AI86" s="1">
        <v>18912</v>
      </c>
      <c r="AJ86" s="1"/>
      <c r="AK86" s="17" t="s">
        <v>330</v>
      </c>
      <c r="AL86" s="17"/>
      <c r="AM86" s="17" t="s">
        <v>27</v>
      </c>
      <c r="AN86" s="17"/>
      <c r="AO86" s="1">
        <v>929787</v>
      </c>
      <c r="AP86" s="1"/>
      <c r="AQ86" s="1">
        <v>3045818</v>
      </c>
      <c r="AR86" s="1"/>
      <c r="AS86" s="1"/>
      <c r="AT86" s="1"/>
      <c r="AU86" s="1">
        <v>0</v>
      </c>
      <c r="AV86" s="1"/>
      <c r="AW86" s="1">
        <f t="shared" si="2"/>
        <v>39189539</v>
      </c>
      <c r="AY86" s="1">
        <f>+'St of Activites - GA Rev'!AI86-'St of Activities - GA Exp'!AW86</f>
        <v>2769059</v>
      </c>
      <c r="BA86" s="1">
        <v>14077202</v>
      </c>
      <c r="BC86" s="1">
        <f t="shared" si="3"/>
        <v>16846261</v>
      </c>
      <c r="BE86" s="1">
        <f>+'St of Net Assets - GA'!AA86-'St of Activities - GA Exp'!BC86</f>
        <v>0</v>
      </c>
    </row>
    <row r="87" spans="1:57">
      <c r="A87" s="17"/>
      <c r="B87" s="17"/>
      <c r="C87" s="17"/>
      <c r="D87" s="17"/>
      <c r="E87" s="13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7"/>
      <c r="AL87" s="17"/>
      <c r="AM87" s="17"/>
      <c r="AN87" s="17"/>
      <c r="AO87" s="1"/>
      <c r="AP87" s="1"/>
      <c r="AQ87" s="1"/>
      <c r="AR87" s="1"/>
      <c r="AS87" s="1"/>
      <c r="AT87" s="1"/>
      <c r="AU87" s="1"/>
      <c r="AV87" s="1"/>
    </row>
    <row r="88" spans="1:57">
      <c r="A88" s="17"/>
      <c r="B88" s="17"/>
      <c r="C88" s="17"/>
      <c r="D88" s="17"/>
      <c r="E88" s="13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20" t="s">
        <v>709</v>
      </c>
      <c r="AJ88" s="1"/>
      <c r="AK88" s="17"/>
      <c r="AL88" s="17"/>
      <c r="AM88" s="17"/>
      <c r="AN88" s="17"/>
      <c r="AO88" s="1"/>
      <c r="AP88" s="1"/>
      <c r="AQ88" s="1"/>
      <c r="AR88" s="1"/>
      <c r="AS88" s="1"/>
      <c r="AT88" s="1"/>
      <c r="AU88" s="1"/>
      <c r="AV88" s="1"/>
      <c r="AY88" s="18"/>
      <c r="BC88" s="20" t="s">
        <v>709</v>
      </c>
    </row>
    <row r="89" spans="1:57">
      <c r="A89" s="17"/>
      <c r="B89" s="17"/>
      <c r="C89" s="17"/>
      <c r="D89" s="17"/>
      <c r="E89" s="13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7"/>
      <c r="AL89" s="17"/>
      <c r="AM89" s="17"/>
      <c r="AN89" s="17"/>
      <c r="AO89" s="1"/>
      <c r="AP89" s="1"/>
      <c r="AQ89" s="1"/>
      <c r="AR89" s="1"/>
      <c r="AS89" s="1"/>
      <c r="AT89" s="1"/>
      <c r="AU89" s="1"/>
      <c r="AV89" s="1"/>
    </row>
    <row r="90" spans="1:57">
      <c r="A90" s="17" t="s">
        <v>464</v>
      </c>
      <c r="B90" s="17"/>
      <c r="C90" s="17" t="s">
        <v>45</v>
      </c>
      <c r="D90" s="17"/>
      <c r="E90" s="13">
        <v>48314</v>
      </c>
      <c r="G90" s="16">
        <v>14115203</v>
      </c>
      <c r="H90" s="16"/>
      <c r="I90" s="16">
        <v>1980222</v>
      </c>
      <c r="J90" s="16"/>
      <c r="K90" s="16">
        <v>285026</v>
      </c>
      <c r="L90" s="16"/>
      <c r="M90" s="16">
        <v>0</v>
      </c>
      <c r="N90" s="16"/>
      <c r="O90" s="16">
        <v>1121529</v>
      </c>
      <c r="P90" s="16"/>
      <c r="Q90" s="16">
        <v>1447551</v>
      </c>
      <c r="R90" s="16"/>
      <c r="S90" s="16">
        <v>35810</v>
      </c>
      <c r="T90" s="16"/>
      <c r="U90" s="16">
        <v>1702333</v>
      </c>
      <c r="V90" s="16"/>
      <c r="W90" s="16">
        <v>516231</v>
      </c>
      <c r="X90" s="16"/>
      <c r="Y90" s="16">
        <v>266634</v>
      </c>
      <c r="Z90" s="16"/>
      <c r="AA90" s="16">
        <v>2206699</v>
      </c>
      <c r="AB90" s="16"/>
      <c r="AC90" s="16">
        <v>1821778</v>
      </c>
      <c r="AD90" s="16"/>
      <c r="AE90" s="16">
        <v>143859</v>
      </c>
      <c r="AF90" s="16"/>
      <c r="AG90" s="16">
        <v>941744</v>
      </c>
      <c r="AH90" s="16"/>
      <c r="AI90" s="16">
        <v>30948</v>
      </c>
      <c r="AJ90" s="1"/>
      <c r="AK90" s="17" t="s">
        <v>464</v>
      </c>
      <c r="AL90" s="17"/>
      <c r="AM90" s="17" t="s">
        <v>45</v>
      </c>
      <c r="AN90" s="17"/>
      <c r="AO90" s="16">
        <v>1004767</v>
      </c>
      <c r="AP90" s="16"/>
      <c r="AQ90" s="16">
        <v>78256</v>
      </c>
      <c r="AR90" s="16"/>
      <c r="AS90" s="16"/>
      <c r="AT90" s="16"/>
      <c r="AU90" s="16">
        <v>0</v>
      </c>
      <c r="AV90" s="16"/>
      <c r="AW90" s="16">
        <f t="shared" si="2"/>
        <v>27698590</v>
      </c>
      <c r="AX90" s="16"/>
      <c r="AY90" s="16">
        <f>+'St of Activites - GA Rev'!AI90-'St of Activities - GA Exp'!AW90</f>
        <v>1130939</v>
      </c>
      <c r="AZ90" s="16"/>
      <c r="BA90" s="16">
        <v>16324600</v>
      </c>
      <c r="BB90" s="16"/>
      <c r="BC90" s="16">
        <f t="shared" si="3"/>
        <v>17455539</v>
      </c>
      <c r="BE90" s="1">
        <f>+'St of Net Assets - GA'!AA90-'St of Activities - GA Exp'!BC90</f>
        <v>0</v>
      </c>
    </row>
    <row r="91" spans="1:57" ht="12" customHeight="1">
      <c r="A91" s="12" t="s">
        <v>574</v>
      </c>
      <c r="B91" s="17"/>
      <c r="C91" s="17" t="s">
        <v>62</v>
      </c>
      <c r="D91" s="17"/>
      <c r="E91" s="13">
        <v>43711</v>
      </c>
      <c r="G91" s="1">
        <v>11328148</v>
      </c>
      <c r="H91" s="1"/>
      <c r="I91" s="1">
        <v>3066431</v>
      </c>
      <c r="J91" s="1"/>
      <c r="K91" s="1">
        <v>1864033</v>
      </c>
      <c r="L91" s="1"/>
      <c r="M91" s="1">
        <f>1000+781828</f>
        <v>782828</v>
      </c>
      <c r="N91" s="1"/>
      <c r="O91" s="1">
        <v>1952694</v>
      </c>
      <c r="P91" s="1"/>
      <c r="Q91" s="1">
        <v>1256288</v>
      </c>
      <c r="R91" s="1"/>
      <c r="S91" s="1">
        <v>21646</v>
      </c>
      <c r="T91" s="1"/>
      <c r="U91" s="1">
        <v>1923441</v>
      </c>
      <c r="V91" s="1"/>
      <c r="W91" s="1">
        <v>307353</v>
      </c>
      <c r="X91" s="1"/>
      <c r="Y91" s="1">
        <v>290233</v>
      </c>
      <c r="Z91" s="1"/>
      <c r="AA91" s="1">
        <v>2459486</v>
      </c>
      <c r="AB91" s="1"/>
      <c r="AC91" s="1">
        <v>1076416</v>
      </c>
      <c r="AD91" s="1"/>
      <c r="AE91" s="1">
        <v>366938</v>
      </c>
      <c r="AF91" s="1"/>
      <c r="AG91" s="1">
        <v>1166894</v>
      </c>
      <c r="AH91" s="1"/>
      <c r="AI91" s="1">
        <v>53125</v>
      </c>
      <c r="AJ91" s="1"/>
      <c r="AK91" s="12" t="s">
        <v>574</v>
      </c>
      <c r="AL91" s="14"/>
      <c r="AM91" s="14" t="s">
        <v>62</v>
      </c>
      <c r="AN91" s="14"/>
      <c r="AO91" s="1">
        <v>805625</v>
      </c>
      <c r="AP91" s="1"/>
      <c r="AQ91" s="1">
        <v>67991</v>
      </c>
      <c r="AR91" s="1"/>
      <c r="AS91" s="1"/>
      <c r="AT91" s="1"/>
      <c r="AU91" s="1">
        <v>0</v>
      </c>
      <c r="AV91" s="1"/>
      <c r="AW91" s="1">
        <f t="shared" ref="AW91:AW152" si="6">SUM(G91:AV91)</f>
        <v>28789570</v>
      </c>
      <c r="AY91" s="1">
        <f>+'St of Activites - GA Rev'!AI91-'St of Activities - GA Exp'!AW91</f>
        <v>-467108</v>
      </c>
      <c r="BA91" s="1">
        <v>-174184</v>
      </c>
      <c r="BC91" s="1">
        <f t="shared" si="3"/>
        <v>-641292</v>
      </c>
      <c r="BD91" s="16"/>
      <c r="BE91" s="1">
        <f>+'St of Net Assets - GA'!AA91-'St of Activities - GA Exp'!BC91</f>
        <v>0</v>
      </c>
    </row>
    <row r="92" spans="1:57" s="1" customFormat="1">
      <c r="A92" s="12" t="s">
        <v>573</v>
      </c>
      <c r="B92" s="12"/>
      <c r="C92" s="12" t="s">
        <v>62</v>
      </c>
      <c r="D92" s="12"/>
      <c r="E92" s="13">
        <v>49833</v>
      </c>
      <c r="G92" s="1">
        <v>46882000</v>
      </c>
      <c r="I92" s="1">
        <v>17610000</v>
      </c>
      <c r="K92" s="1">
        <v>2147000</v>
      </c>
      <c r="M92" s="1">
        <f>1717000+10923000</f>
        <v>12640000</v>
      </c>
      <c r="O92" s="1">
        <v>8252000</v>
      </c>
      <c r="Q92" s="1">
        <v>7446000</v>
      </c>
      <c r="S92" s="1">
        <v>31000</v>
      </c>
      <c r="U92" s="1">
        <v>8981000</v>
      </c>
      <c r="W92" s="1">
        <v>1662000</v>
      </c>
      <c r="Y92" s="1">
        <v>565000</v>
      </c>
      <c r="AA92" s="1">
        <v>12397000</v>
      </c>
      <c r="AC92" s="1">
        <v>3442000</v>
      </c>
      <c r="AE92" s="1">
        <v>4090000</v>
      </c>
      <c r="AG92" s="1">
        <v>4339000</v>
      </c>
      <c r="AI92" s="1">
        <v>2002000</v>
      </c>
      <c r="AK92" s="12" t="s">
        <v>573</v>
      </c>
      <c r="AL92" s="12"/>
      <c r="AM92" s="12" t="s">
        <v>62</v>
      </c>
      <c r="AN92" s="12"/>
      <c r="AO92" s="1">
        <v>2538000</v>
      </c>
      <c r="AQ92" s="1">
        <v>1774000</v>
      </c>
      <c r="AU92" s="1">
        <v>0</v>
      </c>
      <c r="AW92" s="1">
        <f t="shared" si="6"/>
        <v>136798000</v>
      </c>
      <c r="AY92" s="1">
        <f>+'St of Activites - GA Rev'!AI92-'St of Activities - GA Exp'!AW92</f>
        <v>-5008000</v>
      </c>
      <c r="BA92" s="1">
        <v>170915000</v>
      </c>
      <c r="BC92" s="1">
        <f t="shared" ref="BC92:BC148" si="7">+AY92+BA92</f>
        <v>165907000</v>
      </c>
      <c r="BE92" s="1">
        <f>+'St of Net Assets - GA'!AA92-'St of Activities - GA Exp'!BC92</f>
        <v>0</v>
      </c>
    </row>
    <row r="93" spans="1:57" ht="12" customHeight="1">
      <c r="A93" s="17" t="s">
        <v>352</v>
      </c>
      <c r="B93" s="17"/>
      <c r="C93" s="17" t="s">
        <v>30</v>
      </c>
      <c r="D93" s="17"/>
      <c r="E93" s="13">
        <v>47175</v>
      </c>
      <c r="G93" s="1">
        <v>6596261</v>
      </c>
      <c r="H93" s="1"/>
      <c r="I93" s="1">
        <v>2827318</v>
      </c>
      <c r="J93" s="1"/>
      <c r="K93" s="1">
        <v>0</v>
      </c>
      <c r="L93" s="1"/>
      <c r="M93" s="1">
        <v>0</v>
      </c>
      <c r="N93" s="1"/>
      <c r="O93" s="1">
        <v>780729</v>
      </c>
      <c r="P93" s="1"/>
      <c r="Q93" s="1">
        <v>724610</v>
      </c>
      <c r="R93" s="1"/>
      <c r="S93" s="1">
        <v>20637</v>
      </c>
      <c r="T93" s="1"/>
      <c r="U93" s="1">
        <v>1108119</v>
      </c>
      <c r="V93" s="1"/>
      <c r="W93" s="1">
        <v>454235</v>
      </c>
      <c r="X93" s="1"/>
      <c r="Y93" s="1">
        <v>59629</v>
      </c>
      <c r="Z93" s="1"/>
      <c r="AA93" s="1">
        <v>1478693</v>
      </c>
      <c r="AB93" s="1"/>
      <c r="AC93" s="1">
        <v>1356684</v>
      </c>
      <c r="AD93" s="1"/>
      <c r="AE93" s="1">
        <v>205963</v>
      </c>
      <c r="AF93" s="1"/>
      <c r="AG93" s="1">
        <v>517464</v>
      </c>
      <c r="AH93" s="1"/>
      <c r="AI93" s="1">
        <v>7646</v>
      </c>
      <c r="AJ93" s="1"/>
      <c r="AK93" s="17" t="s">
        <v>352</v>
      </c>
      <c r="AL93" s="17"/>
      <c r="AM93" s="17" t="s">
        <v>30</v>
      </c>
      <c r="AN93" s="17"/>
      <c r="AO93" s="1">
        <v>291918</v>
      </c>
      <c r="AP93" s="1"/>
      <c r="AQ93" s="1">
        <v>525687</v>
      </c>
      <c r="AR93" s="1"/>
      <c r="AS93" s="1"/>
      <c r="AT93" s="1"/>
      <c r="AU93" s="1">
        <v>0</v>
      </c>
      <c r="AV93" s="1"/>
      <c r="AW93" s="1">
        <f t="shared" si="6"/>
        <v>16955593</v>
      </c>
      <c r="AY93" s="1">
        <f>+'St of Activites - GA Rev'!AI93-'St of Activities - GA Exp'!AW93</f>
        <v>-806017</v>
      </c>
      <c r="BA93" s="1">
        <v>2338688</v>
      </c>
      <c r="BC93" s="1">
        <f t="shared" si="7"/>
        <v>1532671</v>
      </c>
      <c r="BE93" s="1">
        <f>+'St of Net Assets - GA'!AA93-'St of Activities - GA Exp'!BC93</f>
        <v>0</v>
      </c>
    </row>
    <row r="94" spans="1:57">
      <c r="A94" s="12" t="s">
        <v>924</v>
      </c>
      <c r="B94" s="17"/>
      <c r="C94" s="17" t="s">
        <v>78</v>
      </c>
      <c r="D94" s="17"/>
      <c r="E94" s="13">
        <v>48793</v>
      </c>
      <c r="G94" s="1">
        <v>5732481</v>
      </c>
      <c r="H94" s="1"/>
      <c r="I94" s="1">
        <v>1471664</v>
      </c>
      <c r="J94" s="1"/>
      <c r="K94" s="1">
        <v>333379</v>
      </c>
      <c r="L94" s="1"/>
      <c r="M94" s="1">
        <v>1429103</v>
      </c>
      <c r="N94" s="1"/>
      <c r="O94" s="1">
        <v>404536</v>
      </c>
      <c r="P94" s="1"/>
      <c r="Q94" s="1">
        <v>480882</v>
      </c>
      <c r="R94" s="1"/>
      <c r="S94" s="1">
        <v>38070</v>
      </c>
      <c r="T94" s="1"/>
      <c r="U94" s="1">
        <v>1047835</v>
      </c>
      <c r="V94" s="1"/>
      <c r="W94" s="1">
        <v>238332</v>
      </c>
      <c r="X94" s="1"/>
      <c r="Y94" s="1">
        <v>0</v>
      </c>
      <c r="Z94" s="1"/>
      <c r="AA94" s="1">
        <v>1384831</v>
      </c>
      <c r="AB94" s="1"/>
      <c r="AC94" s="1">
        <v>571413</v>
      </c>
      <c r="AD94" s="1"/>
      <c r="AE94" s="1">
        <v>0</v>
      </c>
      <c r="AF94" s="1"/>
      <c r="AG94" s="1">
        <v>560015</v>
      </c>
      <c r="AH94" s="1"/>
      <c r="AI94" s="1">
        <v>3670</v>
      </c>
      <c r="AJ94" s="1"/>
      <c r="AK94" s="12" t="s">
        <v>924</v>
      </c>
      <c r="AL94" s="17"/>
      <c r="AM94" s="17" t="s">
        <v>78</v>
      </c>
      <c r="AN94" s="17"/>
      <c r="AO94" s="1">
        <v>344434</v>
      </c>
      <c r="AP94" s="1"/>
      <c r="AQ94" s="1">
        <v>244563</v>
      </c>
      <c r="AR94" s="1"/>
      <c r="AS94" s="1"/>
      <c r="AT94" s="1"/>
      <c r="AU94" s="1">
        <v>307935</v>
      </c>
      <c r="AV94" s="1"/>
      <c r="AW94" s="1">
        <f t="shared" si="6"/>
        <v>14593143</v>
      </c>
      <c r="AY94" s="1">
        <f>+'St of Activites - GA Rev'!AI94-'St of Activities - GA Exp'!AW94</f>
        <v>-1970739</v>
      </c>
      <c r="BA94" s="1">
        <v>25760940</v>
      </c>
      <c r="BC94" s="1">
        <f t="shared" si="7"/>
        <v>23790201</v>
      </c>
      <c r="BE94" s="1">
        <f>+'St of Net Assets - GA'!AA94-'St of Activities - GA Exp'!BC94</f>
        <v>0</v>
      </c>
    </row>
    <row r="95" spans="1:57" ht="12" hidden="1" customHeight="1">
      <c r="A95" s="12" t="s">
        <v>739</v>
      </c>
      <c r="B95" s="17"/>
      <c r="C95" s="17" t="s">
        <v>653</v>
      </c>
      <c r="D95" s="17"/>
      <c r="E95" s="13">
        <v>45260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2" t="s">
        <v>739</v>
      </c>
      <c r="AL95" s="17"/>
      <c r="AM95" s="17" t="s">
        <v>653</v>
      </c>
      <c r="AN95" s="17"/>
      <c r="AO95" s="1"/>
      <c r="AP95" s="1"/>
      <c r="AQ95" s="1"/>
      <c r="AR95" s="1"/>
      <c r="AS95" s="1"/>
      <c r="AT95" s="1"/>
      <c r="AU95" s="1"/>
      <c r="AV95" s="1"/>
      <c r="AW95" s="1">
        <f t="shared" si="6"/>
        <v>0</v>
      </c>
      <c r="AY95" s="1">
        <f>+'St of Activites - GA Rev'!AI95-'St of Activities - GA Exp'!AW95</f>
        <v>0</v>
      </c>
      <c r="BC95" s="1">
        <f t="shared" si="7"/>
        <v>0</v>
      </c>
      <c r="BE95" s="1">
        <f>+'St of Net Assets - GA'!AA95-'St of Activities - GA Exp'!BC95</f>
        <v>0</v>
      </c>
    </row>
    <row r="96" spans="1:57" ht="12" customHeight="1">
      <c r="A96" s="17" t="s">
        <v>631</v>
      </c>
      <c r="B96" s="17"/>
      <c r="C96" s="17" t="s">
        <v>69</v>
      </c>
      <c r="D96" s="17"/>
      <c r="E96" s="13">
        <v>50419</v>
      </c>
      <c r="G96" s="1">
        <v>7674255</v>
      </c>
      <c r="H96" s="1"/>
      <c r="I96" s="1">
        <v>1913440</v>
      </c>
      <c r="J96" s="1"/>
      <c r="K96" s="1">
        <v>227949</v>
      </c>
      <c r="L96" s="1"/>
      <c r="M96" s="1">
        <v>68305</v>
      </c>
      <c r="N96" s="1"/>
      <c r="O96" s="1">
        <v>793474</v>
      </c>
      <c r="P96" s="1"/>
      <c r="Q96" s="1">
        <v>950694</v>
      </c>
      <c r="R96" s="1"/>
      <c r="S96" s="1">
        <v>37317</v>
      </c>
      <c r="T96" s="1"/>
      <c r="U96" s="1">
        <v>1014815</v>
      </c>
      <c r="V96" s="1"/>
      <c r="W96" s="1">
        <v>424068</v>
      </c>
      <c r="X96" s="1"/>
      <c r="Y96" s="1">
        <v>10343</v>
      </c>
      <c r="Z96" s="1"/>
      <c r="AA96" s="1">
        <v>1452114</v>
      </c>
      <c r="AB96" s="1"/>
      <c r="AC96" s="1">
        <v>749750</v>
      </c>
      <c r="AD96" s="1"/>
      <c r="AE96" s="1">
        <v>50621</v>
      </c>
      <c r="AF96" s="1"/>
      <c r="AG96" s="1">
        <v>578905</v>
      </c>
      <c r="AH96" s="1"/>
      <c r="AI96" s="1">
        <v>0</v>
      </c>
      <c r="AJ96" s="1"/>
      <c r="AK96" s="17" t="s">
        <v>631</v>
      </c>
      <c r="AL96" s="17"/>
      <c r="AM96" s="17" t="s">
        <v>69</v>
      </c>
      <c r="AN96" s="17"/>
      <c r="AO96" s="1">
        <v>527534</v>
      </c>
      <c r="AP96" s="1"/>
      <c r="AQ96" s="1">
        <v>25055</v>
      </c>
      <c r="AR96" s="1"/>
      <c r="AS96" s="1"/>
      <c r="AT96" s="1"/>
      <c r="AU96" s="1">
        <v>0</v>
      </c>
      <c r="AV96" s="1"/>
      <c r="AW96" s="1">
        <f t="shared" si="6"/>
        <v>16498639</v>
      </c>
      <c r="AY96" s="1">
        <f>+'St of Activites - GA Rev'!AI96-'St of Activities - GA Exp'!AW96</f>
        <v>728214</v>
      </c>
      <c r="BA96" s="1">
        <v>1638040</v>
      </c>
      <c r="BC96" s="1">
        <f t="shared" si="7"/>
        <v>2366254</v>
      </c>
      <c r="BE96" s="1">
        <f>+'St of Net Assets - GA'!AA96-'St of Activities - GA Exp'!BC96</f>
        <v>0</v>
      </c>
    </row>
    <row r="97" spans="1:57" ht="11.25" customHeight="1">
      <c r="A97" s="17" t="s">
        <v>238</v>
      </c>
      <c r="B97" s="17"/>
      <c r="C97" s="17" t="s">
        <v>16</v>
      </c>
      <c r="D97" s="17"/>
      <c r="E97" s="13">
        <v>45278</v>
      </c>
      <c r="G97" s="1">
        <v>9253636</v>
      </c>
      <c r="H97" s="1"/>
      <c r="I97" s="1">
        <v>2632232</v>
      </c>
      <c r="J97" s="1"/>
      <c r="K97" s="1">
        <v>281506</v>
      </c>
      <c r="L97" s="1"/>
      <c r="M97" s="1">
        <f>16757+188084</f>
        <v>204841</v>
      </c>
      <c r="N97" s="1"/>
      <c r="O97" s="1">
        <v>1324218</v>
      </c>
      <c r="P97" s="1"/>
      <c r="Q97" s="1">
        <v>861028</v>
      </c>
      <c r="R97" s="1"/>
      <c r="S97" s="1">
        <v>40035</v>
      </c>
      <c r="T97" s="1"/>
      <c r="U97" s="1">
        <v>1525774</v>
      </c>
      <c r="V97" s="1"/>
      <c r="W97" s="1">
        <v>561392</v>
      </c>
      <c r="X97" s="1"/>
      <c r="Y97" s="1">
        <v>70348</v>
      </c>
      <c r="Z97" s="1"/>
      <c r="AA97" s="1">
        <v>1745601</v>
      </c>
      <c r="AB97" s="1"/>
      <c r="AC97" s="1">
        <v>1501528</v>
      </c>
      <c r="AD97" s="1"/>
      <c r="AE97" s="1">
        <v>33910</v>
      </c>
      <c r="AF97" s="1"/>
      <c r="AG97" s="1">
        <v>712111</v>
      </c>
      <c r="AH97" s="1"/>
      <c r="AI97" s="1">
        <v>64836</v>
      </c>
      <c r="AJ97" s="1"/>
      <c r="AK97" s="17" t="s">
        <v>238</v>
      </c>
      <c r="AL97" s="17"/>
      <c r="AM97" s="17" t="s">
        <v>16</v>
      </c>
      <c r="AN97" s="17"/>
      <c r="AO97" s="1">
        <v>590858</v>
      </c>
      <c r="AP97" s="1"/>
      <c r="AQ97" s="1">
        <v>1796</v>
      </c>
      <c r="AR97" s="1"/>
      <c r="AS97" s="1"/>
      <c r="AT97" s="1"/>
      <c r="AU97" s="1">
        <v>0</v>
      </c>
      <c r="AV97" s="1"/>
      <c r="AW97" s="1">
        <f t="shared" si="6"/>
        <v>21405650</v>
      </c>
      <c r="AY97" s="1">
        <f>+'St of Activites - GA Rev'!AI97-'St of Activities - GA Exp'!AW97</f>
        <v>1331678</v>
      </c>
      <c r="BA97" s="1">
        <v>8833947</v>
      </c>
      <c r="BC97" s="1">
        <f t="shared" si="7"/>
        <v>10165625</v>
      </c>
      <c r="BE97" s="1">
        <f>+'St of Net Assets - GA'!AA97-'St of Activities - GA Exp'!BC97</f>
        <v>0</v>
      </c>
    </row>
    <row r="98" spans="1:57" hidden="1">
      <c r="A98" s="12" t="s">
        <v>925</v>
      </c>
      <c r="B98" s="17"/>
      <c r="C98" s="17" t="s">
        <v>116</v>
      </c>
      <c r="D98" s="17"/>
      <c r="E98" s="13">
        <v>47258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2" t="s">
        <v>925</v>
      </c>
      <c r="AL98" s="17"/>
      <c r="AM98" s="17" t="s">
        <v>116</v>
      </c>
      <c r="AN98" s="17"/>
      <c r="AO98" s="1"/>
      <c r="AP98" s="1"/>
      <c r="AQ98" s="1"/>
      <c r="AR98" s="1"/>
      <c r="AS98" s="1"/>
      <c r="AT98" s="1"/>
      <c r="AU98" s="1"/>
      <c r="AV98" s="1"/>
      <c r="AW98" s="1">
        <f t="shared" si="6"/>
        <v>0</v>
      </c>
      <c r="AY98" s="1">
        <f>+'St of Activites - GA Rev'!AI98-'St of Activities - GA Exp'!AW98</f>
        <v>0</v>
      </c>
      <c r="BC98" s="1">
        <f t="shared" si="7"/>
        <v>0</v>
      </c>
      <c r="BE98" s="1">
        <f>+'St of Net Assets - GA'!AA98-'St of Activities - GA Exp'!BC98</f>
        <v>0</v>
      </c>
    </row>
    <row r="99" spans="1:57" ht="12" hidden="1" customHeight="1">
      <c r="A99" s="12" t="s">
        <v>740</v>
      </c>
      <c r="B99" s="17"/>
      <c r="C99" s="17" t="s">
        <v>486</v>
      </c>
      <c r="D99" s="17"/>
      <c r="E99" s="13">
        <v>43729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2" t="s">
        <v>740</v>
      </c>
      <c r="AL99" s="17"/>
      <c r="AM99" s="17" t="s">
        <v>486</v>
      </c>
      <c r="AN99" s="17"/>
      <c r="AO99" s="1"/>
      <c r="AP99" s="1"/>
      <c r="AQ99" s="1"/>
      <c r="AR99" s="1"/>
      <c r="AS99" s="1"/>
      <c r="AT99" s="1"/>
      <c r="AU99" s="1"/>
      <c r="AV99" s="1"/>
      <c r="AW99" s="1">
        <f t="shared" si="6"/>
        <v>0</v>
      </c>
      <c r="AY99" s="1">
        <f>+'St of Activites - GA Rev'!AI99-'St of Activities - GA Exp'!AW99</f>
        <v>0</v>
      </c>
      <c r="BC99" s="1">
        <f t="shared" si="7"/>
        <v>0</v>
      </c>
      <c r="BE99" s="1">
        <f>+'St of Net Assets - GA'!AA99-'St of Activities - GA Exp'!BC99</f>
        <v>0</v>
      </c>
    </row>
    <row r="100" spans="1:57">
      <c r="A100" s="12" t="s">
        <v>794</v>
      </c>
      <c r="B100" s="17"/>
      <c r="C100" s="17" t="s">
        <v>40</v>
      </c>
      <c r="D100" s="17"/>
      <c r="E100" s="13">
        <v>47829</v>
      </c>
      <c r="G100" s="1">
        <v>4935165</v>
      </c>
      <c r="H100" s="1"/>
      <c r="I100" s="1">
        <v>1676622</v>
      </c>
      <c r="J100" s="1"/>
      <c r="K100" s="1">
        <v>199815</v>
      </c>
      <c r="L100" s="1"/>
      <c r="M100" s="1">
        <v>10814</v>
      </c>
      <c r="N100" s="1"/>
      <c r="O100" s="1">
        <v>435830</v>
      </c>
      <c r="P100" s="1"/>
      <c r="Q100" s="1">
        <v>169252</v>
      </c>
      <c r="R100" s="1"/>
      <c r="S100" s="1">
        <v>9930</v>
      </c>
      <c r="T100" s="1"/>
      <c r="U100" s="1">
        <v>1013161</v>
      </c>
      <c r="V100" s="1"/>
      <c r="W100" s="1">
        <v>345607</v>
      </c>
      <c r="X100" s="1"/>
      <c r="Y100" s="1">
        <v>0</v>
      </c>
      <c r="Z100" s="1"/>
      <c r="AA100" s="1">
        <v>1021389</v>
      </c>
      <c r="AB100" s="1"/>
      <c r="AC100" s="1">
        <v>746043</v>
      </c>
      <c r="AD100" s="1"/>
      <c r="AE100" s="1">
        <v>6000</v>
      </c>
      <c r="AF100" s="1"/>
      <c r="AG100" s="1">
        <v>222052</v>
      </c>
      <c r="AH100" s="1"/>
      <c r="AI100" s="1">
        <v>0</v>
      </c>
      <c r="AJ100" s="1"/>
      <c r="AK100" s="12" t="s">
        <v>794</v>
      </c>
      <c r="AL100" s="17"/>
      <c r="AM100" s="17" t="s">
        <v>40</v>
      </c>
      <c r="AN100" s="17"/>
      <c r="AO100" s="1">
        <v>379171</v>
      </c>
      <c r="AP100" s="1"/>
      <c r="AQ100" s="1">
        <v>268444</v>
      </c>
      <c r="AR100" s="1"/>
      <c r="AS100" s="1"/>
      <c r="AT100" s="1"/>
      <c r="AU100" s="1">
        <v>0</v>
      </c>
      <c r="AV100" s="1"/>
      <c r="AW100" s="1">
        <f t="shared" si="6"/>
        <v>11439295</v>
      </c>
      <c r="AY100" s="1">
        <f>+'St of Activites - GA Rev'!AI100-'St of Activities - GA Exp'!AW100</f>
        <v>-454021</v>
      </c>
      <c r="BA100" s="1">
        <v>20193945</v>
      </c>
      <c r="BC100" s="1">
        <f t="shared" si="7"/>
        <v>19739924</v>
      </c>
      <c r="BE100" s="1">
        <f>+'St of Net Assets - GA'!AA100-'St of Activities - GA Exp'!BC100</f>
        <v>0</v>
      </c>
    </row>
    <row r="101" spans="1:57">
      <c r="A101" s="14" t="s">
        <v>495</v>
      </c>
      <c r="B101" s="17"/>
      <c r="C101" s="17" t="s">
        <v>50</v>
      </c>
      <c r="D101" s="17"/>
      <c r="E101" s="13">
        <v>43737</v>
      </c>
      <c r="G101" s="1">
        <v>38832701</v>
      </c>
      <c r="H101" s="1"/>
      <c r="I101" s="1">
        <v>9602555</v>
      </c>
      <c r="J101" s="1"/>
      <c r="K101" s="1">
        <v>2648600</v>
      </c>
      <c r="L101" s="1"/>
      <c r="M101" s="1">
        <v>888694</v>
      </c>
      <c r="N101" s="1"/>
      <c r="O101" s="1">
        <v>4444613</v>
      </c>
      <c r="P101" s="1"/>
      <c r="Q101" s="1">
        <v>6989837</v>
      </c>
      <c r="R101" s="1"/>
      <c r="S101" s="1">
        <v>30057</v>
      </c>
      <c r="T101" s="1"/>
      <c r="U101" s="1">
        <v>4675069</v>
      </c>
      <c r="V101" s="1"/>
      <c r="W101" s="1">
        <v>1549503</v>
      </c>
      <c r="X101" s="1"/>
      <c r="Y101" s="1">
        <v>536689</v>
      </c>
      <c r="Z101" s="1"/>
      <c r="AA101" s="1">
        <v>5886180</v>
      </c>
      <c r="AB101" s="1"/>
      <c r="AC101" s="1">
        <v>6790123</v>
      </c>
      <c r="AD101" s="1"/>
      <c r="AE101" s="1">
        <v>69029</v>
      </c>
      <c r="AF101" s="1"/>
      <c r="AG101" s="1">
        <v>4602539</v>
      </c>
      <c r="AH101" s="1"/>
      <c r="AI101" s="1">
        <v>0</v>
      </c>
      <c r="AJ101" s="1"/>
      <c r="AK101" s="17" t="s">
        <v>495</v>
      </c>
      <c r="AL101" s="17"/>
      <c r="AM101" s="17" t="s">
        <v>50</v>
      </c>
      <c r="AN101" s="17"/>
      <c r="AO101" s="1">
        <v>717549</v>
      </c>
      <c r="AP101" s="1"/>
      <c r="AQ101" s="1">
        <v>3208485</v>
      </c>
      <c r="AR101" s="1"/>
      <c r="AS101" s="1"/>
      <c r="AT101" s="1"/>
      <c r="AU101" s="1">
        <v>1942562</v>
      </c>
      <c r="AV101" s="1"/>
      <c r="AW101" s="1">
        <f t="shared" si="6"/>
        <v>93414785</v>
      </c>
      <c r="AY101" s="1">
        <f>+'St of Activites - GA Rev'!AI101-'St of Activities - GA Exp'!AW101</f>
        <v>1625561</v>
      </c>
      <c r="BA101" s="1">
        <v>44111197</v>
      </c>
      <c r="BC101" s="1">
        <f t="shared" si="7"/>
        <v>45736758</v>
      </c>
      <c r="BE101" s="1">
        <f>+'St of Net Assets - GA'!AA101-'St of Activities - GA Exp'!BC101</f>
        <v>0</v>
      </c>
    </row>
    <row r="102" spans="1:57" hidden="1">
      <c r="A102" s="12" t="s">
        <v>926</v>
      </c>
      <c r="B102" s="17"/>
      <c r="C102" s="17" t="s">
        <v>22</v>
      </c>
      <c r="D102" s="17"/>
      <c r="E102" s="13">
        <v>46714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2" t="s">
        <v>926</v>
      </c>
      <c r="AL102" s="17"/>
      <c r="AM102" s="17" t="s">
        <v>22</v>
      </c>
      <c r="AN102" s="17"/>
      <c r="AO102" s="1"/>
      <c r="AP102" s="1"/>
      <c r="AQ102" s="1"/>
      <c r="AR102" s="1"/>
      <c r="AS102" s="1"/>
      <c r="AT102" s="1"/>
      <c r="AU102" s="1"/>
      <c r="AV102" s="1"/>
      <c r="AW102" s="1">
        <f t="shared" si="6"/>
        <v>0</v>
      </c>
      <c r="AY102" s="1">
        <f>+'St of Activites - GA Rev'!AI102-'St of Activities - GA Exp'!AW102</f>
        <v>0</v>
      </c>
      <c r="BC102" s="1">
        <f>+AY102+BA102</f>
        <v>0</v>
      </c>
      <c r="BE102" s="1">
        <f>+'St of Net Assets - GA'!AA102-'St of Activities - GA Exp'!BC102</f>
        <v>0</v>
      </c>
    </row>
    <row r="103" spans="1:57">
      <c r="A103" s="17" t="s">
        <v>285</v>
      </c>
      <c r="B103" s="17"/>
      <c r="C103" s="17" t="s">
        <v>20</v>
      </c>
      <c r="D103" s="17"/>
      <c r="E103" s="13">
        <v>45286</v>
      </c>
      <c r="G103" s="1">
        <v>12737608</v>
      </c>
      <c r="H103" s="1"/>
      <c r="I103" s="1">
        <v>1903964</v>
      </c>
      <c r="J103" s="1"/>
      <c r="K103" s="1">
        <v>80732</v>
      </c>
      <c r="L103" s="1"/>
      <c r="M103" s="1">
        <v>23103</v>
      </c>
      <c r="N103" s="1"/>
      <c r="O103" s="1">
        <v>1174071</v>
      </c>
      <c r="P103" s="1"/>
      <c r="Q103" s="1">
        <v>1328776</v>
      </c>
      <c r="R103" s="1"/>
      <c r="S103" s="1">
        <v>75274</v>
      </c>
      <c r="T103" s="1"/>
      <c r="U103" s="1">
        <v>2050077</v>
      </c>
      <c r="V103" s="1"/>
      <c r="W103" s="1">
        <v>885475</v>
      </c>
      <c r="X103" s="1"/>
      <c r="Y103" s="1">
        <v>300</v>
      </c>
      <c r="Z103" s="1"/>
      <c r="AA103" s="1">
        <v>1990526</v>
      </c>
      <c r="AB103" s="1"/>
      <c r="AC103" s="1">
        <v>1264395</v>
      </c>
      <c r="AD103" s="1"/>
      <c r="AE103" s="1">
        <v>12933</v>
      </c>
      <c r="AF103" s="1"/>
      <c r="AG103" s="1">
        <v>669562</v>
      </c>
      <c r="AH103" s="1"/>
      <c r="AI103" s="1">
        <f>160455+118911+357803</f>
        <v>637169</v>
      </c>
      <c r="AJ103" s="1"/>
      <c r="AK103" s="17" t="s">
        <v>285</v>
      </c>
      <c r="AL103" s="17"/>
      <c r="AM103" s="17" t="s">
        <v>20</v>
      </c>
      <c r="AN103" s="17"/>
      <c r="AO103" s="1">
        <v>844500</v>
      </c>
      <c r="AP103" s="1"/>
      <c r="AQ103" s="1">
        <v>1360443</v>
      </c>
      <c r="AR103" s="1"/>
      <c r="AS103" s="1"/>
      <c r="AT103" s="1"/>
      <c r="AU103" s="1">
        <v>0</v>
      </c>
      <c r="AV103" s="1"/>
      <c r="AW103" s="1">
        <f t="shared" si="6"/>
        <v>27038908</v>
      </c>
      <c r="AY103" s="1">
        <f>+'St of Activites - GA Rev'!AI103-'St of Activities - GA Exp'!AW103</f>
        <v>1956111</v>
      </c>
      <c r="BA103" s="1">
        <v>9609831</v>
      </c>
      <c r="BC103" s="1">
        <f t="shared" si="7"/>
        <v>11565942</v>
      </c>
      <c r="BE103" s="1">
        <f>+'St of Net Assets - GA'!AA103-'St of Activities - GA Exp'!BC103</f>
        <v>0</v>
      </c>
    </row>
    <row r="104" spans="1:57">
      <c r="A104" s="17" t="s">
        <v>602</v>
      </c>
      <c r="B104" s="17"/>
      <c r="C104" s="17" t="s">
        <v>64</v>
      </c>
      <c r="D104" s="17"/>
      <c r="E104" s="13">
        <v>50138</v>
      </c>
      <c r="G104" s="1">
        <v>5666960</v>
      </c>
      <c r="H104" s="1"/>
      <c r="I104" s="1">
        <v>1773780</v>
      </c>
      <c r="J104" s="1"/>
      <c r="K104" s="1">
        <v>176473</v>
      </c>
      <c r="L104" s="1"/>
      <c r="M104" s="1">
        <v>566159</v>
      </c>
      <c r="N104" s="1"/>
      <c r="O104" s="1">
        <v>612421</v>
      </c>
      <c r="P104" s="1"/>
      <c r="Q104" s="1">
        <v>384820</v>
      </c>
      <c r="R104" s="1"/>
      <c r="S104" s="1">
        <v>37080</v>
      </c>
      <c r="T104" s="1"/>
      <c r="U104" s="1">
        <v>1665651</v>
      </c>
      <c r="V104" s="1"/>
      <c r="W104" s="1">
        <v>376986</v>
      </c>
      <c r="X104" s="1"/>
      <c r="Y104" s="1">
        <v>0</v>
      </c>
      <c r="Z104" s="1"/>
      <c r="AA104" s="1">
        <v>2052996</v>
      </c>
      <c r="AB104" s="1"/>
      <c r="AC104" s="1">
        <v>804005</v>
      </c>
      <c r="AD104" s="1"/>
      <c r="AE104" s="1">
        <v>8531</v>
      </c>
      <c r="AF104" s="1"/>
      <c r="AG104" s="1">
        <v>448681</v>
      </c>
      <c r="AH104" s="1"/>
      <c r="AI104" s="1">
        <v>21683</v>
      </c>
      <c r="AJ104" s="1"/>
      <c r="AK104" s="17" t="s">
        <v>602</v>
      </c>
      <c r="AL104" s="17"/>
      <c r="AM104" s="17" t="s">
        <v>64</v>
      </c>
      <c r="AN104" s="17"/>
      <c r="AO104" s="1">
        <v>513623</v>
      </c>
      <c r="AP104" s="1"/>
      <c r="AQ104" s="1">
        <v>96636</v>
      </c>
      <c r="AR104" s="1"/>
      <c r="AS104" s="1"/>
      <c r="AT104" s="1"/>
      <c r="AU104" s="1">
        <v>0</v>
      </c>
      <c r="AV104" s="1"/>
      <c r="AW104" s="1">
        <f t="shared" si="6"/>
        <v>15206485</v>
      </c>
      <c r="AY104" s="1">
        <f>+'St of Activites - GA Rev'!AI104-'St of Activities - GA Exp'!AW104</f>
        <v>113353</v>
      </c>
      <c r="BA104" s="1">
        <v>211746</v>
      </c>
      <c r="BC104" s="1">
        <f t="shared" si="7"/>
        <v>325099</v>
      </c>
      <c r="BE104" s="1">
        <f>+'St of Net Assets - GA'!AA104-'St of Activities - GA Exp'!BC104</f>
        <v>0</v>
      </c>
    </row>
    <row r="105" spans="1:57" ht="12" hidden="1" customHeight="1">
      <c r="A105" s="12" t="s">
        <v>927</v>
      </c>
      <c r="B105" s="17"/>
      <c r="C105" s="17" t="s">
        <v>30</v>
      </c>
      <c r="D105" s="17"/>
      <c r="E105" s="13">
        <v>47183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2" t="s">
        <v>927</v>
      </c>
      <c r="AL105" s="17"/>
      <c r="AM105" s="17" t="s">
        <v>30</v>
      </c>
      <c r="AN105" s="17"/>
      <c r="AO105" s="1"/>
      <c r="AP105" s="1"/>
      <c r="AQ105" s="1"/>
      <c r="AR105" s="1"/>
      <c r="AS105" s="1"/>
      <c r="AT105" s="1"/>
      <c r="AU105" s="1"/>
      <c r="AV105" s="1"/>
      <c r="AW105" s="1">
        <f t="shared" si="6"/>
        <v>0</v>
      </c>
      <c r="AY105" s="1">
        <f>+'St of Activites - GA Rev'!AI105-'St of Activities - GA Exp'!AW105</f>
        <v>0</v>
      </c>
      <c r="BC105" s="1">
        <f t="shared" si="7"/>
        <v>0</v>
      </c>
      <c r="BE105" s="1">
        <f>+'St of Net Assets - GA'!AA105-'St of Activities - GA Exp'!BC105</f>
        <v>0</v>
      </c>
    </row>
    <row r="106" spans="1:57">
      <c r="A106" s="17" t="s">
        <v>419</v>
      </c>
      <c r="B106" s="17"/>
      <c r="C106" s="17" t="s">
        <v>420</v>
      </c>
      <c r="D106" s="17"/>
      <c r="E106" s="13">
        <v>45294</v>
      </c>
      <c r="G106" s="1">
        <v>7806512</v>
      </c>
      <c r="H106" s="1"/>
      <c r="I106" s="1">
        <v>1213352</v>
      </c>
      <c r="J106" s="1"/>
      <c r="K106" s="1">
        <v>0</v>
      </c>
      <c r="L106" s="1"/>
      <c r="M106" s="1">
        <v>472631</v>
      </c>
      <c r="N106" s="1"/>
      <c r="O106" s="1">
        <v>547882</v>
      </c>
      <c r="P106" s="1"/>
      <c r="Q106" s="1">
        <v>738147</v>
      </c>
      <c r="R106" s="1"/>
      <c r="S106" s="1">
        <v>146919</v>
      </c>
      <c r="T106" s="1"/>
      <c r="U106" s="1">
        <v>1098525</v>
      </c>
      <c r="V106" s="1"/>
      <c r="W106" s="1">
        <v>315577</v>
      </c>
      <c r="X106" s="1"/>
      <c r="Y106" s="1">
        <v>0</v>
      </c>
      <c r="Z106" s="1"/>
      <c r="AA106" s="1">
        <v>1121152</v>
      </c>
      <c r="AB106" s="1"/>
      <c r="AC106" s="1">
        <v>869401</v>
      </c>
      <c r="AD106" s="1"/>
      <c r="AE106" s="1">
        <v>162525</v>
      </c>
      <c r="AF106" s="1"/>
      <c r="AG106" s="1">
        <v>575064</v>
      </c>
      <c r="AH106" s="1"/>
      <c r="AI106" s="1">
        <v>0</v>
      </c>
      <c r="AJ106" s="1"/>
      <c r="AK106" s="17" t="s">
        <v>419</v>
      </c>
      <c r="AL106" s="17"/>
      <c r="AM106" s="17" t="s">
        <v>420</v>
      </c>
      <c r="AN106" s="17"/>
      <c r="AO106" s="1">
        <v>349593</v>
      </c>
      <c r="AP106" s="1"/>
      <c r="AQ106" s="1">
        <v>81625</v>
      </c>
      <c r="AR106" s="1"/>
      <c r="AS106" s="1"/>
      <c r="AT106" s="1"/>
      <c r="AU106" s="1">
        <v>0</v>
      </c>
      <c r="AV106" s="1"/>
      <c r="AW106" s="1">
        <f t="shared" si="6"/>
        <v>15498905</v>
      </c>
      <c r="AY106" s="1">
        <f>+'St of Activites - GA Rev'!AI106-'St of Activities - GA Exp'!AW106</f>
        <v>-854900</v>
      </c>
      <c r="BA106" s="1">
        <v>21508269</v>
      </c>
      <c r="BC106" s="1">
        <f t="shared" si="7"/>
        <v>20653369</v>
      </c>
      <c r="BE106" s="1">
        <f>+'St of Net Assets - GA'!AA106-'St of Activities - GA Exp'!BC106</f>
        <v>0</v>
      </c>
    </row>
    <row r="107" spans="1:57">
      <c r="A107" s="17" t="s">
        <v>550</v>
      </c>
      <c r="B107" s="17"/>
      <c r="C107" s="17" t="s">
        <v>58</v>
      </c>
      <c r="D107" s="17"/>
      <c r="E107" s="13">
        <v>43745</v>
      </c>
      <c r="G107" s="1">
        <v>17658298</v>
      </c>
      <c r="H107" s="1"/>
      <c r="I107" s="1">
        <v>3917627</v>
      </c>
      <c r="J107" s="1"/>
      <c r="K107" s="1">
        <v>10473</v>
      </c>
      <c r="L107" s="1"/>
      <c r="M107" s="1">
        <v>729800</v>
      </c>
      <c r="N107" s="1"/>
      <c r="O107" s="1">
        <v>1960404</v>
      </c>
      <c r="P107" s="1"/>
      <c r="Q107" s="1">
        <v>1792793</v>
      </c>
      <c r="R107" s="1"/>
      <c r="S107" s="1">
        <v>87083</v>
      </c>
      <c r="T107" s="1"/>
      <c r="U107" s="1">
        <v>2235962</v>
      </c>
      <c r="V107" s="1"/>
      <c r="W107" s="1">
        <v>824141</v>
      </c>
      <c r="X107" s="1"/>
      <c r="Y107" s="1">
        <v>0</v>
      </c>
      <c r="Z107" s="1"/>
      <c r="AA107" s="1">
        <v>3218848</v>
      </c>
      <c r="AB107" s="1"/>
      <c r="AC107" s="1">
        <v>983674</v>
      </c>
      <c r="AD107" s="1"/>
      <c r="AE107" s="1">
        <v>229106</v>
      </c>
      <c r="AF107" s="1"/>
      <c r="AG107" s="1">
        <v>1650945</v>
      </c>
      <c r="AH107" s="1"/>
      <c r="AI107" s="1">
        <v>0</v>
      </c>
      <c r="AJ107" s="1"/>
      <c r="AK107" s="17" t="s">
        <v>550</v>
      </c>
      <c r="AL107" s="17"/>
      <c r="AM107" s="17" t="s">
        <v>58</v>
      </c>
      <c r="AN107" s="17"/>
      <c r="AO107" s="1">
        <v>561017</v>
      </c>
      <c r="AP107" s="1"/>
      <c r="AQ107" s="1">
        <v>1590820</v>
      </c>
      <c r="AR107" s="1"/>
      <c r="AS107" s="1"/>
      <c r="AT107" s="1"/>
      <c r="AU107" s="1">
        <v>0</v>
      </c>
      <c r="AV107" s="1"/>
      <c r="AW107" s="1">
        <f t="shared" si="6"/>
        <v>37450991</v>
      </c>
      <c r="AY107" s="1">
        <f>+'St of Activites - GA Rev'!AI107-'St of Activities - GA Exp'!AW107</f>
        <v>-730427</v>
      </c>
      <c r="BA107" s="1">
        <v>9435415</v>
      </c>
      <c r="BC107" s="1">
        <f t="shared" si="7"/>
        <v>8704988</v>
      </c>
      <c r="BE107" s="1">
        <f>+'St of Net Assets - GA'!AA107-'St of Activities - GA Exp'!BC107</f>
        <v>0</v>
      </c>
    </row>
    <row r="108" spans="1:57" ht="12" customHeight="1">
      <c r="A108" s="12" t="s">
        <v>640</v>
      </c>
      <c r="B108" s="17"/>
      <c r="C108" s="17" t="s">
        <v>71</v>
      </c>
      <c r="D108" s="17"/>
      <c r="E108" s="13">
        <v>50534</v>
      </c>
      <c r="G108" s="1">
        <v>5343579</v>
      </c>
      <c r="H108" s="1"/>
      <c r="I108" s="1">
        <v>964799</v>
      </c>
      <c r="J108" s="1"/>
      <c r="K108" s="1">
        <v>26344</v>
      </c>
      <c r="L108" s="1"/>
      <c r="M108" s="1">
        <v>339229</v>
      </c>
      <c r="N108" s="1"/>
      <c r="O108" s="1">
        <v>169612</v>
      </c>
      <c r="P108" s="1"/>
      <c r="Q108" s="1">
        <v>528109</v>
      </c>
      <c r="R108" s="1"/>
      <c r="S108" s="1">
        <v>52726</v>
      </c>
      <c r="T108" s="1"/>
      <c r="U108" s="1">
        <v>1039523</v>
      </c>
      <c r="V108" s="1"/>
      <c r="W108" s="1">
        <v>365136</v>
      </c>
      <c r="X108" s="1"/>
      <c r="Y108" s="1">
        <v>0</v>
      </c>
      <c r="Z108" s="1"/>
      <c r="AA108" s="1">
        <v>1296231</v>
      </c>
      <c r="AB108" s="1"/>
      <c r="AC108" s="1">
        <v>584428</v>
      </c>
      <c r="AD108" s="1"/>
      <c r="AE108" s="1">
        <v>169120</v>
      </c>
      <c r="AF108" s="1"/>
      <c r="AG108" s="1">
        <v>478285</v>
      </c>
      <c r="AH108" s="1"/>
      <c r="AI108" s="1">
        <v>96543</v>
      </c>
      <c r="AJ108" s="1"/>
      <c r="AK108" s="17" t="s">
        <v>640</v>
      </c>
      <c r="AL108" s="17"/>
      <c r="AM108" s="17" t="s">
        <v>71</v>
      </c>
      <c r="AN108" s="17"/>
      <c r="AO108" s="1">
        <v>499848</v>
      </c>
      <c r="AP108" s="1"/>
      <c r="AQ108" s="1">
        <v>0</v>
      </c>
      <c r="AR108" s="1"/>
      <c r="AS108" s="1"/>
      <c r="AT108" s="1"/>
      <c r="AU108" s="1">
        <v>0</v>
      </c>
      <c r="AV108" s="1"/>
      <c r="AW108" s="1">
        <f t="shared" si="6"/>
        <v>11953512</v>
      </c>
      <c r="AY108" s="1">
        <f>+'St of Activites - GA Rev'!AI108-'St of Activities - GA Exp'!AW108</f>
        <v>1016443</v>
      </c>
      <c r="BA108" s="1">
        <v>8352545</v>
      </c>
      <c r="BC108" s="1">
        <f t="shared" si="7"/>
        <v>9368988</v>
      </c>
      <c r="BE108" s="1">
        <f>+'St of Net Assets - GA'!AA108-'St of Activities - GA Exp'!BC108</f>
        <v>0</v>
      </c>
    </row>
    <row r="109" spans="1:57" ht="12" customHeight="1">
      <c r="A109" s="12" t="s">
        <v>928</v>
      </c>
      <c r="B109" s="17"/>
      <c r="C109" s="17" t="s">
        <v>32</v>
      </c>
      <c r="D109" s="17"/>
      <c r="E109" s="13">
        <v>43752</v>
      </c>
      <c r="G109" s="1">
        <v>215218926</v>
      </c>
      <c r="H109" s="1"/>
      <c r="I109" s="1">
        <v>77739067</v>
      </c>
      <c r="J109" s="1"/>
      <c r="K109" s="1">
        <v>6839266</v>
      </c>
      <c r="L109" s="1"/>
      <c r="M109" s="1">
        <v>324254</v>
      </c>
      <c r="N109" s="1"/>
      <c r="O109" s="1">
        <v>29830994</v>
      </c>
      <c r="P109" s="1"/>
      <c r="Q109" s="1">
        <v>39819027</v>
      </c>
      <c r="R109" s="1"/>
      <c r="S109" s="1">
        <v>339142</v>
      </c>
      <c r="T109" s="1"/>
      <c r="U109" s="1">
        <v>35453480</v>
      </c>
      <c r="V109" s="1"/>
      <c r="W109" s="1">
        <v>6833916</v>
      </c>
      <c r="X109" s="1"/>
      <c r="Y109" s="1">
        <v>1196647</v>
      </c>
      <c r="Z109" s="1"/>
      <c r="AA109" s="1">
        <v>41693266</v>
      </c>
      <c r="AB109" s="1"/>
      <c r="AC109" s="1">
        <v>31574052</v>
      </c>
      <c r="AD109" s="1"/>
      <c r="AE109" s="1">
        <v>10143405</v>
      </c>
      <c r="AF109" s="1"/>
      <c r="AG109" s="1">
        <v>37670655</v>
      </c>
      <c r="AH109" s="1"/>
      <c r="AI109" s="1">
        <v>0</v>
      </c>
      <c r="AJ109" s="1"/>
      <c r="AK109" s="12" t="s">
        <v>928</v>
      </c>
      <c r="AL109" s="17"/>
      <c r="AM109" s="17" t="s">
        <v>32</v>
      </c>
      <c r="AN109" s="17"/>
      <c r="AO109" s="1">
        <v>6370590</v>
      </c>
      <c r="AP109" s="1"/>
      <c r="AQ109" s="1">
        <v>31351857</v>
      </c>
      <c r="AR109" s="1"/>
      <c r="AS109" s="1"/>
      <c r="AT109" s="1"/>
      <c r="AU109" s="1">
        <v>0</v>
      </c>
      <c r="AV109" s="1"/>
      <c r="AW109" s="1">
        <f t="shared" si="6"/>
        <v>572398544</v>
      </c>
      <c r="AY109" s="1">
        <f>+'St of Activites - GA Rev'!AI109-'St of Activities - GA Exp'!AW109</f>
        <v>79014514</v>
      </c>
      <c r="BA109" s="1">
        <v>455120421</v>
      </c>
      <c r="BC109" s="1">
        <f t="shared" si="7"/>
        <v>534134935</v>
      </c>
      <c r="BE109" s="1">
        <f>+'St of Net Assets - GA'!AA109-'St of Activities - GA Exp'!BC109</f>
        <v>0</v>
      </c>
    </row>
    <row r="110" spans="1:57" s="16" customFormat="1">
      <c r="A110" s="14" t="s">
        <v>525</v>
      </c>
      <c r="B110" s="14"/>
      <c r="C110" s="14" t="s">
        <v>54</v>
      </c>
      <c r="D110" s="14"/>
      <c r="E110" s="13">
        <v>43760</v>
      </c>
      <c r="G110" s="1">
        <v>10853017</v>
      </c>
      <c r="H110" s="1"/>
      <c r="I110" s="1">
        <v>2975585</v>
      </c>
      <c r="J110" s="1"/>
      <c r="K110" s="1">
        <v>126287</v>
      </c>
      <c r="L110" s="1"/>
      <c r="M110" s="1">
        <v>106691</v>
      </c>
      <c r="N110" s="1"/>
      <c r="O110" s="1">
        <v>1163576</v>
      </c>
      <c r="P110" s="1"/>
      <c r="Q110" s="1">
        <v>3407089</v>
      </c>
      <c r="R110" s="1"/>
      <c r="S110" s="1">
        <v>237311</v>
      </c>
      <c r="T110" s="1"/>
      <c r="U110" s="1">
        <v>1983315</v>
      </c>
      <c r="V110" s="1"/>
      <c r="W110" s="1">
        <v>589271</v>
      </c>
      <c r="X110" s="1"/>
      <c r="Y110" s="1">
        <v>0</v>
      </c>
      <c r="Z110" s="1"/>
      <c r="AA110" s="1">
        <v>2032696</v>
      </c>
      <c r="AB110" s="1"/>
      <c r="AC110" s="1">
        <v>778927</v>
      </c>
      <c r="AD110" s="1"/>
      <c r="AE110" s="1">
        <v>0</v>
      </c>
      <c r="AF110" s="1"/>
      <c r="AG110" s="1">
        <v>1093329</v>
      </c>
      <c r="AH110" s="1"/>
      <c r="AI110" s="1">
        <v>96906</v>
      </c>
      <c r="AJ110" s="1"/>
      <c r="AK110" s="14" t="s">
        <v>525</v>
      </c>
      <c r="AL110" s="14"/>
      <c r="AM110" s="14" t="s">
        <v>54</v>
      </c>
      <c r="AN110" s="14"/>
      <c r="AO110" s="1">
        <v>512119</v>
      </c>
      <c r="AP110" s="1"/>
      <c r="AQ110" s="1">
        <v>41146</v>
      </c>
      <c r="AR110" s="1"/>
      <c r="AS110" s="1"/>
      <c r="AT110" s="1"/>
      <c r="AU110" s="1">
        <v>0</v>
      </c>
      <c r="AV110" s="1"/>
      <c r="AW110" s="1">
        <f t="shared" si="6"/>
        <v>25997265</v>
      </c>
      <c r="AX110" s="1"/>
      <c r="AY110" s="1">
        <f>+'St of Activites - GA Rev'!AI110-'St of Activities - GA Exp'!AW110</f>
        <v>200800</v>
      </c>
      <c r="AZ110" s="1"/>
      <c r="BA110" s="1">
        <v>17891217</v>
      </c>
      <c r="BB110" s="1"/>
      <c r="BC110" s="1">
        <f t="shared" si="7"/>
        <v>18092017</v>
      </c>
      <c r="BE110" s="16">
        <f>+'St of Net Assets - GA'!AA110-'St of Activities - GA Exp'!BC110</f>
        <v>0</v>
      </c>
    </row>
    <row r="111" spans="1:57">
      <c r="A111" s="17" t="s">
        <v>245</v>
      </c>
      <c r="B111" s="17"/>
      <c r="C111" s="17" t="s">
        <v>17</v>
      </c>
      <c r="D111" s="17"/>
      <c r="E111" s="13">
        <v>46284</v>
      </c>
      <c r="G111" s="1">
        <v>10381061</v>
      </c>
      <c r="H111" s="1"/>
      <c r="I111" s="1">
        <v>2555078</v>
      </c>
      <c r="J111" s="1"/>
      <c r="K111" s="1">
        <v>204960</v>
      </c>
      <c r="L111" s="1"/>
      <c r="M111" s="1">
        <f>17481+345091</f>
        <v>362572</v>
      </c>
      <c r="N111" s="1"/>
      <c r="O111" s="1">
        <v>708159</v>
      </c>
      <c r="P111" s="1"/>
      <c r="Q111" s="1">
        <v>616199</v>
      </c>
      <c r="R111" s="1"/>
      <c r="S111" s="1">
        <v>126754</v>
      </c>
      <c r="T111" s="1"/>
      <c r="U111" s="1">
        <v>1688499</v>
      </c>
      <c r="V111" s="1"/>
      <c r="W111" s="1">
        <v>461871</v>
      </c>
      <c r="X111" s="1"/>
      <c r="Y111" s="1">
        <v>15463</v>
      </c>
      <c r="Z111" s="1"/>
      <c r="AA111" s="1">
        <v>2109116</v>
      </c>
      <c r="AB111" s="1"/>
      <c r="AC111" s="1">
        <v>1051337</v>
      </c>
      <c r="AD111" s="1"/>
      <c r="AE111" s="1">
        <v>77789</v>
      </c>
      <c r="AF111" s="1"/>
      <c r="AG111" s="1">
        <v>946858</v>
      </c>
      <c r="AH111" s="1"/>
      <c r="AI111" s="1">
        <v>0</v>
      </c>
      <c r="AJ111" s="1"/>
      <c r="AK111" s="17" t="s">
        <v>245</v>
      </c>
      <c r="AL111" s="17"/>
      <c r="AM111" s="17" t="s">
        <v>17</v>
      </c>
      <c r="AN111" s="17"/>
      <c r="AO111" s="1">
        <v>842403</v>
      </c>
      <c r="AP111" s="1"/>
      <c r="AQ111" s="1">
        <v>3628</v>
      </c>
      <c r="AR111" s="1"/>
      <c r="AS111" s="1"/>
      <c r="AT111" s="1"/>
      <c r="AU111" s="1">
        <v>0</v>
      </c>
      <c r="AV111" s="1"/>
      <c r="AW111" s="1">
        <f t="shared" si="6"/>
        <v>22151747</v>
      </c>
      <c r="AY111" s="1">
        <f>+'St of Activites - GA Rev'!AI111-'St of Activities - GA Exp'!AW111</f>
        <v>899268</v>
      </c>
      <c r="BA111" s="1">
        <v>15886980</v>
      </c>
      <c r="BC111" s="1">
        <f t="shared" si="7"/>
        <v>16786248</v>
      </c>
      <c r="BE111" s="1">
        <f>+'St of Net Assets - GA'!AA111-'St of Activities - GA Exp'!BC111</f>
        <v>0</v>
      </c>
    </row>
    <row r="112" spans="1:57">
      <c r="A112" s="17" t="s">
        <v>560</v>
      </c>
      <c r="B112" s="17"/>
      <c r="C112" s="17" t="s">
        <v>59</v>
      </c>
      <c r="D112" s="17"/>
      <c r="E112" s="13">
        <v>49601</v>
      </c>
      <c r="G112" s="1">
        <v>3421408</v>
      </c>
      <c r="H112" s="1"/>
      <c r="I112" s="1">
        <v>533852</v>
      </c>
      <c r="J112" s="1"/>
      <c r="K112" s="1">
        <v>17342</v>
      </c>
      <c r="L112" s="1"/>
      <c r="M112" s="1">
        <v>20090</v>
      </c>
      <c r="N112" s="1"/>
      <c r="O112" s="1">
        <v>284257</v>
      </c>
      <c r="P112" s="1"/>
      <c r="Q112" s="1">
        <v>436280</v>
      </c>
      <c r="R112" s="1"/>
      <c r="S112" s="1">
        <v>23377</v>
      </c>
      <c r="T112" s="1"/>
      <c r="U112" s="1">
        <v>516220</v>
      </c>
      <c r="V112" s="1"/>
      <c r="W112" s="1">
        <v>225350</v>
      </c>
      <c r="X112" s="1"/>
      <c r="Y112" s="1">
        <v>0</v>
      </c>
      <c r="Z112" s="1"/>
      <c r="AA112" s="1">
        <v>454254</v>
      </c>
      <c r="AB112" s="1"/>
      <c r="AC112" s="1">
        <v>297636</v>
      </c>
      <c r="AD112" s="1"/>
      <c r="AE112" s="1">
        <v>7343</v>
      </c>
      <c r="AF112" s="1"/>
      <c r="AG112" s="1">
        <v>297920</v>
      </c>
      <c r="AH112" s="1"/>
      <c r="AI112" s="1">
        <v>0</v>
      </c>
      <c r="AJ112" s="1"/>
      <c r="AK112" s="17" t="s">
        <v>560</v>
      </c>
      <c r="AL112" s="17"/>
      <c r="AM112" s="17" t="s">
        <v>59</v>
      </c>
      <c r="AN112" s="17"/>
      <c r="AO112" s="1">
        <v>121950</v>
      </c>
      <c r="AP112" s="1"/>
      <c r="AQ112" s="1">
        <v>276392</v>
      </c>
      <c r="AR112" s="1"/>
      <c r="AS112" s="1"/>
      <c r="AT112" s="1"/>
      <c r="AU112" s="1">
        <v>0</v>
      </c>
      <c r="AV112" s="1"/>
      <c r="AW112" s="1">
        <f t="shared" si="6"/>
        <v>6933671</v>
      </c>
      <c r="AY112" s="1">
        <f>+'St of Activites - GA Rev'!AI112-'St of Activities - GA Exp'!AW112</f>
        <v>1082611</v>
      </c>
      <c r="BA112" s="1">
        <v>19311445</v>
      </c>
      <c r="BC112" s="1">
        <f t="shared" si="7"/>
        <v>20394056</v>
      </c>
      <c r="BE112" s="1">
        <f>+'St of Net Assets - GA'!AA112-'St of Activities - GA Exp'!BC112</f>
        <v>0</v>
      </c>
    </row>
    <row r="113" spans="1:57">
      <c r="A113" s="17" t="s">
        <v>618</v>
      </c>
      <c r="B113" s="17"/>
      <c r="C113" s="17" t="s">
        <v>65</v>
      </c>
      <c r="D113" s="17"/>
      <c r="E113" s="13">
        <v>43778</v>
      </c>
      <c r="G113" s="1">
        <v>10040321</v>
      </c>
      <c r="H113" s="1"/>
      <c r="I113" s="1">
        <v>2832122</v>
      </c>
      <c r="J113" s="1"/>
      <c r="K113" s="1">
        <v>182624</v>
      </c>
      <c r="L113" s="1"/>
      <c r="M113" s="1">
        <v>0</v>
      </c>
      <c r="N113" s="1"/>
      <c r="O113" s="1">
        <v>956890</v>
      </c>
      <c r="P113" s="1"/>
      <c r="Q113" s="1">
        <v>1280161</v>
      </c>
      <c r="R113" s="1"/>
      <c r="S113" s="1">
        <v>34532</v>
      </c>
      <c r="T113" s="1"/>
      <c r="U113" s="1">
        <v>1541351</v>
      </c>
      <c r="V113" s="1"/>
      <c r="W113" s="1">
        <v>390625</v>
      </c>
      <c r="X113" s="1"/>
      <c r="Y113" s="1">
        <v>28509</v>
      </c>
      <c r="Z113" s="1"/>
      <c r="AA113" s="1">
        <v>2207080</v>
      </c>
      <c r="AB113" s="1"/>
      <c r="AC113" s="1">
        <v>780154</v>
      </c>
      <c r="AD113" s="1"/>
      <c r="AE113" s="1">
        <v>496108</v>
      </c>
      <c r="AF113" s="1"/>
      <c r="AG113" s="1">
        <v>933115</v>
      </c>
      <c r="AH113" s="1"/>
      <c r="AI113" s="1">
        <v>73473</v>
      </c>
      <c r="AJ113" s="1"/>
      <c r="AK113" s="17" t="s">
        <v>618</v>
      </c>
      <c r="AL113" s="17"/>
      <c r="AM113" s="17" t="s">
        <v>65</v>
      </c>
      <c r="AN113" s="17"/>
      <c r="AO113" s="1">
        <v>548870</v>
      </c>
      <c r="AP113" s="1"/>
      <c r="AQ113" s="1">
        <v>141747</v>
      </c>
      <c r="AR113" s="1"/>
      <c r="AS113" s="1"/>
      <c r="AT113" s="1"/>
      <c r="AU113" s="1">
        <v>0</v>
      </c>
      <c r="AV113" s="1"/>
      <c r="AW113" s="1">
        <f t="shared" si="6"/>
        <v>22467682</v>
      </c>
      <c r="AY113" s="1">
        <f>+'St of Activites - GA Rev'!AI113-'St of Activities - GA Exp'!AW113</f>
        <v>-1080384</v>
      </c>
      <c r="BA113" s="1">
        <v>21159871</v>
      </c>
      <c r="BC113" s="1">
        <f t="shared" si="7"/>
        <v>20079487</v>
      </c>
      <c r="BE113" s="1">
        <f>+'St of Net Assets - GA'!AA113-'St of Activities - GA Exp'!BC113</f>
        <v>0</v>
      </c>
    </row>
    <row r="114" spans="1:57">
      <c r="A114" s="17" t="s">
        <v>543</v>
      </c>
      <c r="B114" s="17"/>
      <c r="C114" s="17" t="s">
        <v>112</v>
      </c>
      <c r="D114" s="17"/>
      <c r="E114" s="13">
        <v>49411</v>
      </c>
      <c r="G114" s="1">
        <v>6629299</v>
      </c>
      <c r="H114" s="1"/>
      <c r="I114" s="1">
        <v>1722629</v>
      </c>
      <c r="J114" s="1"/>
      <c r="K114" s="1">
        <v>158961</v>
      </c>
      <c r="L114" s="1"/>
      <c r="M114" s="1">
        <v>589788</v>
      </c>
      <c r="N114" s="1"/>
      <c r="O114" s="1">
        <v>602031</v>
      </c>
      <c r="P114" s="1"/>
      <c r="Q114" s="1">
        <v>746470</v>
      </c>
      <c r="R114" s="1"/>
      <c r="S114" s="1">
        <v>49082</v>
      </c>
      <c r="T114" s="1"/>
      <c r="U114" s="1">
        <v>937644</v>
      </c>
      <c r="V114" s="1"/>
      <c r="W114" s="1">
        <v>325455</v>
      </c>
      <c r="X114" s="1"/>
      <c r="Y114" s="1">
        <v>0</v>
      </c>
      <c r="Z114" s="1"/>
      <c r="AA114" s="1">
        <v>1777221</v>
      </c>
      <c r="AB114" s="1"/>
      <c r="AC114" s="1">
        <v>1140928</v>
      </c>
      <c r="AD114" s="1"/>
      <c r="AE114" s="1">
        <v>20737</v>
      </c>
      <c r="AF114" s="1"/>
      <c r="AG114" s="1">
        <v>766267</v>
      </c>
      <c r="AH114" s="1"/>
      <c r="AI114" s="1">
        <v>31059</v>
      </c>
      <c r="AJ114" s="1"/>
      <c r="AK114" s="17" t="s">
        <v>543</v>
      </c>
      <c r="AL114" s="17"/>
      <c r="AM114" s="17" t="s">
        <v>112</v>
      </c>
      <c r="AN114" s="17"/>
      <c r="AO114" s="1">
        <v>497356</v>
      </c>
      <c r="AP114" s="1"/>
      <c r="AQ114" s="1">
        <v>410490</v>
      </c>
      <c r="AR114" s="1"/>
      <c r="AS114" s="1"/>
      <c r="AT114" s="1"/>
      <c r="AU114" s="1">
        <v>0</v>
      </c>
      <c r="AV114" s="1"/>
      <c r="AW114" s="1">
        <f t="shared" si="6"/>
        <v>16405417</v>
      </c>
      <c r="AY114" s="1">
        <f>+'St of Activites - GA Rev'!AI114-'St of Activities - GA Exp'!AW114</f>
        <v>81337</v>
      </c>
      <c r="BA114" s="1">
        <v>9567499</v>
      </c>
      <c r="BC114" s="1">
        <f t="shared" si="7"/>
        <v>9648836</v>
      </c>
      <c r="BE114" s="1">
        <f>+'St of Net Assets - GA'!AA114-'St of Activities - GA Exp'!BC114</f>
        <v>0</v>
      </c>
    </row>
    <row r="115" spans="1:57">
      <c r="A115" s="17" t="s">
        <v>438</v>
      </c>
      <c r="B115" s="17"/>
      <c r="C115" s="17" t="s">
        <v>44</v>
      </c>
      <c r="D115" s="17"/>
      <c r="E115" s="13">
        <v>48132</v>
      </c>
      <c r="G115" s="1">
        <v>7090936</v>
      </c>
      <c r="H115" s="1"/>
      <c r="I115" s="1">
        <v>1896965</v>
      </c>
      <c r="J115" s="1"/>
      <c r="K115" s="1">
        <v>178183</v>
      </c>
      <c r="L115" s="1"/>
      <c r="M115" s="1">
        <v>47438</v>
      </c>
      <c r="N115" s="1"/>
      <c r="O115" s="1">
        <v>1079055</v>
      </c>
      <c r="P115" s="1"/>
      <c r="Q115" s="1">
        <v>589012</v>
      </c>
      <c r="R115" s="1"/>
      <c r="S115" s="1">
        <v>50690</v>
      </c>
      <c r="T115" s="1"/>
      <c r="U115" s="1">
        <v>1384524</v>
      </c>
      <c r="V115" s="1"/>
      <c r="W115" s="1">
        <v>411192</v>
      </c>
      <c r="X115" s="1"/>
      <c r="Y115" s="1">
        <v>269821</v>
      </c>
      <c r="Z115" s="1"/>
      <c r="AA115" s="1">
        <v>1534880</v>
      </c>
      <c r="AB115" s="1"/>
      <c r="AC115" s="1">
        <v>461289</v>
      </c>
      <c r="AD115" s="1"/>
      <c r="AE115" s="1">
        <v>89976</v>
      </c>
      <c r="AF115" s="1"/>
      <c r="AG115" s="1">
        <v>774083</v>
      </c>
      <c r="AH115" s="1"/>
      <c r="AI115" s="1">
        <f>6194+12673</f>
        <v>18867</v>
      </c>
      <c r="AJ115" s="1"/>
      <c r="AK115" s="17" t="s">
        <v>438</v>
      </c>
      <c r="AL115" s="17"/>
      <c r="AM115" s="17" t="s">
        <v>44</v>
      </c>
      <c r="AN115" s="17"/>
      <c r="AO115" s="1">
        <v>446583</v>
      </c>
      <c r="AP115" s="1"/>
      <c r="AQ115" s="1">
        <v>268649</v>
      </c>
      <c r="AR115" s="1"/>
      <c r="AS115" s="1"/>
      <c r="AT115" s="1"/>
      <c r="AU115" s="1">
        <v>0</v>
      </c>
      <c r="AV115" s="1"/>
      <c r="AW115" s="1">
        <f t="shared" si="6"/>
        <v>16592143</v>
      </c>
      <c r="AY115" s="1">
        <f>+'St of Activites - GA Rev'!AI115-'St of Activities - GA Exp'!AW115</f>
        <v>-181628</v>
      </c>
      <c r="BA115" s="1">
        <v>14220590</v>
      </c>
      <c r="BC115" s="1">
        <f t="shared" si="7"/>
        <v>14038962</v>
      </c>
      <c r="BE115" s="1">
        <f>+'St of Net Assets - GA'!AA115-'St of Activities - GA Exp'!BC115</f>
        <v>0</v>
      </c>
    </row>
    <row r="116" spans="1:57">
      <c r="A116" s="17" t="s">
        <v>797</v>
      </c>
      <c r="B116" s="17"/>
      <c r="C116" s="17" t="s">
        <v>115</v>
      </c>
      <c r="D116" s="17"/>
      <c r="E116" s="13"/>
      <c r="G116" s="1">
        <v>7504906</v>
      </c>
      <c r="H116" s="1"/>
      <c r="I116" s="1">
        <v>2313673</v>
      </c>
      <c r="J116" s="1"/>
      <c r="K116" s="1">
        <v>0</v>
      </c>
      <c r="L116" s="1"/>
      <c r="M116" s="1">
        <v>278284</v>
      </c>
      <c r="N116" s="1"/>
      <c r="O116" s="1">
        <v>805179</v>
      </c>
      <c r="P116" s="1"/>
      <c r="Q116" s="1">
        <v>791336</v>
      </c>
      <c r="R116" s="1"/>
      <c r="S116" s="1">
        <v>53288</v>
      </c>
      <c r="T116" s="1"/>
      <c r="U116" s="1">
        <v>1495346</v>
      </c>
      <c r="V116" s="1"/>
      <c r="W116" s="1">
        <v>471752</v>
      </c>
      <c r="X116" s="1"/>
      <c r="Y116" s="1">
        <v>59749</v>
      </c>
      <c r="Z116" s="1"/>
      <c r="AA116" s="1">
        <v>2008968</v>
      </c>
      <c r="AB116" s="1"/>
      <c r="AC116" s="1">
        <v>1699424</v>
      </c>
      <c r="AD116" s="1"/>
      <c r="AE116" s="1">
        <v>296075</v>
      </c>
      <c r="AF116" s="1"/>
      <c r="AG116" s="1">
        <v>659715</v>
      </c>
      <c r="AH116" s="1"/>
      <c r="AI116" s="1">
        <v>216460</v>
      </c>
      <c r="AJ116" s="1"/>
      <c r="AK116" s="17" t="s">
        <v>797</v>
      </c>
      <c r="AL116" s="17"/>
      <c r="AM116" s="17" t="s">
        <v>115</v>
      </c>
      <c r="AN116" s="17"/>
      <c r="AO116" s="1">
        <v>418070</v>
      </c>
      <c r="AP116" s="1"/>
      <c r="AQ116" s="1">
        <v>27172</v>
      </c>
      <c r="AR116" s="1"/>
      <c r="AS116" s="1"/>
      <c r="AT116" s="1"/>
      <c r="AU116" s="1">
        <v>0</v>
      </c>
      <c r="AV116" s="1"/>
      <c r="AW116" s="1">
        <f t="shared" si="6"/>
        <v>19099397</v>
      </c>
      <c r="AY116" s="1">
        <f>+'St of Activites - GA Rev'!AI116-'St of Activities - GA Exp'!AW116</f>
        <v>-70525</v>
      </c>
      <c r="BA116" s="1">
        <v>6769682</v>
      </c>
      <c r="BC116" s="1">
        <f t="shared" si="7"/>
        <v>6699157</v>
      </c>
      <c r="BE116" s="1">
        <f>+'St of Net Assets - GA'!AA116-'St of Activities - GA Exp'!BC116</f>
        <v>0</v>
      </c>
    </row>
    <row r="117" spans="1:57">
      <c r="A117" s="12" t="s">
        <v>796</v>
      </c>
      <c r="B117" s="17"/>
      <c r="C117" s="17" t="s">
        <v>20</v>
      </c>
      <c r="D117" s="17"/>
      <c r="E117" s="13">
        <v>43794</v>
      </c>
      <c r="G117" s="1">
        <v>37442211</v>
      </c>
      <c r="H117" s="1"/>
      <c r="I117" s="1">
        <v>12357959</v>
      </c>
      <c r="J117" s="1"/>
      <c r="K117" s="1">
        <v>1917084</v>
      </c>
      <c r="L117" s="1"/>
      <c r="M117" s="1">
        <f>233715+4424806</f>
        <v>4658521</v>
      </c>
      <c r="N117" s="1"/>
      <c r="O117" s="1">
        <v>9001406</v>
      </c>
      <c r="P117" s="1"/>
      <c r="Q117" s="1">
        <v>5149498</v>
      </c>
      <c r="R117" s="1"/>
      <c r="S117" s="1">
        <v>482582</v>
      </c>
      <c r="T117" s="1"/>
      <c r="U117" s="1">
        <v>6183059</v>
      </c>
      <c r="V117" s="1"/>
      <c r="W117" s="1">
        <v>3028623</v>
      </c>
      <c r="X117" s="1"/>
      <c r="Y117" s="1">
        <v>1344500</v>
      </c>
      <c r="Z117" s="1"/>
      <c r="AA117" s="1">
        <v>11722180</v>
      </c>
      <c r="AB117" s="1"/>
      <c r="AC117" s="1">
        <v>4550353</v>
      </c>
      <c r="AD117" s="1"/>
      <c r="AE117" s="1">
        <v>3522237</v>
      </c>
      <c r="AF117" s="1"/>
      <c r="AG117" s="1">
        <f>5776+2354293</f>
        <v>2360069</v>
      </c>
      <c r="AH117" s="1"/>
      <c r="AI117" s="1">
        <f>2215880+74610+20356+731703+3395010</f>
        <v>6437559</v>
      </c>
      <c r="AJ117" s="1"/>
      <c r="AK117" s="12" t="s">
        <v>796</v>
      </c>
      <c r="AL117" s="17"/>
      <c r="AM117" s="17" t="s">
        <v>20</v>
      </c>
      <c r="AN117" s="17"/>
      <c r="AO117" s="1">
        <v>1478856</v>
      </c>
      <c r="AP117" s="1"/>
      <c r="AQ117" s="1">
        <v>525075</v>
      </c>
      <c r="AR117" s="1"/>
      <c r="AS117" s="1"/>
      <c r="AT117" s="1"/>
      <c r="AU117" s="1">
        <v>0</v>
      </c>
      <c r="AV117" s="1"/>
      <c r="AW117" s="1">
        <f t="shared" si="6"/>
        <v>112161772</v>
      </c>
      <c r="AY117" s="1">
        <f>+'St of Activites - GA Rev'!AI117-'St of Activities - GA Exp'!AW117</f>
        <v>-477238</v>
      </c>
      <c r="BA117" s="1">
        <f>99239818-3549769</f>
        <v>95690049</v>
      </c>
      <c r="BC117" s="1">
        <f t="shared" si="7"/>
        <v>95212811</v>
      </c>
      <c r="BE117" s="1">
        <f>+'St of Net Assets - GA'!AA117-'St of Activities - GA Exp'!BC117</f>
        <v>0</v>
      </c>
    </row>
    <row r="118" spans="1:57">
      <c r="A118" s="17" t="s">
        <v>286</v>
      </c>
      <c r="B118" s="17"/>
      <c r="C118" s="17" t="s">
        <v>20</v>
      </c>
      <c r="D118" s="17"/>
      <c r="E118" s="13">
        <v>43786</v>
      </c>
      <c r="G118" s="1">
        <v>380866357</v>
      </c>
      <c r="H118" s="1"/>
      <c r="I118" s="1">
        <v>189643261</v>
      </c>
      <c r="J118" s="1"/>
      <c r="K118" s="1">
        <v>11923801</v>
      </c>
      <c r="L118" s="1"/>
      <c r="M118" s="1">
        <f>3668819+9655896</f>
        <v>13324715</v>
      </c>
      <c r="N118" s="1"/>
      <c r="O118" s="1">
        <v>39107286</v>
      </c>
      <c r="P118" s="1"/>
      <c r="Q118" s="1">
        <v>65429955</v>
      </c>
      <c r="R118" s="1"/>
      <c r="S118" s="1">
        <v>234344</v>
      </c>
      <c r="T118" s="1"/>
      <c r="U118" s="1">
        <v>48600081</v>
      </c>
      <c r="V118" s="1"/>
      <c r="W118" s="1">
        <v>10120397</v>
      </c>
      <c r="X118" s="1"/>
      <c r="Y118" s="1">
        <v>2223407</v>
      </c>
      <c r="Z118" s="1"/>
      <c r="AA118" s="1">
        <v>61657748</v>
      </c>
      <c r="AB118" s="1"/>
      <c r="AC118" s="1">
        <v>30858435</v>
      </c>
      <c r="AD118" s="1"/>
      <c r="AE118" s="1">
        <v>14648056</v>
      </c>
      <c r="AF118" s="1"/>
      <c r="AG118" s="1">
        <v>41452383</v>
      </c>
      <c r="AH118" s="1"/>
      <c r="AI118" s="1">
        <v>0</v>
      </c>
      <c r="AJ118" s="1"/>
      <c r="AK118" s="17" t="s">
        <v>286</v>
      </c>
      <c r="AL118" s="17"/>
      <c r="AM118" s="17" t="s">
        <v>20</v>
      </c>
      <c r="AN118" s="17"/>
      <c r="AO118" s="1">
        <v>6492522</v>
      </c>
      <c r="AP118" s="1"/>
      <c r="AQ118" s="1">
        <v>7478002</v>
      </c>
      <c r="AR118" s="1"/>
      <c r="AS118" s="1"/>
      <c r="AT118" s="1"/>
      <c r="AU118" s="1">
        <v>0</v>
      </c>
      <c r="AV118" s="1"/>
      <c r="AW118" s="1">
        <f t="shared" si="6"/>
        <v>924060750</v>
      </c>
      <c r="AY118" s="1">
        <f>+'St of Activites - GA Rev'!AI118-'St of Activities - GA Exp'!AW118</f>
        <v>-49965841</v>
      </c>
      <c r="BA118" s="1">
        <v>918195834</v>
      </c>
      <c r="BC118" s="1">
        <f t="shared" si="7"/>
        <v>868229993</v>
      </c>
      <c r="BE118" s="1">
        <f>+'St of Net Assets - GA'!AA118-'St of Activities - GA Exp'!BC118</f>
        <v>-29993</v>
      </c>
    </row>
    <row r="119" spans="1:57">
      <c r="A119" s="17" t="s">
        <v>260</v>
      </c>
      <c r="B119" s="17"/>
      <c r="C119" s="17" t="s">
        <v>18</v>
      </c>
      <c r="D119" s="17"/>
      <c r="E119" s="13">
        <v>46391</v>
      </c>
      <c r="G119" s="1">
        <v>8449474</v>
      </c>
      <c r="H119" s="1"/>
      <c r="I119" s="1">
        <v>1389684</v>
      </c>
      <c r="J119" s="1"/>
      <c r="K119" s="1">
        <v>0</v>
      </c>
      <c r="L119" s="1"/>
      <c r="M119" s="1">
        <v>1320824</v>
      </c>
      <c r="N119" s="1"/>
      <c r="O119" s="1">
        <v>943132</v>
      </c>
      <c r="P119" s="1"/>
      <c r="Q119" s="1">
        <v>1308813</v>
      </c>
      <c r="R119" s="1"/>
      <c r="S119" s="1">
        <v>17775</v>
      </c>
      <c r="T119" s="1"/>
      <c r="U119" s="1">
        <v>1181712</v>
      </c>
      <c r="V119" s="1"/>
      <c r="W119" s="1">
        <v>505618</v>
      </c>
      <c r="X119" s="1"/>
      <c r="Y119" s="1">
        <v>6249</v>
      </c>
      <c r="Z119" s="1"/>
      <c r="AA119" s="1">
        <v>1829284</v>
      </c>
      <c r="AB119" s="1"/>
      <c r="AC119" s="1">
        <v>1028501</v>
      </c>
      <c r="AD119" s="1"/>
      <c r="AE119" s="1">
        <v>4040</v>
      </c>
      <c r="AF119" s="1"/>
      <c r="AG119" s="1">
        <v>687645</v>
      </c>
      <c r="AH119" s="1"/>
      <c r="AI119" s="1">
        <v>0</v>
      </c>
      <c r="AJ119" s="1"/>
      <c r="AK119" s="17" t="s">
        <v>260</v>
      </c>
      <c r="AL119" s="17"/>
      <c r="AM119" s="17" t="s">
        <v>18</v>
      </c>
      <c r="AN119" s="17"/>
      <c r="AO119" s="1">
        <v>581800</v>
      </c>
      <c r="AP119" s="1"/>
      <c r="AQ119" s="1">
        <v>635371</v>
      </c>
      <c r="AR119" s="1"/>
      <c r="AS119" s="1"/>
      <c r="AT119" s="1"/>
      <c r="AU119" s="1">
        <v>0</v>
      </c>
      <c r="AV119" s="1"/>
      <c r="AW119" s="1">
        <f t="shared" si="6"/>
        <v>19889922</v>
      </c>
      <c r="AY119" s="1">
        <f>+'St of Activites - GA Rev'!AI119-'St of Activities - GA Exp'!AW119</f>
        <v>-2313784</v>
      </c>
      <c r="BA119" s="1">
        <v>44584344</v>
      </c>
      <c r="BC119" s="1">
        <f t="shared" si="7"/>
        <v>42270560</v>
      </c>
      <c r="BE119" s="1">
        <f>+'St of Net Assets - GA'!AA119-'St of Activities - GA Exp'!BC119</f>
        <v>0</v>
      </c>
    </row>
    <row r="120" spans="1:57">
      <c r="A120" s="17" t="s">
        <v>480</v>
      </c>
      <c r="B120" s="17"/>
      <c r="C120" s="17" t="s">
        <v>47</v>
      </c>
      <c r="D120" s="17"/>
      <c r="E120" s="13">
        <v>48488</v>
      </c>
      <c r="G120" s="1">
        <v>17986109</v>
      </c>
      <c r="H120" s="1"/>
      <c r="I120" s="1">
        <v>0</v>
      </c>
      <c r="J120" s="1"/>
      <c r="K120" s="1">
        <v>0</v>
      </c>
      <c r="L120" s="1"/>
      <c r="M120" s="1">
        <v>0</v>
      </c>
      <c r="N120" s="1"/>
      <c r="O120" s="1">
        <v>1497924</v>
      </c>
      <c r="P120" s="1"/>
      <c r="Q120" s="1">
        <v>1979655</v>
      </c>
      <c r="R120" s="1"/>
      <c r="S120" s="1">
        <v>31238</v>
      </c>
      <c r="T120" s="1"/>
      <c r="U120" s="1">
        <v>1719153</v>
      </c>
      <c r="V120" s="1"/>
      <c r="W120" s="1">
        <v>586222</v>
      </c>
      <c r="X120" s="1"/>
      <c r="Y120" s="1">
        <v>364615</v>
      </c>
      <c r="Z120" s="1"/>
      <c r="AA120" s="1">
        <v>2372692</v>
      </c>
      <c r="AB120" s="1"/>
      <c r="AC120" s="1">
        <v>2366563</v>
      </c>
      <c r="AD120" s="1"/>
      <c r="AE120" s="1">
        <v>382740</v>
      </c>
      <c r="AF120" s="1"/>
      <c r="AG120" s="1">
        <v>992038</v>
      </c>
      <c r="AH120" s="1"/>
      <c r="AI120" s="1">
        <v>567368</v>
      </c>
      <c r="AJ120" s="1"/>
      <c r="AK120" s="17" t="s">
        <v>480</v>
      </c>
      <c r="AL120" s="17"/>
      <c r="AM120" s="17" t="s">
        <v>47</v>
      </c>
      <c r="AN120" s="17"/>
      <c r="AO120" s="1">
        <v>808364</v>
      </c>
      <c r="AP120" s="1"/>
      <c r="AQ120" s="1">
        <v>1242773</v>
      </c>
      <c r="AR120" s="1"/>
      <c r="AS120" s="1"/>
      <c r="AT120" s="1"/>
      <c r="AU120" s="1">
        <v>0</v>
      </c>
      <c r="AV120" s="1"/>
      <c r="AW120" s="1">
        <f t="shared" si="6"/>
        <v>32897454</v>
      </c>
      <c r="AY120" s="1">
        <f>+'St of Activites - GA Rev'!AI120-'St of Activities - GA Exp'!AW120</f>
        <v>235706</v>
      </c>
      <c r="BA120" s="1">
        <v>12147348</v>
      </c>
      <c r="BC120" s="1">
        <f t="shared" si="7"/>
        <v>12383054</v>
      </c>
      <c r="BE120" s="1">
        <f>+'St of Net Assets - GA'!AA120-'St of Activities - GA Exp'!BC120</f>
        <v>0</v>
      </c>
    </row>
    <row r="121" spans="1:57">
      <c r="A121" s="17" t="s">
        <v>555</v>
      </c>
      <c r="B121" s="17"/>
      <c r="C121" s="17" t="s">
        <v>79</v>
      </c>
      <c r="D121" s="17"/>
      <c r="E121" s="13">
        <v>45302</v>
      </c>
      <c r="G121" s="1">
        <v>10420937</v>
      </c>
      <c r="H121" s="1"/>
      <c r="I121" s="1">
        <v>2553088</v>
      </c>
      <c r="J121" s="1"/>
      <c r="K121" s="1">
        <v>89710</v>
      </c>
      <c r="L121" s="1"/>
      <c r="M121" s="1">
        <v>719967</v>
      </c>
      <c r="N121" s="1"/>
      <c r="O121" s="1">
        <v>1220108</v>
      </c>
      <c r="P121" s="1"/>
      <c r="Q121" s="1">
        <v>626662</v>
      </c>
      <c r="R121" s="1"/>
      <c r="S121" s="1">
        <v>29432</v>
      </c>
      <c r="T121" s="1"/>
      <c r="U121" s="1">
        <v>1840391</v>
      </c>
      <c r="V121" s="1"/>
      <c r="W121" s="1">
        <v>523270</v>
      </c>
      <c r="X121" s="1"/>
      <c r="Y121" s="1">
        <v>8945</v>
      </c>
      <c r="Z121" s="1"/>
      <c r="AA121" s="1">
        <v>1925794</v>
      </c>
      <c r="AB121" s="1"/>
      <c r="AC121" s="1">
        <v>998401</v>
      </c>
      <c r="AD121" s="1"/>
      <c r="AE121" s="1">
        <v>107143</v>
      </c>
      <c r="AF121" s="1"/>
      <c r="AG121" s="1">
        <v>1020020</v>
      </c>
      <c r="AH121" s="1"/>
      <c r="AI121" s="1">
        <v>53424</v>
      </c>
      <c r="AJ121" s="1"/>
      <c r="AK121" s="17" t="s">
        <v>555</v>
      </c>
      <c r="AL121" s="17"/>
      <c r="AM121" s="17" t="s">
        <v>79</v>
      </c>
      <c r="AN121" s="17"/>
      <c r="AO121" s="1">
        <v>848657</v>
      </c>
      <c r="AP121" s="1"/>
      <c r="AQ121" s="1">
        <v>1369524</v>
      </c>
      <c r="AR121" s="1"/>
      <c r="AS121" s="1"/>
      <c r="AT121" s="1"/>
      <c r="AU121" s="1">
        <v>0</v>
      </c>
      <c r="AV121" s="1"/>
      <c r="AW121" s="1">
        <f t="shared" si="6"/>
        <v>24355473</v>
      </c>
      <c r="AY121" s="1">
        <f>+'St of Activites - GA Rev'!AI121-'St of Activities - GA Exp'!AW121</f>
        <v>-179462</v>
      </c>
      <c r="BA121" s="1">
        <v>44373246</v>
      </c>
      <c r="BC121" s="1">
        <f t="shared" si="7"/>
        <v>44193784</v>
      </c>
      <c r="BE121" s="1">
        <f>+'St of Net Assets - GA'!AA121-'St of Activities - GA Exp'!BC121</f>
        <v>0</v>
      </c>
    </row>
    <row r="122" spans="1:57" hidden="1">
      <c r="A122" s="12" t="s">
        <v>798</v>
      </c>
      <c r="B122" s="17"/>
      <c r="C122" s="17" t="s">
        <v>486</v>
      </c>
      <c r="D122" s="17"/>
      <c r="E122" s="13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2" t="s">
        <v>798</v>
      </c>
      <c r="AL122" s="17"/>
      <c r="AM122" s="17" t="s">
        <v>486</v>
      </c>
      <c r="AN122" s="17"/>
      <c r="AO122" s="1"/>
      <c r="AP122" s="1"/>
      <c r="AQ122" s="1"/>
      <c r="AR122" s="1"/>
      <c r="AS122" s="1"/>
      <c r="AT122" s="1"/>
      <c r="AU122" s="1"/>
      <c r="AV122" s="1"/>
      <c r="AW122" s="1">
        <f t="shared" si="6"/>
        <v>0</v>
      </c>
      <c r="AY122" s="1">
        <f>+'St of Activites - GA Rev'!AI122-'St of Activities - GA Exp'!AW122</f>
        <v>0</v>
      </c>
      <c r="BC122" s="1">
        <f t="shared" si="7"/>
        <v>0</v>
      </c>
      <c r="BE122" s="1">
        <f>+'St of Net Assets - GA'!AA122-'St of Activities - GA Exp'!BC122</f>
        <v>0</v>
      </c>
    </row>
    <row r="123" spans="1:57" ht="12" hidden="1" customHeight="1">
      <c r="A123" s="12" t="s">
        <v>929</v>
      </c>
      <c r="B123" s="17"/>
      <c r="C123" s="17" t="s">
        <v>57</v>
      </c>
      <c r="D123" s="17"/>
      <c r="E123" s="13">
        <v>64964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2" t="s">
        <v>929</v>
      </c>
      <c r="AL123" s="17"/>
      <c r="AM123" s="17" t="s">
        <v>57</v>
      </c>
      <c r="AN123" s="17"/>
      <c r="AO123" s="1"/>
      <c r="AP123" s="1"/>
      <c r="AQ123" s="1"/>
      <c r="AR123" s="1"/>
      <c r="AS123" s="1"/>
      <c r="AT123" s="1"/>
      <c r="AU123" s="1"/>
      <c r="AV123" s="1"/>
      <c r="AW123" s="1">
        <f t="shared" si="6"/>
        <v>0</v>
      </c>
      <c r="AY123" s="1">
        <f>+'St of Activites - GA Rev'!AI123-'St of Activities - GA Exp'!AW123</f>
        <v>0</v>
      </c>
      <c r="BC123" s="1">
        <f t="shared" si="7"/>
        <v>0</v>
      </c>
      <c r="BE123" s="1">
        <f>+'St of Net Assets - GA'!AA123-'St of Activities - GA Exp'!BC123</f>
        <v>0</v>
      </c>
    </row>
    <row r="124" spans="1:57">
      <c r="A124" s="17" t="s">
        <v>277</v>
      </c>
      <c r="B124" s="17"/>
      <c r="C124" s="17" t="s">
        <v>113</v>
      </c>
      <c r="D124" s="17"/>
      <c r="E124" s="13">
        <v>46516</v>
      </c>
      <c r="G124" s="1">
        <v>4008542</v>
      </c>
      <c r="H124" s="1"/>
      <c r="I124" s="1">
        <v>1196356</v>
      </c>
      <c r="J124" s="1"/>
      <c r="K124" s="1">
        <v>26761</v>
      </c>
      <c r="L124" s="1"/>
      <c r="M124" s="1">
        <v>0</v>
      </c>
      <c r="N124" s="1"/>
      <c r="O124" s="1">
        <v>575332</v>
      </c>
      <c r="P124" s="1"/>
      <c r="Q124" s="1">
        <v>250744</v>
      </c>
      <c r="R124" s="1"/>
      <c r="S124" s="1">
        <v>28546</v>
      </c>
      <c r="T124" s="1"/>
      <c r="U124" s="1">
        <v>673211</v>
      </c>
      <c r="V124" s="1"/>
      <c r="W124" s="1">
        <v>305613</v>
      </c>
      <c r="X124" s="1"/>
      <c r="Y124" s="1">
        <v>8347</v>
      </c>
      <c r="Z124" s="1"/>
      <c r="AA124" s="1">
        <v>1017953</v>
      </c>
      <c r="AB124" s="1"/>
      <c r="AC124" s="1">
        <v>587782</v>
      </c>
      <c r="AD124" s="1"/>
      <c r="AE124" s="1">
        <v>56640</v>
      </c>
      <c r="AF124" s="1"/>
      <c r="AG124" s="1">
        <v>342951</v>
      </c>
      <c r="AH124" s="1"/>
      <c r="AI124" s="1">
        <v>45252</v>
      </c>
      <c r="AJ124" s="1"/>
      <c r="AK124" s="17" t="s">
        <v>277</v>
      </c>
      <c r="AL124" s="17"/>
      <c r="AM124" s="17" t="s">
        <v>113</v>
      </c>
      <c r="AN124" s="17"/>
      <c r="AO124" s="1">
        <v>401154</v>
      </c>
      <c r="AP124" s="1"/>
      <c r="AQ124" s="1">
        <v>655439</v>
      </c>
      <c r="AR124" s="1"/>
      <c r="AS124" s="1"/>
      <c r="AT124" s="1"/>
      <c r="AU124" s="1">
        <v>0</v>
      </c>
      <c r="AV124" s="1"/>
      <c r="AW124" s="1">
        <f t="shared" si="6"/>
        <v>10180623</v>
      </c>
      <c r="AY124" s="1">
        <f>+'St of Activites - GA Rev'!AI124-'St of Activities - GA Exp'!AW124</f>
        <v>352034</v>
      </c>
      <c r="BA124" s="1">
        <v>4675639</v>
      </c>
      <c r="BC124" s="1">
        <f t="shared" si="7"/>
        <v>5027673</v>
      </c>
      <c r="BE124" s="1">
        <f>+'St of Net Assets - GA'!AA124-'St of Activities - GA Exp'!BC124</f>
        <v>0</v>
      </c>
    </row>
    <row r="125" spans="1:57">
      <c r="A125" s="17" t="s">
        <v>439</v>
      </c>
      <c r="B125" s="17"/>
      <c r="C125" s="17" t="s">
        <v>44</v>
      </c>
      <c r="D125" s="17"/>
      <c r="E125" s="13">
        <v>48140</v>
      </c>
      <c r="G125" s="1">
        <v>5013934</v>
      </c>
      <c r="H125" s="1"/>
      <c r="I125" s="1">
        <v>879482</v>
      </c>
      <c r="J125" s="1"/>
      <c r="K125" s="1">
        <v>85629</v>
      </c>
      <c r="L125" s="1"/>
      <c r="M125" s="1">
        <v>239243</v>
      </c>
      <c r="N125" s="1"/>
      <c r="O125" s="1">
        <v>610313</v>
      </c>
      <c r="P125" s="1"/>
      <c r="Q125" s="1">
        <v>338387</v>
      </c>
      <c r="R125" s="1"/>
      <c r="S125" s="1">
        <v>41143</v>
      </c>
      <c r="T125" s="1"/>
      <c r="U125" s="1">
        <v>1102736</v>
      </c>
      <c r="V125" s="1"/>
      <c r="W125" s="1">
        <v>360367</v>
      </c>
      <c r="X125" s="1"/>
      <c r="Y125" s="1">
        <v>0</v>
      </c>
      <c r="Z125" s="1"/>
      <c r="AA125" s="1">
        <v>1244415</v>
      </c>
      <c r="AB125" s="1"/>
      <c r="AC125" s="1">
        <v>850844</v>
      </c>
      <c r="AD125" s="1"/>
      <c r="AE125" s="1">
        <v>165148</v>
      </c>
      <c r="AF125" s="1"/>
      <c r="AG125" s="1">
        <v>410035</v>
      </c>
      <c r="AH125" s="1"/>
      <c r="AI125" s="1">
        <v>0</v>
      </c>
      <c r="AJ125" s="1"/>
      <c r="AK125" s="17" t="s">
        <v>439</v>
      </c>
      <c r="AL125" s="17"/>
      <c r="AM125" s="17" t="s">
        <v>44</v>
      </c>
      <c r="AN125" s="17"/>
      <c r="AO125" s="1">
        <v>390418</v>
      </c>
      <c r="AP125" s="1"/>
      <c r="AQ125" s="1">
        <v>4685</v>
      </c>
      <c r="AR125" s="1"/>
      <c r="AS125" s="1"/>
      <c r="AT125" s="1"/>
      <c r="AU125" s="1">
        <v>0</v>
      </c>
      <c r="AV125" s="1"/>
      <c r="AW125" s="1">
        <f t="shared" si="6"/>
        <v>11736779</v>
      </c>
      <c r="AY125" s="1">
        <f>+'St of Activites - GA Rev'!AI125-'St of Activities - GA Exp'!AW125</f>
        <v>-688785</v>
      </c>
      <c r="BA125" s="1">
        <v>3200890</v>
      </c>
      <c r="BC125" s="1">
        <f t="shared" si="7"/>
        <v>2512105</v>
      </c>
      <c r="BE125" s="1">
        <f>+'St of Net Assets - GA'!AA125-'St of Activities - GA Exp'!BC125</f>
        <v>0</v>
      </c>
    </row>
    <row r="126" spans="1:57">
      <c r="A126" s="17" t="s">
        <v>264</v>
      </c>
      <c r="B126" s="17"/>
      <c r="C126" s="17" t="s">
        <v>114</v>
      </c>
      <c r="D126" s="17"/>
      <c r="E126" s="13">
        <v>45328</v>
      </c>
      <c r="G126" s="1">
        <v>6111909</v>
      </c>
      <c r="H126" s="1"/>
      <c r="I126" s="1">
        <v>1638598</v>
      </c>
      <c r="J126" s="1"/>
      <c r="K126" s="1">
        <v>0</v>
      </c>
      <c r="L126" s="1"/>
      <c r="M126" s="1">
        <v>96386</v>
      </c>
      <c r="N126" s="1"/>
      <c r="O126" s="1">
        <v>343713</v>
      </c>
      <c r="P126" s="1"/>
      <c r="Q126" s="1">
        <v>203041</v>
      </c>
      <c r="R126" s="1"/>
      <c r="S126" s="1">
        <v>18918</v>
      </c>
      <c r="T126" s="1"/>
      <c r="U126" s="1">
        <v>813145</v>
      </c>
      <c r="V126" s="1"/>
      <c r="W126" s="1">
        <v>371317</v>
      </c>
      <c r="X126" s="1"/>
      <c r="Y126" s="1">
        <v>0</v>
      </c>
      <c r="Z126" s="1"/>
      <c r="AA126" s="1">
        <v>837623</v>
      </c>
      <c r="AB126" s="1"/>
      <c r="AC126" s="1">
        <v>327840</v>
      </c>
      <c r="AD126" s="1"/>
      <c r="AE126" s="1">
        <v>0</v>
      </c>
      <c r="AF126" s="1"/>
      <c r="AG126" s="1">
        <v>332670</v>
      </c>
      <c r="AH126" s="1"/>
      <c r="AI126" s="1">
        <v>0</v>
      </c>
      <c r="AJ126" s="1"/>
      <c r="AK126" s="17" t="s">
        <v>264</v>
      </c>
      <c r="AL126" s="17"/>
      <c r="AM126" s="17" t="s">
        <v>114</v>
      </c>
      <c r="AN126" s="17"/>
      <c r="AO126" s="1">
        <v>391778</v>
      </c>
      <c r="AP126" s="1"/>
      <c r="AQ126" s="1">
        <v>289543</v>
      </c>
      <c r="AR126" s="1"/>
      <c r="AS126" s="1"/>
      <c r="AT126" s="1"/>
      <c r="AU126" s="1">
        <v>0</v>
      </c>
      <c r="AV126" s="1"/>
      <c r="AW126" s="1">
        <f t="shared" si="6"/>
        <v>11776481</v>
      </c>
      <c r="AY126" s="1">
        <f>+'St of Activites - GA Rev'!AI126-'St of Activities - GA Exp'!AW126</f>
        <v>-132216</v>
      </c>
      <c r="BA126" s="1">
        <f>2185454</f>
        <v>2185454</v>
      </c>
      <c r="BC126" s="1">
        <f t="shared" si="7"/>
        <v>2053238</v>
      </c>
      <c r="BE126" s="1">
        <f>+'St of Net Assets - GA'!AA126-'St of Activities - GA Exp'!BC126</f>
        <v>0</v>
      </c>
    </row>
    <row r="127" spans="1:57">
      <c r="A127" s="17" t="s">
        <v>331</v>
      </c>
      <c r="B127" s="17"/>
      <c r="C127" s="17" t="s">
        <v>27</v>
      </c>
      <c r="D127" s="17"/>
      <c r="E127" s="13">
        <v>43802</v>
      </c>
      <c r="G127" s="1">
        <v>362099913</v>
      </c>
      <c r="H127" s="1"/>
      <c r="I127" s="1">
        <v>111639396</v>
      </c>
      <c r="J127" s="1"/>
      <c r="K127" s="1">
        <v>9898782</v>
      </c>
      <c r="L127" s="1"/>
      <c r="M127" s="1">
        <f>2148235+2315695</f>
        <v>4463930</v>
      </c>
      <c r="N127" s="1"/>
      <c r="O127" s="1">
        <v>58748856</v>
      </c>
      <c r="P127" s="1"/>
      <c r="Q127" s="1">
        <v>76861390</v>
      </c>
      <c r="R127" s="1"/>
      <c r="S127" s="1">
        <v>121508</v>
      </c>
      <c r="T127" s="1"/>
      <c r="U127" s="1">
        <v>50564485</v>
      </c>
      <c r="V127" s="1"/>
      <c r="W127" s="1">
        <v>14137196</v>
      </c>
      <c r="X127" s="1"/>
      <c r="Y127" s="1">
        <v>6238862</v>
      </c>
      <c r="Z127" s="1"/>
      <c r="AA127" s="1">
        <v>68485846</v>
      </c>
      <c r="AB127" s="1"/>
      <c r="AC127" s="1">
        <v>59766197</v>
      </c>
      <c r="AD127" s="1"/>
      <c r="AE127" s="1">
        <v>19434722</v>
      </c>
      <c r="AF127" s="1"/>
      <c r="AG127" s="1">
        <v>38950257</v>
      </c>
      <c r="AH127" s="1"/>
      <c r="AI127" s="1">
        <v>0</v>
      </c>
      <c r="AJ127" s="1"/>
      <c r="AK127" s="17" t="s">
        <v>331</v>
      </c>
      <c r="AL127" s="17"/>
      <c r="AM127" s="17" t="s">
        <v>27</v>
      </c>
      <c r="AN127" s="17"/>
      <c r="AO127" s="1">
        <v>8596820</v>
      </c>
      <c r="AP127" s="1"/>
      <c r="AQ127" s="1">
        <v>24272508</v>
      </c>
      <c r="AR127" s="1"/>
      <c r="AS127" s="1"/>
      <c r="AT127" s="1"/>
      <c r="AU127" s="1">
        <v>0</v>
      </c>
      <c r="AV127" s="1"/>
      <c r="AW127" s="1">
        <f t="shared" si="6"/>
        <v>914280668</v>
      </c>
      <c r="AY127" s="1">
        <f>+'St of Activites - GA Rev'!AI127-'St of Activities - GA Exp'!AW127</f>
        <v>84896967</v>
      </c>
      <c r="BA127" s="1">
        <v>475944405</v>
      </c>
      <c r="BC127" s="1">
        <f t="shared" si="7"/>
        <v>560841372</v>
      </c>
      <c r="BE127" s="1">
        <f>+'St of Net Assets - GA'!AA127-'St of Activities - GA Exp'!BC127</f>
        <v>0</v>
      </c>
    </row>
    <row r="128" spans="1:57" ht="12" hidden="1" customHeight="1">
      <c r="A128" s="12" t="s">
        <v>731</v>
      </c>
      <c r="B128" s="17"/>
      <c r="C128" s="17" t="s">
        <v>542</v>
      </c>
      <c r="D128" s="17"/>
      <c r="E128" s="13">
        <v>49312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2" t="s">
        <v>731</v>
      </c>
      <c r="AL128" s="17"/>
      <c r="AM128" s="17" t="s">
        <v>542</v>
      </c>
      <c r="AN128" s="17"/>
      <c r="AO128" s="1"/>
      <c r="AP128" s="1"/>
      <c r="AQ128" s="1"/>
      <c r="AR128" s="1"/>
      <c r="AS128" s="1"/>
      <c r="AT128" s="1"/>
      <c r="AU128" s="1"/>
      <c r="AV128" s="1"/>
      <c r="AW128" s="1">
        <f t="shared" si="6"/>
        <v>0</v>
      </c>
      <c r="AY128" s="1">
        <f>+'St of Activites - GA Rev'!AI128-'St of Activities - GA Exp'!AW128</f>
        <v>0</v>
      </c>
      <c r="BC128" s="1">
        <f t="shared" si="7"/>
        <v>0</v>
      </c>
      <c r="BE128" s="1">
        <f>+'St of Net Assets - GA'!AA128-'St of Activities - GA Exp'!BC128</f>
        <v>0</v>
      </c>
    </row>
    <row r="129" spans="1:57">
      <c r="A129" s="17" t="s">
        <v>210</v>
      </c>
      <c r="B129" s="17"/>
      <c r="C129" s="17" t="s">
        <v>12</v>
      </c>
      <c r="D129" s="17"/>
      <c r="E129" s="13">
        <v>43810</v>
      </c>
      <c r="G129" s="1">
        <v>11675959</v>
      </c>
      <c r="H129" s="1"/>
      <c r="I129" s="1">
        <v>2288025</v>
      </c>
      <c r="J129" s="1"/>
      <c r="K129" s="1">
        <v>87704</v>
      </c>
      <c r="L129" s="1"/>
      <c r="M129" s="1">
        <v>0</v>
      </c>
      <c r="N129" s="1"/>
      <c r="O129" s="1">
        <v>1191940</v>
      </c>
      <c r="P129" s="1"/>
      <c r="Q129" s="1">
        <v>1718793</v>
      </c>
      <c r="R129" s="1"/>
      <c r="S129" s="1">
        <v>30618</v>
      </c>
      <c r="T129" s="1"/>
      <c r="U129" s="1">
        <v>1871325</v>
      </c>
      <c r="V129" s="1"/>
      <c r="W129" s="1">
        <v>445663</v>
      </c>
      <c r="X129" s="1"/>
      <c r="Y129" s="1">
        <v>0</v>
      </c>
      <c r="Z129" s="1"/>
      <c r="AA129" s="1">
        <v>1954118</v>
      </c>
      <c r="AB129" s="1"/>
      <c r="AC129" s="1">
        <v>920404</v>
      </c>
      <c r="AD129" s="1"/>
      <c r="AE129" s="1">
        <v>79971</v>
      </c>
      <c r="AF129" s="1"/>
      <c r="AG129" s="1">
        <v>770127</v>
      </c>
      <c r="AH129" s="1"/>
      <c r="AI129" s="1">
        <v>0</v>
      </c>
      <c r="AJ129" s="1"/>
      <c r="AK129" s="17" t="s">
        <v>210</v>
      </c>
      <c r="AL129" s="17"/>
      <c r="AM129" s="17" t="s">
        <v>12</v>
      </c>
      <c r="AN129" s="17"/>
      <c r="AO129" s="1">
        <v>375252</v>
      </c>
      <c r="AP129" s="1"/>
      <c r="AQ129" s="1">
        <v>272915</v>
      </c>
      <c r="AR129" s="1"/>
      <c r="AS129" s="1"/>
      <c r="AT129" s="1"/>
      <c r="AU129" s="1">
        <v>0</v>
      </c>
      <c r="AV129" s="1"/>
      <c r="AW129" s="1">
        <f t="shared" si="6"/>
        <v>23682814</v>
      </c>
      <c r="AY129" s="1">
        <f>+'St of Activites - GA Rev'!AI129-'St of Activities - GA Exp'!AW129</f>
        <v>-1892404</v>
      </c>
      <c r="BA129" s="1">
        <v>42981470</v>
      </c>
      <c r="BC129" s="1">
        <f t="shared" si="7"/>
        <v>41089066</v>
      </c>
      <c r="BE129" s="1">
        <f>+'St of Net Assets - GA'!AA129-'St of Activities - GA Exp'!BC129</f>
        <v>0</v>
      </c>
    </row>
    <row r="130" spans="1:57">
      <c r="A130" s="17" t="s">
        <v>387</v>
      </c>
      <c r="B130" s="17"/>
      <c r="C130" s="17" t="s">
        <v>388</v>
      </c>
      <c r="D130" s="17"/>
      <c r="E130" s="13">
        <v>47548</v>
      </c>
      <c r="G130" s="1">
        <v>2646019</v>
      </c>
      <c r="H130" s="1"/>
      <c r="I130" s="1">
        <v>729007</v>
      </c>
      <c r="J130" s="1"/>
      <c r="K130" s="1">
        <v>70857</v>
      </c>
      <c r="L130" s="1"/>
      <c r="M130" s="1">
        <v>18979</v>
      </c>
      <c r="N130" s="1"/>
      <c r="O130" s="1">
        <v>227541</v>
      </c>
      <c r="P130" s="1"/>
      <c r="Q130" s="1">
        <v>335163</v>
      </c>
      <c r="R130" s="1"/>
      <c r="S130" s="1">
        <v>17892</v>
      </c>
      <c r="T130" s="1"/>
      <c r="U130" s="1">
        <v>589535</v>
      </c>
      <c r="V130" s="1"/>
      <c r="W130" s="1">
        <v>231269</v>
      </c>
      <c r="X130" s="1"/>
      <c r="Y130" s="1">
        <v>11</v>
      </c>
      <c r="Z130" s="1"/>
      <c r="AA130" s="1">
        <v>469541</v>
      </c>
      <c r="AB130" s="1"/>
      <c r="AC130" s="1">
        <v>497375</v>
      </c>
      <c r="AD130" s="1"/>
      <c r="AE130" s="1">
        <v>26096</v>
      </c>
      <c r="AF130" s="1"/>
      <c r="AG130" s="1">
        <v>283711</v>
      </c>
      <c r="AH130" s="1"/>
      <c r="AI130" s="1">
        <v>0</v>
      </c>
      <c r="AJ130" s="1"/>
      <c r="AK130" s="17" t="s">
        <v>387</v>
      </c>
      <c r="AL130" s="17"/>
      <c r="AM130" s="17" t="s">
        <v>388</v>
      </c>
      <c r="AN130" s="17"/>
      <c r="AO130" s="1">
        <v>158204</v>
      </c>
      <c r="AP130" s="1"/>
      <c r="AQ130" s="1">
        <v>1932</v>
      </c>
      <c r="AR130" s="1"/>
      <c r="AS130" s="1"/>
      <c r="AT130" s="1"/>
      <c r="AU130" s="1">
        <v>0</v>
      </c>
      <c r="AV130" s="1"/>
      <c r="AW130" s="1">
        <f t="shared" si="6"/>
        <v>6303132</v>
      </c>
      <c r="AY130" s="1">
        <f>+'St of Activites - GA Rev'!AI130-'St of Activities - GA Exp'!AW130</f>
        <v>-453634</v>
      </c>
      <c r="BA130" s="1">
        <v>1376474</v>
      </c>
      <c r="BC130" s="1">
        <f t="shared" si="7"/>
        <v>922840</v>
      </c>
      <c r="BE130" s="1">
        <f>+'St of Net Assets - GA'!AA130-'St of Activities - GA Exp'!BC130</f>
        <v>0</v>
      </c>
    </row>
    <row r="131" spans="1:57" ht="12" hidden="1" customHeight="1">
      <c r="A131" s="12" t="s">
        <v>831</v>
      </c>
      <c r="B131" s="17"/>
      <c r="C131" s="17" t="s">
        <v>542</v>
      </c>
      <c r="D131" s="17"/>
      <c r="E131" s="13">
        <v>49320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2" t="s">
        <v>831</v>
      </c>
      <c r="AL131" s="17"/>
      <c r="AM131" s="17" t="s">
        <v>542</v>
      </c>
      <c r="AN131" s="17"/>
      <c r="AO131" s="1"/>
      <c r="AP131" s="1"/>
      <c r="AQ131" s="1"/>
      <c r="AR131" s="1"/>
      <c r="AS131" s="1"/>
      <c r="AT131" s="1"/>
      <c r="AU131" s="1"/>
      <c r="AV131" s="1"/>
      <c r="AW131" s="1">
        <f t="shared" si="6"/>
        <v>0</v>
      </c>
      <c r="AY131" s="1">
        <f>+'St of Activites - GA Rev'!AI131-'St of Activities - GA Exp'!AW131</f>
        <v>0</v>
      </c>
      <c r="BC131" s="1">
        <f t="shared" si="7"/>
        <v>0</v>
      </c>
      <c r="BE131" s="1">
        <f>+'St of Net Assets - GA'!AA131-'St of Activities - GA Exp'!BC131</f>
        <v>0</v>
      </c>
    </row>
    <row r="132" spans="1:57">
      <c r="A132" s="17" t="s">
        <v>588</v>
      </c>
      <c r="B132" s="17"/>
      <c r="C132" s="17" t="s">
        <v>63</v>
      </c>
      <c r="D132" s="17"/>
      <c r="E132" s="13">
        <v>49981</v>
      </c>
      <c r="G132" s="1">
        <v>17806574</v>
      </c>
      <c r="H132" s="1"/>
      <c r="I132" s="1">
        <v>3152139</v>
      </c>
      <c r="J132" s="1"/>
      <c r="K132" s="1">
        <v>588375</v>
      </c>
      <c r="L132" s="1"/>
      <c r="M132" s="1">
        <v>0</v>
      </c>
      <c r="N132" s="1"/>
      <c r="O132" s="1">
        <v>1927324</v>
      </c>
      <c r="P132" s="1"/>
      <c r="Q132" s="1">
        <v>1530139</v>
      </c>
      <c r="R132" s="1"/>
      <c r="S132" s="1">
        <v>202262</v>
      </c>
      <c r="T132" s="1"/>
      <c r="U132" s="1">
        <v>1888944</v>
      </c>
      <c r="V132" s="1"/>
      <c r="W132" s="1">
        <v>969777</v>
      </c>
      <c r="X132" s="1"/>
      <c r="Y132" s="1">
        <v>138552</v>
      </c>
      <c r="Z132" s="1"/>
      <c r="AA132" s="1">
        <v>2965566</v>
      </c>
      <c r="AB132" s="1"/>
      <c r="AC132" s="1">
        <v>1588765</v>
      </c>
      <c r="AD132" s="1"/>
      <c r="AE132" s="1">
        <v>244096</v>
      </c>
      <c r="AF132" s="1"/>
      <c r="AG132" s="1">
        <v>902771</v>
      </c>
      <c r="AH132" s="1"/>
      <c r="AI132" s="1">
        <v>736313</v>
      </c>
      <c r="AJ132" s="1"/>
      <c r="AK132" s="17" t="s">
        <v>588</v>
      </c>
      <c r="AL132" s="17"/>
      <c r="AM132" s="17" t="s">
        <v>63</v>
      </c>
      <c r="AN132" s="17"/>
      <c r="AO132" s="1">
        <v>1169047</v>
      </c>
      <c r="AP132" s="1"/>
      <c r="AQ132" s="1">
        <v>201102</v>
      </c>
      <c r="AR132" s="1"/>
      <c r="AS132" s="1"/>
      <c r="AT132" s="1"/>
      <c r="AU132" s="1">
        <v>0</v>
      </c>
      <c r="AV132" s="1"/>
      <c r="AW132" s="1">
        <f t="shared" si="6"/>
        <v>36011746</v>
      </c>
      <c r="AY132" s="1">
        <f>+'St of Activites - GA Rev'!AI132-'St of Activities - GA Exp'!AW132</f>
        <v>-100080</v>
      </c>
      <c r="BA132" s="1">
        <v>23592350</v>
      </c>
      <c r="BC132" s="1">
        <f t="shared" si="7"/>
        <v>23492270</v>
      </c>
      <c r="BE132" s="1">
        <f>+'St of Net Assets - GA'!AA132-'St of Activities - GA Exp'!BC132</f>
        <v>0</v>
      </c>
    </row>
    <row r="133" spans="1:57" ht="12" customHeight="1">
      <c r="A133" s="12" t="s">
        <v>930</v>
      </c>
      <c r="B133" s="17"/>
      <c r="C133" s="17" t="s">
        <v>33</v>
      </c>
      <c r="D133" s="17"/>
      <c r="E133" s="13">
        <v>47431</v>
      </c>
      <c r="G133" s="1">
        <v>3273580</v>
      </c>
      <c r="H133" s="1"/>
      <c r="I133" s="1">
        <v>632894</v>
      </c>
      <c r="J133" s="1"/>
      <c r="K133" s="1">
        <v>350511</v>
      </c>
      <c r="L133" s="1"/>
      <c r="M133" s="1">
        <v>0</v>
      </c>
      <c r="N133" s="1"/>
      <c r="O133" s="1">
        <v>193758</v>
      </c>
      <c r="P133" s="1"/>
      <c r="Q133" s="1">
        <v>430645</v>
      </c>
      <c r="R133" s="1"/>
      <c r="S133" s="1">
        <v>38101</v>
      </c>
      <c r="T133" s="1"/>
      <c r="U133" s="1">
        <v>904742</v>
      </c>
      <c r="V133" s="1"/>
      <c r="W133" s="1">
        <v>235021</v>
      </c>
      <c r="X133" s="1"/>
      <c r="Y133" s="1">
        <v>0</v>
      </c>
      <c r="Z133" s="1"/>
      <c r="AA133" s="1">
        <v>679508</v>
      </c>
      <c r="AB133" s="1"/>
      <c r="AC133" s="1">
        <v>335721</v>
      </c>
      <c r="AD133" s="1"/>
      <c r="AE133" s="1">
        <v>12534</v>
      </c>
      <c r="AF133" s="1"/>
      <c r="AG133" s="1">
        <v>315760</v>
      </c>
      <c r="AH133" s="1"/>
      <c r="AI133" s="1">
        <v>0</v>
      </c>
      <c r="AJ133" s="1"/>
      <c r="AK133" s="12" t="s">
        <v>930</v>
      </c>
      <c r="AL133" s="17"/>
      <c r="AM133" s="17" t="s">
        <v>33</v>
      </c>
      <c r="AN133" s="17"/>
      <c r="AO133" s="1">
        <v>298328</v>
      </c>
      <c r="AP133" s="1"/>
      <c r="AQ133" s="1">
        <v>117889</v>
      </c>
      <c r="AR133" s="1"/>
      <c r="AS133" s="1"/>
      <c r="AT133" s="1"/>
      <c r="AU133" s="1">
        <v>0</v>
      </c>
      <c r="AV133" s="1"/>
      <c r="AW133" s="1">
        <f t="shared" si="6"/>
        <v>7818992</v>
      </c>
      <c r="AY133" s="1">
        <f>+'St of Activites - GA Rev'!AI133-'St of Activities - GA Exp'!AW133</f>
        <v>6652929</v>
      </c>
      <c r="BA133" s="1">
        <v>2157388</v>
      </c>
      <c r="BC133" s="1">
        <f t="shared" si="7"/>
        <v>8810317</v>
      </c>
      <c r="BE133" s="1">
        <f>+'St of Net Assets - GA'!AA133-'St of Activities - GA Exp'!BC133</f>
        <v>0</v>
      </c>
    </row>
    <row r="134" spans="1:57">
      <c r="A134" s="17" t="s">
        <v>272</v>
      </c>
      <c r="B134" s="17"/>
      <c r="C134" s="17" t="s">
        <v>19</v>
      </c>
      <c r="D134" s="17"/>
      <c r="E134" s="13">
        <v>43828</v>
      </c>
      <c r="G134" s="1">
        <v>11556403</v>
      </c>
      <c r="H134" s="1"/>
      <c r="I134" s="1">
        <v>0</v>
      </c>
      <c r="J134" s="1"/>
      <c r="K134" s="1">
        <v>0</v>
      </c>
      <c r="L134" s="1"/>
      <c r="M134" s="1">
        <v>0</v>
      </c>
      <c r="N134" s="1"/>
      <c r="O134" s="1">
        <v>698885</v>
      </c>
      <c r="P134" s="1"/>
      <c r="Q134" s="1">
        <v>807865</v>
      </c>
      <c r="R134" s="1"/>
      <c r="S134" s="1">
        <v>0</v>
      </c>
      <c r="T134" s="1"/>
      <c r="U134" s="1">
        <v>1463096</v>
      </c>
      <c r="V134" s="1"/>
      <c r="W134" s="1">
        <v>421881</v>
      </c>
      <c r="X134" s="1"/>
      <c r="Y134" s="1">
        <v>229128</v>
      </c>
      <c r="Z134" s="1"/>
      <c r="AA134" s="1">
        <v>1565712</v>
      </c>
      <c r="AB134" s="1"/>
      <c r="AC134" s="1">
        <v>334297</v>
      </c>
      <c r="AD134" s="1"/>
      <c r="AE134" s="1">
        <v>32668</v>
      </c>
      <c r="AF134" s="1"/>
      <c r="AG134" s="1">
        <v>857940</v>
      </c>
      <c r="AH134" s="1"/>
      <c r="AI134" s="1">
        <v>50768</v>
      </c>
      <c r="AJ134" s="1"/>
      <c r="AK134" s="17" t="s">
        <v>272</v>
      </c>
      <c r="AL134" s="17"/>
      <c r="AM134" s="17" t="s">
        <v>19</v>
      </c>
      <c r="AN134" s="17"/>
      <c r="AO134" s="1">
        <v>362078</v>
      </c>
      <c r="AP134" s="1"/>
      <c r="AQ134" s="1">
        <v>0</v>
      </c>
      <c r="AR134" s="1"/>
      <c r="AS134" s="1"/>
      <c r="AT134" s="1"/>
      <c r="AU134" s="1">
        <v>0</v>
      </c>
      <c r="AV134" s="1"/>
      <c r="AW134" s="1">
        <f t="shared" si="6"/>
        <v>18380721</v>
      </c>
      <c r="AY134" s="1">
        <f>+'St of Activites - GA Rev'!AI134-'St of Activities - GA Exp'!AW134</f>
        <v>908025</v>
      </c>
      <c r="BA134" s="1">
        <v>6266523</v>
      </c>
      <c r="BC134" s="1">
        <f t="shared" si="7"/>
        <v>7174548</v>
      </c>
      <c r="BE134" s="1">
        <f>+'St of Net Assets - GA'!AA134-'St of Activities - GA Exp'!BC134</f>
        <v>0</v>
      </c>
    </row>
    <row r="135" spans="1:57">
      <c r="A135" s="17" t="s">
        <v>720</v>
      </c>
      <c r="B135" s="17"/>
      <c r="C135" s="17" t="s">
        <v>63</v>
      </c>
      <c r="D135" s="17"/>
      <c r="E135" s="13"/>
      <c r="G135" s="1">
        <v>9493600</v>
      </c>
      <c r="H135" s="1"/>
      <c r="I135" s="1">
        <v>2800999</v>
      </c>
      <c r="J135" s="1"/>
      <c r="K135" s="1">
        <v>87125</v>
      </c>
      <c r="L135" s="1"/>
      <c r="M135" s="1">
        <f>27380+608241</f>
        <v>635621</v>
      </c>
      <c r="N135" s="1"/>
      <c r="O135" s="1">
        <v>1052732</v>
      </c>
      <c r="P135" s="1"/>
      <c r="Q135" s="1">
        <v>1006104</v>
      </c>
      <c r="R135" s="1"/>
      <c r="S135" s="1">
        <v>61770</v>
      </c>
      <c r="T135" s="1"/>
      <c r="U135" s="1">
        <v>2056246</v>
      </c>
      <c r="V135" s="1"/>
      <c r="W135" s="1">
        <v>577347</v>
      </c>
      <c r="X135" s="1"/>
      <c r="Y135" s="1">
        <v>47839</v>
      </c>
      <c r="Z135" s="1"/>
      <c r="AA135" s="1">
        <v>1970579</v>
      </c>
      <c r="AB135" s="1"/>
      <c r="AC135" s="1">
        <v>956397</v>
      </c>
      <c r="AD135" s="1"/>
      <c r="AE135" s="1">
        <v>150597</v>
      </c>
      <c r="AF135" s="1"/>
      <c r="AG135" s="1">
        <v>805559</v>
      </c>
      <c r="AH135" s="1"/>
      <c r="AI135" s="1">
        <v>197446</v>
      </c>
      <c r="AJ135" s="1"/>
      <c r="AK135" s="17" t="s">
        <v>720</v>
      </c>
      <c r="AL135" s="17"/>
      <c r="AM135" s="17" t="s">
        <v>63</v>
      </c>
      <c r="AN135" s="17"/>
      <c r="AO135" s="1">
        <v>429333</v>
      </c>
      <c r="AP135" s="1"/>
      <c r="AQ135" s="1">
        <v>309247</v>
      </c>
      <c r="AR135" s="1"/>
      <c r="AS135" s="1"/>
      <c r="AT135" s="1"/>
      <c r="AU135" s="1">
        <v>0</v>
      </c>
      <c r="AV135" s="1"/>
      <c r="AW135" s="1">
        <f t="shared" si="6"/>
        <v>22638541</v>
      </c>
      <c r="AY135" s="1">
        <f>+'St of Activites - GA Rev'!AI135-'St of Activities - GA Exp'!AW135</f>
        <v>-379886</v>
      </c>
      <c r="BA135" s="1">
        <v>-3254375</v>
      </c>
      <c r="BC135" s="1">
        <f t="shared" si="7"/>
        <v>-3634261</v>
      </c>
      <c r="BE135" s="1">
        <f>+'St of Net Assets - GA'!AA135-'St of Activities - GA Exp'!BC135</f>
        <v>0</v>
      </c>
    </row>
    <row r="136" spans="1:57">
      <c r="A136" s="12" t="s">
        <v>799</v>
      </c>
      <c r="B136" s="17"/>
      <c r="C136" s="17" t="s">
        <v>48</v>
      </c>
      <c r="D136" s="17"/>
      <c r="E136" s="13">
        <v>45336</v>
      </c>
      <c r="G136" s="1">
        <v>3819966</v>
      </c>
      <c r="H136" s="1"/>
      <c r="I136" s="1">
        <v>900043</v>
      </c>
      <c r="J136" s="1"/>
      <c r="K136" s="1">
        <v>0</v>
      </c>
      <c r="L136" s="1"/>
      <c r="M136" s="1">
        <v>7026</v>
      </c>
      <c r="N136" s="1"/>
      <c r="O136" s="1">
        <v>351699</v>
      </c>
      <c r="P136" s="1"/>
      <c r="Q136" s="1">
        <v>495789</v>
      </c>
      <c r="R136" s="1"/>
      <c r="S136" s="1">
        <v>10250</v>
      </c>
      <c r="T136" s="1"/>
      <c r="U136" s="1">
        <v>776817</v>
      </c>
      <c r="V136" s="1"/>
      <c r="W136" s="1">
        <v>244490</v>
      </c>
      <c r="X136" s="1"/>
      <c r="Y136" s="1">
        <v>3379</v>
      </c>
      <c r="Z136" s="1"/>
      <c r="AA136" s="1">
        <v>580079</v>
      </c>
      <c r="AB136" s="1"/>
      <c r="AC136" s="1">
        <v>407289</v>
      </c>
      <c r="AD136" s="1"/>
      <c r="AE136" s="1">
        <v>101055</v>
      </c>
      <c r="AF136" s="1"/>
      <c r="AG136" s="1">
        <v>303443</v>
      </c>
      <c r="AH136" s="1"/>
      <c r="AI136" s="1">
        <v>118975</v>
      </c>
      <c r="AJ136" s="1"/>
      <c r="AK136" s="12" t="s">
        <v>799</v>
      </c>
      <c r="AL136" s="17"/>
      <c r="AM136" s="17" t="s">
        <v>48</v>
      </c>
      <c r="AN136" s="17"/>
      <c r="AO136" s="1">
        <v>483450</v>
      </c>
      <c r="AP136" s="1"/>
      <c r="AQ136" s="1">
        <v>10446</v>
      </c>
      <c r="AR136" s="1"/>
      <c r="AS136" s="1"/>
      <c r="AT136" s="1"/>
      <c r="AU136" s="1">
        <v>0</v>
      </c>
      <c r="AV136" s="1"/>
      <c r="AW136" s="1">
        <f t="shared" si="6"/>
        <v>8614196</v>
      </c>
      <c r="AY136" s="1">
        <f>+'St of Activites - GA Rev'!AI136-'St of Activities - GA Exp'!AW136</f>
        <v>-300953</v>
      </c>
      <c r="BA136" s="1">
        <v>2893349</v>
      </c>
      <c r="BC136" s="1">
        <f t="shared" si="7"/>
        <v>2592396</v>
      </c>
      <c r="BE136" s="1">
        <f>+'St of Net Assets - GA'!AA136-'St of Activities - GA Exp'!BC136</f>
        <v>0</v>
      </c>
    </row>
    <row r="137" spans="1:57">
      <c r="A137" s="12" t="s">
        <v>800</v>
      </c>
      <c r="B137" s="17"/>
      <c r="C137" s="17" t="s">
        <v>113</v>
      </c>
      <c r="D137" s="17"/>
      <c r="E137" s="13">
        <v>45344</v>
      </c>
      <c r="G137" s="1">
        <v>3202989</v>
      </c>
      <c r="H137" s="1"/>
      <c r="I137" s="1">
        <v>1020812</v>
      </c>
      <c r="J137" s="1"/>
      <c r="K137" s="1">
        <v>16649</v>
      </c>
      <c r="L137" s="1"/>
      <c r="M137" s="1">
        <v>432354</v>
      </c>
      <c r="N137" s="1"/>
      <c r="O137" s="1">
        <v>291696</v>
      </c>
      <c r="P137" s="1"/>
      <c r="Q137" s="1">
        <v>518591</v>
      </c>
      <c r="R137" s="1"/>
      <c r="S137" s="1">
        <v>46156</v>
      </c>
      <c r="T137" s="1"/>
      <c r="U137" s="1">
        <v>707327</v>
      </c>
      <c r="V137" s="1"/>
      <c r="W137" s="1">
        <v>276187</v>
      </c>
      <c r="X137" s="1"/>
      <c r="Y137" s="1">
        <v>0</v>
      </c>
      <c r="Z137" s="1"/>
      <c r="AA137" s="1">
        <v>656611</v>
      </c>
      <c r="AB137" s="1"/>
      <c r="AC137" s="1">
        <v>302924</v>
      </c>
      <c r="AD137" s="1"/>
      <c r="AE137" s="1">
        <v>24696</v>
      </c>
      <c r="AF137" s="1"/>
      <c r="AG137" s="1">
        <v>295026</v>
      </c>
      <c r="AH137" s="1"/>
      <c r="AI137" s="1">
        <v>50635</v>
      </c>
      <c r="AJ137" s="1"/>
      <c r="AK137" s="12" t="s">
        <v>800</v>
      </c>
      <c r="AL137" s="17"/>
      <c r="AM137" s="17" t="s">
        <v>113</v>
      </c>
      <c r="AN137" s="17"/>
      <c r="AO137" s="1">
        <v>388087</v>
      </c>
      <c r="AP137" s="1"/>
      <c r="AQ137" s="1">
        <v>387133</v>
      </c>
      <c r="AR137" s="1"/>
      <c r="AS137" s="1"/>
      <c r="AT137" s="1"/>
      <c r="AU137" s="1">
        <v>0</v>
      </c>
      <c r="AV137" s="1"/>
      <c r="AW137" s="1">
        <f t="shared" si="6"/>
        <v>8617873</v>
      </c>
      <c r="AY137" s="1">
        <f>+'St of Activites - GA Rev'!AI137-'St of Activities - GA Exp'!AW137</f>
        <v>15296943</v>
      </c>
      <c r="BA137" s="1">
        <v>4031514</v>
      </c>
      <c r="BC137" s="1">
        <f t="shared" si="7"/>
        <v>19328457</v>
      </c>
      <c r="BE137" s="1">
        <f>+'St of Net Assets - GA'!AA137-'St of Activities - GA Exp'!BC137</f>
        <v>0</v>
      </c>
    </row>
    <row r="138" spans="1:57">
      <c r="A138" s="17" t="s">
        <v>265</v>
      </c>
      <c r="B138" s="17"/>
      <c r="C138" s="17" t="s">
        <v>114</v>
      </c>
      <c r="D138" s="17"/>
      <c r="E138" s="13">
        <v>46433</v>
      </c>
      <c r="G138" s="1">
        <v>5776093</v>
      </c>
      <c r="H138" s="1"/>
      <c r="I138" s="1">
        <v>1002130</v>
      </c>
      <c r="J138" s="1"/>
      <c r="K138" s="1">
        <v>147138</v>
      </c>
      <c r="L138" s="1"/>
      <c r="M138" s="1">
        <v>53635</v>
      </c>
      <c r="N138" s="1"/>
      <c r="O138" s="1">
        <v>512477</v>
      </c>
      <c r="P138" s="1"/>
      <c r="Q138" s="1">
        <v>563297</v>
      </c>
      <c r="R138" s="1"/>
      <c r="S138" s="1">
        <v>27431</v>
      </c>
      <c r="T138" s="1"/>
      <c r="U138" s="1">
        <v>857994</v>
      </c>
      <c r="V138" s="1"/>
      <c r="W138" s="1">
        <v>344987</v>
      </c>
      <c r="X138" s="1"/>
      <c r="Y138" s="1">
        <v>345</v>
      </c>
      <c r="Z138" s="1"/>
      <c r="AA138" s="1">
        <v>1281435</v>
      </c>
      <c r="AB138" s="1"/>
      <c r="AC138" s="1">
        <v>622684</v>
      </c>
      <c r="AD138" s="1"/>
      <c r="AE138" s="1">
        <v>18165</v>
      </c>
      <c r="AF138" s="1"/>
      <c r="AG138" s="1">
        <v>571346</v>
      </c>
      <c r="AH138" s="1"/>
      <c r="AI138" s="1">
        <v>2159</v>
      </c>
      <c r="AJ138" s="1"/>
      <c r="AK138" s="17" t="s">
        <v>265</v>
      </c>
      <c r="AL138" s="17"/>
      <c r="AM138" s="17" t="s">
        <v>114</v>
      </c>
      <c r="AN138" s="17"/>
      <c r="AO138" s="1">
        <v>377086</v>
      </c>
      <c r="AP138" s="1"/>
      <c r="AQ138" s="1">
        <v>75493</v>
      </c>
      <c r="AR138" s="1"/>
      <c r="AS138" s="1"/>
      <c r="AT138" s="1"/>
      <c r="AU138" s="1">
        <v>0</v>
      </c>
      <c r="AV138" s="1"/>
      <c r="AW138" s="1">
        <f t="shared" si="6"/>
        <v>12233895</v>
      </c>
      <c r="AY138" s="1">
        <f>+'St of Activites - GA Rev'!AI138-'St of Activities - GA Exp'!AW138</f>
        <v>-111172</v>
      </c>
      <c r="BA138" s="1">
        <v>11795382</v>
      </c>
      <c r="BC138" s="1">
        <f t="shared" si="7"/>
        <v>11684210</v>
      </c>
      <c r="BE138" s="1">
        <f>+'St of Net Assets - GA'!AA138-'St of Activities - GA Exp'!BC138</f>
        <v>0</v>
      </c>
    </row>
    <row r="139" spans="1:57">
      <c r="A139" s="17" t="s">
        <v>265</v>
      </c>
      <c r="B139" s="17"/>
      <c r="C139" s="17" t="s">
        <v>112</v>
      </c>
      <c r="D139" s="17"/>
      <c r="E139" s="13">
        <v>49429</v>
      </c>
      <c r="G139" s="1">
        <v>5250872</v>
      </c>
      <c r="H139" s="1"/>
      <c r="I139" s="1">
        <v>1451133</v>
      </c>
      <c r="J139" s="1"/>
      <c r="K139" s="1">
        <v>236877</v>
      </c>
      <c r="L139" s="1"/>
      <c r="M139" s="1">
        <v>20715</v>
      </c>
      <c r="N139" s="1"/>
      <c r="O139" s="1">
        <v>509022</v>
      </c>
      <c r="P139" s="1"/>
      <c r="Q139" s="1">
        <v>532859</v>
      </c>
      <c r="R139" s="1"/>
      <c r="S139" s="1">
        <v>60542</v>
      </c>
      <c r="T139" s="1"/>
      <c r="U139" s="1">
        <v>731535</v>
      </c>
      <c r="V139" s="1"/>
      <c r="W139" s="1">
        <v>258994</v>
      </c>
      <c r="X139" s="1"/>
      <c r="Y139" s="1">
        <v>178</v>
      </c>
      <c r="Z139" s="1"/>
      <c r="AA139" s="1">
        <v>1134879</v>
      </c>
      <c r="AB139" s="1"/>
      <c r="AC139" s="1">
        <v>877444</v>
      </c>
      <c r="AD139" s="1"/>
      <c r="AE139" s="1">
        <v>26991</v>
      </c>
      <c r="AF139" s="1"/>
      <c r="AG139" s="1">
        <v>442106</v>
      </c>
      <c r="AH139" s="1"/>
      <c r="AI139" s="1">
        <v>42698</v>
      </c>
      <c r="AJ139" s="1"/>
      <c r="AK139" s="17" t="s">
        <v>265</v>
      </c>
      <c r="AL139" s="17"/>
      <c r="AM139" s="17" t="s">
        <v>112</v>
      </c>
      <c r="AN139" s="17"/>
      <c r="AO139" s="1">
        <v>525561</v>
      </c>
      <c r="AP139" s="1"/>
      <c r="AQ139" s="1">
        <v>248231</v>
      </c>
      <c r="AR139" s="1"/>
      <c r="AS139" s="1"/>
      <c r="AT139" s="1"/>
      <c r="AU139" s="1">
        <v>0</v>
      </c>
      <c r="AV139" s="1"/>
      <c r="AW139" s="1">
        <f t="shared" si="6"/>
        <v>12350637</v>
      </c>
      <c r="AY139" s="1">
        <f>+'St of Activites - GA Rev'!AI139-'St of Activities - GA Exp'!AW139</f>
        <v>187120</v>
      </c>
      <c r="BA139" s="1">
        <v>26679313</v>
      </c>
      <c r="BC139" s="1">
        <f t="shared" si="7"/>
        <v>26866433</v>
      </c>
      <c r="BE139" s="1">
        <f>+'St of Net Assets - GA'!AA139-'St of Activities - GA Exp'!BC139</f>
        <v>0</v>
      </c>
    </row>
    <row r="140" spans="1:57" hidden="1">
      <c r="A140" s="12" t="s">
        <v>801</v>
      </c>
      <c r="B140" s="12"/>
      <c r="C140" s="12" t="s">
        <v>67</v>
      </c>
      <c r="D140" s="17"/>
      <c r="E140" s="13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2" t="s">
        <v>801</v>
      </c>
      <c r="AL140" s="12"/>
      <c r="AM140" s="12" t="s">
        <v>67</v>
      </c>
      <c r="AN140" s="17"/>
      <c r="AO140" s="1"/>
      <c r="AP140" s="1"/>
      <c r="AQ140" s="1"/>
      <c r="AR140" s="1"/>
      <c r="AS140" s="1"/>
      <c r="AT140" s="1"/>
      <c r="AU140" s="1"/>
      <c r="AV140" s="1"/>
      <c r="AW140" s="1">
        <f t="shared" si="6"/>
        <v>0</v>
      </c>
      <c r="AY140" s="1">
        <f>+'St of Activites - GA Rev'!AI140-'St of Activities - GA Exp'!AW140</f>
        <v>0</v>
      </c>
      <c r="BC140" s="1">
        <f t="shared" si="7"/>
        <v>0</v>
      </c>
      <c r="BE140" s="1">
        <f>+'St of Net Assets - GA'!AA140-'St of Activities - GA Exp'!BC140</f>
        <v>0</v>
      </c>
    </row>
    <row r="141" spans="1:57">
      <c r="A141" s="17" t="s">
        <v>533</v>
      </c>
      <c r="B141" s="17"/>
      <c r="C141" s="17" t="s">
        <v>56</v>
      </c>
      <c r="D141" s="17"/>
      <c r="E141" s="13">
        <v>49189</v>
      </c>
      <c r="G141" s="1">
        <v>9280619</v>
      </c>
      <c r="H141" s="1"/>
      <c r="I141" s="1">
        <v>2120578</v>
      </c>
      <c r="J141" s="1"/>
      <c r="K141" s="1">
        <v>225302</v>
      </c>
      <c r="L141" s="1"/>
      <c r="M141" s="1">
        <f>432+205369+1078548</f>
        <v>1284349</v>
      </c>
      <c r="N141" s="1"/>
      <c r="O141" s="1">
        <v>1194776</v>
      </c>
      <c r="P141" s="1"/>
      <c r="Q141" s="1">
        <v>993486</v>
      </c>
      <c r="R141" s="1"/>
      <c r="S141" s="1">
        <v>18482</v>
      </c>
      <c r="T141" s="1"/>
      <c r="U141" s="1">
        <v>2325470</v>
      </c>
      <c r="V141" s="1"/>
      <c r="W141" s="1">
        <v>524834</v>
      </c>
      <c r="X141" s="1"/>
      <c r="Y141" s="1">
        <v>22397</v>
      </c>
      <c r="Z141" s="1"/>
      <c r="AA141" s="1">
        <v>2202105</v>
      </c>
      <c r="AB141" s="1"/>
      <c r="AC141" s="1">
        <v>1669034</v>
      </c>
      <c r="AD141" s="1"/>
      <c r="AE141" s="1">
        <v>667765</v>
      </c>
      <c r="AF141" s="1"/>
      <c r="AG141" s="1">
        <v>571991</v>
      </c>
      <c r="AH141" s="1"/>
      <c r="AI141" s="1">
        <v>91494</v>
      </c>
      <c r="AJ141" s="1"/>
      <c r="AK141" s="17" t="s">
        <v>533</v>
      </c>
      <c r="AL141" s="17"/>
      <c r="AM141" s="17" t="s">
        <v>56</v>
      </c>
      <c r="AN141" s="17"/>
      <c r="AO141" s="1">
        <v>577741</v>
      </c>
      <c r="AP141" s="1"/>
      <c r="AQ141" s="1">
        <v>370646</v>
      </c>
      <c r="AR141" s="1"/>
      <c r="AS141" s="1"/>
      <c r="AT141" s="1"/>
      <c r="AU141" s="1">
        <v>298516</v>
      </c>
      <c r="AV141" s="1"/>
      <c r="AW141" s="1">
        <f t="shared" si="6"/>
        <v>24439585</v>
      </c>
      <c r="AY141" s="1">
        <f>+'St of Activites - GA Rev'!AI141-'St of Activities - GA Exp'!AW141</f>
        <v>240392</v>
      </c>
      <c r="BA141" s="1">
        <v>22865222</v>
      </c>
      <c r="BC141" s="1">
        <f t="shared" si="7"/>
        <v>23105614</v>
      </c>
      <c r="BE141" s="1">
        <f>+'St of Net Assets - GA'!AA141-'St of Activities - GA Exp'!BC141</f>
        <v>0</v>
      </c>
    </row>
    <row r="142" spans="1:57">
      <c r="A142" s="17" t="s">
        <v>721</v>
      </c>
      <c r="B142" s="17"/>
      <c r="C142" s="17" t="s">
        <v>524</v>
      </c>
      <c r="D142" s="17"/>
      <c r="E142" s="13"/>
      <c r="G142" s="1">
        <v>7947183</v>
      </c>
      <c r="H142" s="1"/>
      <c r="I142" s="1">
        <v>0</v>
      </c>
      <c r="J142" s="1"/>
      <c r="K142" s="1">
        <v>0</v>
      </c>
      <c r="L142" s="1"/>
      <c r="M142" s="1">
        <v>0</v>
      </c>
      <c r="N142" s="1"/>
      <c r="O142" s="1">
        <v>780056</v>
      </c>
      <c r="P142" s="1"/>
      <c r="Q142" s="1">
        <v>462336</v>
      </c>
      <c r="R142" s="1"/>
      <c r="S142" s="1">
        <v>41580</v>
      </c>
      <c r="T142" s="1"/>
      <c r="U142" s="1">
        <v>1009843</v>
      </c>
      <c r="V142" s="1"/>
      <c r="W142" s="1">
        <v>279977</v>
      </c>
      <c r="X142" s="1"/>
      <c r="Y142" s="1">
        <v>0</v>
      </c>
      <c r="Z142" s="1"/>
      <c r="AA142" s="1">
        <v>1239549</v>
      </c>
      <c r="AB142" s="1"/>
      <c r="AC142" s="1">
        <v>745996</v>
      </c>
      <c r="AD142" s="1"/>
      <c r="AE142" s="1">
        <v>0</v>
      </c>
      <c r="AF142" s="1"/>
      <c r="AG142" s="1">
        <v>578922</v>
      </c>
      <c r="AH142" s="1"/>
      <c r="AI142" s="1">
        <v>21</v>
      </c>
      <c r="AJ142" s="1"/>
      <c r="AK142" s="17" t="s">
        <v>721</v>
      </c>
      <c r="AL142" s="17"/>
      <c r="AM142" s="17" t="s">
        <v>524</v>
      </c>
      <c r="AN142" s="17"/>
      <c r="AO142" s="1">
        <v>472614</v>
      </c>
      <c r="AP142" s="1"/>
      <c r="AQ142" s="1">
        <v>61605</v>
      </c>
      <c r="AR142" s="1"/>
      <c r="AS142" s="1"/>
      <c r="AT142" s="1"/>
      <c r="AU142" s="1">
        <v>0</v>
      </c>
      <c r="AV142" s="1"/>
      <c r="AW142" s="1">
        <f t="shared" si="6"/>
        <v>13619682</v>
      </c>
      <c r="AY142" s="1">
        <f>+'St of Activites - GA Rev'!AI142-'St of Activities - GA Exp'!AW142</f>
        <v>-1691174</v>
      </c>
      <c r="BA142" s="1">
        <v>11234163</v>
      </c>
      <c r="BC142" s="1">
        <f t="shared" si="7"/>
        <v>9542989</v>
      </c>
      <c r="BE142" s="1">
        <f>+'St of Net Assets - GA'!AA142-'St of Activities - GA Exp'!BC142</f>
        <v>0</v>
      </c>
    </row>
    <row r="143" spans="1:57">
      <c r="A143" s="17" t="s">
        <v>589</v>
      </c>
      <c r="B143" s="17"/>
      <c r="C143" s="17" t="s">
        <v>63</v>
      </c>
      <c r="D143" s="17"/>
      <c r="E143" s="13">
        <v>43836</v>
      </c>
      <c r="G143" s="1">
        <v>22796042</v>
      </c>
      <c r="H143" s="1"/>
      <c r="I143" s="1">
        <v>6209061</v>
      </c>
      <c r="J143" s="1"/>
      <c r="K143" s="1">
        <v>1224849</v>
      </c>
      <c r="L143" s="1"/>
      <c r="M143" s="1">
        <v>4189827</v>
      </c>
      <c r="N143" s="1"/>
      <c r="O143" s="1">
        <v>2958778</v>
      </c>
      <c r="P143" s="1"/>
      <c r="Q143" s="1">
        <v>1152241</v>
      </c>
      <c r="R143" s="1"/>
      <c r="S143" s="1">
        <v>48852</v>
      </c>
      <c r="T143" s="1"/>
      <c r="U143" s="1">
        <v>2880433</v>
      </c>
      <c r="V143" s="1"/>
      <c r="W143" s="1">
        <v>950127</v>
      </c>
      <c r="X143" s="1"/>
      <c r="Y143" s="1">
        <v>391970</v>
      </c>
      <c r="Z143" s="1"/>
      <c r="AA143" s="1">
        <v>4959612</v>
      </c>
      <c r="AB143" s="1"/>
      <c r="AC143" s="1">
        <v>1278927</v>
      </c>
      <c r="AD143" s="1"/>
      <c r="AE143" s="1">
        <v>461837</v>
      </c>
      <c r="AF143" s="1"/>
      <c r="AG143" s="1">
        <v>1479468</v>
      </c>
      <c r="AH143" s="1"/>
      <c r="AI143" s="1">
        <v>1018871</v>
      </c>
      <c r="AJ143" s="1"/>
      <c r="AK143" s="17" t="s">
        <v>589</v>
      </c>
      <c r="AL143" s="17"/>
      <c r="AM143" s="17" t="s">
        <v>63</v>
      </c>
      <c r="AN143" s="17"/>
      <c r="AO143" s="1">
        <v>1109662</v>
      </c>
      <c r="AP143" s="1"/>
      <c r="AQ143" s="1">
        <v>162417</v>
      </c>
      <c r="AR143" s="1"/>
      <c r="AS143" s="1"/>
      <c r="AT143" s="1"/>
      <c r="AU143" s="1">
        <v>0</v>
      </c>
      <c r="AV143" s="1"/>
      <c r="AW143" s="1">
        <f t="shared" si="6"/>
        <v>53272974</v>
      </c>
      <c r="AY143" s="1">
        <f>+'St of Activites - GA Rev'!AI143-'St of Activities - GA Exp'!AW143</f>
        <v>1877450</v>
      </c>
      <c r="BA143" s="1">
        <v>7374517</v>
      </c>
      <c r="BC143" s="1">
        <f t="shared" si="7"/>
        <v>9251967</v>
      </c>
      <c r="BE143" s="1">
        <f>+'St of Net Assets - GA'!AA143-'St of Activities - GA Exp'!BC143</f>
        <v>0</v>
      </c>
    </row>
    <row r="144" spans="1:57">
      <c r="A144" s="12" t="s">
        <v>890</v>
      </c>
      <c r="B144" s="17"/>
      <c r="C144" s="17" t="s">
        <v>20</v>
      </c>
      <c r="D144" s="17"/>
      <c r="E144" s="13">
        <v>46557</v>
      </c>
      <c r="G144" s="1">
        <v>5968589</v>
      </c>
      <c r="H144" s="1"/>
      <c r="I144" s="1">
        <v>1286947</v>
      </c>
      <c r="J144" s="1"/>
      <c r="K144" s="1">
        <v>0</v>
      </c>
      <c r="L144" s="1"/>
      <c r="M144" s="1">
        <v>42708</v>
      </c>
      <c r="N144" s="1"/>
      <c r="O144" s="1">
        <v>901046</v>
      </c>
      <c r="P144" s="1"/>
      <c r="Q144" s="1">
        <v>831939</v>
      </c>
      <c r="R144" s="1"/>
      <c r="S144" s="1">
        <v>67133</v>
      </c>
      <c r="T144" s="1"/>
      <c r="U144" s="1">
        <v>1535104</v>
      </c>
      <c r="V144" s="1"/>
      <c r="W144" s="1">
        <v>670181</v>
      </c>
      <c r="X144" s="1"/>
      <c r="Y144" s="1">
        <v>145542</v>
      </c>
      <c r="Z144" s="1"/>
      <c r="AA144" s="1">
        <v>1967456</v>
      </c>
      <c r="AB144" s="1"/>
      <c r="AC144" s="1">
        <v>795003</v>
      </c>
      <c r="AD144" s="1"/>
      <c r="AE144" s="1">
        <v>2110250</v>
      </c>
      <c r="AF144" s="1"/>
      <c r="AG144" s="1">
        <v>379486</v>
      </c>
      <c r="AH144" s="1"/>
      <c r="AI144" s="1">
        <v>126404</v>
      </c>
      <c r="AJ144" s="1"/>
      <c r="AK144" s="12" t="s">
        <v>890</v>
      </c>
      <c r="AL144" s="17"/>
      <c r="AM144" s="17" t="s">
        <v>20</v>
      </c>
      <c r="AN144" s="17"/>
      <c r="AO144" s="1">
        <v>980362</v>
      </c>
      <c r="AP144" s="1"/>
      <c r="AQ144" s="1">
        <v>142610</v>
      </c>
      <c r="AR144" s="1"/>
      <c r="AS144" s="1"/>
      <c r="AT144" s="1"/>
      <c r="AU144" s="1">
        <v>0</v>
      </c>
      <c r="AV144" s="1"/>
      <c r="AW144" s="1">
        <f t="shared" si="6"/>
        <v>17950760</v>
      </c>
      <c r="AY144" s="1">
        <f>+'St of Activites - GA Rev'!AI144-'St of Activities - GA Exp'!AW144</f>
        <v>-2937782</v>
      </c>
      <c r="BA144" s="1">
        <v>11087920</v>
      </c>
      <c r="BC144" s="1">
        <f t="shared" si="7"/>
        <v>8150138</v>
      </c>
      <c r="BE144" s="1">
        <f>+'St of Net Assets - GA'!AA144-'St of Activities - GA Exp'!BC144</f>
        <v>0</v>
      </c>
    </row>
    <row r="145" spans="1:57">
      <c r="A145" s="17" t="s">
        <v>730</v>
      </c>
      <c r="B145" s="17"/>
      <c r="C145" s="17" t="s">
        <v>71</v>
      </c>
      <c r="D145" s="17"/>
      <c r="E145" s="13">
        <v>48934</v>
      </c>
      <c r="G145" s="1">
        <v>3813577</v>
      </c>
      <c r="H145" s="1"/>
      <c r="I145" s="1">
        <v>766813</v>
      </c>
      <c r="J145" s="1"/>
      <c r="K145" s="1">
        <v>208412</v>
      </c>
      <c r="L145" s="1"/>
      <c r="M145" s="1">
        <v>223565</v>
      </c>
      <c r="N145" s="1"/>
      <c r="O145" s="1">
        <v>337983</v>
      </c>
      <c r="P145" s="1"/>
      <c r="Q145" s="1">
        <v>630844</v>
      </c>
      <c r="R145" s="1"/>
      <c r="S145" s="1">
        <v>26268</v>
      </c>
      <c r="T145" s="1"/>
      <c r="U145" s="1">
        <v>847756</v>
      </c>
      <c r="V145" s="1"/>
      <c r="W145" s="1">
        <v>304532</v>
      </c>
      <c r="X145" s="1"/>
      <c r="Y145" s="1">
        <v>5397</v>
      </c>
      <c r="Z145" s="1"/>
      <c r="AA145" s="1">
        <v>821031</v>
      </c>
      <c r="AB145" s="1"/>
      <c r="AC145" s="1">
        <v>495367</v>
      </c>
      <c r="AD145" s="1"/>
      <c r="AE145" s="1">
        <v>18685</v>
      </c>
      <c r="AF145" s="1"/>
      <c r="AG145" s="1">
        <v>254446</v>
      </c>
      <c r="AH145" s="1"/>
      <c r="AI145" s="1">
        <v>164766</v>
      </c>
      <c r="AJ145" s="1"/>
      <c r="AK145" s="17" t="s">
        <v>730</v>
      </c>
      <c r="AL145" s="17"/>
      <c r="AM145" s="17" t="s">
        <v>71</v>
      </c>
      <c r="AN145" s="17"/>
      <c r="AO145" s="1">
        <v>367671</v>
      </c>
      <c r="AP145" s="1"/>
      <c r="AQ145" s="1">
        <v>3939</v>
      </c>
      <c r="AR145" s="1"/>
      <c r="AS145" s="1"/>
      <c r="AT145" s="1"/>
      <c r="AU145" s="1">
        <v>0</v>
      </c>
      <c r="AV145" s="1"/>
      <c r="AW145" s="1">
        <f t="shared" si="6"/>
        <v>9291052</v>
      </c>
      <c r="AY145" s="1">
        <f>+'St of Activites - GA Rev'!AI145-'St of Activities - GA Exp'!AW145</f>
        <v>8219</v>
      </c>
      <c r="BA145" s="1">
        <v>2118433</v>
      </c>
      <c r="BC145" s="1">
        <f t="shared" si="7"/>
        <v>2126652</v>
      </c>
      <c r="BE145" s="1">
        <f>+'St of Net Assets - GA'!AA145-'St of Activities - GA Exp'!BC145</f>
        <v>0</v>
      </c>
    </row>
    <row r="146" spans="1:57" ht="12" customHeight="1">
      <c r="A146" s="17" t="s">
        <v>520</v>
      </c>
      <c r="B146" s="17"/>
      <c r="C146" s="17" t="s">
        <v>53</v>
      </c>
      <c r="D146" s="17"/>
      <c r="E146" s="13">
        <v>48934</v>
      </c>
      <c r="G146" s="1">
        <v>4232348</v>
      </c>
      <c r="H146" s="1"/>
      <c r="I146" s="1">
        <v>699296</v>
      </c>
      <c r="J146" s="1"/>
      <c r="K146" s="1">
        <v>0</v>
      </c>
      <c r="L146" s="1"/>
      <c r="M146" s="1">
        <f>58028+33974</f>
        <v>92002</v>
      </c>
      <c r="N146" s="1"/>
      <c r="O146" s="1">
        <v>414451</v>
      </c>
      <c r="P146" s="1"/>
      <c r="Q146" s="1">
        <v>783334</v>
      </c>
      <c r="R146" s="1"/>
      <c r="S146" s="1">
        <v>88777</v>
      </c>
      <c r="T146" s="1"/>
      <c r="U146" s="1">
        <v>859728</v>
      </c>
      <c r="V146" s="1"/>
      <c r="W146" s="1">
        <v>419408</v>
      </c>
      <c r="X146" s="1"/>
      <c r="Y146" s="1">
        <v>0</v>
      </c>
      <c r="Z146" s="1"/>
      <c r="AA146" s="1">
        <v>1095679</v>
      </c>
      <c r="AB146" s="1"/>
      <c r="AC146" s="1">
        <v>469663</v>
      </c>
      <c r="AD146" s="1"/>
      <c r="AE146" s="1">
        <v>98709</v>
      </c>
      <c r="AF146" s="1"/>
      <c r="AG146" s="1">
        <v>301062</v>
      </c>
      <c r="AH146" s="1"/>
      <c r="AI146" s="1">
        <v>57660</v>
      </c>
      <c r="AJ146" s="1"/>
      <c r="AK146" s="17" t="s">
        <v>520</v>
      </c>
      <c r="AL146" s="17"/>
      <c r="AM146" s="17" t="s">
        <v>53</v>
      </c>
      <c r="AN146" s="17"/>
      <c r="AO146" s="1">
        <v>266794</v>
      </c>
      <c r="AP146" s="1"/>
      <c r="AQ146" s="1">
        <v>17496</v>
      </c>
      <c r="AR146" s="1"/>
      <c r="AS146" s="1"/>
      <c r="AT146" s="1"/>
      <c r="AU146" s="1">
        <v>0</v>
      </c>
      <c r="AV146" s="1"/>
      <c r="AW146" s="1">
        <f t="shared" si="6"/>
        <v>9896407</v>
      </c>
      <c r="AY146" s="1">
        <f>+'St of Activites - GA Rev'!AI146-'St of Activities - GA Exp'!AW146</f>
        <v>690310</v>
      </c>
      <c r="BA146" s="1">
        <v>9794900</v>
      </c>
      <c r="BC146" s="1">
        <f t="shared" si="7"/>
        <v>10485210</v>
      </c>
      <c r="BE146" s="1">
        <f>+'St of Net Assets - GA'!AA146-'St of Activities - GA Exp'!BC146</f>
        <v>0</v>
      </c>
    </row>
    <row r="147" spans="1:57" hidden="1">
      <c r="A147" s="12" t="s">
        <v>803</v>
      </c>
      <c r="B147" s="17"/>
      <c r="C147" s="17" t="s">
        <v>40</v>
      </c>
      <c r="D147" s="17"/>
      <c r="E147" s="13">
        <v>47837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2" t="s">
        <v>803</v>
      </c>
      <c r="AL147" s="17"/>
      <c r="AM147" s="17" t="s">
        <v>40</v>
      </c>
      <c r="AN147" s="17"/>
      <c r="AO147" s="1"/>
      <c r="AP147" s="1"/>
      <c r="AQ147" s="1"/>
      <c r="AR147" s="1"/>
      <c r="AS147" s="1"/>
      <c r="AT147" s="1"/>
      <c r="AU147" s="1"/>
      <c r="AV147" s="1"/>
      <c r="AW147" s="1">
        <f t="shared" si="6"/>
        <v>0</v>
      </c>
      <c r="AY147" s="1">
        <f>+'St of Activites - GA Rev'!AI147-'St of Activities - GA Exp'!AW147</f>
        <v>0</v>
      </c>
      <c r="BC147" s="1">
        <f t="shared" si="7"/>
        <v>0</v>
      </c>
      <c r="BE147" s="1">
        <f>+'St of Net Assets - GA'!AA147-'St of Activities - GA Exp'!BC147</f>
        <v>0</v>
      </c>
    </row>
    <row r="148" spans="1:57">
      <c r="A148" s="17" t="s">
        <v>421</v>
      </c>
      <c r="B148" s="17"/>
      <c r="C148" s="17" t="s">
        <v>420</v>
      </c>
      <c r="D148" s="17"/>
      <c r="E148" s="13">
        <v>47928</v>
      </c>
      <c r="G148" s="1">
        <v>5986942</v>
      </c>
      <c r="H148" s="1"/>
      <c r="I148" s="1">
        <v>1000372</v>
      </c>
      <c r="J148" s="1"/>
      <c r="K148" s="1">
        <v>128688</v>
      </c>
      <c r="L148" s="1"/>
      <c r="M148" s="1">
        <v>995569</v>
      </c>
      <c r="N148" s="1"/>
      <c r="O148" s="1">
        <v>590996</v>
      </c>
      <c r="P148" s="1"/>
      <c r="Q148" s="1">
        <v>296550</v>
      </c>
      <c r="R148" s="1"/>
      <c r="S148" s="1">
        <v>38331</v>
      </c>
      <c r="T148" s="1"/>
      <c r="U148" s="1">
        <v>911228</v>
      </c>
      <c r="V148" s="1"/>
      <c r="W148" s="1">
        <v>435008</v>
      </c>
      <c r="X148" s="1"/>
      <c r="Y148" s="1">
        <v>34658</v>
      </c>
      <c r="Z148" s="1"/>
      <c r="AA148" s="1">
        <v>1336098</v>
      </c>
      <c r="AB148" s="1"/>
      <c r="AC148" s="1">
        <v>810592</v>
      </c>
      <c r="AD148" s="1"/>
      <c r="AE148" s="1">
        <v>175785</v>
      </c>
      <c r="AF148" s="1"/>
      <c r="AG148" s="1">
        <v>549427</v>
      </c>
      <c r="AH148" s="1"/>
      <c r="AI148" s="1">
        <v>89304</v>
      </c>
      <c r="AJ148" s="1"/>
      <c r="AK148" s="17" t="s">
        <v>421</v>
      </c>
      <c r="AL148" s="17"/>
      <c r="AM148" s="17" t="s">
        <v>420</v>
      </c>
      <c r="AN148" s="17"/>
      <c r="AO148" s="1">
        <v>491604</v>
      </c>
      <c r="AP148" s="1"/>
      <c r="AQ148" s="1">
        <v>60156</v>
      </c>
      <c r="AR148" s="1"/>
      <c r="AS148" s="1"/>
      <c r="AT148" s="1"/>
      <c r="AU148" s="1">
        <v>0</v>
      </c>
      <c r="AV148" s="1"/>
      <c r="AW148" s="1">
        <f t="shared" si="6"/>
        <v>13931308</v>
      </c>
      <c r="AY148" s="1">
        <f>+'St of Activites - GA Rev'!AI148-'St of Activities - GA Exp'!AW148</f>
        <v>-671309</v>
      </c>
      <c r="BA148" s="1">
        <v>34757876</v>
      </c>
      <c r="BC148" s="1">
        <f t="shared" si="7"/>
        <v>34086567</v>
      </c>
      <c r="BE148" s="1">
        <f>+'St of Net Assets - GA'!AA148-'St of Activities - GA Exp'!BC148</f>
        <v>0</v>
      </c>
    </row>
    <row r="149" spans="1:57">
      <c r="A149" s="17" t="s">
        <v>496</v>
      </c>
      <c r="B149" s="17"/>
      <c r="C149" s="17" t="s">
        <v>50</v>
      </c>
      <c r="D149" s="17"/>
      <c r="E149" s="13">
        <v>43844</v>
      </c>
      <c r="G149" s="1">
        <v>60367657</v>
      </c>
      <c r="H149" s="1"/>
      <c r="I149" s="1">
        <v>28831867</v>
      </c>
      <c r="J149" s="1"/>
      <c r="K149" s="1">
        <v>2347600</v>
      </c>
      <c r="L149" s="1"/>
      <c r="M149" s="1">
        <f>31250+4927879</f>
        <v>4959129</v>
      </c>
      <c r="N149" s="1"/>
      <c r="O149" s="1">
        <v>9677972</v>
      </c>
      <c r="P149" s="1"/>
      <c r="Q149" s="1">
        <v>18484817</v>
      </c>
      <c r="R149" s="1"/>
      <c r="S149" s="1">
        <v>1083663</v>
      </c>
      <c r="T149" s="1"/>
      <c r="U149" s="1">
        <v>18587883</v>
      </c>
      <c r="V149" s="1"/>
      <c r="W149" s="1">
        <v>3700471</v>
      </c>
      <c r="X149" s="1"/>
      <c r="Y149" s="1">
        <v>1500067</v>
      </c>
      <c r="Z149" s="1"/>
      <c r="AA149" s="1">
        <v>22163606</v>
      </c>
      <c r="AB149" s="1"/>
      <c r="AC149" s="1">
        <v>16741034</v>
      </c>
      <c r="AD149" s="1"/>
      <c r="AE149" s="1">
        <v>7291951</v>
      </c>
      <c r="AF149" s="1"/>
      <c r="AG149" s="1">
        <v>0</v>
      </c>
      <c r="AH149" s="1"/>
      <c r="AI149" s="1">
        <v>73765748</v>
      </c>
      <c r="AJ149" s="1"/>
      <c r="AK149" s="17" t="s">
        <v>496</v>
      </c>
      <c r="AL149" s="17"/>
      <c r="AM149" s="17" t="s">
        <v>50</v>
      </c>
      <c r="AN149" s="17"/>
      <c r="AO149" s="1">
        <v>1997118</v>
      </c>
      <c r="AP149" s="1"/>
      <c r="AQ149" s="1">
        <v>12029713</v>
      </c>
      <c r="AR149" s="1"/>
      <c r="AS149" s="1"/>
      <c r="AT149" s="1"/>
      <c r="AU149" s="1">
        <v>5123531</v>
      </c>
      <c r="AV149" s="1"/>
      <c r="AW149" s="1">
        <f t="shared" si="6"/>
        <v>288653827</v>
      </c>
      <c r="AY149" s="1">
        <f>+'St of Activites - GA Rev'!AI149-'St of Activities - GA Exp'!AW149</f>
        <v>14821798</v>
      </c>
      <c r="BA149" s="1">
        <v>364796642</v>
      </c>
      <c r="BC149" s="1">
        <f t="shared" ref="BC149:BC179" si="8">+AY149+BA149</f>
        <v>379618440</v>
      </c>
      <c r="BE149" s="1">
        <f>+'St of Net Assets - GA'!AA149-'St of Activities - GA Exp'!BC149</f>
        <v>0</v>
      </c>
    </row>
    <row r="150" spans="1:57">
      <c r="A150" s="12" t="s">
        <v>804</v>
      </c>
      <c r="B150" s="17"/>
      <c r="C150" s="17" t="s">
        <v>32</v>
      </c>
      <c r="D150" s="17"/>
      <c r="E150" s="13">
        <v>43851</v>
      </c>
      <c r="G150" s="1">
        <v>6321144</v>
      </c>
      <c r="H150" s="1"/>
      <c r="I150" s="1">
        <v>1436696</v>
      </c>
      <c r="J150" s="1"/>
      <c r="K150" s="1">
        <v>214907</v>
      </c>
      <c r="L150" s="1"/>
      <c r="M150" s="1">
        <v>0</v>
      </c>
      <c r="N150" s="1"/>
      <c r="O150" s="1">
        <v>959683</v>
      </c>
      <c r="P150" s="1"/>
      <c r="Q150" s="1">
        <v>892778</v>
      </c>
      <c r="R150" s="1"/>
      <c r="S150" s="1">
        <v>67845</v>
      </c>
      <c r="T150" s="1"/>
      <c r="U150" s="1">
        <v>1111612</v>
      </c>
      <c r="V150" s="1"/>
      <c r="W150" s="1">
        <v>566958</v>
      </c>
      <c r="X150" s="1"/>
      <c r="Y150" s="1">
        <v>159051</v>
      </c>
      <c r="Z150" s="1"/>
      <c r="AA150" s="1">
        <v>1409694</v>
      </c>
      <c r="AB150" s="1"/>
      <c r="AC150" s="1">
        <v>309709</v>
      </c>
      <c r="AD150" s="1"/>
      <c r="AE150" s="1">
        <v>143572</v>
      </c>
      <c r="AF150" s="1"/>
      <c r="AG150" s="1">
        <v>0</v>
      </c>
      <c r="AH150" s="1"/>
      <c r="AI150" s="1">
        <v>592139</v>
      </c>
      <c r="AJ150" s="1"/>
      <c r="AK150" s="12" t="s">
        <v>804</v>
      </c>
      <c r="AL150" s="17"/>
      <c r="AM150" s="17" t="s">
        <v>32</v>
      </c>
      <c r="AN150" s="17"/>
      <c r="AO150" s="1">
        <v>536631</v>
      </c>
      <c r="AP150" s="1"/>
      <c r="AQ150" s="1">
        <v>25697</v>
      </c>
      <c r="AR150" s="1"/>
      <c r="AS150" s="1"/>
      <c r="AT150" s="1"/>
      <c r="AU150" s="1">
        <v>0</v>
      </c>
      <c r="AV150" s="1"/>
      <c r="AW150" s="1">
        <f t="shared" si="6"/>
        <v>14748116</v>
      </c>
      <c r="AY150" s="1">
        <f>+'St of Activites - GA Rev'!AI150-'St of Activities - GA Exp'!AW150</f>
        <v>2070100</v>
      </c>
      <c r="BA150" s="1">
        <v>8431291</v>
      </c>
      <c r="BC150" s="1">
        <f t="shared" si="8"/>
        <v>10501391</v>
      </c>
      <c r="BE150" s="1">
        <f>+'St of Net Assets - GA'!AA150-'St of Activities - GA Exp'!BC150</f>
        <v>0</v>
      </c>
    </row>
    <row r="151" spans="1:57" ht="12" hidden="1" customHeight="1">
      <c r="A151" s="12" t="s">
        <v>805</v>
      </c>
      <c r="B151" s="17"/>
      <c r="C151" s="17" t="s">
        <v>22</v>
      </c>
      <c r="D151" s="17"/>
      <c r="E151" s="13">
        <v>43869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2" t="s">
        <v>805</v>
      </c>
      <c r="AL151" s="17"/>
      <c r="AM151" s="17" t="s">
        <v>22</v>
      </c>
      <c r="AN151" s="17"/>
      <c r="AO151" s="1"/>
      <c r="AP151" s="1"/>
      <c r="AQ151" s="1"/>
      <c r="AR151" s="1"/>
      <c r="AS151" s="1"/>
      <c r="AT151" s="1"/>
      <c r="AU151" s="1"/>
      <c r="AV151" s="1"/>
      <c r="AW151" s="1">
        <f t="shared" si="6"/>
        <v>0</v>
      </c>
      <c r="AY151" s="1">
        <f>+'St of Activites - GA Rev'!AI151-'St of Activities - GA Exp'!AW151</f>
        <v>0</v>
      </c>
      <c r="BC151" s="1">
        <f t="shared" si="8"/>
        <v>0</v>
      </c>
      <c r="BE151" s="1">
        <f>+'St of Net Assets - GA'!AA151-'St of Activities - GA Exp'!BC151</f>
        <v>0</v>
      </c>
    </row>
    <row r="152" spans="1:57">
      <c r="A152" s="12" t="s">
        <v>806</v>
      </c>
      <c r="B152" s="12"/>
      <c r="C152" s="12" t="s">
        <v>23</v>
      </c>
      <c r="D152" s="17"/>
      <c r="E152" s="13"/>
      <c r="G152" s="1">
        <v>21794461</v>
      </c>
      <c r="H152" s="1"/>
      <c r="I152" s="1">
        <v>5210222</v>
      </c>
      <c r="J152" s="1"/>
      <c r="K152" s="1">
        <v>366978</v>
      </c>
      <c r="L152" s="1"/>
      <c r="M152" s="1">
        <f>88162+2010131</f>
        <v>2098293</v>
      </c>
      <c r="N152" s="1"/>
      <c r="O152" s="1">
        <v>2562505</v>
      </c>
      <c r="P152" s="1"/>
      <c r="Q152" s="1">
        <v>3301322</v>
      </c>
      <c r="R152" s="1"/>
      <c r="S152" s="1">
        <v>187628</v>
      </c>
      <c r="T152" s="1"/>
      <c r="U152" s="1">
        <v>3014373</v>
      </c>
      <c r="V152" s="1"/>
      <c r="W152" s="1">
        <v>1032913</v>
      </c>
      <c r="X152" s="1"/>
      <c r="Y152" s="1">
        <v>377507</v>
      </c>
      <c r="Z152" s="1"/>
      <c r="AA152" s="1">
        <v>4939323</v>
      </c>
      <c r="AB152" s="1"/>
      <c r="AC152" s="1">
        <v>3587477</v>
      </c>
      <c r="AD152" s="1"/>
      <c r="AE152" s="1">
        <v>156573</v>
      </c>
      <c r="AF152" s="1"/>
      <c r="AG152" s="1">
        <v>0</v>
      </c>
      <c r="AH152" s="1"/>
      <c r="AI152" s="1">
        <v>1842216</v>
      </c>
      <c r="AJ152" s="1"/>
      <c r="AK152" s="12" t="s">
        <v>806</v>
      </c>
      <c r="AL152" s="12"/>
      <c r="AM152" s="12" t="s">
        <v>23</v>
      </c>
      <c r="AN152" s="17"/>
      <c r="AO152" s="1">
        <v>1372834</v>
      </c>
      <c r="AP152" s="1"/>
      <c r="AQ152" s="1">
        <v>1473101</v>
      </c>
      <c r="AR152" s="1"/>
      <c r="AS152" s="1"/>
      <c r="AT152" s="1"/>
      <c r="AU152" s="1">
        <v>951944</v>
      </c>
      <c r="AV152" s="1"/>
      <c r="AW152" s="1">
        <f t="shared" si="6"/>
        <v>54269670</v>
      </c>
      <c r="AY152" s="1">
        <f>+'St of Activites - GA Rev'!AI152-'St of Activities - GA Exp'!AW152</f>
        <v>-706687</v>
      </c>
      <c r="BA152" s="1">
        <v>14383865</v>
      </c>
      <c r="BC152" s="1">
        <f t="shared" si="8"/>
        <v>13677178</v>
      </c>
      <c r="BE152" s="1">
        <f>+'St of Net Assets - GA'!AA152-'St of Activities - GA Exp'!BC152</f>
        <v>0</v>
      </c>
    </row>
    <row r="153" spans="1:57">
      <c r="A153" s="17" t="s">
        <v>204</v>
      </c>
      <c r="B153" s="17"/>
      <c r="C153" s="17" t="s">
        <v>10</v>
      </c>
      <c r="D153" s="17"/>
      <c r="E153" s="13">
        <v>43885</v>
      </c>
      <c r="F153" s="1"/>
      <c r="G153" s="1">
        <v>4791417</v>
      </c>
      <c r="H153" s="1"/>
      <c r="I153" s="1">
        <v>1145634</v>
      </c>
      <c r="J153" s="1"/>
      <c r="K153" s="1">
        <v>518981</v>
      </c>
      <c r="L153" s="1"/>
      <c r="M153" s="1">
        <v>927</v>
      </c>
      <c r="N153" s="1"/>
      <c r="O153" s="1">
        <v>471362</v>
      </c>
      <c r="P153" s="1"/>
      <c r="Q153" s="1">
        <v>401554</v>
      </c>
      <c r="R153" s="1"/>
      <c r="S153" s="1">
        <v>16756</v>
      </c>
      <c r="T153" s="1"/>
      <c r="U153" s="1">
        <v>932282</v>
      </c>
      <c r="V153" s="1"/>
      <c r="W153" s="1">
        <v>324583</v>
      </c>
      <c r="X153" s="1"/>
      <c r="Y153" s="1">
        <v>0</v>
      </c>
      <c r="Z153" s="1"/>
      <c r="AA153" s="1">
        <v>580916</v>
      </c>
      <c r="AB153" s="1"/>
      <c r="AC153" s="1">
        <v>494554</v>
      </c>
      <c r="AD153" s="1"/>
      <c r="AE153" s="1">
        <v>9697</v>
      </c>
      <c r="AF153" s="1"/>
      <c r="AG153" s="1">
        <v>1174792</v>
      </c>
      <c r="AH153" s="1"/>
      <c r="AI153" s="1">
        <v>0</v>
      </c>
      <c r="AJ153" s="1"/>
      <c r="AK153" s="12" t="s">
        <v>204</v>
      </c>
      <c r="AL153" s="12"/>
      <c r="AM153" s="12" t="s">
        <v>10</v>
      </c>
      <c r="AN153" s="12"/>
      <c r="AO153" s="1">
        <v>356687</v>
      </c>
      <c r="AP153" s="1"/>
      <c r="AQ153" s="1">
        <v>0</v>
      </c>
      <c r="AR153" s="1"/>
      <c r="AS153" s="1"/>
      <c r="AT153" s="1"/>
      <c r="AU153" s="1">
        <v>0</v>
      </c>
      <c r="AV153" s="1"/>
      <c r="AW153" s="1">
        <f t="shared" ref="AW153" si="9">SUM(G153:AV153)</f>
        <v>11220142</v>
      </c>
      <c r="AY153" s="1">
        <f>+'St of Activites - GA Rev'!AI153-'St of Activities - GA Exp'!AW153</f>
        <v>566831</v>
      </c>
      <c r="BA153" s="1">
        <v>3892643</v>
      </c>
      <c r="BC153" s="1">
        <f t="shared" si="8"/>
        <v>4459474</v>
      </c>
      <c r="BE153" s="1">
        <f>+'St of Net Assets - GA'!AA153-'St of Activities - GA Exp'!BC153</f>
        <v>0</v>
      </c>
    </row>
    <row r="154" spans="1:57">
      <c r="A154" s="17" t="s">
        <v>619</v>
      </c>
      <c r="B154" s="17"/>
      <c r="C154" s="17" t="s">
        <v>65</v>
      </c>
      <c r="D154" s="17"/>
      <c r="E154" s="13">
        <v>43893</v>
      </c>
      <c r="G154" s="1">
        <v>10894986</v>
      </c>
      <c r="H154" s="1"/>
      <c r="I154" s="1">
        <v>2046668</v>
      </c>
      <c r="J154" s="1"/>
      <c r="K154" s="1">
        <v>61385</v>
      </c>
      <c r="L154" s="1"/>
      <c r="M154" s="1">
        <f>250381+151276</f>
        <v>401657</v>
      </c>
      <c r="N154" s="1"/>
      <c r="O154" s="1">
        <v>1303798</v>
      </c>
      <c r="P154" s="1"/>
      <c r="Q154" s="1">
        <v>1054563</v>
      </c>
      <c r="R154" s="1"/>
      <c r="S154" s="1">
        <v>30878</v>
      </c>
      <c r="T154" s="1"/>
      <c r="U154" s="1">
        <v>1748958</v>
      </c>
      <c r="V154" s="1"/>
      <c r="W154" s="1">
        <v>761165</v>
      </c>
      <c r="X154" s="1"/>
      <c r="Y154" s="1">
        <v>0</v>
      </c>
      <c r="Z154" s="1"/>
      <c r="AA154" s="1">
        <v>1832417</v>
      </c>
      <c r="AB154" s="1"/>
      <c r="AC154" s="1">
        <v>671168</v>
      </c>
      <c r="AD154" s="1"/>
      <c r="AE154" s="1">
        <v>0</v>
      </c>
      <c r="AF154" s="1"/>
      <c r="AG154" s="1">
        <v>777694</v>
      </c>
      <c r="AH154" s="1"/>
      <c r="AI154" s="1">
        <v>197599</v>
      </c>
      <c r="AJ154" s="1"/>
      <c r="AK154" s="17" t="s">
        <v>619</v>
      </c>
      <c r="AL154" s="17"/>
      <c r="AM154" s="17" t="s">
        <v>65</v>
      </c>
      <c r="AN154" s="17"/>
      <c r="AO154" s="1">
        <v>923800</v>
      </c>
      <c r="AP154" s="1"/>
      <c r="AQ154" s="1">
        <v>229600</v>
      </c>
      <c r="AR154" s="1"/>
      <c r="AS154" s="1"/>
      <c r="AT154" s="1"/>
      <c r="AU154" s="1">
        <v>0</v>
      </c>
      <c r="AV154" s="1"/>
      <c r="AW154" s="1">
        <f t="shared" ref="AW154:AW179" si="10">SUM(G154:AV154)</f>
        <v>22936336</v>
      </c>
      <c r="AY154" s="1">
        <f>+'St of Activites - GA Rev'!AI154-'St of Activities - GA Exp'!AW154</f>
        <v>2875195</v>
      </c>
      <c r="BA154" s="1">
        <v>7883292</v>
      </c>
      <c r="BC154" s="1">
        <f t="shared" si="8"/>
        <v>10758487</v>
      </c>
      <c r="BE154" s="1">
        <f>+'St of Net Assets - GA'!AA154-'St of Activities - GA Exp'!BC154</f>
        <v>0</v>
      </c>
    </row>
    <row r="155" spans="1:57">
      <c r="A155" s="17" t="s">
        <v>332</v>
      </c>
      <c r="B155" s="17"/>
      <c r="C155" s="17" t="s">
        <v>27</v>
      </c>
      <c r="D155" s="17"/>
      <c r="E155" s="13">
        <v>47027</v>
      </c>
      <c r="G155" s="1">
        <v>77005000</v>
      </c>
      <c r="H155" s="1"/>
      <c r="I155" s="1">
        <v>20627000</v>
      </c>
      <c r="J155" s="1"/>
      <c r="K155" s="1">
        <v>227000</v>
      </c>
      <c r="L155" s="1"/>
      <c r="M155" s="1">
        <v>78000</v>
      </c>
      <c r="N155" s="1"/>
      <c r="O155" s="1">
        <v>9932000</v>
      </c>
      <c r="P155" s="1"/>
      <c r="Q155" s="1">
        <v>16358000</v>
      </c>
      <c r="R155" s="1"/>
      <c r="S155" s="1">
        <v>222000</v>
      </c>
      <c r="T155" s="1"/>
      <c r="U155" s="1">
        <v>11402000</v>
      </c>
      <c r="V155" s="1"/>
      <c r="W155" s="1">
        <v>3388000</v>
      </c>
      <c r="X155" s="1"/>
      <c r="Y155" s="1">
        <v>949000</v>
      </c>
      <c r="Z155" s="1"/>
      <c r="AA155" s="1">
        <v>14812000</v>
      </c>
      <c r="AB155" s="1"/>
      <c r="AC155" s="1">
        <v>8171000</v>
      </c>
      <c r="AD155" s="1"/>
      <c r="AE155" s="1">
        <v>8303000</v>
      </c>
      <c r="AF155" s="1"/>
      <c r="AG155" s="1">
        <v>0</v>
      </c>
      <c r="AH155" s="1"/>
      <c r="AI155" s="1">
        <v>525000</v>
      </c>
      <c r="AJ155" s="1"/>
      <c r="AK155" s="17" t="s">
        <v>332</v>
      </c>
      <c r="AL155" s="17"/>
      <c r="AM155" s="17" t="s">
        <v>27</v>
      </c>
      <c r="AN155" s="17"/>
      <c r="AO155" s="1">
        <v>5348000</v>
      </c>
      <c r="AP155" s="1"/>
      <c r="AQ155" s="1">
        <v>9643000</v>
      </c>
      <c r="AR155" s="1"/>
      <c r="AS155" s="1"/>
      <c r="AT155" s="1"/>
      <c r="AU155" s="1">
        <v>37000</v>
      </c>
      <c r="AV155" s="1"/>
      <c r="AW155" s="1">
        <f t="shared" si="10"/>
        <v>187027000</v>
      </c>
      <c r="AY155" s="1">
        <f>+'St of Activites - GA Rev'!AI155-'St of Activities - GA Exp'!AW155</f>
        <v>2024000</v>
      </c>
      <c r="BA155" s="1">
        <v>60024981</v>
      </c>
      <c r="BC155" s="1">
        <f t="shared" si="8"/>
        <v>62048981</v>
      </c>
      <c r="BE155" s="1">
        <f>+'St of Net Assets - GA'!AA155-'St of Activities - GA Exp'!BC155</f>
        <v>19</v>
      </c>
    </row>
    <row r="156" spans="1:57" ht="12" customHeight="1">
      <c r="A156" s="12" t="s">
        <v>288</v>
      </c>
      <c r="B156" s="17"/>
      <c r="C156" s="17" t="s">
        <v>20</v>
      </c>
      <c r="D156" s="17"/>
      <c r="E156" s="13">
        <v>43901</v>
      </c>
      <c r="G156" s="1">
        <v>14817264</v>
      </c>
      <c r="H156" s="1"/>
      <c r="I156" s="1">
        <v>12807813</v>
      </c>
      <c r="J156" s="1"/>
      <c r="K156" s="1">
        <v>1516517</v>
      </c>
      <c r="L156" s="1"/>
      <c r="M156" s="1">
        <f>77909+4788442</f>
        <v>4866351</v>
      </c>
      <c r="N156" s="1"/>
      <c r="O156" s="1">
        <v>2563042</v>
      </c>
      <c r="P156" s="1"/>
      <c r="Q156" s="1">
        <v>4087745</v>
      </c>
      <c r="R156" s="1"/>
      <c r="S156" s="1">
        <v>47837</v>
      </c>
      <c r="T156" s="1"/>
      <c r="U156" s="1">
        <v>4278863</v>
      </c>
      <c r="V156" s="1"/>
      <c r="W156" s="1">
        <v>1664167</v>
      </c>
      <c r="X156" s="1"/>
      <c r="Y156" s="1">
        <v>434863</v>
      </c>
      <c r="Z156" s="1"/>
      <c r="AA156" s="1">
        <v>4453525</v>
      </c>
      <c r="AB156" s="1"/>
      <c r="AC156" s="1">
        <v>1228878</v>
      </c>
      <c r="AD156" s="1"/>
      <c r="AE156" s="1">
        <v>2400490</v>
      </c>
      <c r="AF156" s="1"/>
      <c r="AG156" s="1">
        <v>1774382</v>
      </c>
      <c r="AH156" s="1"/>
      <c r="AI156" s="1">
        <v>39350</v>
      </c>
      <c r="AJ156" s="1"/>
      <c r="AK156" s="17" t="s">
        <v>288</v>
      </c>
      <c r="AL156" s="17"/>
      <c r="AM156" s="17" t="s">
        <v>20</v>
      </c>
      <c r="AN156" s="17"/>
      <c r="AO156" s="1">
        <v>440320</v>
      </c>
      <c r="AP156" s="1"/>
      <c r="AQ156" s="1">
        <v>361748</v>
      </c>
      <c r="AR156" s="1"/>
      <c r="AS156" s="1"/>
      <c r="AT156" s="1"/>
      <c r="AU156" s="1">
        <v>0</v>
      </c>
      <c r="AV156" s="1"/>
      <c r="AW156" s="1">
        <f t="shared" si="10"/>
        <v>57783155</v>
      </c>
      <c r="AY156" s="1">
        <f>+'St of Activites - GA Rev'!AI156-'St of Activities - GA Exp'!AW156</f>
        <v>5985574</v>
      </c>
      <c r="BA156" s="1">
        <v>51826056</v>
      </c>
      <c r="BC156" s="1">
        <f t="shared" si="8"/>
        <v>57811630</v>
      </c>
      <c r="BE156" s="1">
        <f>+'St of Net Assets - GA'!AA156-'St of Activities - GA Exp'!BC156</f>
        <v>0</v>
      </c>
    </row>
    <row r="157" spans="1:57">
      <c r="A157" s="17" t="s">
        <v>261</v>
      </c>
      <c r="B157" s="17"/>
      <c r="C157" s="17" t="s">
        <v>18</v>
      </c>
      <c r="D157" s="17"/>
      <c r="E157" s="13">
        <v>46409</v>
      </c>
      <c r="G157" s="1">
        <v>6039327</v>
      </c>
      <c r="H157" s="1"/>
      <c r="I157" s="1">
        <v>1577915</v>
      </c>
      <c r="J157" s="1"/>
      <c r="K157" s="1">
        <v>113550</v>
      </c>
      <c r="L157" s="1"/>
      <c r="M157" s="1">
        <v>5813</v>
      </c>
      <c r="N157" s="1"/>
      <c r="O157" s="1">
        <v>567965</v>
      </c>
      <c r="P157" s="1"/>
      <c r="Q157" s="1">
        <v>879046</v>
      </c>
      <c r="R157" s="1"/>
      <c r="S157" s="1">
        <v>40616</v>
      </c>
      <c r="T157" s="1"/>
      <c r="U157" s="1">
        <v>906377</v>
      </c>
      <c r="V157" s="1"/>
      <c r="W157" s="1">
        <v>334803</v>
      </c>
      <c r="X157" s="1"/>
      <c r="Y157" s="1">
        <v>4395</v>
      </c>
      <c r="Z157" s="1"/>
      <c r="AA157" s="1">
        <v>1284057</v>
      </c>
      <c r="AB157" s="1"/>
      <c r="AC157" s="1">
        <v>868029</v>
      </c>
      <c r="AD157" s="1"/>
      <c r="AE157" s="1">
        <v>89134</v>
      </c>
      <c r="AF157" s="1"/>
      <c r="AG157" s="1">
        <v>569186</v>
      </c>
      <c r="AH157" s="1"/>
      <c r="AI157" s="1">
        <v>11655</v>
      </c>
      <c r="AJ157" s="1"/>
      <c r="AK157" s="17" t="s">
        <v>261</v>
      </c>
      <c r="AL157" s="17"/>
      <c r="AM157" s="17" t="s">
        <v>18</v>
      </c>
      <c r="AN157" s="17"/>
      <c r="AO157" s="1">
        <v>404078</v>
      </c>
      <c r="AP157" s="1"/>
      <c r="AQ157" s="1">
        <v>67367</v>
      </c>
      <c r="AR157" s="1"/>
      <c r="AS157" s="1"/>
      <c r="AT157" s="1"/>
      <c r="AU157" s="1">
        <v>0</v>
      </c>
      <c r="AV157" s="1"/>
      <c r="AW157" s="1">
        <f t="shared" si="10"/>
        <v>13763313</v>
      </c>
      <c r="AY157" s="1">
        <f>+'St of Activites - GA Rev'!AI157-'St of Activities - GA Exp'!AW157</f>
        <v>627218</v>
      </c>
      <c r="BA157" s="1">
        <v>15232615</v>
      </c>
      <c r="BC157" s="1">
        <f t="shared" si="8"/>
        <v>15859833</v>
      </c>
      <c r="BE157" s="1">
        <f>+'St of Net Assets - GA'!AA157-'St of Activities - GA Exp'!BC157</f>
        <v>0</v>
      </c>
    </row>
    <row r="158" spans="1:57">
      <c r="A158" s="17" t="s">
        <v>361</v>
      </c>
      <c r="B158" s="17"/>
      <c r="C158" s="17" t="s">
        <v>31</v>
      </c>
      <c r="D158" s="17"/>
      <c r="E158" s="13">
        <v>69682</v>
      </c>
      <c r="G158" s="1">
        <v>5300599</v>
      </c>
      <c r="H158" s="1"/>
      <c r="I158" s="1">
        <v>1238990</v>
      </c>
      <c r="J158" s="1"/>
      <c r="K158" s="1">
        <v>284775</v>
      </c>
      <c r="L158" s="1"/>
      <c r="M158" s="1">
        <f>6637+174179</f>
        <v>180816</v>
      </c>
      <c r="N158" s="1"/>
      <c r="O158" s="1">
        <v>683832</v>
      </c>
      <c r="P158" s="1"/>
      <c r="Q158" s="1">
        <v>586650</v>
      </c>
      <c r="R158" s="1"/>
      <c r="S158" s="1">
        <v>30701</v>
      </c>
      <c r="T158" s="1"/>
      <c r="U158" s="1">
        <v>886358</v>
      </c>
      <c r="V158" s="1"/>
      <c r="W158" s="1">
        <v>355827</v>
      </c>
      <c r="X158" s="1"/>
      <c r="Y158" s="1">
        <v>0</v>
      </c>
      <c r="Z158" s="1"/>
      <c r="AA158" s="1">
        <v>1219586</v>
      </c>
      <c r="AB158" s="1"/>
      <c r="AC158" s="1">
        <v>1052084</v>
      </c>
      <c r="AD158" s="1"/>
      <c r="AE158" s="1">
        <v>38629</v>
      </c>
      <c r="AF158" s="1"/>
      <c r="AG158" s="1">
        <v>502703</v>
      </c>
      <c r="AH158" s="1"/>
      <c r="AI158" s="1">
        <v>4181</v>
      </c>
      <c r="AJ158" s="16"/>
      <c r="AK158" s="17" t="s">
        <v>361</v>
      </c>
      <c r="AL158" s="17"/>
      <c r="AM158" s="17" t="s">
        <v>31</v>
      </c>
      <c r="AN158" s="17"/>
      <c r="AO158" s="1">
        <v>240440</v>
      </c>
      <c r="AP158" s="1"/>
      <c r="AQ158" s="1">
        <v>177087</v>
      </c>
      <c r="AR158" s="1"/>
      <c r="AS158" s="1"/>
      <c r="AT158" s="1"/>
      <c r="AU158" s="1">
        <v>0</v>
      </c>
      <c r="AV158" s="1"/>
      <c r="AW158" s="1">
        <f t="shared" si="10"/>
        <v>12783258</v>
      </c>
      <c r="AY158" s="1">
        <f>+'St of Activites - GA Rev'!AI158-'St of Activities - GA Exp'!AW158</f>
        <v>617806</v>
      </c>
      <c r="BA158" s="1">
        <v>23755845</v>
      </c>
      <c r="BC158" s="1">
        <f t="shared" si="8"/>
        <v>24373651</v>
      </c>
      <c r="BE158" s="1">
        <f>+'St of Net Assets - GA'!AA158-'St of Activities - GA Exp'!BC158</f>
        <v>0</v>
      </c>
    </row>
    <row r="159" spans="1:57" ht="12" customHeight="1">
      <c r="A159" s="17" t="s">
        <v>401</v>
      </c>
      <c r="B159" s="17"/>
      <c r="C159" s="17" t="s">
        <v>36</v>
      </c>
      <c r="D159" s="17"/>
      <c r="E159" s="13">
        <v>47688</v>
      </c>
      <c r="G159" s="1">
        <v>8100826</v>
      </c>
      <c r="H159" s="1"/>
      <c r="I159" s="1">
        <v>2261250</v>
      </c>
      <c r="J159" s="1"/>
      <c r="K159" s="1">
        <v>452385</v>
      </c>
      <c r="L159" s="1"/>
      <c r="M159" s="1">
        <v>9026</v>
      </c>
      <c r="N159" s="1"/>
      <c r="O159" s="1">
        <v>806979</v>
      </c>
      <c r="P159" s="1"/>
      <c r="Q159" s="1">
        <v>962527</v>
      </c>
      <c r="R159" s="1"/>
      <c r="S159" s="1">
        <v>26885</v>
      </c>
      <c r="T159" s="1"/>
      <c r="U159" s="1">
        <v>1640241</v>
      </c>
      <c r="V159" s="1"/>
      <c r="W159" s="1">
        <v>435039</v>
      </c>
      <c r="X159" s="1"/>
      <c r="Y159" s="1">
        <v>0</v>
      </c>
      <c r="Z159" s="1"/>
      <c r="AA159" s="1">
        <v>1484088</v>
      </c>
      <c r="AB159" s="1"/>
      <c r="AC159" s="1">
        <v>1286077</v>
      </c>
      <c r="AD159" s="1"/>
      <c r="AE159" s="1">
        <v>115771</v>
      </c>
      <c r="AF159" s="1"/>
      <c r="AG159" s="1">
        <v>787017</v>
      </c>
      <c r="AH159" s="1"/>
      <c r="AI159" s="1">
        <v>0</v>
      </c>
      <c r="AJ159" s="1"/>
      <c r="AK159" s="17" t="s">
        <v>401</v>
      </c>
      <c r="AL159" s="17"/>
      <c r="AM159" s="17" t="s">
        <v>36</v>
      </c>
      <c r="AN159" s="17"/>
      <c r="AO159" s="1">
        <v>523695</v>
      </c>
      <c r="AP159" s="1"/>
      <c r="AQ159" s="1">
        <v>108508</v>
      </c>
      <c r="AR159" s="1"/>
      <c r="AS159" s="1"/>
      <c r="AT159" s="1"/>
      <c r="AU159" s="1">
        <v>0</v>
      </c>
      <c r="AV159" s="1"/>
      <c r="AW159" s="1">
        <f t="shared" si="10"/>
        <v>19000314</v>
      </c>
      <c r="AY159" s="1">
        <f>+'St of Activites - GA Rev'!AI159-'St of Activities - GA Exp'!AW159</f>
        <v>183894</v>
      </c>
      <c r="BA159" s="1">
        <v>13665252</v>
      </c>
      <c r="BC159" s="1">
        <f t="shared" si="8"/>
        <v>13849146</v>
      </c>
      <c r="BE159" s="1">
        <f>+'St of Net Assets - GA'!AA159-'St of Activities - GA Exp'!BC159</f>
        <v>0</v>
      </c>
    </row>
    <row r="160" spans="1:57" ht="12" hidden="1" customHeight="1">
      <c r="A160" s="12" t="s">
        <v>807</v>
      </c>
      <c r="B160" s="12"/>
      <c r="C160" s="12" t="s">
        <v>40</v>
      </c>
      <c r="D160" s="17"/>
      <c r="E160" s="1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2" t="s">
        <v>807</v>
      </c>
      <c r="AL160" s="12"/>
      <c r="AM160" s="12" t="s">
        <v>40</v>
      </c>
      <c r="AN160" s="17"/>
      <c r="AO160" s="1"/>
      <c r="AP160" s="1"/>
      <c r="AQ160" s="1"/>
      <c r="AR160" s="1"/>
      <c r="AS160" s="1"/>
      <c r="AT160" s="1"/>
      <c r="AU160" s="1"/>
      <c r="AV160" s="1"/>
      <c r="AW160" s="1">
        <f t="shared" si="10"/>
        <v>0</v>
      </c>
      <c r="AY160" s="1">
        <f>+'St of Activites - GA Rev'!AI160-'St of Activities - GA Exp'!AW160</f>
        <v>0</v>
      </c>
      <c r="BC160" s="1">
        <f t="shared" si="8"/>
        <v>0</v>
      </c>
      <c r="BE160" s="1">
        <f>+'St of Net Assets - GA'!AA160-'St of Activities - GA Exp'!BC160</f>
        <v>0</v>
      </c>
    </row>
    <row r="161" spans="1:57">
      <c r="A161" s="17" t="s">
        <v>266</v>
      </c>
      <c r="B161" s="17"/>
      <c r="C161" s="17" t="s">
        <v>114</v>
      </c>
      <c r="D161" s="17"/>
      <c r="E161" s="13">
        <v>43919</v>
      </c>
      <c r="G161" s="1">
        <v>10784573</v>
      </c>
      <c r="H161" s="1"/>
      <c r="I161" s="1">
        <v>2769164</v>
      </c>
      <c r="J161" s="1"/>
      <c r="K161" s="1">
        <v>1074028</v>
      </c>
      <c r="L161" s="1"/>
      <c r="M161" s="1">
        <f>6858+7558+2027494</f>
        <v>2041910</v>
      </c>
      <c r="N161" s="1"/>
      <c r="O161" s="1">
        <v>1013734</v>
      </c>
      <c r="P161" s="1"/>
      <c r="Q161" s="1">
        <v>1535373</v>
      </c>
      <c r="R161" s="1"/>
      <c r="S161" s="1">
        <v>213464</v>
      </c>
      <c r="T161" s="1"/>
      <c r="U161" s="1">
        <v>1517369</v>
      </c>
      <c r="V161" s="1"/>
      <c r="W161" s="1">
        <v>495447</v>
      </c>
      <c r="X161" s="1"/>
      <c r="Y161" s="1">
        <v>17738</v>
      </c>
      <c r="Z161" s="1"/>
      <c r="AA161" s="1">
        <v>17044468</v>
      </c>
      <c r="AB161" s="1"/>
      <c r="AC161" s="1">
        <v>952523</v>
      </c>
      <c r="AD161" s="1"/>
      <c r="AE161" s="1">
        <v>39964</v>
      </c>
      <c r="AF161" s="1"/>
      <c r="AG161" s="1">
        <v>1137299</v>
      </c>
      <c r="AH161" s="1"/>
      <c r="AI161" s="1">
        <v>107982</v>
      </c>
      <c r="AJ161" s="1"/>
      <c r="AK161" s="17" t="s">
        <v>266</v>
      </c>
      <c r="AL161" s="17"/>
      <c r="AM161" s="17" t="s">
        <v>114</v>
      </c>
      <c r="AN161" s="17"/>
      <c r="AO161" s="1">
        <v>400755</v>
      </c>
      <c r="AP161" s="1"/>
      <c r="AQ161" s="1">
        <v>18227</v>
      </c>
      <c r="AR161" s="1"/>
      <c r="AS161" s="1"/>
      <c r="AT161" s="1"/>
      <c r="AU161" s="1">
        <v>0</v>
      </c>
      <c r="AV161" s="1"/>
      <c r="AW161" s="1">
        <f t="shared" si="10"/>
        <v>41164018</v>
      </c>
      <c r="AY161" s="1">
        <f>+'St of Activites - GA Rev'!AI161-'St of Activities - GA Exp'!AW161</f>
        <v>-12959734</v>
      </c>
      <c r="BA161" s="1">
        <v>52075752</v>
      </c>
      <c r="BC161" s="1">
        <f t="shared" si="8"/>
        <v>39116018</v>
      </c>
      <c r="BE161" s="1">
        <f>+'St of Net Assets - GA'!AA161-'St of Activities - GA Exp'!BC161</f>
        <v>0</v>
      </c>
    </row>
    <row r="162" spans="1:57">
      <c r="A162" s="17" t="s">
        <v>511</v>
      </c>
      <c r="B162" s="17"/>
      <c r="C162" s="17" t="s">
        <v>51</v>
      </c>
      <c r="D162" s="17"/>
      <c r="E162" s="13">
        <v>48835</v>
      </c>
      <c r="G162" s="1">
        <v>7973472</v>
      </c>
      <c r="H162" s="1"/>
      <c r="I162" s="1">
        <v>2862582</v>
      </c>
      <c r="J162" s="1"/>
      <c r="K162" s="1">
        <v>264678</v>
      </c>
      <c r="L162" s="1"/>
      <c r="M162" s="1">
        <v>612628</v>
      </c>
      <c r="N162" s="1"/>
      <c r="O162" s="1">
        <v>412617</v>
      </c>
      <c r="P162" s="1"/>
      <c r="Q162" s="1">
        <v>455601</v>
      </c>
      <c r="R162" s="1"/>
      <c r="S162" s="1">
        <v>54749</v>
      </c>
      <c r="T162" s="1"/>
      <c r="U162" s="1">
        <v>1866293</v>
      </c>
      <c r="V162" s="1"/>
      <c r="W162" s="1">
        <v>418773</v>
      </c>
      <c r="X162" s="1"/>
      <c r="Y162" s="1">
        <v>0</v>
      </c>
      <c r="Z162" s="1"/>
      <c r="AA162" s="1">
        <v>1724357</v>
      </c>
      <c r="AB162" s="1"/>
      <c r="AC162" s="1">
        <v>1247501</v>
      </c>
      <c r="AD162" s="1"/>
      <c r="AE162" s="1">
        <v>178055</v>
      </c>
      <c r="AF162" s="1"/>
      <c r="AG162" s="1">
        <v>1106118</v>
      </c>
      <c r="AH162" s="1"/>
      <c r="AI162" s="1">
        <v>0</v>
      </c>
      <c r="AJ162" s="1"/>
      <c r="AK162" s="17" t="s">
        <v>511</v>
      </c>
      <c r="AL162" s="17"/>
      <c r="AM162" s="17" t="s">
        <v>51</v>
      </c>
      <c r="AN162" s="17"/>
      <c r="AO162" s="1">
        <v>446752</v>
      </c>
      <c r="AP162" s="1"/>
      <c r="AQ162" s="1">
        <v>295850</v>
      </c>
      <c r="AR162" s="1"/>
      <c r="AS162" s="1"/>
      <c r="AT162" s="1"/>
      <c r="AU162" s="1">
        <v>0</v>
      </c>
      <c r="AV162" s="1"/>
      <c r="AW162" s="1">
        <f t="shared" si="10"/>
        <v>19920026</v>
      </c>
      <c r="AY162" s="1">
        <f>+'St of Activites - GA Rev'!AI162-'St of Activities - GA Exp'!AW162</f>
        <v>-427250</v>
      </c>
      <c r="BA162" s="1">
        <v>27390218</v>
      </c>
      <c r="BC162" s="1">
        <f t="shared" si="8"/>
        <v>26962968</v>
      </c>
      <c r="BE162" s="1">
        <f>+'St of Net Assets - GA'!AA162-'St of Activities - GA Exp'!BC162</f>
        <v>0</v>
      </c>
    </row>
    <row r="163" spans="1:57">
      <c r="A163" s="17" t="s">
        <v>267</v>
      </c>
      <c r="B163" s="17"/>
      <c r="C163" s="17" t="s">
        <v>114</v>
      </c>
      <c r="D163" s="17"/>
      <c r="E163" s="13">
        <v>43927</v>
      </c>
      <c r="G163" s="1">
        <v>4827077</v>
      </c>
      <c r="H163" s="1"/>
      <c r="I163" s="1">
        <v>2364091</v>
      </c>
      <c r="J163" s="1"/>
      <c r="K163" s="1">
        <v>55918</v>
      </c>
      <c r="L163" s="1"/>
      <c r="M163" s="1">
        <v>0</v>
      </c>
      <c r="N163" s="1"/>
      <c r="O163" s="1">
        <v>702553</v>
      </c>
      <c r="P163" s="1"/>
      <c r="Q163" s="1">
        <v>375034</v>
      </c>
      <c r="R163" s="1"/>
      <c r="S163" s="1">
        <v>16547</v>
      </c>
      <c r="T163" s="1"/>
      <c r="U163" s="1">
        <v>727417</v>
      </c>
      <c r="V163" s="1"/>
      <c r="W163" s="1">
        <v>256282</v>
      </c>
      <c r="X163" s="1"/>
      <c r="Y163" s="1">
        <v>517496</v>
      </c>
      <c r="Z163" s="1"/>
      <c r="AA163" s="1">
        <v>1035938</v>
      </c>
      <c r="AB163" s="1"/>
      <c r="AC163" s="1">
        <v>552489</v>
      </c>
      <c r="AD163" s="1"/>
      <c r="AE163" s="1">
        <v>0</v>
      </c>
      <c r="AF163" s="1"/>
      <c r="AG163" s="1">
        <v>509068</v>
      </c>
      <c r="AH163" s="1"/>
      <c r="AI163" s="1">
        <v>8712</v>
      </c>
      <c r="AJ163" s="1"/>
      <c r="AK163" s="17" t="s">
        <v>267</v>
      </c>
      <c r="AL163" s="17"/>
      <c r="AM163" s="17" t="s">
        <v>114</v>
      </c>
      <c r="AN163" s="17"/>
      <c r="AO163" s="1">
        <v>681792</v>
      </c>
      <c r="AP163" s="1"/>
      <c r="AQ163" s="1">
        <v>125969</v>
      </c>
      <c r="AR163" s="1"/>
      <c r="AS163" s="1"/>
      <c r="AT163" s="1"/>
      <c r="AU163" s="1">
        <v>0</v>
      </c>
      <c r="AV163" s="1"/>
      <c r="AW163" s="1">
        <f t="shared" si="10"/>
        <v>12756383</v>
      </c>
      <c r="AY163" s="1">
        <f>+'St of Activites - GA Rev'!AI163-'St of Activities - GA Exp'!AW163</f>
        <v>-330109</v>
      </c>
      <c r="BA163" s="1">
        <v>22544612</v>
      </c>
      <c r="BC163" s="1">
        <f t="shared" si="8"/>
        <v>22214503</v>
      </c>
      <c r="BE163" s="1">
        <f>+'St of Net Assets - GA'!AA163-'St of Activities - GA Exp'!BC163</f>
        <v>0</v>
      </c>
    </row>
    <row r="164" spans="1:57">
      <c r="A164" s="17" t="s">
        <v>223</v>
      </c>
      <c r="B164" s="17"/>
      <c r="C164" s="17" t="s">
        <v>77</v>
      </c>
      <c r="D164" s="17"/>
      <c r="E164" s="13">
        <v>46037</v>
      </c>
      <c r="G164" s="1">
        <v>6180846</v>
      </c>
      <c r="H164" s="1"/>
      <c r="I164" s="1">
        <v>1597908</v>
      </c>
      <c r="J164" s="1"/>
      <c r="K164" s="1">
        <v>180170</v>
      </c>
      <c r="L164" s="1"/>
      <c r="M164" s="1">
        <v>1016105</v>
      </c>
      <c r="N164" s="1"/>
      <c r="O164" s="1">
        <v>414736</v>
      </c>
      <c r="P164" s="1"/>
      <c r="Q164" s="1">
        <v>1106431</v>
      </c>
      <c r="R164" s="1"/>
      <c r="S164" s="1">
        <v>23382</v>
      </c>
      <c r="T164" s="1"/>
      <c r="U164" s="1">
        <v>1005931</v>
      </c>
      <c r="V164" s="1"/>
      <c r="W164" s="1">
        <v>425131</v>
      </c>
      <c r="X164" s="1"/>
      <c r="Y164" s="1">
        <v>1315</v>
      </c>
      <c r="Z164" s="1"/>
      <c r="AA164" s="1">
        <v>1218285</v>
      </c>
      <c r="AB164" s="1"/>
      <c r="AC164" s="1">
        <v>984180</v>
      </c>
      <c r="AD164" s="1"/>
      <c r="AE164" s="1">
        <v>32375</v>
      </c>
      <c r="AF164" s="1"/>
      <c r="AG164" s="1">
        <v>0</v>
      </c>
      <c r="AH164" s="1"/>
      <c r="AI164" s="1">
        <v>626065</v>
      </c>
      <c r="AJ164" s="1"/>
      <c r="AK164" s="17" t="s">
        <v>223</v>
      </c>
      <c r="AL164" s="17"/>
      <c r="AM164" s="17" t="s">
        <v>77</v>
      </c>
      <c r="AN164" s="17"/>
      <c r="AO164" s="1">
        <v>210099</v>
      </c>
      <c r="AP164" s="1"/>
      <c r="AQ164" s="1">
        <v>419379</v>
      </c>
      <c r="AR164" s="1"/>
      <c r="AS164" s="1"/>
      <c r="AT164" s="1"/>
      <c r="AU164" s="1">
        <v>0</v>
      </c>
      <c r="AV164" s="1"/>
      <c r="AW164" s="1">
        <f t="shared" si="10"/>
        <v>15442338</v>
      </c>
      <c r="AY164" s="1">
        <f>+'St of Activites - GA Rev'!AI164-'St of Activities - GA Exp'!AW164</f>
        <v>6449466</v>
      </c>
      <c r="BA164" s="1">
        <v>37474923</v>
      </c>
      <c r="BC164" s="1">
        <f t="shared" si="8"/>
        <v>43924389</v>
      </c>
      <c r="BE164" s="1">
        <f>+'St of Net Assets - GA'!AA164-'St of Activities - GA Exp'!BC164</f>
        <v>0</v>
      </c>
    </row>
    <row r="165" spans="1:57">
      <c r="A165" s="17" t="s">
        <v>223</v>
      </c>
      <c r="B165" s="17"/>
      <c r="C165" s="17" t="s">
        <v>484</v>
      </c>
      <c r="D165" s="17"/>
      <c r="E165" s="13">
        <v>48512</v>
      </c>
      <c r="G165" s="1">
        <v>4217635</v>
      </c>
      <c r="H165" s="1"/>
      <c r="I165" s="1">
        <v>850479</v>
      </c>
      <c r="J165" s="1"/>
      <c r="K165" s="1">
        <v>0</v>
      </c>
      <c r="L165" s="1"/>
      <c r="M165" s="1">
        <f>9097+1213</f>
        <v>10310</v>
      </c>
      <c r="N165" s="1"/>
      <c r="O165" s="1">
        <v>475573</v>
      </c>
      <c r="P165" s="1"/>
      <c r="Q165" s="1">
        <v>368832</v>
      </c>
      <c r="R165" s="1"/>
      <c r="S165" s="1">
        <v>27758</v>
      </c>
      <c r="T165" s="1"/>
      <c r="U165" s="1">
        <v>670216</v>
      </c>
      <c r="V165" s="1"/>
      <c r="W165" s="1">
        <v>304373</v>
      </c>
      <c r="X165" s="1"/>
      <c r="Y165" s="1">
        <v>0</v>
      </c>
      <c r="Z165" s="1"/>
      <c r="AA165" s="1">
        <v>802986</v>
      </c>
      <c r="AB165" s="1"/>
      <c r="AC165" s="1">
        <v>557225</v>
      </c>
      <c r="AD165" s="1"/>
      <c r="AE165" s="1">
        <v>104561</v>
      </c>
      <c r="AF165" s="1"/>
      <c r="AG165" s="1">
        <v>420566</v>
      </c>
      <c r="AH165" s="1"/>
      <c r="AI165" s="1">
        <v>43538</v>
      </c>
      <c r="AJ165" s="1"/>
      <c r="AK165" s="17" t="s">
        <v>223</v>
      </c>
      <c r="AL165" s="17"/>
      <c r="AM165" s="17" t="s">
        <v>484</v>
      </c>
      <c r="AN165" s="17"/>
      <c r="AO165" s="1">
        <v>229779</v>
      </c>
      <c r="AP165" s="1"/>
      <c r="AQ165" s="1">
        <v>49118</v>
      </c>
      <c r="AR165" s="1"/>
      <c r="AS165" s="1"/>
      <c r="AT165" s="1"/>
      <c r="AU165" s="1">
        <v>0</v>
      </c>
      <c r="AV165" s="1"/>
      <c r="AW165" s="1">
        <f t="shared" si="10"/>
        <v>9132949</v>
      </c>
      <c r="AY165" s="1">
        <f>+'St of Activites - GA Rev'!AI165-'St of Activities - GA Exp'!AW165</f>
        <v>-1123480</v>
      </c>
      <c r="BA165" s="1">
        <v>9578892</v>
      </c>
      <c r="BC165" s="1">
        <f t="shared" si="8"/>
        <v>8455412</v>
      </c>
      <c r="BE165" s="1">
        <f>+'St of Net Assets - GA'!AA165-'St of Activities - GA Exp'!BC165</f>
        <v>0</v>
      </c>
    </row>
    <row r="166" spans="1:57" ht="12" hidden="1" customHeight="1">
      <c r="A166" s="12" t="s">
        <v>808</v>
      </c>
      <c r="B166" s="17"/>
      <c r="C166" s="17" t="s">
        <v>55</v>
      </c>
      <c r="D166" s="17"/>
      <c r="E166" s="13">
        <v>49122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2" t="s">
        <v>808</v>
      </c>
      <c r="AL166" s="17"/>
      <c r="AM166" s="17" t="s">
        <v>55</v>
      </c>
      <c r="AN166" s="17"/>
      <c r="AO166" s="1"/>
      <c r="AP166" s="1"/>
      <c r="AQ166" s="1"/>
      <c r="AR166" s="1"/>
      <c r="AS166" s="1"/>
      <c r="AT166" s="1"/>
      <c r="AU166" s="1"/>
      <c r="AV166" s="1"/>
      <c r="AW166" s="1">
        <f t="shared" si="10"/>
        <v>0</v>
      </c>
      <c r="AY166" s="1">
        <f>+'St of Activites - GA Rev'!AI166-'St of Activities - GA Exp'!AW166</f>
        <v>0</v>
      </c>
      <c r="BC166" s="1">
        <f t="shared" si="8"/>
        <v>0</v>
      </c>
      <c r="BE166" s="1">
        <f>+'St of Net Assets - GA'!AA166-'St of Activities - GA Exp'!BC166</f>
        <v>0</v>
      </c>
    </row>
    <row r="167" spans="1:57">
      <c r="A167" s="17" t="s">
        <v>647</v>
      </c>
      <c r="B167" s="17"/>
      <c r="C167" s="17" t="s">
        <v>72</v>
      </c>
      <c r="D167" s="17"/>
      <c r="E167" s="13">
        <v>50674</v>
      </c>
      <c r="G167" s="1">
        <v>7278582</v>
      </c>
      <c r="H167" s="1"/>
      <c r="I167" s="1">
        <v>1927161</v>
      </c>
      <c r="J167" s="1"/>
      <c r="K167" s="1">
        <v>163200</v>
      </c>
      <c r="L167" s="1"/>
      <c r="M167" s="1">
        <v>63</v>
      </c>
      <c r="N167" s="1"/>
      <c r="O167" s="1">
        <v>513845</v>
      </c>
      <c r="P167" s="1"/>
      <c r="Q167" s="1">
        <v>525161</v>
      </c>
      <c r="R167" s="1"/>
      <c r="S167" s="1">
        <v>58356</v>
      </c>
      <c r="T167" s="1"/>
      <c r="U167" s="1">
        <v>1319127</v>
      </c>
      <c r="V167" s="1"/>
      <c r="W167" s="1">
        <v>519643</v>
      </c>
      <c r="X167" s="1"/>
      <c r="Y167" s="1">
        <v>63</v>
      </c>
      <c r="Z167" s="1"/>
      <c r="AA167" s="1">
        <v>1715906</v>
      </c>
      <c r="AB167" s="1"/>
      <c r="AC167" s="1">
        <v>1121318</v>
      </c>
      <c r="AD167" s="1"/>
      <c r="AE167" s="1">
        <v>1618</v>
      </c>
      <c r="AF167" s="1"/>
      <c r="AG167" s="1">
        <v>0</v>
      </c>
      <c r="AH167" s="1"/>
      <c r="AI167" s="1">
        <v>703960</v>
      </c>
      <c r="AJ167" s="1"/>
      <c r="AK167" s="17" t="s">
        <v>647</v>
      </c>
      <c r="AL167" s="17"/>
      <c r="AM167" s="17" t="s">
        <v>72</v>
      </c>
      <c r="AN167" s="17"/>
      <c r="AO167" s="1">
        <v>677507</v>
      </c>
      <c r="AP167" s="1"/>
      <c r="AQ167" s="1">
        <v>199838</v>
      </c>
      <c r="AR167" s="1"/>
      <c r="AS167" s="1"/>
      <c r="AT167" s="1"/>
      <c r="AU167" s="1">
        <v>0</v>
      </c>
      <c r="AV167" s="1"/>
      <c r="AW167" s="1">
        <f t="shared" si="10"/>
        <v>16725348</v>
      </c>
      <c r="AY167" s="1">
        <f>+'St of Activites - GA Rev'!AI167-'St of Activities - GA Exp'!AW167</f>
        <v>1004478</v>
      </c>
      <c r="BA167" s="1">
        <v>6387790</v>
      </c>
      <c r="BC167" s="1">
        <f t="shared" si="8"/>
        <v>7392268</v>
      </c>
      <c r="BE167" s="1">
        <f>+'St of Net Assets - GA'!AA167-'St of Activities - GA Exp'!BC167</f>
        <v>0</v>
      </c>
    </row>
    <row r="168" spans="1:57">
      <c r="A168" s="17" t="s">
        <v>835</v>
      </c>
      <c r="B168" s="17"/>
      <c r="C168" s="17" t="s">
        <v>57</v>
      </c>
      <c r="D168" s="17"/>
      <c r="E168" s="13">
        <v>43935</v>
      </c>
      <c r="G168" s="1">
        <v>12547012</v>
      </c>
      <c r="H168" s="1"/>
      <c r="I168" s="1">
        <v>0</v>
      </c>
      <c r="J168" s="1"/>
      <c r="K168" s="1">
        <v>0</v>
      </c>
      <c r="L168" s="1"/>
      <c r="M168" s="1">
        <v>0</v>
      </c>
      <c r="N168" s="1"/>
      <c r="O168" s="1">
        <v>981845</v>
      </c>
      <c r="P168" s="1"/>
      <c r="Q168" s="1">
        <v>507924</v>
      </c>
      <c r="R168" s="1"/>
      <c r="S168" s="1">
        <v>16353</v>
      </c>
      <c r="T168" s="1"/>
      <c r="U168" s="1">
        <v>1666197</v>
      </c>
      <c r="V168" s="1"/>
      <c r="W168" s="1">
        <v>635896</v>
      </c>
      <c r="X168" s="1"/>
      <c r="Y168" s="1">
        <v>2503</v>
      </c>
      <c r="Z168" s="1"/>
      <c r="AA168" s="1">
        <v>2082812</v>
      </c>
      <c r="AB168" s="1"/>
      <c r="AC168" s="1">
        <v>1247273</v>
      </c>
      <c r="AD168" s="1"/>
      <c r="AE168" s="1">
        <v>196219</v>
      </c>
      <c r="AF168" s="1"/>
      <c r="AG168" s="1">
        <v>906000</v>
      </c>
      <c r="AH168" s="1"/>
      <c r="AI168" s="1">
        <v>0</v>
      </c>
      <c r="AJ168" s="1"/>
      <c r="AK168" s="17" t="s">
        <v>835</v>
      </c>
      <c r="AL168" s="17"/>
      <c r="AM168" s="17" t="s">
        <v>57</v>
      </c>
      <c r="AN168" s="17"/>
      <c r="AO168" s="1">
        <v>668036</v>
      </c>
      <c r="AP168" s="1"/>
      <c r="AQ168" s="1">
        <v>1369252</v>
      </c>
      <c r="AR168" s="1"/>
      <c r="AS168" s="1"/>
      <c r="AT168" s="1"/>
      <c r="AU168" s="1">
        <v>0</v>
      </c>
      <c r="AV168" s="1"/>
      <c r="AW168" s="1">
        <f t="shared" si="10"/>
        <v>22827322</v>
      </c>
      <c r="AY168" s="1">
        <f>+'St of Activites - GA Rev'!AI168-'St of Activities - GA Exp'!AW168</f>
        <v>-203055</v>
      </c>
      <c r="BA168" s="1">
        <v>16180809</v>
      </c>
      <c r="BC168" s="1">
        <f t="shared" si="8"/>
        <v>15977754</v>
      </c>
      <c r="BE168" s="1">
        <f>+'St of Net Assets - GA'!AA168-'St of Activities - GA Exp'!BC168</f>
        <v>0</v>
      </c>
    </row>
    <row r="169" spans="1:57" hidden="1">
      <c r="A169" s="17" t="s">
        <v>809</v>
      </c>
      <c r="B169" s="17"/>
      <c r="C169" s="17" t="s">
        <v>643</v>
      </c>
      <c r="D169" s="17"/>
      <c r="E169" s="13">
        <v>50617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7" t="s">
        <v>809</v>
      </c>
      <c r="AL169" s="17"/>
      <c r="AM169" s="17" t="s">
        <v>643</v>
      </c>
      <c r="AN169" s="17"/>
      <c r="AO169" s="1"/>
      <c r="AP169" s="1"/>
      <c r="AQ169" s="1"/>
      <c r="AR169" s="1"/>
      <c r="AS169" s="1"/>
      <c r="AT169" s="1"/>
      <c r="AU169" s="1"/>
      <c r="AV169" s="1"/>
      <c r="AW169" s="1">
        <f t="shared" si="10"/>
        <v>0</v>
      </c>
      <c r="AY169" s="1">
        <f>+'St of Activites - GA Rev'!AI169-'St of Activities - GA Exp'!AW169</f>
        <v>0</v>
      </c>
      <c r="BC169" s="1">
        <f t="shared" si="8"/>
        <v>0</v>
      </c>
      <c r="BE169" s="1">
        <f>+'St of Net Assets - GA'!AA169-'St of Activities - GA Exp'!BC169</f>
        <v>0</v>
      </c>
    </row>
    <row r="170" spans="1:57" ht="12" customHeight="1">
      <c r="A170" s="17" t="s">
        <v>226</v>
      </c>
      <c r="B170" s="17"/>
      <c r="C170" s="17" t="s">
        <v>227</v>
      </c>
      <c r="D170" s="17"/>
      <c r="E170" s="13">
        <v>46094</v>
      </c>
      <c r="G170" s="1">
        <v>15568020</v>
      </c>
      <c r="H170" s="1"/>
      <c r="I170" s="1">
        <v>4492529</v>
      </c>
      <c r="J170" s="1"/>
      <c r="K170" s="1">
        <v>0</v>
      </c>
      <c r="L170" s="1"/>
      <c r="M170" s="1">
        <v>46234</v>
      </c>
      <c r="N170" s="1"/>
      <c r="O170" s="1">
        <v>2864089</v>
      </c>
      <c r="P170" s="1"/>
      <c r="Q170" s="1">
        <v>3460689</v>
      </c>
      <c r="R170" s="1"/>
      <c r="S170" s="1">
        <v>203364</v>
      </c>
      <c r="T170" s="1"/>
      <c r="U170" s="1">
        <v>2486027</v>
      </c>
      <c r="V170" s="1"/>
      <c r="W170" s="1">
        <v>614473</v>
      </c>
      <c r="X170" s="1"/>
      <c r="Y170" s="1">
        <v>142968</v>
      </c>
      <c r="Z170" s="1"/>
      <c r="AA170" s="1">
        <v>2750562</v>
      </c>
      <c r="AB170" s="1"/>
      <c r="AC170" s="1">
        <v>1328588</v>
      </c>
      <c r="AD170" s="1"/>
      <c r="AE170" s="1">
        <v>195238</v>
      </c>
      <c r="AF170" s="1"/>
      <c r="AG170" s="1">
        <v>1527888</v>
      </c>
      <c r="AH170" s="1"/>
      <c r="AI170" s="1">
        <v>18900</v>
      </c>
      <c r="AJ170" s="1"/>
      <c r="AK170" s="17" t="s">
        <v>226</v>
      </c>
      <c r="AL170" s="17"/>
      <c r="AM170" s="17" t="s">
        <v>227</v>
      </c>
      <c r="AN170" s="17"/>
      <c r="AO170" s="1">
        <v>632870</v>
      </c>
      <c r="AP170" s="1"/>
      <c r="AQ170" s="1">
        <v>2124258</v>
      </c>
      <c r="AR170" s="1"/>
      <c r="AS170" s="1"/>
      <c r="AT170" s="1"/>
      <c r="AU170" s="1">
        <v>0</v>
      </c>
      <c r="AV170" s="1"/>
      <c r="AW170" s="1">
        <f t="shared" si="10"/>
        <v>38456697</v>
      </c>
      <c r="AY170" s="1">
        <f>+'St of Activites - GA Rev'!AI170-'St of Activities - GA Exp'!AW170</f>
        <v>17960567</v>
      </c>
      <c r="BA170" s="1">
        <v>10661547</v>
      </c>
      <c r="BC170" s="1">
        <f t="shared" si="8"/>
        <v>28622114</v>
      </c>
      <c r="BE170" s="1">
        <f>+'St of Net Assets - GA'!AA170-'St of Activities - GA Exp'!BC170</f>
        <v>0</v>
      </c>
    </row>
    <row r="171" spans="1:57" ht="12" customHeight="1">
      <c r="A171" s="17"/>
      <c r="B171" s="17"/>
      <c r="C171" s="17"/>
      <c r="D171" s="17"/>
      <c r="E171" s="13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7"/>
      <c r="AL171" s="17"/>
      <c r="AM171" s="17"/>
      <c r="AN171" s="17"/>
      <c r="AO171" s="1"/>
      <c r="AP171" s="1"/>
      <c r="AQ171" s="1"/>
      <c r="AR171" s="1"/>
      <c r="AS171" s="1"/>
      <c r="AT171" s="1"/>
      <c r="AU171" s="1"/>
      <c r="AV171" s="1"/>
    </row>
    <row r="172" spans="1:57" ht="12" customHeight="1">
      <c r="A172" s="17"/>
      <c r="B172" s="17"/>
      <c r="C172" s="17"/>
      <c r="D172" s="17"/>
      <c r="E172" s="13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20" t="s">
        <v>709</v>
      </c>
      <c r="AJ172" s="1"/>
      <c r="AK172" s="17"/>
      <c r="AL172" s="17"/>
      <c r="AM172" s="17"/>
      <c r="AN172" s="17"/>
      <c r="AO172" s="1"/>
      <c r="AP172" s="1"/>
      <c r="AQ172" s="1"/>
      <c r="AR172" s="1"/>
      <c r="AS172" s="1"/>
      <c r="AT172" s="1"/>
      <c r="AU172" s="1"/>
      <c r="AV172" s="1"/>
      <c r="AY172" s="18"/>
      <c r="BC172" s="20" t="s">
        <v>709</v>
      </c>
    </row>
    <row r="173" spans="1:57" ht="12" customHeight="1">
      <c r="A173" s="17"/>
      <c r="B173" s="17"/>
      <c r="C173" s="17"/>
      <c r="D173" s="17"/>
      <c r="E173" s="13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7"/>
      <c r="AL173" s="17"/>
      <c r="AM173" s="17"/>
      <c r="AN173" s="17"/>
      <c r="AO173" s="1"/>
      <c r="AP173" s="1"/>
      <c r="AQ173" s="1"/>
      <c r="AR173" s="1"/>
      <c r="AS173" s="1"/>
      <c r="AT173" s="1"/>
      <c r="AU173" s="1"/>
      <c r="AV173" s="1"/>
    </row>
    <row r="174" spans="1:57">
      <c r="A174" s="17" t="s">
        <v>410</v>
      </c>
      <c r="B174" s="17"/>
      <c r="C174" s="17" t="s">
        <v>39</v>
      </c>
      <c r="D174" s="17"/>
      <c r="E174" s="13">
        <v>47795</v>
      </c>
      <c r="G174" s="16">
        <v>7247432</v>
      </c>
      <c r="H174" s="16"/>
      <c r="I174" s="16">
        <v>2231971</v>
      </c>
      <c r="J174" s="16"/>
      <c r="K174" s="16">
        <v>122386</v>
      </c>
      <c r="L174" s="16"/>
      <c r="M174" s="16">
        <f>4000+2331716</f>
        <v>2335716</v>
      </c>
      <c r="N174" s="16"/>
      <c r="O174" s="16">
        <v>856615</v>
      </c>
      <c r="P174" s="16"/>
      <c r="Q174" s="16">
        <v>1159520</v>
      </c>
      <c r="R174" s="16"/>
      <c r="S174" s="16">
        <v>155838</v>
      </c>
      <c r="T174" s="16"/>
      <c r="U174" s="16">
        <v>1514052</v>
      </c>
      <c r="V174" s="16"/>
      <c r="W174" s="16">
        <v>474601</v>
      </c>
      <c r="X174" s="16"/>
      <c r="Y174" s="16">
        <v>112017</v>
      </c>
      <c r="Z174" s="16"/>
      <c r="AA174" s="16">
        <v>1633614</v>
      </c>
      <c r="AB174" s="16"/>
      <c r="AC174" s="16">
        <v>2212263</v>
      </c>
      <c r="AD174" s="16"/>
      <c r="AE174" s="16">
        <v>183093</v>
      </c>
      <c r="AF174" s="16"/>
      <c r="AG174" s="16">
        <v>781167</v>
      </c>
      <c r="AH174" s="16"/>
      <c r="AI174" s="16">
        <v>2455</v>
      </c>
      <c r="AJ174" s="1"/>
      <c r="AK174" s="17" t="s">
        <v>410</v>
      </c>
      <c r="AL174" s="17"/>
      <c r="AM174" s="17" t="s">
        <v>39</v>
      </c>
      <c r="AN174" s="17"/>
      <c r="AO174" s="16">
        <v>443884</v>
      </c>
      <c r="AP174" s="16"/>
      <c r="AQ174" s="16">
        <v>28480</v>
      </c>
      <c r="AR174" s="16"/>
      <c r="AS174" s="16"/>
      <c r="AT174" s="16"/>
      <c r="AU174" s="16">
        <v>0</v>
      </c>
      <c r="AV174" s="16"/>
      <c r="AW174" s="16">
        <f t="shared" si="10"/>
        <v>21495104</v>
      </c>
      <c r="AX174" s="16"/>
      <c r="AY174" s="16">
        <f>+'St of Activites - GA Rev'!AI174-'St of Activities - GA Exp'!AW174</f>
        <v>891001</v>
      </c>
      <c r="AZ174" s="16"/>
      <c r="BA174" s="16">
        <v>2903621</v>
      </c>
      <c r="BB174" s="16"/>
      <c r="BC174" s="16">
        <f t="shared" si="8"/>
        <v>3794622</v>
      </c>
      <c r="BE174" s="1">
        <f>+'St of Net Assets - GA'!AA174-'St of Activities - GA Exp'!BC174</f>
        <v>0</v>
      </c>
    </row>
    <row r="175" spans="1:57" s="16" customFormat="1">
      <c r="A175" s="14" t="s">
        <v>644</v>
      </c>
      <c r="B175" s="14"/>
      <c r="C175" s="14" t="s">
        <v>643</v>
      </c>
      <c r="D175" s="14"/>
      <c r="E175" s="13">
        <v>50625</v>
      </c>
      <c r="G175" s="1">
        <v>2868422</v>
      </c>
      <c r="H175" s="1"/>
      <c r="I175" s="1">
        <v>562296</v>
      </c>
      <c r="J175" s="1"/>
      <c r="K175" s="1">
        <v>186640</v>
      </c>
      <c r="L175" s="1"/>
      <c r="M175" s="1">
        <v>11438</v>
      </c>
      <c r="N175" s="1"/>
      <c r="O175" s="1">
        <v>286896</v>
      </c>
      <c r="P175" s="1"/>
      <c r="Q175" s="1">
        <v>530679</v>
      </c>
      <c r="R175" s="1"/>
      <c r="S175" s="1">
        <v>11382</v>
      </c>
      <c r="T175" s="1"/>
      <c r="U175" s="1">
        <v>479025</v>
      </c>
      <c r="V175" s="1"/>
      <c r="W175" s="1">
        <v>244081</v>
      </c>
      <c r="X175" s="1"/>
      <c r="Y175" s="1">
        <v>4356</v>
      </c>
      <c r="Z175" s="1"/>
      <c r="AA175" s="1">
        <v>667261</v>
      </c>
      <c r="AB175" s="1"/>
      <c r="AC175" s="1">
        <v>442666</v>
      </c>
      <c r="AD175" s="1"/>
      <c r="AE175" s="1">
        <v>55432</v>
      </c>
      <c r="AF175" s="1"/>
      <c r="AG175" s="1">
        <v>0</v>
      </c>
      <c r="AH175" s="1"/>
      <c r="AI175" s="1">
        <v>274338</v>
      </c>
      <c r="AJ175" s="1"/>
      <c r="AK175" s="14" t="s">
        <v>644</v>
      </c>
      <c r="AL175" s="14"/>
      <c r="AM175" s="14" t="s">
        <v>643</v>
      </c>
      <c r="AN175" s="14"/>
      <c r="AO175" s="1">
        <v>354098</v>
      </c>
      <c r="AP175" s="1"/>
      <c r="AQ175" s="1">
        <v>153834</v>
      </c>
      <c r="AR175" s="1"/>
      <c r="AS175" s="1"/>
      <c r="AT175" s="1"/>
      <c r="AU175" s="1">
        <v>35850</v>
      </c>
      <c r="AV175" s="1"/>
      <c r="AW175" s="1">
        <f t="shared" si="10"/>
        <v>7168694</v>
      </c>
      <c r="AX175" s="1"/>
      <c r="AY175" s="1">
        <f>+'St of Activites - GA Rev'!AI175-'St of Activities - GA Exp'!AW175</f>
        <v>-246846</v>
      </c>
      <c r="AZ175" s="1"/>
      <c r="BA175" s="1">
        <v>17120928</v>
      </c>
      <c r="BB175" s="1"/>
      <c r="BC175" s="1">
        <f t="shared" si="8"/>
        <v>16874082</v>
      </c>
      <c r="BD175" s="1"/>
      <c r="BE175" s="1">
        <f>+'St of Net Assets - GA'!AA175-'St of Activities - GA Exp'!BC175</f>
        <v>0</v>
      </c>
    </row>
    <row r="176" spans="1:57" s="1" customFormat="1">
      <c r="A176" s="17" t="s">
        <v>836</v>
      </c>
      <c r="B176" s="12"/>
      <c r="C176" s="12" t="s">
        <v>46</v>
      </c>
      <c r="D176" s="12"/>
      <c r="E176" s="12">
        <v>48413</v>
      </c>
      <c r="G176" s="1">
        <v>6575565</v>
      </c>
      <c r="I176" s="1">
        <v>1251642</v>
      </c>
      <c r="K176" s="1">
        <v>85907</v>
      </c>
      <c r="M176" s="1">
        <v>0</v>
      </c>
      <c r="O176" s="1">
        <v>862620</v>
      </c>
      <c r="Q176" s="1">
        <v>449112</v>
      </c>
      <c r="S176" s="1">
        <v>32175</v>
      </c>
      <c r="U176" s="1">
        <v>1033699</v>
      </c>
      <c r="W176" s="1">
        <v>454365</v>
      </c>
      <c r="Y176" s="1">
        <v>0</v>
      </c>
      <c r="AA176" s="1">
        <v>1009858</v>
      </c>
      <c r="AC176" s="1">
        <v>767534</v>
      </c>
      <c r="AE176" s="1">
        <v>8363</v>
      </c>
      <c r="AG176" s="1">
        <v>0</v>
      </c>
      <c r="AI176" s="1">
        <v>596389</v>
      </c>
      <c r="AK176" s="17" t="s">
        <v>836</v>
      </c>
      <c r="AL176" s="12"/>
      <c r="AM176" s="12" t="s">
        <v>46</v>
      </c>
      <c r="AN176" s="12"/>
      <c r="AO176" s="1">
        <v>276096</v>
      </c>
      <c r="AQ176" s="1">
        <v>315423</v>
      </c>
      <c r="AU176" s="1">
        <v>0</v>
      </c>
      <c r="AW176" s="1">
        <f t="shared" ref="AW176" si="11">SUM(G176:AV176)</f>
        <v>13718748</v>
      </c>
      <c r="AY176" s="1">
        <f>+'St of Activites - GA Rev'!AI176-'St of Activities - GA Exp'!AW176</f>
        <v>22001268</v>
      </c>
      <c r="BA176" s="1">
        <v>2732298</v>
      </c>
      <c r="BC176" s="1">
        <f t="shared" ref="BC176" si="12">+AY176+BA176</f>
        <v>24733566</v>
      </c>
      <c r="BE176" s="1">
        <f>+'St of Net Assets - GA'!AA176-'St of Activities - GA Exp'!BC176</f>
        <v>0</v>
      </c>
    </row>
    <row r="177" spans="1:57" s="16" customFormat="1" hidden="1">
      <c r="A177" s="12" t="s">
        <v>811</v>
      </c>
      <c r="B177" s="12"/>
      <c r="C177" s="12" t="s">
        <v>10</v>
      </c>
      <c r="D177" s="14"/>
      <c r="E177" s="13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2" t="s">
        <v>811</v>
      </c>
      <c r="AL177" s="12"/>
      <c r="AM177" s="12" t="s">
        <v>10</v>
      </c>
      <c r="AN177" s="14"/>
      <c r="AO177" s="1"/>
      <c r="AP177" s="1"/>
      <c r="AQ177" s="1"/>
      <c r="AR177" s="1"/>
      <c r="AS177" s="1"/>
      <c r="AT177" s="1"/>
      <c r="AU177" s="1"/>
      <c r="AV177" s="1"/>
      <c r="AW177" s="1">
        <f t="shared" si="10"/>
        <v>0</v>
      </c>
      <c r="AX177" s="1"/>
      <c r="AY177" s="1">
        <f>+'St of Activites - GA Rev'!AI177-'St of Activities - GA Exp'!AW177</f>
        <v>0</v>
      </c>
      <c r="AZ177" s="1"/>
      <c r="BA177" s="1"/>
      <c r="BB177" s="1"/>
      <c r="BC177" s="1">
        <f t="shared" si="8"/>
        <v>0</v>
      </c>
      <c r="BD177" s="1"/>
      <c r="BE177" s="1">
        <f>+'St of Net Assets - GA'!AA177-'St of Activities - GA Exp'!BC177</f>
        <v>0</v>
      </c>
    </row>
    <row r="178" spans="1:57" s="1" customFormat="1" hidden="1">
      <c r="A178" s="17" t="s">
        <v>861</v>
      </c>
      <c r="B178" s="12"/>
      <c r="C178" s="12" t="s">
        <v>72</v>
      </c>
      <c r="D178" s="12"/>
      <c r="E178" s="12"/>
      <c r="AK178" s="17" t="s">
        <v>861</v>
      </c>
      <c r="AL178" s="12"/>
      <c r="AM178" s="12" t="s">
        <v>72</v>
      </c>
      <c r="AN178" s="12"/>
      <c r="AW178" s="1">
        <f t="shared" si="10"/>
        <v>0</v>
      </c>
      <c r="AY178" s="1">
        <f>+'St of Activites - GA Rev'!AI178-'St of Activities - GA Exp'!AW178</f>
        <v>0</v>
      </c>
      <c r="BC178" s="1">
        <f t="shared" si="8"/>
        <v>0</v>
      </c>
      <c r="BE178" s="1">
        <f>+'St of Net Assets - GA'!AA178-'St of Activities - GA Exp'!BC178</f>
        <v>0</v>
      </c>
    </row>
    <row r="179" spans="1:57">
      <c r="A179" s="17" t="s">
        <v>440</v>
      </c>
      <c r="B179" s="17"/>
      <c r="C179" s="17" t="s">
        <v>44</v>
      </c>
      <c r="D179" s="17"/>
      <c r="E179" s="13">
        <v>43943</v>
      </c>
      <c r="G179" s="1">
        <v>30661237</v>
      </c>
      <c r="H179" s="1"/>
      <c r="I179" s="1">
        <v>11252236</v>
      </c>
      <c r="J179" s="1"/>
      <c r="K179" s="1">
        <v>223734</v>
      </c>
      <c r="L179" s="1"/>
      <c r="M179" s="1">
        <f>90580+362338+7402117</f>
        <v>7855035</v>
      </c>
      <c r="N179" s="1"/>
      <c r="O179" s="1">
        <v>4320704</v>
      </c>
      <c r="P179" s="1"/>
      <c r="Q179" s="1">
        <v>5210595</v>
      </c>
      <c r="R179" s="1"/>
      <c r="S179" s="1">
        <v>117662</v>
      </c>
      <c r="T179" s="1"/>
      <c r="U179" s="1">
        <v>4698220</v>
      </c>
      <c r="V179" s="1"/>
      <c r="W179" s="1">
        <v>1758975</v>
      </c>
      <c r="X179" s="1"/>
      <c r="Y179" s="1">
        <v>624956</v>
      </c>
      <c r="Z179" s="1"/>
      <c r="AA179" s="1">
        <v>5858615</v>
      </c>
      <c r="AB179" s="1"/>
      <c r="AC179" s="1">
        <v>3263970</v>
      </c>
      <c r="AD179" s="1"/>
      <c r="AE179" s="1">
        <v>1316634</v>
      </c>
      <c r="AF179" s="1"/>
      <c r="AG179" s="1">
        <v>2898273</v>
      </c>
      <c r="AH179" s="1"/>
      <c r="AI179" s="1">
        <v>1434159</v>
      </c>
      <c r="AJ179" s="1"/>
      <c r="AK179" s="17" t="s">
        <v>440</v>
      </c>
      <c r="AL179" s="17"/>
      <c r="AM179" s="17" t="s">
        <v>44</v>
      </c>
      <c r="AN179" s="17"/>
      <c r="AO179" s="1">
        <v>1320365</v>
      </c>
      <c r="AP179" s="1"/>
      <c r="AQ179" s="1">
        <v>2575662</v>
      </c>
      <c r="AR179" s="1"/>
      <c r="AS179" s="1"/>
      <c r="AT179" s="1"/>
      <c r="AU179" s="1">
        <v>0</v>
      </c>
      <c r="AV179" s="1"/>
      <c r="AW179" s="1">
        <f t="shared" si="10"/>
        <v>85391032</v>
      </c>
      <c r="AY179" s="1">
        <f>+'St of Activites - GA Rev'!AI179-'St of Activities - GA Exp'!AW179</f>
        <v>3532145</v>
      </c>
      <c r="BA179" s="1">
        <v>27273611</v>
      </c>
      <c r="BC179" s="1">
        <f t="shared" si="8"/>
        <v>30805756</v>
      </c>
      <c r="BE179" s="1">
        <f>+'St of Net Assets - GA'!AA179-'St of Activities - GA Exp'!BC179</f>
        <v>0</v>
      </c>
    </row>
    <row r="180" spans="1:57">
      <c r="A180" s="17" t="s">
        <v>289</v>
      </c>
      <c r="B180" s="17"/>
      <c r="C180" s="17" t="s">
        <v>20</v>
      </c>
      <c r="D180" s="17"/>
      <c r="E180" s="13">
        <v>43950</v>
      </c>
      <c r="G180" s="1">
        <v>29897814</v>
      </c>
      <c r="H180" s="1"/>
      <c r="I180" s="1">
        <v>16347412</v>
      </c>
      <c r="J180" s="1"/>
      <c r="K180" s="1">
        <v>1236761</v>
      </c>
      <c r="L180" s="1"/>
      <c r="M180" s="1">
        <f>153632+253532</f>
        <v>407164</v>
      </c>
      <c r="N180" s="1"/>
      <c r="O180" s="1">
        <v>4541877</v>
      </c>
      <c r="P180" s="1"/>
      <c r="Q180" s="1">
        <v>5846569</v>
      </c>
      <c r="R180" s="1"/>
      <c r="S180" s="1">
        <v>61406</v>
      </c>
      <c r="T180" s="1"/>
      <c r="U180" s="1">
        <v>5245661</v>
      </c>
      <c r="V180" s="1"/>
      <c r="W180" s="1">
        <v>1977032</v>
      </c>
      <c r="X180" s="1"/>
      <c r="Y180" s="1">
        <v>814625</v>
      </c>
      <c r="Z180" s="1"/>
      <c r="AA180" s="1">
        <v>8052726</v>
      </c>
      <c r="AB180" s="1"/>
      <c r="AC180" s="1">
        <v>4584065</v>
      </c>
      <c r="AD180" s="1"/>
      <c r="AE180" s="1">
        <v>1633202</v>
      </c>
      <c r="AF180" s="1"/>
      <c r="AG180" s="1">
        <v>2619356</v>
      </c>
      <c r="AH180" s="1"/>
      <c r="AI180" s="1">
        <v>982236</v>
      </c>
      <c r="AJ180" s="1"/>
      <c r="AK180" s="17" t="s">
        <v>289</v>
      </c>
      <c r="AL180" s="17"/>
      <c r="AM180" s="17" t="s">
        <v>20</v>
      </c>
      <c r="AN180" s="17"/>
      <c r="AO180" s="1">
        <v>1116742</v>
      </c>
      <c r="AP180" s="1"/>
      <c r="AQ180" s="1">
        <v>875110</v>
      </c>
      <c r="AR180" s="1"/>
      <c r="AS180" s="1"/>
      <c r="AT180" s="1"/>
      <c r="AU180" s="1">
        <f>12816+811241</f>
        <v>824057</v>
      </c>
      <c r="AV180" s="1"/>
      <c r="AW180" s="1">
        <f t="shared" ref="AW180:AW247" si="13">SUM(G180:AV180)</f>
        <v>87063815</v>
      </c>
      <c r="AY180" s="1">
        <f>+'St of Activites - GA Rev'!AI180-'St of Activities - GA Exp'!AW180</f>
        <v>2972669</v>
      </c>
      <c r="BA180" s="1">
        <v>31816048</v>
      </c>
      <c r="BC180" s="1">
        <f t="shared" ref="BC180:BC248" si="14">+AY180+BA180</f>
        <v>34788717</v>
      </c>
      <c r="BE180" s="1">
        <f>+'St of Net Assets - GA'!AA180-'St of Activities - GA Exp'!BC180</f>
        <v>0</v>
      </c>
    </row>
    <row r="181" spans="1:57" ht="12" hidden="1" customHeight="1">
      <c r="A181" s="12" t="s">
        <v>741</v>
      </c>
      <c r="B181" s="17"/>
      <c r="C181" s="17" t="s">
        <v>28</v>
      </c>
      <c r="D181" s="17"/>
      <c r="E181" s="13">
        <v>47050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2" t="s">
        <v>741</v>
      </c>
      <c r="AL181" s="17"/>
      <c r="AM181" s="17" t="s">
        <v>28</v>
      </c>
      <c r="AN181" s="17"/>
      <c r="AO181" s="1"/>
      <c r="AP181" s="1"/>
      <c r="AQ181" s="1"/>
      <c r="AR181" s="1"/>
      <c r="AS181" s="1"/>
      <c r="AT181" s="1"/>
      <c r="AU181" s="1"/>
      <c r="AV181" s="1"/>
      <c r="AW181" s="1">
        <f t="shared" si="13"/>
        <v>0</v>
      </c>
      <c r="AY181" s="1">
        <f>+'St of Activites - GA Rev'!AI181-'St of Activities - GA Exp'!AW181</f>
        <v>0</v>
      </c>
      <c r="BC181" s="1">
        <f t="shared" si="14"/>
        <v>0</v>
      </c>
      <c r="BE181" s="1">
        <f>+'St of Net Assets - GA'!AA181-'St of Activities - GA Exp'!BC181</f>
        <v>0</v>
      </c>
    </row>
    <row r="182" spans="1:57">
      <c r="A182" s="17" t="s">
        <v>625</v>
      </c>
      <c r="B182" s="17"/>
      <c r="C182" s="17" t="s">
        <v>66</v>
      </c>
      <c r="D182" s="17"/>
      <c r="E182" s="13">
        <v>50328</v>
      </c>
      <c r="G182" s="1">
        <v>3948773</v>
      </c>
      <c r="H182" s="1"/>
      <c r="I182" s="1">
        <v>966454</v>
      </c>
      <c r="J182" s="1"/>
      <c r="K182" s="1">
        <v>41564</v>
      </c>
      <c r="L182" s="1"/>
      <c r="M182" s="1">
        <v>61228</v>
      </c>
      <c r="N182" s="1"/>
      <c r="O182" s="1">
        <v>731221</v>
      </c>
      <c r="P182" s="1"/>
      <c r="Q182" s="1">
        <v>456418</v>
      </c>
      <c r="R182" s="1"/>
      <c r="S182" s="1">
        <v>44639</v>
      </c>
      <c r="T182" s="1"/>
      <c r="U182" s="1">
        <v>907360</v>
      </c>
      <c r="V182" s="1"/>
      <c r="W182" s="1">
        <v>394546</v>
      </c>
      <c r="X182" s="1"/>
      <c r="Y182" s="1">
        <v>0</v>
      </c>
      <c r="Z182" s="1"/>
      <c r="AA182" s="1">
        <v>1145300</v>
      </c>
      <c r="AB182" s="1"/>
      <c r="AC182" s="1">
        <v>812540</v>
      </c>
      <c r="AD182" s="1"/>
      <c r="AE182" s="1">
        <v>6859</v>
      </c>
      <c r="AF182" s="1"/>
      <c r="AG182" s="1">
        <v>331416</v>
      </c>
      <c r="AH182" s="1"/>
      <c r="AI182" s="1">
        <v>160345</v>
      </c>
      <c r="AJ182" s="1"/>
      <c r="AK182" s="17" t="s">
        <v>625</v>
      </c>
      <c r="AL182" s="17"/>
      <c r="AM182" s="17" t="s">
        <v>66</v>
      </c>
      <c r="AN182" s="17"/>
      <c r="AO182" s="1">
        <v>322891</v>
      </c>
      <c r="AP182" s="1"/>
      <c r="AQ182" s="1">
        <v>569022</v>
      </c>
      <c r="AR182" s="1"/>
      <c r="AS182" s="1"/>
      <c r="AT182" s="1"/>
      <c r="AU182" s="1">
        <v>68997</v>
      </c>
      <c r="AV182" s="1"/>
      <c r="AW182" s="1">
        <f t="shared" si="13"/>
        <v>10969573</v>
      </c>
      <c r="AY182" s="1">
        <f>+'St of Activites - GA Rev'!AI182-'St of Activities - GA Exp'!AW182</f>
        <v>1150852</v>
      </c>
      <c r="BA182" s="1">
        <v>6443454</v>
      </c>
      <c r="BC182" s="1">
        <f t="shared" si="14"/>
        <v>7594306</v>
      </c>
      <c r="BE182" s="1">
        <f>+'St of Net Assets - GA'!AA182-'St of Activities - GA Exp'!BC182</f>
        <v>0</v>
      </c>
    </row>
    <row r="183" spans="1:57">
      <c r="A183" s="17" t="s">
        <v>751</v>
      </c>
      <c r="B183" s="17"/>
      <c r="C183" s="17" t="s">
        <v>116</v>
      </c>
      <c r="D183" s="17"/>
      <c r="E183" s="13">
        <v>46102</v>
      </c>
      <c r="G183" s="1">
        <v>20421702</v>
      </c>
      <c r="H183" s="1"/>
      <c r="I183" s="1">
        <v>7764930</v>
      </c>
      <c r="J183" s="1"/>
      <c r="K183" s="1">
        <v>0</v>
      </c>
      <c r="L183" s="1"/>
      <c r="M183" s="1">
        <v>2721666</v>
      </c>
      <c r="N183" s="1"/>
      <c r="O183" s="1">
        <v>3012392</v>
      </c>
      <c r="P183" s="1"/>
      <c r="Q183" s="1">
        <v>2577781</v>
      </c>
      <c r="R183" s="1"/>
      <c r="S183" s="1">
        <v>88334</v>
      </c>
      <c r="T183" s="1"/>
      <c r="U183" s="1">
        <v>3297261</v>
      </c>
      <c r="V183" s="1"/>
      <c r="W183" s="1">
        <v>889301</v>
      </c>
      <c r="X183" s="1"/>
      <c r="Y183" s="1">
        <v>252085</v>
      </c>
      <c r="Z183" s="1"/>
      <c r="AA183" s="1">
        <v>3946521</v>
      </c>
      <c r="AB183" s="1"/>
      <c r="AC183" s="1">
        <v>2429108</v>
      </c>
      <c r="AD183" s="1"/>
      <c r="AE183" s="1">
        <v>488535</v>
      </c>
      <c r="AF183" s="1"/>
      <c r="AG183" s="1">
        <v>1626743</v>
      </c>
      <c r="AH183" s="1"/>
      <c r="AI183" s="1">
        <v>59516</v>
      </c>
      <c r="AJ183" s="1"/>
      <c r="AK183" s="17" t="s">
        <v>751</v>
      </c>
      <c r="AL183" s="17"/>
      <c r="AM183" s="17" t="s">
        <v>116</v>
      </c>
      <c r="AN183" s="17"/>
      <c r="AO183" s="1">
        <v>734210</v>
      </c>
      <c r="AP183" s="1"/>
      <c r="AQ183" s="1">
        <v>789673</v>
      </c>
      <c r="AR183" s="1"/>
      <c r="AS183" s="1"/>
      <c r="AT183" s="1"/>
      <c r="AU183" s="1">
        <v>0</v>
      </c>
      <c r="AV183" s="1"/>
      <c r="AW183" s="1">
        <f t="shared" si="13"/>
        <v>51099758</v>
      </c>
      <c r="AY183" s="1">
        <f>+'St of Activites - GA Rev'!AI183-'St of Activities - GA Exp'!AW183</f>
        <v>-247307</v>
      </c>
      <c r="BA183" s="1">
        <v>279152</v>
      </c>
      <c r="BC183" s="1">
        <f t="shared" si="14"/>
        <v>31845</v>
      </c>
      <c r="BE183" s="1">
        <f>+'St of Net Assets - GA'!AA183-'St of Activities - GA Exp'!BC183</f>
        <v>0</v>
      </c>
    </row>
    <row r="184" spans="1:57">
      <c r="A184" s="17" t="s">
        <v>228</v>
      </c>
      <c r="B184" s="17"/>
      <c r="C184" s="17" t="s">
        <v>227</v>
      </c>
      <c r="D184" s="17"/>
      <c r="E184" s="13">
        <v>46102</v>
      </c>
      <c r="G184" s="1">
        <v>36464546</v>
      </c>
      <c r="H184" s="1"/>
      <c r="I184" s="1">
        <v>10668478</v>
      </c>
      <c r="J184" s="1"/>
      <c r="K184" s="1">
        <v>290599</v>
      </c>
      <c r="L184" s="1"/>
      <c r="M184" s="1">
        <v>1950438</v>
      </c>
      <c r="N184" s="1"/>
      <c r="O184" s="1">
        <v>3940502</v>
      </c>
      <c r="P184" s="1"/>
      <c r="Q184" s="1">
        <v>5500552</v>
      </c>
      <c r="R184" s="1"/>
      <c r="S184" s="1">
        <v>22818</v>
      </c>
      <c r="T184" s="1"/>
      <c r="U184" s="1">
        <v>6550328</v>
      </c>
      <c r="V184" s="1"/>
      <c r="W184" s="1">
        <v>1326170</v>
      </c>
      <c r="X184" s="1"/>
      <c r="Y184" s="1">
        <v>335304</v>
      </c>
      <c r="Z184" s="1"/>
      <c r="AA184" s="1">
        <v>7384857</v>
      </c>
      <c r="AB184" s="1"/>
      <c r="AC184" s="1">
        <v>7040281</v>
      </c>
      <c r="AD184" s="1"/>
      <c r="AE184" s="1">
        <v>128680</v>
      </c>
      <c r="AF184" s="1"/>
      <c r="AG184" s="1">
        <v>0</v>
      </c>
      <c r="AH184" s="1"/>
      <c r="AI184" s="1">
        <v>5467900</v>
      </c>
      <c r="AJ184" s="1"/>
      <c r="AK184" s="17" t="s">
        <v>228</v>
      </c>
      <c r="AL184" s="17"/>
      <c r="AM184" s="17" t="s">
        <v>227</v>
      </c>
      <c r="AN184" s="17"/>
      <c r="AO184" s="1">
        <v>1812612</v>
      </c>
      <c r="AP184" s="1"/>
      <c r="AQ184" s="1">
        <v>1712668</v>
      </c>
      <c r="AR184" s="1"/>
      <c r="AS184" s="1"/>
      <c r="AT184" s="1"/>
      <c r="AU184" s="1">
        <v>0</v>
      </c>
      <c r="AV184" s="1"/>
      <c r="AW184" s="1">
        <f t="shared" si="13"/>
        <v>90596733</v>
      </c>
      <c r="AY184" s="1">
        <f>+'St of Activites - GA Rev'!AI184-'St of Activities - GA Exp'!AW184</f>
        <v>-2695637</v>
      </c>
      <c r="BA184" s="1">
        <v>36145107</v>
      </c>
      <c r="BC184" s="1">
        <f t="shared" si="14"/>
        <v>33449470</v>
      </c>
      <c r="BE184" s="1">
        <f>+'St of Net Assets - GA'!AA184-'St of Activities - GA Exp'!BC184</f>
        <v>0</v>
      </c>
    </row>
    <row r="185" spans="1:57">
      <c r="A185" s="17" t="s">
        <v>396</v>
      </c>
      <c r="B185" s="17"/>
      <c r="C185" s="17" t="s">
        <v>395</v>
      </c>
      <c r="D185" s="17"/>
      <c r="E185" s="13">
        <v>47621</v>
      </c>
      <c r="G185" s="1">
        <v>3977917</v>
      </c>
      <c r="H185" s="1"/>
      <c r="I185" s="1">
        <v>557834</v>
      </c>
      <c r="J185" s="1"/>
      <c r="K185" s="1">
        <v>225342</v>
      </c>
      <c r="L185" s="1"/>
      <c r="M185" s="1">
        <v>28845</v>
      </c>
      <c r="N185" s="1"/>
      <c r="O185" s="1">
        <v>345084</v>
      </c>
      <c r="P185" s="1"/>
      <c r="Q185" s="1">
        <v>776121</v>
      </c>
      <c r="R185" s="1"/>
      <c r="S185" s="1">
        <v>70231</v>
      </c>
      <c r="T185" s="1"/>
      <c r="U185" s="1">
        <v>697898</v>
      </c>
      <c r="V185" s="1"/>
      <c r="W185" s="1">
        <v>320043</v>
      </c>
      <c r="X185" s="1"/>
      <c r="Y185" s="1">
        <v>26345</v>
      </c>
      <c r="Z185" s="1"/>
      <c r="AA185" s="1">
        <v>488692</v>
      </c>
      <c r="AB185" s="1"/>
      <c r="AC185" s="1">
        <v>481535</v>
      </c>
      <c r="AD185" s="1"/>
      <c r="AE185" s="1">
        <v>111028</v>
      </c>
      <c r="AF185" s="1"/>
      <c r="AG185" s="1">
        <v>314014</v>
      </c>
      <c r="AH185" s="1"/>
      <c r="AI185" s="1">
        <v>6270</v>
      </c>
      <c r="AJ185" s="1"/>
      <c r="AK185" s="17" t="s">
        <v>396</v>
      </c>
      <c r="AL185" s="17"/>
      <c r="AM185" s="17" t="s">
        <v>395</v>
      </c>
      <c r="AN185" s="17"/>
      <c r="AO185" s="1">
        <v>173845</v>
      </c>
      <c r="AP185" s="1"/>
      <c r="AQ185" s="1">
        <v>93493</v>
      </c>
      <c r="AR185" s="1"/>
      <c r="AS185" s="1"/>
      <c r="AT185" s="1"/>
      <c r="AU185" s="1">
        <v>0</v>
      </c>
      <c r="AV185" s="1"/>
      <c r="AW185" s="1">
        <f t="shared" si="13"/>
        <v>8694537</v>
      </c>
      <c r="AY185" s="1">
        <f>+'St of Activites - GA Rev'!AI185-'St of Activities - GA Exp'!AW185</f>
        <v>131768</v>
      </c>
      <c r="BA185" s="1">
        <v>14659295</v>
      </c>
      <c r="BC185" s="1">
        <f t="shared" si="14"/>
        <v>14791063</v>
      </c>
      <c r="BE185" s="1">
        <f>+'St of Net Assets - GA'!AA185-'St of Activities - GA Exp'!BC185</f>
        <v>0</v>
      </c>
    </row>
    <row r="186" spans="1:57">
      <c r="A186" s="17" t="s">
        <v>324</v>
      </c>
      <c r="B186" s="17"/>
      <c r="C186" s="17" t="s">
        <v>25</v>
      </c>
      <c r="D186" s="17"/>
      <c r="E186" s="13">
        <v>46870</v>
      </c>
      <c r="G186" s="1">
        <v>7223394</v>
      </c>
      <c r="H186" s="1"/>
      <c r="I186" s="1">
        <v>2336153</v>
      </c>
      <c r="J186" s="1"/>
      <c r="K186" s="1">
        <v>399514</v>
      </c>
      <c r="L186" s="1"/>
      <c r="M186" s="1">
        <v>315333</v>
      </c>
      <c r="N186" s="1"/>
      <c r="O186" s="1">
        <v>881887</v>
      </c>
      <c r="P186" s="1"/>
      <c r="Q186" s="1">
        <v>761344</v>
      </c>
      <c r="R186" s="1"/>
      <c r="S186" s="1">
        <v>40261</v>
      </c>
      <c r="T186" s="1"/>
      <c r="U186" s="1">
        <v>1448945</v>
      </c>
      <c r="V186" s="1"/>
      <c r="W186" s="1">
        <v>590950</v>
      </c>
      <c r="X186" s="1"/>
      <c r="Y186" s="1">
        <v>0</v>
      </c>
      <c r="Z186" s="1"/>
      <c r="AA186" s="1">
        <v>1388212</v>
      </c>
      <c r="AB186" s="1"/>
      <c r="AC186" s="1">
        <v>1426466</v>
      </c>
      <c r="AD186" s="1"/>
      <c r="AE186" s="1">
        <v>195818</v>
      </c>
      <c r="AF186" s="1"/>
      <c r="AG186" s="1">
        <v>869020</v>
      </c>
      <c r="AH186" s="1"/>
      <c r="AI186" s="1">
        <v>8245</v>
      </c>
      <c r="AJ186" s="1"/>
      <c r="AK186" s="17" t="s">
        <v>324</v>
      </c>
      <c r="AL186" s="17"/>
      <c r="AM186" s="17" t="s">
        <v>25</v>
      </c>
      <c r="AN186" s="17"/>
      <c r="AO186" s="1">
        <v>647982</v>
      </c>
      <c r="AP186" s="1"/>
      <c r="AQ186" s="1">
        <v>1180147</v>
      </c>
      <c r="AR186" s="1"/>
      <c r="AS186" s="1"/>
      <c r="AT186" s="1"/>
      <c r="AU186" s="1">
        <v>0</v>
      </c>
      <c r="AV186" s="1"/>
      <c r="AW186" s="1">
        <f t="shared" si="13"/>
        <v>19713671</v>
      </c>
      <c r="AY186" s="1">
        <f>+'St of Activites - GA Rev'!AI186-'St of Activities - GA Exp'!AW186</f>
        <v>5484663</v>
      </c>
      <c r="BA186" s="1">
        <v>51549252</v>
      </c>
      <c r="BC186" s="1">
        <f t="shared" si="14"/>
        <v>57033915</v>
      </c>
      <c r="BE186" s="1">
        <f>+'St of Net Assets - GA'!AA186-'St of Activities - GA Exp'!BC186</f>
        <v>0</v>
      </c>
    </row>
    <row r="187" spans="1:57">
      <c r="A187" s="17" t="s">
        <v>422</v>
      </c>
      <c r="B187" s="17"/>
      <c r="C187" s="17" t="s">
        <v>420</v>
      </c>
      <c r="D187" s="17"/>
      <c r="E187" s="13">
        <v>47936</v>
      </c>
      <c r="G187" s="1">
        <v>8488980</v>
      </c>
      <c r="H187" s="1"/>
      <c r="I187" s="1">
        <v>1902196</v>
      </c>
      <c r="J187" s="1"/>
      <c r="K187" s="1">
        <v>75125</v>
      </c>
      <c r="L187" s="1"/>
      <c r="M187" s="1">
        <f>20328+8801</f>
        <v>29129</v>
      </c>
      <c r="N187" s="1"/>
      <c r="O187" s="1">
        <v>451426</v>
      </c>
      <c r="P187" s="1"/>
      <c r="Q187" s="1">
        <v>807453</v>
      </c>
      <c r="R187" s="1"/>
      <c r="S187" s="1">
        <v>141093</v>
      </c>
      <c r="T187" s="1"/>
      <c r="U187" s="1">
        <v>1209719</v>
      </c>
      <c r="V187" s="1"/>
      <c r="W187" s="1">
        <v>394634</v>
      </c>
      <c r="X187" s="1"/>
      <c r="Y187" s="1">
        <v>4599</v>
      </c>
      <c r="Z187" s="1"/>
      <c r="AA187" s="1">
        <v>2189987</v>
      </c>
      <c r="AB187" s="1"/>
      <c r="AC187" s="1">
        <v>724632</v>
      </c>
      <c r="AD187" s="1"/>
      <c r="AE187" s="1">
        <v>7740</v>
      </c>
      <c r="AF187" s="1"/>
      <c r="AG187" s="1">
        <v>694154</v>
      </c>
      <c r="AH187" s="1"/>
      <c r="AI187" s="1">
        <v>0</v>
      </c>
      <c r="AJ187" s="1"/>
      <c r="AK187" s="17" t="s">
        <v>422</v>
      </c>
      <c r="AL187" s="17"/>
      <c r="AM187" s="17" t="s">
        <v>420</v>
      </c>
      <c r="AN187" s="17"/>
      <c r="AO187" s="1">
        <v>302644</v>
      </c>
      <c r="AP187" s="1"/>
      <c r="AQ187" s="1">
        <v>141260</v>
      </c>
      <c r="AR187" s="1"/>
      <c r="AS187" s="1"/>
      <c r="AT187" s="1"/>
      <c r="AU187" s="1">
        <v>0</v>
      </c>
      <c r="AV187" s="1"/>
      <c r="AW187" s="1">
        <f t="shared" si="13"/>
        <v>17564771</v>
      </c>
      <c r="AY187" s="1">
        <f>+'St of Activites - GA Rev'!AI187-'St of Activities - GA Exp'!AW187</f>
        <v>-776191</v>
      </c>
      <c r="BA187" s="1">
        <v>33985280</v>
      </c>
      <c r="BC187" s="1">
        <f t="shared" si="14"/>
        <v>33209089</v>
      </c>
      <c r="BE187" s="1">
        <f>+'St of Net Assets - GA'!AA187-'St of Activities - GA Exp'!BC187</f>
        <v>0</v>
      </c>
    </row>
    <row r="188" spans="1:57" ht="12" hidden="1" customHeight="1">
      <c r="A188" s="17" t="s">
        <v>742</v>
      </c>
      <c r="B188" s="17"/>
      <c r="C188" s="17" t="s">
        <v>61</v>
      </c>
      <c r="D188" s="17"/>
      <c r="E188" s="13">
        <v>49775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7" t="s">
        <v>742</v>
      </c>
      <c r="AL188" s="17"/>
      <c r="AM188" s="17" t="s">
        <v>61</v>
      </c>
      <c r="AN188" s="17"/>
      <c r="AO188" s="1"/>
      <c r="AP188" s="1"/>
      <c r="AQ188" s="1"/>
      <c r="AR188" s="1"/>
      <c r="AS188" s="1"/>
      <c r="AT188" s="1"/>
      <c r="AU188" s="1"/>
      <c r="AV188" s="1"/>
      <c r="AW188" s="1">
        <f t="shared" si="13"/>
        <v>0</v>
      </c>
      <c r="AY188" s="1">
        <f>+'St of Activites - GA Rev'!AI188-'St of Activities - GA Exp'!AW188</f>
        <v>0</v>
      </c>
      <c r="BC188" s="1">
        <f t="shared" si="14"/>
        <v>0</v>
      </c>
      <c r="BE188" s="1">
        <f>+'St of Net Assets - GA'!AA188-'St of Activities - GA Exp'!BC188</f>
        <v>0</v>
      </c>
    </row>
    <row r="189" spans="1:57">
      <c r="A189" s="17" t="s">
        <v>575</v>
      </c>
      <c r="B189" s="17"/>
      <c r="C189" s="17" t="s">
        <v>62</v>
      </c>
      <c r="D189" s="17"/>
      <c r="E189" s="13">
        <v>49841</v>
      </c>
      <c r="G189" s="1">
        <v>7523894</v>
      </c>
      <c r="H189" s="1"/>
      <c r="I189" s="1">
        <v>2161842</v>
      </c>
      <c r="J189" s="1"/>
      <c r="K189" s="1">
        <v>285545</v>
      </c>
      <c r="L189" s="1"/>
      <c r="M189" s="1">
        <v>315523</v>
      </c>
      <c r="N189" s="1"/>
      <c r="O189" s="1">
        <v>1176614</v>
      </c>
      <c r="P189" s="1"/>
      <c r="Q189" s="1">
        <v>506043</v>
      </c>
      <c r="R189" s="1"/>
      <c r="S189" s="1">
        <v>15610</v>
      </c>
      <c r="T189" s="1"/>
      <c r="U189" s="1">
        <v>1645120</v>
      </c>
      <c r="V189" s="1"/>
      <c r="W189" s="1">
        <v>437966</v>
      </c>
      <c r="X189" s="1"/>
      <c r="Y189" s="1">
        <v>0</v>
      </c>
      <c r="Z189" s="1"/>
      <c r="AA189" s="1">
        <v>1610293</v>
      </c>
      <c r="AB189" s="1"/>
      <c r="AC189" s="1">
        <v>999393</v>
      </c>
      <c r="AD189" s="1"/>
      <c r="AE189" s="1">
        <v>142193</v>
      </c>
      <c r="AF189" s="1"/>
      <c r="AG189" s="1">
        <v>799898</v>
      </c>
      <c r="AH189" s="1"/>
      <c r="AI189" s="1">
        <v>80282</v>
      </c>
      <c r="AJ189" s="1"/>
      <c r="AK189" s="17" t="s">
        <v>575</v>
      </c>
      <c r="AL189" s="17"/>
      <c r="AM189" s="17" t="s">
        <v>62</v>
      </c>
      <c r="AN189" s="17"/>
      <c r="AO189" s="1">
        <v>462880</v>
      </c>
      <c r="AP189" s="1"/>
      <c r="AQ189" s="1">
        <v>593495</v>
      </c>
      <c r="AR189" s="1"/>
      <c r="AS189" s="1"/>
      <c r="AT189" s="1"/>
      <c r="AU189" s="1">
        <v>0</v>
      </c>
      <c r="AV189" s="1"/>
      <c r="AW189" s="1">
        <f t="shared" si="13"/>
        <v>18756591</v>
      </c>
      <c r="AY189" s="1">
        <f>+'St of Activites - GA Rev'!AI189-'St of Activities - GA Exp'!AW189</f>
        <v>-493571</v>
      </c>
      <c r="BA189" s="1">
        <v>19623103</v>
      </c>
      <c r="BC189" s="1">
        <f t="shared" si="14"/>
        <v>19129532</v>
      </c>
      <c r="BE189" s="1">
        <f>+'St of Net Assets - GA'!AA189-'St of Activities - GA Exp'!BC189</f>
        <v>0</v>
      </c>
    </row>
    <row r="190" spans="1:57" ht="12" hidden="1" customHeight="1">
      <c r="A190" s="17" t="s">
        <v>834</v>
      </c>
      <c r="B190" s="17"/>
      <c r="C190" s="17" t="s">
        <v>41</v>
      </c>
      <c r="D190" s="17"/>
      <c r="E190" s="13">
        <v>45369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7" t="s">
        <v>834</v>
      </c>
      <c r="AL190" s="17"/>
      <c r="AM190" s="17" t="s">
        <v>41</v>
      </c>
      <c r="AN190" s="17"/>
      <c r="AO190" s="1"/>
      <c r="AP190" s="1"/>
      <c r="AQ190" s="1"/>
      <c r="AR190" s="1"/>
      <c r="AS190" s="1"/>
      <c r="AT190" s="1"/>
      <c r="AU190" s="1"/>
      <c r="AV190" s="1"/>
      <c r="AW190" s="1">
        <f t="shared" si="13"/>
        <v>0</v>
      </c>
      <c r="AY190" s="1">
        <f>+'St of Activites - GA Rev'!AI190-'St of Activities - GA Exp'!AW190</f>
        <v>0</v>
      </c>
      <c r="BC190" s="1">
        <f t="shared" si="14"/>
        <v>0</v>
      </c>
      <c r="BE190" s="1">
        <f>+'St of Net Assets - GA'!AA190-'St of Activities - GA Exp'!BC190</f>
        <v>0</v>
      </c>
    </row>
    <row r="191" spans="1:57">
      <c r="A191" s="17" t="s">
        <v>290</v>
      </c>
      <c r="B191" s="17"/>
      <c r="C191" s="17" t="s">
        <v>20</v>
      </c>
      <c r="D191" s="17"/>
      <c r="E191" s="13">
        <v>43976</v>
      </c>
      <c r="G191" s="1">
        <v>10359053</v>
      </c>
      <c r="H191" s="1"/>
      <c r="I191" s="1">
        <v>2608089</v>
      </c>
      <c r="J191" s="1"/>
      <c r="K191" s="1">
        <v>172084</v>
      </c>
      <c r="L191" s="1"/>
      <c r="M191" s="1">
        <v>6538</v>
      </c>
      <c r="N191" s="1"/>
      <c r="O191" s="1">
        <v>1092469</v>
      </c>
      <c r="P191" s="1"/>
      <c r="Q191" s="1">
        <v>1297713</v>
      </c>
      <c r="R191" s="1"/>
      <c r="S191" s="1">
        <v>30939</v>
      </c>
      <c r="T191" s="1"/>
      <c r="U191" s="1">
        <v>1491518</v>
      </c>
      <c r="V191" s="1"/>
      <c r="W191" s="1">
        <v>868247</v>
      </c>
      <c r="X191" s="1"/>
      <c r="Y191" s="1">
        <v>201637</v>
      </c>
      <c r="Z191" s="1"/>
      <c r="AA191" s="1">
        <v>2018495</v>
      </c>
      <c r="AB191" s="1"/>
      <c r="AC191" s="1">
        <v>709469</v>
      </c>
      <c r="AD191" s="1"/>
      <c r="AE191" s="1">
        <v>585207</v>
      </c>
      <c r="AF191" s="1"/>
      <c r="AG191" s="1">
        <v>415012</v>
      </c>
      <c r="AH191" s="1"/>
      <c r="AI191" s="1">
        <v>523037</v>
      </c>
      <c r="AJ191" s="1"/>
      <c r="AK191" s="17" t="s">
        <v>290</v>
      </c>
      <c r="AL191" s="17"/>
      <c r="AM191" s="17" t="s">
        <v>20</v>
      </c>
      <c r="AN191" s="17"/>
      <c r="AO191" s="1">
        <v>454972</v>
      </c>
      <c r="AP191" s="1"/>
      <c r="AQ191" s="1">
        <v>1528481</v>
      </c>
      <c r="AR191" s="1"/>
      <c r="AS191" s="1"/>
      <c r="AT191" s="1"/>
      <c r="AU191" s="1">
        <v>725270</v>
      </c>
      <c r="AV191" s="1"/>
      <c r="AW191" s="1">
        <f t="shared" si="13"/>
        <v>25088230</v>
      </c>
      <c r="AY191" s="1">
        <f>+'St of Activites - GA Rev'!AI191-'St of Activities - GA Exp'!AW191</f>
        <v>1629805</v>
      </c>
      <c r="BA191" s="1">
        <v>19645746</v>
      </c>
      <c r="BC191" s="1">
        <f t="shared" si="14"/>
        <v>21275551</v>
      </c>
      <c r="BE191" s="1">
        <f>+'St of Net Assets - GA'!AA191-'St of Activities - GA Exp'!BC191</f>
        <v>0</v>
      </c>
    </row>
    <row r="192" spans="1:57">
      <c r="A192" s="17" t="s">
        <v>812</v>
      </c>
      <c r="B192" s="17"/>
      <c r="C192" s="17" t="s">
        <v>28</v>
      </c>
      <c r="D192" s="17"/>
      <c r="E192" s="13"/>
      <c r="G192" s="1">
        <v>2868273</v>
      </c>
      <c r="H192" s="1"/>
      <c r="I192" s="1">
        <v>726807</v>
      </c>
      <c r="J192" s="1"/>
      <c r="K192" s="1">
        <v>109807</v>
      </c>
      <c r="L192" s="1"/>
      <c r="M192" s="1">
        <v>0</v>
      </c>
      <c r="N192" s="1"/>
      <c r="O192" s="1">
        <v>317797</v>
      </c>
      <c r="P192" s="1"/>
      <c r="Q192" s="1">
        <v>169223</v>
      </c>
      <c r="R192" s="1"/>
      <c r="S192" s="1">
        <v>13080</v>
      </c>
      <c r="T192" s="1"/>
      <c r="U192" s="1">
        <v>412852</v>
      </c>
      <c r="V192" s="1"/>
      <c r="W192" s="1">
        <v>199297</v>
      </c>
      <c r="X192" s="1"/>
      <c r="Y192" s="1">
        <v>0</v>
      </c>
      <c r="Z192" s="1"/>
      <c r="AA192" s="1">
        <v>396503</v>
      </c>
      <c r="AB192" s="1"/>
      <c r="AC192" s="1">
        <v>244393</v>
      </c>
      <c r="AD192" s="1"/>
      <c r="AE192" s="1">
        <v>14404</v>
      </c>
      <c r="AF192" s="1"/>
      <c r="AG192" s="1">
        <v>0</v>
      </c>
      <c r="AH192" s="1"/>
      <c r="AI192" s="1">
        <v>235688</v>
      </c>
      <c r="AJ192" s="1"/>
      <c r="AK192" s="17" t="s">
        <v>812</v>
      </c>
      <c r="AL192" s="17"/>
      <c r="AM192" s="17" t="s">
        <v>28</v>
      </c>
      <c r="AN192" s="17"/>
      <c r="AO192" s="1">
        <v>223829</v>
      </c>
      <c r="AP192" s="1"/>
      <c r="AQ192" s="1">
        <v>234030</v>
      </c>
      <c r="AR192" s="1"/>
      <c r="AS192" s="1"/>
      <c r="AT192" s="1"/>
      <c r="AU192" s="1">
        <v>0</v>
      </c>
      <c r="AV192" s="1"/>
      <c r="AW192" s="1">
        <f t="shared" si="13"/>
        <v>6165983</v>
      </c>
      <c r="AY192" s="1">
        <f>+'St of Activites - GA Rev'!AI192-'St of Activities - GA Exp'!AW192</f>
        <v>-857570</v>
      </c>
      <c r="BA192" s="1">
        <v>15777942</v>
      </c>
      <c r="BC192" s="1">
        <f t="shared" si="14"/>
        <v>14920372</v>
      </c>
      <c r="BE192" s="1">
        <f>+'St of Net Assets - GA'!AA192-'St of Activities - GA Exp'!BC192</f>
        <v>0</v>
      </c>
    </row>
    <row r="193" spans="1:57">
      <c r="A193" s="17" t="s">
        <v>224</v>
      </c>
      <c r="B193" s="17"/>
      <c r="C193" s="17" t="s">
        <v>77</v>
      </c>
      <c r="D193" s="17"/>
      <c r="E193" s="13">
        <v>46045</v>
      </c>
      <c r="G193" s="1">
        <v>4028807</v>
      </c>
      <c r="H193" s="1"/>
      <c r="I193" s="1">
        <v>1207137</v>
      </c>
      <c r="J193" s="1"/>
      <c r="K193" s="1">
        <v>191713</v>
      </c>
      <c r="L193" s="1"/>
      <c r="M193" s="1">
        <v>18130</v>
      </c>
      <c r="N193" s="1"/>
      <c r="O193" s="1">
        <v>321203</v>
      </c>
      <c r="P193" s="1"/>
      <c r="Q193" s="1">
        <v>844661</v>
      </c>
      <c r="R193" s="1"/>
      <c r="S193" s="1">
        <v>72186</v>
      </c>
      <c r="T193" s="1"/>
      <c r="U193" s="1">
        <v>856402</v>
      </c>
      <c r="V193" s="1"/>
      <c r="W193" s="1">
        <v>314327</v>
      </c>
      <c r="X193" s="1"/>
      <c r="Y193" s="1">
        <v>0</v>
      </c>
      <c r="Z193" s="1"/>
      <c r="AA193" s="1">
        <v>1107101</v>
      </c>
      <c r="AB193" s="1"/>
      <c r="AC193" s="1">
        <v>657207</v>
      </c>
      <c r="AD193" s="1"/>
      <c r="AE193" s="1">
        <v>8398</v>
      </c>
      <c r="AF193" s="1"/>
      <c r="AG193" s="1">
        <v>513422</v>
      </c>
      <c r="AH193" s="1"/>
      <c r="AI193" s="1">
        <v>92067</v>
      </c>
      <c r="AJ193" s="1"/>
      <c r="AK193" s="17" t="s">
        <v>224</v>
      </c>
      <c r="AL193" s="17"/>
      <c r="AM193" s="17" t="s">
        <v>77</v>
      </c>
      <c r="AN193" s="17"/>
      <c r="AO193" s="1">
        <v>209222</v>
      </c>
      <c r="AP193" s="1"/>
      <c r="AQ193" s="1">
        <v>355763</v>
      </c>
      <c r="AR193" s="1"/>
      <c r="AS193" s="1"/>
      <c r="AT193" s="1"/>
      <c r="AU193" s="1">
        <v>0</v>
      </c>
      <c r="AV193" s="1"/>
      <c r="AW193" s="1">
        <f t="shared" si="13"/>
        <v>10797746</v>
      </c>
      <c r="AY193" s="1">
        <f>+'St of Activites - GA Rev'!AI193-'St of Activities - GA Exp'!AW193</f>
        <v>-1193579</v>
      </c>
      <c r="BA193" s="1">
        <v>24459065</v>
      </c>
      <c r="BC193" s="1">
        <f t="shared" si="14"/>
        <v>23265486</v>
      </c>
      <c r="BE193" s="1">
        <f>+'St of Net Assets - GA'!AA193-'St of Activities - GA Exp'!BC193</f>
        <v>0</v>
      </c>
    </row>
    <row r="194" spans="1:57">
      <c r="A194" s="12" t="s">
        <v>813</v>
      </c>
      <c r="B194" s="12"/>
      <c r="C194" s="12" t="s">
        <v>13</v>
      </c>
      <c r="D194" s="17"/>
      <c r="E194" s="13"/>
      <c r="G194" s="1">
        <v>5027392</v>
      </c>
      <c r="H194" s="1"/>
      <c r="I194" s="1">
        <v>1827430</v>
      </c>
      <c r="J194" s="1"/>
      <c r="K194" s="1">
        <v>203859</v>
      </c>
      <c r="L194" s="1"/>
      <c r="M194" s="1">
        <v>0</v>
      </c>
      <c r="N194" s="1"/>
      <c r="O194" s="1">
        <v>387350</v>
      </c>
      <c r="P194" s="1"/>
      <c r="Q194" s="1">
        <v>490400</v>
      </c>
      <c r="R194" s="1"/>
      <c r="S194" s="1">
        <v>54741</v>
      </c>
      <c r="T194" s="1"/>
      <c r="U194" s="1">
        <v>1113248</v>
      </c>
      <c r="V194" s="1"/>
      <c r="W194" s="1">
        <v>1994213</v>
      </c>
      <c r="X194" s="1"/>
      <c r="Y194" s="1">
        <v>0</v>
      </c>
      <c r="Z194" s="1"/>
      <c r="AA194" s="1">
        <v>983651</v>
      </c>
      <c r="AB194" s="1"/>
      <c r="AC194" s="1">
        <v>1190123</v>
      </c>
      <c r="AD194" s="1"/>
      <c r="AE194" s="1">
        <v>52921</v>
      </c>
      <c r="AF194" s="1"/>
      <c r="AG194" s="1">
        <v>556538</v>
      </c>
      <c r="AH194" s="1"/>
      <c r="AI194" s="1">
        <v>14271</v>
      </c>
      <c r="AJ194" s="1"/>
      <c r="AK194" s="12" t="s">
        <v>813</v>
      </c>
      <c r="AL194" s="12"/>
      <c r="AM194" s="12" t="s">
        <v>13</v>
      </c>
      <c r="AN194" s="17"/>
      <c r="AO194" s="1">
        <v>89709</v>
      </c>
      <c r="AP194" s="1"/>
      <c r="AQ194" s="1">
        <v>41184</v>
      </c>
      <c r="AR194" s="1"/>
      <c r="AS194" s="1"/>
      <c r="AT194" s="1"/>
      <c r="AU194" s="1">
        <v>0</v>
      </c>
      <c r="AV194" s="1"/>
      <c r="AW194" s="1">
        <f t="shared" si="13"/>
        <v>14027030</v>
      </c>
      <c r="AY194" s="1">
        <f>+'St of Activites - GA Rev'!AI194-'St of Activities - GA Exp'!AW194</f>
        <v>502604</v>
      </c>
      <c r="BA194" s="1">
        <v>9603511</v>
      </c>
      <c r="BC194" s="1">
        <f t="shared" si="14"/>
        <v>10106115</v>
      </c>
      <c r="BE194" s="1">
        <f>+'St of Net Assets - GA'!AA194-'St of Activities - GA Exp'!BC194</f>
        <v>0</v>
      </c>
    </row>
    <row r="195" spans="1:57">
      <c r="A195" s="17" t="s">
        <v>253</v>
      </c>
      <c r="B195" s="17"/>
      <c r="C195" s="17" t="s">
        <v>115</v>
      </c>
      <c r="D195" s="17"/>
      <c r="E195" s="13">
        <v>46334</v>
      </c>
      <c r="G195" s="1">
        <v>5266064</v>
      </c>
      <c r="H195" s="1"/>
      <c r="I195" s="1">
        <v>2420831</v>
      </c>
      <c r="J195" s="1"/>
      <c r="K195" s="1">
        <v>0</v>
      </c>
      <c r="L195" s="1"/>
      <c r="M195" s="1">
        <v>34533</v>
      </c>
      <c r="N195" s="1"/>
      <c r="O195" s="1">
        <v>646220</v>
      </c>
      <c r="P195" s="1"/>
      <c r="Q195" s="1">
        <v>432107</v>
      </c>
      <c r="R195" s="1"/>
      <c r="S195" s="1">
        <v>19706</v>
      </c>
      <c r="T195" s="1"/>
      <c r="U195" s="1">
        <v>688711</v>
      </c>
      <c r="V195" s="1"/>
      <c r="W195" s="1">
        <v>338482</v>
      </c>
      <c r="X195" s="1"/>
      <c r="Y195" s="1">
        <v>0</v>
      </c>
      <c r="Z195" s="1"/>
      <c r="AA195" s="1">
        <v>974192</v>
      </c>
      <c r="AB195" s="1"/>
      <c r="AC195" s="1">
        <v>580346</v>
      </c>
      <c r="AD195" s="1"/>
      <c r="AE195" s="1">
        <v>36944</v>
      </c>
      <c r="AF195" s="1"/>
      <c r="AG195" s="1">
        <v>519132</v>
      </c>
      <c r="AH195" s="1"/>
      <c r="AI195" s="1">
        <v>0</v>
      </c>
      <c r="AJ195" s="1"/>
      <c r="AK195" s="17" t="s">
        <v>253</v>
      </c>
      <c r="AL195" s="17"/>
      <c r="AM195" s="17" t="s">
        <v>115</v>
      </c>
      <c r="AN195" s="17"/>
      <c r="AO195" s="1">
        <v>195927</v>
      </c>
      <c r="AP195" s="1"/>
      <c r="AQ195" s="1">
        <v>127967</v>
      </c>
      <c r="AR195" s="1"/>
      <c r="AS195" s="1"/>
      <c r="AT195" s="1"/>
      <c r="AU195" s="1">
        <v>0</v>
      </c>
      <c r="AV195" s="1"/>
      <c r="AW195" s="1">
        <f t="shared" si="13"/>
        <v>12281162</v>
      </c>
      <c r="AY195" s="1">
        <f>+'St of Activites - GA Rev'!AI195-'St of Activities - GA Exp'!AW195</f>
        <v>-693820</v>
      </c>
      <c r="BA195" s="1">
        <v>18154300</v>
      </c>
      <c r="BC195" s="1">
        <f t="shared" si="14"/>
        <v>17460480</v>
      </c>
      <c r="BE195" s="1">
        <f>+'St of Net Assets - GA'!AA195-'St of Activities - GA Exp'!BC195</f>
        <v>0</v>
      </c>
    </row>
    <row r="196" spans="1:57">
      <c r="A196" s="17" t="s">
        <v>891</v>
      </c>
      <c r="B196" s="17"/>
      <c r="C196" s="17" t="s">
        <v>56</v>
      </c>
      <c r="D196" s="17"/>
      <c r="E196" s="13">
        <v>49197</v>
      </c>
      <c r="G196" s="1">
        <v>10301056</v>
      </c>
      <c r="H196" s="1"/>
      <c r="I196" s="1">
        <v>1949337</v>
      </c>
      <c r="J196" s="1"/>
      <c r="K196" s="1">
        <v>127044</v>
      </c>
      <c r="L196" s="1"/>
      <c r="M196" s="1">
        <f>40880+143562</f>
        <v>184442</v>
      </c>
      <c r="N196" s="1"/>
      <c r="O196" s="1">
        <v>927386</v>
      </c>
      <c r="P196" s="1"/>
      <c r="Q196" s="1">
        <v>858467</v>
      </c>
      <c r="R196" s="1"/>
      <c r="S196" s="1">
        <v>16382</v>
      </c>
      <c r="T196" s="1"/>
      <c r="U196" s="1">
        <v>2047346</v>
      </c>
      <c r="V196" s="1"/>
      <c r="W196" s="1">
        <v>538171</v>
      </c>
      <c r="X196" s="1"/>
      <c r="Y196" s="1">
        <v>6570</v>
      </c>
      <c r="Z196" s="1"/>
      <c r="AA196" s="1">
        <v>1787025</v>
      </c>
      <c r="AB196" s="1"/>
      <c r="AC196" s="1">
        <v>1271562</v>
      </c>
      <c r="AD196" s="1"/>
      <c r="AE196" s="1">
        <v>100983</v>
      </c>
      <c r="AF196" s="1"/>
      <c r="AG196" s="1">
        <v>697530</v>
      </c>
      <c r="AH196" s="1"/>
      <c r="AI196" s="1">
        <v>33604</v>
      </c>
      <c r="AJ196" s="1"/>
      <c r="AK196" s="17" t="s">
        <v>891</v>
      </c>
      <c r="AL196" s="17"/>
      <c r="AM196" s="17" t="s">
        <v>56</v>
      </c>
      <c r="AN196" s="17"/>
      <c r="AO196" s="1">
        <v>479611</v>
      </c>
      <c r="AP196" s="1"/>
      <c r="AQ196" s="1">
        <v>1161021</v>
      </c>
      <c r="AR196" s="1"/>
      <c r="AS196" s="1"/>
      <c r="AT196" s="1"/>
      <c r="AU196" s="1">
        <v>0</v>
      </c>
      <c r="AV196" s="1"/>
      <c r="AW196" s="1">
        <f t="shared" si="13"/>
        <v>22487537</v>
      </c>
      <c r="AY196" s="1">
        <f>+'St of Activites - GA Rev'!AI196-'St of Activities - GA Exp'!AW196</f>
        <v>214561</v>
      </c>
      <c r="BA196" s="1">
        <v>4342404</v>
      </c>
      <c r="BC196" s="1">
        <f t="shared" si="14"/>
        <v>4556965</v>
      </c>
      <c r="BE196" s="1">
        <f>+'St of Net Assets - GA'!AA196-'St of Activities - GA Exp'!BC196</f>
        <v>0</v>
      </c>
    </row>
    <row r="197" spans="1:57">
      <c r="A197" s="17" t="s">
        <v>380</v>
      </c>
      <c r="B197" s="17"/>
      <c r="C197" s="17" t="s">
        <v>33</v>
      </c>
      <c r="D197" s="17"/>
      <c r="E197" s="13">
        <v>43984</v>
      </c>
      <c r="G197" s="1">
        <v>24815455</v>
      </c>
      <c r="H197" s="1"/>
      <c r="I197" s="1">
        <v>7632767</v>
      </c>
      <c r="J197" s="1"/>
      <c r="K197" s="1">
        <v>2980116</v>
      </c>
      <c r="L197" s="1"/>
      <c r="M197" s="1">
        <f>128224+3399411</f>
        <v>3527635</v>
      </c>
      <c r="N197" s="1"/>
      <c r="O197" s="1">
        <v>3148186</v>
      </c>
      <c r="P197" s="1"/>
      <c r="Q197" s="1">
        <v>4926444</v>
      </c>
      <c r="R197" s="1"/>
      <c r="S197" s="1">
        <v>162047</v>
      </c>
      <c r="T197" s="1"/>
      <c r="U197" s="1">
        <v>4105906</v>
      </c>
      <c r="V197" s="1"/>
      <c r="W197" s="1">
        <v>1488289</v>
      </c>
      <c r="X197" s="1"/>
      <c r="Y197" s="1">
        <v>0</v>
      </c>
      <c r="Z197" s="1"/>
      <c r="AA197" s="1">
        <v>5958054</v>
      </c>
      <c r="AB197" s="1"/>
      <c r="AC197" s="1">
        <v>2125986</v>
      </c>
      <c r="AD197" s="1"/>
      <c r="AE197" s="1">
        <v>156585</v>
      </c>
      <c r="AF197" s="1"/>
      <c r="AG197" s="1">
        <v>2081952</v>
      </c>
      <c r="AH197" s="1"/>
      <c r="AI197" s="1">
        <v>659606</v>
      </c>
      <c r="AJ197" s="1"/>
      <c r="AK197" s="17" t="s">
        <v>380</v>
      </c>
      <c r="AL197" s="17"/>
      <c r="AM197" s="17" t="s">
        <v>33</v>
      </c>
      <c r="AN197" s="17"/>
      <c r="AO197" s="1">
        <v>1360886</v>
      </c>
      <c r="AP197" s="1"/>
      <c r="AQ197" s="1">
        <v>1257804</v>
      </c>
      <c r="AR197" s="1"/>
      <c r="AS197" s="1"/>
      <c r="AT197" s="1"/>
      <c r="AU197" s="1">
        <v>0</v>
      </c>
      <c r="AV197" s="1"/>
      <c r="AW197" s="1">
        <f t="shared" si="13"/>
        <v>66387718</v>
      </c>
      <c r="AY197" s="1">
        <f>+'St of Activites - GA Rev'!AI197-'St of Activities - GA Exp'!AW197</f>
        <v>20249300</v>
      </c>
      <c r="BA197" s="1">
        <v>21971061</v>
      </c>
      <c r="BC197" s="1">
        <f t="shared" si="14"/>
        <v>42220361</v>
      </c>
      <c r="BE197" s="1">
        <f>+'St of Net Assets - GA'!AA197-'St of Activities - GA Exp'!BC197</f>
        <v>0</v>
      </c>
    </row>
    <row r="198" spans="1:57">
      <c r="A198" s="17" t="s">
        <v>363</v>
      </c>
      <c r="B198" s="17"/>
      <c r="C198" s="17" t="s">
        <v>32</v>
      </c>
      <c r="D198" s="17"/>
      <c r="E198" s="13">
        <v>47332</v>
      </c>
      <c r="G198" s="1">
        <v>7276556</v>
      </c>
      <c r="H198" s="1"/>
      <c r="I198" s="1">
        <v>2541741</v>
      </c>
      <c r="J198" s="1"/>
      <c r="K198" s="1">
        <v>137417</v>
      </c>
      <c r="L198" s="1"/>
      <c r="M198" s="1">
        <v>912021</v>
      </c>
      <c r="N198" s="1"/>
      <c r="O198" s="1">
        <v>1542114</v>
      </c>
      <c r="P198" s="1"/>
      <c r="Q198" s="1">
        <v>1618384</v>
      </c>
      <c r="R198" s="1"/>
      <c r="S198" s="1">
        <v>27259</v>
      </c>
      <c r="T198" s="1"/>
      <c r="U198" s="1">
        <v>1261642</v>
      </c>
      <c r="V198" s="1"/>
      <c r="W198" s="1">
        <v>467317</v>
      </c>
      <c r="X198" s="1"/>
      <c r="Y198" s="1">
        <v>507482</v>
      </c>
      <c r="Z198" s="1"/>
      <c r="AA198" s="1">
        <v>1729703</v>
      </c>
      <c r="AB198" s="1"/>
      <c r="AC198" s="1">
        <v>1004878</v>
      </c>
      <c r="AD198" s="1"/>
      <c r="AE198" s="1">
        <v>276643</v>
      </c>
      <c r="AF198" s="1"/>
      <c r="AG198" s="1">
        <v>0</v>
      </c>
      <c r="AH198" s="1"/>
      <c r="AI198" s="1">
        <v>1943648</v>
      </c>
      <c r="AJ198" s="1"/>
      <c r="AK198" s="17" t="s">
        <v>363</v>
      </c>
      <c r="AL198" s="17"/>
      <c r="AM198" s="17" t="s">
        <v>32</v>
      </c>
      <c r="AN198" s="17"/>
      <c r="AO198" s="1">
        <v>674380</v>
      </c>
      <c r="AP198" s="1"/>
      <c r="AQ198" s="1">
        <v>403337</v>
      </c>
      <c r="AR198" s="1"/>
      <c r="AS198" s="1"/>
      <c r="AT198" s="1"/>
      <c r="AU198" s="1">
        <v>0</v>
      </c>
      <c r="AV198" s="1"/>
      <c r="AW198" s="1">
        <f t="shared" si="13"/>
        <v>22324522</v>
      </c>
      <c r="AY198" s="1">
        <f>+'St of Activites - GA Rev'!AI198-'St of Activities - GA Exp'!AW198</f>
        <v>-417358</v>
      </c>
      <c r="BA198" s="1">
        <v>4725959</v>
      </c>
      <c r="BC198" s="1">
        <f t="shared" si="14"/>
        <v>4308601</v>
      </c>
      <c r="BE198" s="1">
        <f>+'St of Net Assets - GA'!AA198-'St of Activities - GA Exp'!BC198</f>
        <v>0</v>
      </c>
    </row>
    <row r="199" spans="1:57">
      <c r="A199" s="17" t="s">
        <v>441</v>
      </c>
      <c r="B199" s="17"/>
      <c r="C199" s="17" t="s">
        <v>44</v>
      </c>
      <c r="D199" s="17"/>
      <c r="E199" s="13">
        <v>48157</v>
      </c>
      <c r="G199" s="1">
        <v>7886672</v>
      </c>
      <c r="H199" s="1"/>
      <c r="I199" s="1">
        <v>2064321</v>
      </c>
      <c r="J199" s="1"/>
      <c r="K199" s="1">
        <v>305688</v>
      </c>
      <c r="L199" s="1"/>
      <c r="M199" s="1">
        <v>1192292</v>
      </c>
      <c r="N199" s="1"/>
      <c r="O199" s="1">
        <v>1261840</v>
      </c>
      <c r="P199" s="1"/>
      <c r="Q199" s="1">
        <v>505076</v>
      </c>
      <c r="R199" s="1"/>
      <c r="S199" s="1">
        <v>19007</v>
      </c>
      <c r="T199" s="1"/>
      <c r="U199" s="1">
        <v>1586250</v>
      </c>
      <c r="V199" s="1"/>
      <c r="W199" s="1">
        <v>380658</v>
      </c>
      <c r="X199" s="1"/>
      <c r="Y199" s="1">
        <v>0</v>
      </c>
      <c r="Z199" s="1"/>
      <c r="AA199" s="1">
        <v>1494347</v>
      </c>
      <c r="AB199" s="1"/>
      <c r="AC199" s="1">
        <v>1315623</v>
      </c>
      <c r="AD199" s="1"/>
      <c r="AE199" s="1">
        <v>365694</v>
      </c>
      <c r="AF199" s="1"/>
      <c r="AG199" s="1">
        <v>627115</v>
      </c>
      <c r="AH199" s="1"/>
      <c r="AI199" s="1">
        <v>31314</v>
      </c>
      <c r="AJ199" s="1"/>
      <c r="AK199" s="17" t="s">
        <v>441</v>
      </c>
      <c r="AL199" s="17"/>
      <c r="AM199" s="17" t="s">
        <v>44</v>
      </c>
      <c r="AN199" s="17"/>
      <c r="AO199" s="1">
        <v>603482</v>
      </c>
      <c r="AP199" s="1"/>
      <c r="AQ199" s="1">
        <v>3597</v>
      </c>
      <c r="AR199" s="1"/>
      <c r="AS199" s="1"/>
      <c r="AT199" s="1"/>
      <c r="AU199" s="1">
        <v>0</v>
      </c>
      <c r="AV199" s="1"/>
      <c r="AW199" s="1">
        <f t="shared" si="13"/>
        <v>19642976</v>
      </c>
      <c r="AY199" s="1">
        <f>+'St of Activites - GA Rev'!AI199-'St of Activities - GA Exp'!AW199</f>
        <v>-680734</v>
      </c>
      <c r="BA199" s="1">
        <v>6446694</v>
      </c>
      <c r="BC199" s="1">
        <f t="shared" si="14"/>
        <v>5765960</v>
      </c>
      <c r="BE199" s="1">
        <f>+'St of Net Assets - GA'!AA199-'St of Activities - GA Exp'!BC199</f>
        <v>0</v>
      </c>
    </row>
    <row r="200" spans="1:57">
      <c r="A200" s="17" t="s">
        <v>364</v>
      </c>
      <c r="B200" s="17"/>
      <c r="C200" s="17" t="s">
        <v>32</v>
      </c>
      <c r="D200" s="17"/>
      <c r="E200" s="13">
        <v>47340</v>
      </c>
      <c r="G200" s="1">
        <v>36399817</v>
      </c>
      <c r="H200" s="1"/>
      <c r="I200" s="1">
        <v>9632064</v>
      </c>
      <c r="J200" s="1"/>
      <c r="K200" s="1">
        <v>0</v>
      </c>
      <c r="L200" s="1"/>
      <c r="M200" s="1">
        <v>1446548</v>
      </c>
      <c r="N200" s="1"/>
      <c r="O200" s="1">
        <v>3556047</v>
      </c>
      <c r="P200" s="1"/>
      <c r="Q200" s="1">
        <v>7385129</v>
      </c>
      <c r="R200" s="1"/>
      <c r="S200" s="1">
        <v>47942</v>
      </c>
      <c r="T200" s="1"/>
      <c r="U200" s="1">
        <v>5765869</v>
      </c>
      <c r="V200" s="1"/>
      <c r="W200" s="1">
        <v>1221543</v>
      </c>
      <c r="X200" s="1"/>
      <c r="Y200" s="1">
        <v>184552</v>
      </c>
      <c r="Z200" s="1"/>
      <c r="AA200" s="1">
        <v>5844378</v>
      </c>
      <c r="AB200" s="1"/>
      <c r="AC200" s="1">
        <v>4671038</v>
      </c>
      <c r="AD200" s="1"/>
      <c r="AE200" s="1">
        <v>504662</v>
      </c>
      <c r="AF200" s="1"/>
      <c r="AG200" s="1">
        <v>2110333</v>
      </c>
      <c r="AH200" s="1"/>
      <c r="AI200" s="1">
        <v>736624</v>
      </c>
      <c r="AJ200" s="1"/>
      <c r="AK200" s="17" t="s">
        <v>364</v>
      </c>
      <c r="AL200" s="17"/>
      <c r="AM200" s="17" t="s">
        <v>32</v>
      </c>
      <c r="AN200" s="17"/>
      <c r="AO200" s="1">
        <v>2269539</v>
      </c>
      <c r="AP200" s="1"/>
      <c r="AQ200" s="1">
        <v>551909</v>
      </c>
      <c r="AR200" s="1"/>
      <c r="AS200" s="1"/>
      <c r="AT200" s="1"/>
      <c r="AU200" s="1">
        <v>0</v>
      </c>
      <c r="AV200" s="1"/>
      <c r="AW200" s="1">
        <f t="shared" si="13"/>
        <v>82327994</v>
      </c>
      <c r="AY200" s="1">
        <f>+'St of Activites - GA Rev'!AI200-'St of Activities - GA Exp'!AW200</f>
        <v>178825</v>
      </c>
      <c r="BA200" s="1">
        <v>42101206</v>
      </c>
      <c r="BC200" s="1">
        <f t="shared" si="14"/>
        <v>42280031</v>
      </c>
      <c r="BE200" s="1">
        <f>+'St of Net Assets - GA'!AA200-'St of Activities - GA Exp'!BC200</f>
        <v>0</v>
      </c>
    </row>
    <row r="201" spans="1:57" hidden="1">
      <c r="A201" s="12" t="s">
        <v>737</v>
      </c>
      <c r="B201" s="17"/>
      <c r="C201" s="17" t="s">
        <v>70</v>
      </c>
      <c r="D201" s="17"/>
      <c r="E201" s="13">
        <v>50484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2" t="s">
        <v>737</v>
      </c>
      <c r="AL201" s="17"/>
      <c r="AM201" s="17" t="s">
        <v>70</v>
      </c>
      <c r="AN201" s="17"/>
      <c r="AO201" s="1"/>
      <c r="AP201" s="1"/>
      <c r="AQ201" s="1"/>
      <c r="AR201" s="1"/>
      <c r="AS201" s="1"/>
      <c r="AT201" s="1"/>
      <c r="AU201" s="1"/>
      <c r="AV201" s="1"/>
      <c r="AW201" s="1">
        <f t="shared" si="13"/>
        <v>0</v>
      </c>
      <c r="AY201" s="1">
        <f>+'St of Activites - GA Rev'!AI201-'St of Activities - GA Exp'!AW201</f>
        <v>0</v>
      </c>
      <c r="BC201" s="1">
        <f t="shared" si="14"/>
        <v>0</v>
      </c>
      <c r="BE201" s="1">
        <f>+'St of Net Assets - GA'!AA201-'St of Activities - GA Exp'!BC201</f>
        <v>0</v>
      </c>
    </row>
    <row r="202" spans="1:57">
      <c r="A202" s="17" t="s">
        <v>569</v>
      </c>
      <c r="B202" s="17"/>
      <c r="C202" s="17" t="s">
        <v>61</v>
      </c>
      <c r="D202" s="17"/>
      <c r="E202" s="13">
        <v>49783</v>
      </c>
      <c r="G202" s="1">
        <v>4508370</v>
      </c>
      <c r="H202" s="1"/>
      <c r="I202" s="1">
        <v>634326</v>
      </c>
      <c r="J202" s="1"/>
      <c r="K202" s="1">
        <v>48046</v>
      </c>
      <c r="L202" s="1"/>
      <c r="M202" s="1">
        <v>0</v>
      </c>
      <c r="N202" s="1"/>
      <c r="O202" s="1">
        <v>866571</v>
      </c>
      <c r="P202" s="1"/>
      <c r="Q202" s="1">
        <v>901694</v>
      </c>
      <c r="R202" s="1"/>
      <c r="S202" s="1">
        <v>17831</v>
      </c>
      <c r="T202" s="1"/>
      <c r="U202" s="1">
        <v>602445</v>
      </c>
      <c r="V202" s="1"/>
      <c r="W202" s="1">
        <v>221906</v>
      </c>
      <c r="X202" s="1"/>
      <c r="Y202" s="1">
        <v>4735</v>
      </c>
      <c r="Z202" s="1"/>
      <c r="AA202" s="1">
        <v>835350</v>
      </c>
      <c r="AB202" s="1"/>
      <c r="AC202" s="1">
        <v>313079</v>
      </c>
      <c r="AD202" s="1"/>
      <c r="AE202" s="1">
        <v>142896</v>
      </c>
      <c r="AF202" s="1"/>
      <c r="AG202" s="1">
        <v>0</v>
      </c>
      <c r="AH202" s="1"/>
      <c r="AI202" s="1">
        <v>416508</v>
      </c>
      <c r="AJ202" s="1"/>
      <c r="AK202" s="17" t="s">
        <v>569</v>
      </c>
      <c r="AL202" s="17"/>
      <c r="AM202" s="17" t="s">
        <v>61</v>
      </c>
      <c r="AN202" s="17"/>
      <c r="AO202" s="1">
        <v>490664</v>
      </c>
      <c r="AP202" s="1"/>
      <c r="AQ202" s="1">
        <v>408785</v>
      </c>
      <c r="AR202" s="1"/>
      <c r="AS202" s="1"/>
      <c r="AT202" s="1"/>
      <c r="AU202" s="1">
        <v>0</v>
      </c>
      <c r="AV202" s="1"/>
      <c r="AW202" s="1">
        <f t="shared" si="13"/>
        <v>10413206</v>
      </c>
      <c r="AY202" s="1">
        <f>+'St of Activites - GA Rev'!AI202-'St of Activities - GA Exp'!AW202</f>
        <v>-1535925</v>
      </c>
      <c r="BA202" s="1">
        <v>18345868</v>
      </c>
      <c r="BC202" s="1">
        <f t="shared" si="14"/>
        <v>16809943</v>
      </c>
      <c r="BE202" s="1">
        <f>+'St of Net Assets - GA'!AA202-'St of Activities - GA Exp'!BC202</f>
        <v>0</v>
      </c>
    </row>
    <row r="203" spans="1:57" hidden="1">
      <c r="A203" s="12" t="s">
        <v>814</v>
      </c>
      <c r="B203" s="12"/>
      <c r="C203" s="12" t="s">
        <v>486</v>
      </c>
      <c r="D203" s="17"/>
      <c r="E203" s="13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2" t="s">
        <v>814</v>
      </c>
      <c r="AL203" s="12"/>
      <c r="AM203" s="12" t="s">
        <v>486</v>
      </c>
      <c r="AN203" s="17"/>
      <c r="AO203" s="1"/>
      <c r="AP203" s="1"/>
      <c r="AQ203" s="1"/>
      <c r="AR203" s="1"/>
      <c r="AS203" s="1"/>
      <c r="AT203" s="1"/>
      <c r="AU203" s="1"/>
      <c r="AV203" s="1"/>
      <c r="AW203" s="1">
        <f t="shared" si="13"/>
        <v>0</v>
      </c>
      <c r="AY203" s="1">
        <f>+'St of Activites - GA Rev'!AI203-'St of Activities - GA Exp'!AW203</f>
        <v>0</v>
      </c>
      <c r="BC203" s="1">
        <f t="shared" si="14"/>
        <v>0</v>
      </c>
      <c r="BE203" s="1">
        <f>+'St of Net Assets - GA'!AA203-'St of Activities - GA Exp'!BC203</f>
        <v>0</v>
      </c>
    </row>
    <row r="204" spans="1:57" hidden="1">
      <c r="A204" s="12" t="s">
        <v>950</v>
      </c>
      <c r="B204" s="17"/>
      <c r="C204" s="17" t="s">
        <v>60</v>
      </c>
      <c r="D204" s="17"/>
      <c r="E204" s="13">
        <v>43992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2" t="s">
        <v>950</v>
      </c>
      <c r="AL204" s="17"/>
      <c r="AM204" s="17" t="s">
        <v>60</v>
      </c>
      <c r="AN204" s="17"/>
      <c r="AO204" s="1"/>
      <c r="AP204" s="1"/>
      <c r="AQ204" s="1"/>
      <c r="AR204" s="1"/>
      <c r="AS204" s="1"/>
      <c r="AT204" s="1"/>
      <c r="AU204" s="1"/>
      <c r="AV204" s="1"/>
      <c r="AW204" s="1">
        <f t="shared" si="13"/>
        <v>0</v>
      </c>
      <c r="AY204" s="1">
        <f>+'St of Activites - GA Rev'!AI204-'St of Activities - GA Exp'!AW204</f>
        <v>0</v>
      </c>
      <c r="BC204" s="1">
        <f t="shared" si="14"/>
        <v>0</v>
      </c>
      <c r="BE204" s="1">
        <f>+'St of Net Assets - GA'!AA204-'St of Activities - GA Exp'!BC204</f>
        <v>0</v>
      </c>
    </row>
    <row r="205" spans="1:57">
      <c r="A205" s="17" t="s">
        <v>632</v>
      </c>
      <c r="B205" s="17"/>
      <c r="C205" s="17" t="s">
        <v>69</v>
      </c>
      <c r="D205" s="17"/>
      <c r="E205" s="13">
        <v>44008</v>
      </c>
      <c r="G205" s="1">
        <v>14108988</v>
      </c>
      <c r="H205" s="1"/>
      <c r="I205" s="1">
        <v>4196370</v>
      </c>
      <c r="J205" s="1"/>
      <c r="K205" s="1">
        <v>415085</v>
      </c>
      <c r="L205" s="1"/>
      <c r="M205" s="1">
        <v>0</v>
      </c>
      <c r="N205" s="1"/>
      <c r="O205" s="1">
        <v>1268801</v>
      </c>
      <c r="P205" s="1"/>
      <c r="Q205" s="1">
        <v>1607789</v>
      </c>
      <c r="R205" s="1"/>
      <c r="S205" s="1">
        <v>28022</v>
      </c>
      <c r="T205" s="1"/>
      <c r="U205" s="1">
        <v>2423312</v>
      </c>
      <c r="V205" s="1"/>
      <c r="W205" s="1">
        <v>665948</v>
      </c>
      <c r="X205" s="1"/>
      <c r="Y205" s="1">
        <v>152810</v>
      </c>
      <c r="Z205" s="1"/>
      <c r="AA205" s="1">
        <v>2835147</v>
      </c>
      <c r="AB205" s="1"/>
      <c r="AC205" s="1">
        <v>1325215</v>
      </c>
      <c r="AD205" s="1"/>
      <c r="AE205" s="1">
        <v>422786</v>
      </c>
      <c r="AF205" s="1"/>
      <c r="AG205" s="1">
        <v>0</v>
      </c>
      <c r="AH205" s="1"/>
      <c r="AI205" s="1">
        <v>1701327</v>
      </c>
      <c r="AJ205" s="1"/>
      <c r="AK205" s="17" t="s">
        <v>632</v>
      </c>
      <c r="AL205" s="17"/>
      <c r="AM205" s="17" t="s">
        <v>69</v>
      </c>
      <c r="AN205" s="17"/>
      <c r="AO205" s="1">
        <v>837244</v>
      </c>
      <c r="AP205" s="1"/>
      <c r="AQ205" s="1">
        <v>269581</v>
      </c>
      <c r="AR205" s="1"/>
      <c r="AS205" s="1"/>
      <c r="AT205" s="1"/>
      <c r="AU205" s="1">
        <v>0</v>
      </c>
      <c r="AV205" s="1"/>
      <c r="AW205" s="1">
        <f t="shared" si="13"/>
        <v>32258425</v>
      </c>
      <c r="AY205" s="1">
        <f>+'St of Activites - GA Rev'!AI205-'St of Activities - GA Exp'!AW205</f>
        <v>1803069</v>
      </c>
      <c r="BA205" s="1">
        <v>16982818</v>
      </c>
      <c r="BC205" s="1">
        <f t="shared" si="14"/>
        <v>18785887</v>
      </c>
      <c r="BE205" s="1">
        <f>+'St of Net Assets - GA'!AA205-'St of Activities - GA Exp'!BC205</f>
        <v>0</v>
      </c>
    </row>
    <row r="206" spans="1:57">
      <c r="A206" s="17" t="s">
        <v>512</v>
      </c>
      <c r="B206" s="17"/>
      <c r="C206" s="17" t="s">
        <v>51</v>
      </c>
      <c r="D206" s="17"/>
      <c r="E206" s="13">
        <v>48843</v>
      </c>
      <c r="G206" s="1">
        <v>11333356</v>
      </c>
      <c r="H206" s="1"/>
      <c r="I206" s="1">
        <v>3123849</v>
      </c>
      <c r="J206" s="1"/>
      <c r="K206" s="1">
        <v>176209</v>
      </c>
      <c r="L206" s="1"/>
      <c r="M206" s="1">
        <v>265542</v>
      </c>
      <c r="N206" s="1"/>
      <c r="O206" s="1">
        <v>664145</v>
      </c>
      <c r="P206" s="1"/>
      <c r="Q206" s="1">
        <v>1093444</v>
      </c>
      <c r="R206" s="1"/>
      <c r="S206" s="1">
        <v>150907</v>
      </c>
      <c r="T206" s="1"/>
      <c r="U206" s="1">
        <v>1453890</v>
      </c>
      <c r="V206" s="1"/>
      <c r="W206" s="1">
        <v>428056</v>
      </c>
      <c r="X206" s="1"/>
      <c r="Y206" s="1">
        <v>0</v>
      </c>
      <c r="Z206" s="1"/>
      <c r="AA206" s="1">
        <v>2537096</v>
      </c>
      <c r="AB206" s="1"/>
      <c r="AC206" s="1">
        <v>1482333</v>
      </c>
      <c r="AD206" s="1"/>
      <c r="AE206" s="1">
        <v>181220</v>
      </c>
      <c r="AF206" s="1"/>
      <c r="AG206" s="1">
        <v>1274696</v>
      </c>
      <c r="AH206" s="1"/>
      <c r="AI206" s="1">
        <v>4111</v>
      </c>
      <c r="AJ206" s="1"/>
      <c r="AK206" s="17" t="s">
        <v>512</v>
      </c>
      <c r="AL206" s="17"/>
      <c r="AM206" s="17" t="s">
        <v>51</v>
      </c>
      <c r="AN206" s="17"/>
      <c r="AO206" s="1">
        <v>514403</v>
      </c>
      <c r="AP206" s="1"/>
      <c r="AQ206" s="1">
        <v>328615</v>
      </c>
      <c r="AR206" s="1"/>
      <c r="AS206" s="1"/>
      <c r="AT206" s="1"/>
      <c r="AU206" s="1">
        <v>0</v>
      </c>
      <c r="AV206" s="1"/>
      <c r="AW206" s="1">
        <f t="shared" si="13"/>
        <v>25011872</v>
      </c>
      <c r="AY206" s="1">
        <f>+'St of Activites - GA Rev'!AI206-'St of Activities - GA Exp'!AW206</f>
        <v>-1622225</v>
      </c>
      <c r="BA206" s="1">
        <v>41328819</v>
      </c>
      <c r="BC206" s="1">
        <f t="shared" si="14"/>
        <v>39706594</v>
      </c>
      <c r="BE206" s="1">
        <f>+'St of Net Assets - GA'!AA206-'St of Activities - GA Exp'!BC206</f>
        <v>0</v>
      </c>
    </row>
    <row r="207" spans="1:57" ht="12" hidden="1" customHeight="1">
      <c r="A207" s="17" t="s">
        <v>736</v>
      </c>
      <c r="B207" s="17"/>
      <c r="C207" s="17" t="s">
        <v>21</v>
      </c>
      <c r="D207" s="17"/>
      <c r="E207" s="13">
        <v>46649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7" t="s">
        <v>736</v>
      </c>
      <c r="AL207" s="17"/>
      <c r="AM207" s="17" t="s">
        <v>21</v>
      </c>
      <c r="AN207" s="17"/>
      <c r="AO207" s="1"/>
      <c r="AP207" s="1"/>
      <c r="AQ207" s="1"/>
      <c r="AR207" s="1"/>
      <c r="AS207" s="1"/>
      <c r="AT207" s="1"/>
      <c r="AU207" s="1"/>
      <c r="AV207" s="1"/>
      <c r="AW207" s="1">
        <f t="shared" si="13"/>
        <v>0</v>
      </c>
      <c r="AY207" s="1">
        <f>+'St of Activites - GA Rev'!AI207-'St of Activities - GA Exp'!AW207</f>
        <v>0</v>
      </c>
      <c r="BC207" s="1">
        <f t="shared" si="14"/>
        <v>0</v>
      </c>
      <c r="BE207" s="1">
        <f>+'St of Net Assets - GA'!AA207-'St of Activities - GA Exp'!BC207</f>
        <v>0</v>
      </c>
    </row>
    <row r="208" spans="1:57" s="16" customFormat="1" hidden="1">
      <c r="A208" s="17" t="s">
        <v>815</v>
      </c>
      <c r="B208" s="14"/>
      <c r="C208" s="14" t="s">
        <v>40</v>
      </c>
      <c r="D208" s="14"/>
      <c r="E208" s="14">
        <v>47852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K208" s="17" t="s">
        <v>815</v>
      </c>
      <c r="AL208" s="14"/>
      <c r="AM208" s="14" t="s">
        <v>40</v>
      </c>
      <c r="AN208" s="14"/>
      <c r="AO208" s="1"/>
      <c r="AP208" s="1"/>
      <c r="AQ208" s="1"/>
      <c r="AR208" s="1"/>
      <c r="AS208" s="1"/>
      <c r="AT208" s="1"/>
      <c r="AU208" s="1"/>
      <c r="AV208" s="1"/>
      <c r="AW208" s="1">
        <f t="shared" si="13"/>
        <v>0</v>
      </c>
      <c r="AX208" s="1"/>
      <c r="AY208" s="1">
        <f>+'St of Activites - GA Rev'!AI208-'St of Activities - GA Exp'!AW208</f>
        <v>0</v>
      </c>
      <c r="AZ208" s="1"/>
      <c r="BA208" s="1"/>
      <c r="BB208" s="1"/>
      <c r="BC208" s="1">
        <f t="shared" si="14"/>
        <v>0</v>
      </c>
      <c r="BE208" s="16">
        <f>+'St of Net Assets - GA'!AA208-'St of Activities - GA Exp'!BC208</f>
        <v>0</v>
      </c>
    </row>
    <row r="209" spans="1:57" ht="12" customHeight="1">
      <c r="A209" s="17" t="s">
        <v>556</v>
      </c>
      <c r="B209" s="17"/>
      <c r="C209" s="17" t="s">
        <v>79</v>
      </c>
      <c r="D209" s="17"/>
      <c r="E209" s="13">
        <v>44016</v>
      </c>
      <c r="G209" s="1">
        <v>16434245</v>
      </c>
      <c r="H209" s="1"/>
      <c r="I209" s="1">
        <v>6263634</v>
      </c>
      <c r="J209" s="1"/>
      <c r="K209" s="1">
        <v>108417</v>
      </c>
      <c r="L209" s="1"/>
      <c r="M209" s="1">
        <v>373383</v>
      </c>
      <c r="N209" s="1"/>
      <c r="O209" s="1">
        <v>2255006</v>
      </c>
      <c r="P209" s="1"/>
      <c r="Q209" s="1">
        <v>1836260</v>
      </c>
      <c r="R209" s="1"/>
      <c r="S209" s="1">
        <v>90273</v>
      </c>
      <c r="T209" s="1"/>
      <c r="U209" s="1">
        <v>2977415</v>
      </c>
      <c r="V209" s="1"/>
      <c r="W209" s="1">
        <v>792325</v>
      </c>
      <c r="X209" s="1"/>
      <c r="Y209" s="1">
        <v>149015</v>
      </c>
      <c r="Z209" s="1"/>
      <c r="AA209" s="1">
        <v>3316769</v>
      </c>
      <c r="AB209" s="1"/>
      <c r="AC209" s="1">
        <v>1405567</v>
      </c>
      <c r="AD209" s="1"/>
      <c r="AE209" s="1">
        <v>99281</v>
      </c>
      <c r="AF209" s="1"/>
      <c r="AG209" s="1">
        <v>0</v>
      </c>
      <c r="AH209" s="1"/>
      <c r="AI209" s="1">
        <v>2053170</v>
      </c>
      <c r="AJ209" s="1"/>
      <c r="AK209" s="17" t="s">
        <v>556</v>
      </c>
      <c r="AL209" s="17"/>
      <c r="AM209" s="17" t="s">
        <v>79</v>
      </c>
      <c r="AN209" s="17"/>
      <c r="AO209" s="1">
        <v>858260</v>
      </c>
      <c r="AP209" s="1"/>
      <c r="AQ209" s="1">
        <v>333654</v>
      </c>
      <c r="AR209" s="1"/>
      <c r="AS209" s="1"/>
      <c r="AT209" s="1"/>
      <c r="AU209" s="1">
        <v>0</v>
      </c>
      <c r="AV209" s="1"/>
      <c r="AW209" s="1">
        <f t="shared" si="13"/>
        <v>39346674</v>
      </c>
      <c r="AY209" s="1">
        <f>+'St of Activites - GA Rev'!AI209-'St of Activities - GA Exp'!AW209</f>
        <v>5124804</v>
      </c>
      <c r="BA209" s="1">
        <v>20836000</v>
      </c>
      <c r="BC209" s="1">
        <f t="shared" si="14"/>
        <v>25960804</v>
      </c>
      <c r="BE209" s="1">
        <f>+'St of Net Assets - GA'!AA209-'St of Activities - GA Exp'!BC209</f>
        <v>0</v>
      </c>
    </row>
    <row r="210" spans="1:57">
      <c r="A210" s="17" t="s">
        <v>637</v>
      </c>
      <c r="B210" s="17"/>
      <c r="C210" s="17" t="s">
        <v>70</v>
      </c>
      <c r="D210" s="17"/>
      <c r="E210" s="13">
        <v>50492</v>
      </c>
      <c r="G210" s="1">
        <v>4041058</v>
      </c>
      <c r="H210" s="1"/>
      <c r="I210" s="1">
        <v>1184255</v>
      </c>
      <c r="J210" s="1"/>
      <c r="K210" s="1">
        <v>218553</v>
      </c>
      <c r="L210" s="1"/>
      <c r="M210" s="1">
        <v>13395</v>
      </c>
      <c r="N210" s="1"/>
      <c r="O210" s="1">
        <v>356549</v>
      </c>
      <c r="P210" s="1"/>
      <c r="Q210" s="1">
        <v>122169</v>
      </c>
      <c r="R210" s="1"/>
      <c r="S210" s="1">
        <v>23274</v>
      </c>
      <c r="T210" s="1"/>
      <c r="U210" s="1">
        <v>925170</v>
      </c>
      <c r="V210" s="1"/>
      <c r="W210" s="1">
        <v>270703</v>
      </c>
      <c r="X210" s="1"/>
      <c r="Y210" s="1">
        <v>1084512</v>
      </c>
      <c r="Z210" s="1"/>
      <c r="AA210" s="1">
        <v>0</v>
      </c>
      <c r="AB210" s="1"/>
      <c r="AC210" s="1">
        <v>628400</v>
      </c>
      <c r="AD210" s="1"/>
      <c r="AE210" s="1">
        <v>12015</v>
      </c>
      <c r="AF210" s="1"/>
      <c r="AG210" s="1">
        <v>189232</v>
      </c>
      <c r="AH210" s="1"/>
      <c r="AI210" s="1">
        <v>187649</v>
      </c>
      <c r="AJ210" s="1"/>
      <c r="AK210" s="17" t="s">
        <v>637</v>
      </c>
      <c r="AL210" s="17"/>
      <c r="AM210" s="17" t="s">
        <v>70</v>
      </c>
      <c r="AN210" s="17"/>
      <c r="AO210" s="1">
        <v>155273</v>
      </c>
      <c r="AP210" s="1"/>
      <c r="AQ210" s="1">
        <v>116018</v>
      </c>
      <c r="AR210" s="1"/>
      <c r="AS210" s="1"/>
      <c r="AT210" s="1"/>
      <c r="AU210" s="1">
        <v>0</v>
      </c>
      <c r="AV210" s="1"/>
      <c r="AW210" s="1">
        <f t="shared" si="13"/>
        <v>9528225</v>
      </c>
      <c r="AY210" s="1">
        <f>+'St of Activites - GA Rev'!AI210-'St of Activities - GA Exp'!AW210</f>
        <v>-519213</v>
      </c>
      <c r="BA210" s="1">
        <v>20039506</v>
      </c>
      <c r="BC210" s="1">
        <f t="shared" si="14"/>
        <v>19520293</v>
      </c>
      <c r="BE210" s="1">
        <f>+'St of Net Assets - GA'!AA210-'St of Activities - GA Exp'!BC210</f>
        <v>0</v>
      </c>
    </row>
    <row r="211" spans="1:57" ht="12" customHeight="1">
      <c r="A211" s="17" t="s">
        <v>333</v>
      </c>
      <c r="B211" s="17"/>
      <c r="C211" s="17" t="s">
        <v>27</v>
      </c>
      <c r="D211" s="17"/>
      <c r="E211" s="13">
        <v>46961</v>
      </c>
      <c r="G211" s="1">
        <v>42966520</v>
      </c>
      <c r="H211" s="1"/>
      <c r="I211" s="1">
        <v>12250935</v>
      </c>
      <c r="J211" s="1"/>
      <c r="K211" s="1">
        <v>827459</v>
      </c>
      <c r="L211" s="1"/>
      <c r="M211" s="1">
        <v>0</v>
      </c>
      <c r="N211" s="1"/>
      <c r="O211" s="1">
        <v>3815240</v>
      </c>
      <c r="P211" s="1"/>
      <c r="Q211" s="1">
        <v>4191805</v>
      </c>
      <c r="R211" s="1"/>
      <c r="S211" s="1">
        <v>231202</v>
      </c>
      <c r="T211" s="1"/>
      <c r="U211" s="1">
        <v>6751845</v>
      </c>
      <c r="V211" s="1"/>
      <c r="W211" s="1">
        <v>1585119</v>
      </c>
      <c r="X211" s="1"/>
      <c r="Y211" s="1">
        <v>24985</v>
      </c>
      <c r="Z211" s="1"/>
      <c r="AA211" s="1">
        <v>6899638</v>
      </c>
      <c r="AB211" s="1"/>
      <c r="AC211" s="1">
        <v>2959148</v>
      </c>
      <c r="AD211" s="1"/>
      <c r="AE211" s="1">
        <v>664840</v>
      </c>
      <c r="AF211" s="1"/>
      <c r="AG211" s="1">
        <v>0</v>
      </c>
      <c r="AH211" s="1"/>
      <c r="AI211" s="1">
        <v>1428413</v>
      </c>
      <c r="AJ211" s="1"/>
      <c r="AK211" s="17" t="s">
        <v>333</v>
      </c>
      <c r="AL211" s="17"/>
      <c r="AM211" s="17" t="s">
        <v>27</v>
      </c>
      <c r="AN211" s="17"/>
      <c r="AO211" s="1">
        <v>1253227</v>
      </c>
      <c r="AP211" s="1"/>
      <c r="AQ211" s="1">
        <v>1229512</v>
      </c>
      <c r="AR211" s="1"/>
      <c r="AS211" s="1"/>
      <c r="AT211" s="1"/>
      <c r="AU211" s="1">
        <v>0</v>
      </c>
      <c r="AV211" s="1"/>
      <c r="AW211" s="1">
        <f t="shared" si="13"/>
        <v>87079888</v>
      </c>
      <c r="AY211" s="1">
        <f>+'St of Activites - GA Rev'!AI211-'St of Activities - GA Exp'!AW211</f>
        <v>-6147308</v>
      </c>
      <c r="BA211" s="1">
        <v>40637155</v>
      </c>
      <c r="BC211" s="1">
        <f t="shared" si="14"/>
        <v>34489847</v>
      </c>
      <c r="BE211" s="1">
        <f>+'St of Net Assets - GA'!AA211-'St of Activities - GA Exp'!BC211</f>
        <v>0</v>
      </c>
    </row>
    <row r="212" spans="1:57">
      <c r="A212" s="17" t="s">
        <v>278</v>
      </c>
      <c r="B212" s="17"/>
      <c r="C212" s="17" t="s">
        <v>113</v>
      </c>
      <c r="D212" s="17"/>
      <c r="E212" s="13">
        <v>44024</v>
      </c>
      <c r="G212" s="1">
        <v>8954450</v>
      </c>
      <c r="H212" s="1"/>
      <c r="I212" s="1">
        <v>3488936</v>
      </c>
      <c r="J212" s="1"/>
      <c r="K212" s="1">
        <v>88940</v>
      </c>
      <c r="L212" s="1"/>
      <c r="M212" s="1">
        <v>0</v>
      </c>
      <c r="N212" s="1"/>
      <c r="O212" s="1">
        <v>956141</v>
      </c>
      <c r="P212" s="1"/>
      <c r="Q212" s="1">
        <v>1050360</v>
      </c>
      <c r="R212" s="1"/>
      <c r="S212" s="1">
        <v>58109</v>
      </c>
      <c r="T212" s="1"/>
      <c r="U212" s="1">
        <v>1381547</v>
      </c>
      <c r="V212" s="1"/>
      <c r="W212" s="1">
        <v>418389</v>
      </c>
      <c r="X212" s="1"/>
      <c r="Y212" s="1">
        <v>0</v>
      </c>
      <c r="Z212" s="1"/>
      <c r="AA212" s="1">
        <v>3020934</v>
      </c>
      <c r="AB212" s="1"/>
      <c r="AC212" s="1">
        <v>832372</v>
      </c>
      <c r="AD212" s="1"/>
      <c r="AE212" s="1">
        <v>168136</v>
      </c>
      <c r="AF212" s="1"/>
      <c r="AG212" s="1">
        <v>1046129</v>
      </c>
      <c r="AH212" s="1"/>
      <c r="AI212" s="1">
        <v>0</v>
      </c>
      <c r="AJ212" s="3"/>
      <c r="AK212" s="17" t="s">
        <v>278</v>
      </c>
      <c r="AL212" s="17"/>
      <c r="AM212" s="17" t="s">
        <v>113</v>
      </c>
      <c r="AN212" s="17"/>
      <c r="AO212" s="1">
        <v>662837</v>
      </c>
      <c r="AP212" s="1"/>
      <c r="AQ212" s="1">
        <v>816642</v>
      </c>
      <c r="AR212" s="1"/>
      <c r="AS212" s="1"/>
      <c r="AT212" s="1"/>
      <c r="AU212" s="1">
        <v>0</v>
      </c>
      <c r="AV212" s="1"/>
      <c r="AW212" s="1">
        <f t="shared" si="13"/>
        <v>22943922</v>
      </c>
      <c r="AY212" s="1">
        <f>+'St of Activites - GA Rev'!AI212-'St of Activities - GA Exp'!AW212</f>
        <v>-1263044</v>
      </c>
      <c r="BA212" s="1">
        <v>44522562</v>
      </c>
      <c r="BC212" s="1">
        <f t="shared" si="14"/>
        <v>43259518</v>
      </c>
      <c r="BE212" s="1">
        <f>+'St of Net Assets - GA'!AA212-'St of Activities - GA Exp'!BC212</f>
        <v>0</v>
      </c>
    </row>
    <row r="213" spans="1:57" ht="12" customHeight="1">
      <c r="A213" s="17" t="s">
        <v>349</v>
      </c>
      <c r="B213" s="17"/>
      <c r="C213" s="17" t="s">
        <v>29</v>
      </c>
      <c r="D213" s="17"/>
      <c r="E213" s="13">
        <v>65680</v>
      </c>
      <c r="G213" s="1">
        <v>9896897</v>
      </c>
      <c r="H213" s="1"/>
      <c r="I213" s="1">
        <v>3353479</v>
      </c>
      <c r="J213" s="1"/>
      <c r="K213" s="1">
        <v>579616</v>
      </c>
      <c r="L213" s="1"/>
      <c r="M213" s="1">
        <v>2140405</v>
      </c>
      <c r="N213" s="1"/>
      <c r="O213" s="1">
        <v>581724</v>
      </c>
      <c r="P213" s="1"/>
      <c r="Q213" s="1">
        <v>1056256</v>
      </c>
      <c r="R213" s="1"/>
      <c r="S213" s="1">
        <v>75261</v>
      </c>
      <c r="T213" s="1"/>
      <c r="U213" s="1">
        <v>1729745</v>
      </c>
      <c r="V213" s="1"/>
      <c r="W213" s="1">
        <v>786862</v>
      </c>
      <c r="X213" s="1"/>
      <c r="Y213" s="1">
        <v>24534</v>
      </c>
      <c r="Z213" s="1"/>
      <c r="AA213" s="1">
        <v>1865307</v>
      </c>
      <c r="AB213" s="1"/>
      <c r="AC213" s="1">
        <v>2219611</v>
      </c>
      <c r="AD213" s="1"/>
      <c r="AE213" s="1">
        <v>509354</v>
      </c>
      <c r="AF213" s="1"/>
      <c r="AG213" s="1">
        <v>1036535</v>
      </c>
      <c r="AH213" s="1"/>
      <c r="AI213" s="1">
        <v>0</v>
      </c>
      <c r="AJ213" s="1"/>
      <c r="AK213" s="17" t="s">
        <v>349</v>
      </c>
      <c r="AL213" s="17"/>
      <c r="AM213" s="17" t="s">
        <v>29</v>
      </c>
      <c r="AN213" s="17"/>
      <c r="AO213" s="1">
        <v>514936</v>
      </c>
      <c r="AP213" s="1"/>
      <c r="AQ213" s="1">
        <v>1911394</v>
      </c>
      <c r="AR213" s="1"/>
      <c r="AS213" s="1"/>
      <c r="AT213" s="1"/>
      <c r="AU213" s="1">
        <v>0</v>
      </c>
      <c r="AV213" s="1"/>
      <c r="AW213" s="1">
        <f t="shared" si="13"/>
        <v>28281916</v>
      </c>
      <c r="AY213" s="1">
        <f>+'St of Activites - GA Rev'!AI213-'St of Activities - GA Exp'!AW213</f>
        <v>2632825</v>
      </c>
      <c r="BA213" s="1">
        <v>23403706</v>
      </c>
      <c r="BC213" s="1">
        <f t="shared" si="14"/>
        <v>26036531</v>
      </c>
      <c r="BE213" s="1">
        <f>+'St of Net Assets - GA'!AA213-'St of Activities - GA Exp'!BC213</f>
        <v>0</v>
      </c>
    </row>
    <row r="214" spans="1:57">
      <c r="A214" s="17" t="s">
        <v>350</v>
      </c>
      <c r="B214" s="17"/>
      <c r="C214" s="17" t="s">
        <v>29</v>
      </c>
      <c r="D214" s="17"/>
      <c r="E214" s="13">
        <v>44032</v>
      </c>
      <c r="G214" s="1">
        <v>9214126</v>
      </c>
      <c r="H214" s="1"/>
      <c r="I214" s="1">
        <v>3502187</v>
      </c>
      <c r="J214" s="1"/>
      <c r="K214" s="1">
        <v>94359</v>
      </c>
      <c r="L214" s="1"/>
      <c r="M214" s="1">
        <v>835688</v>
      </c>
      <c r="N214" s="1"/>
      <c r="O214" s="1">
        <v>1132120</v>
      </c>
      <c r="P214" s="1"/>
      <c r="Q214" s="1">
        <v>1346735</v>
      </c>
      <c r="R214" s="1"/>
      <c r="S214" s="1">
        <v>25685</v>
      </c>
      <c r="T214" s="1"/>
      <c r="U214" s="1">
        <v>1951214</v>
      </c>
      <c r="V214" s="1"/>
      <c r="W214" s="1">
        <v>440996</v>
      </c>
      <c r="X214" s="1"/>
      <c r="Y214" s="1">
        <v>0</v>
      </c>
      <c r="Z214" s="1"/>
      <c r="AA214" s="1">
        <v>1797132</v>
      </c>
      <c r="AB214" s="1"/>
      <c r="AC214" s="1">
        <v>1529190</v>
      </c>
      <c r="AD214" s="1"/>
      <c r="AE214" s="1">
        <v>113530</v>
      </c>
      <c r="AF214" s="1"/>
      <c r="AG214" s="1">
        <v>119</v>
      </c>
      <c r="AH214" s="1"/>
      <c r="AI214" s="1">
        <v>916128</v>
      </c>
      <c r="AJ214" s="1"/>
      <c r="AK214" s="17" t="s">
        <v>350</v>
      </c>
      <c r="AL214" s="17"/>
      <c r="AM214" s="17" t="s">
        <v>29</v>
      </c>
      <c r="AN214" s="17"/>
      <c r="AO214" s="1">
        <v>591562</v>
      </c>
      <c r="AP214" s="1"/>
      <c r="AQ214" s="1">
        <v>1065952</v>
      </c>
      <c r="AR214" s="1"/>
      <c r="AS214" s="1"/>
      <c r="AT214" s="1"/>
      <c r="AU214" s="1">
        <v>0</v>
      </c>
      <c r="AV214" s="1"/>
      <c r="AW214" s="1">
        <f t="shared" si="13"/>
        <v>24556723</v>
      </c>
      <c r="AY214" s="1">
        <f>+'St of Activites - GA Rev'!AI214-'St of Activities - GA Exp'!AW214</f>
        <v>6789007</v>
      </c>
      <c r="BA214" s="1">
        <v>44662377</v>
      </c>
      <c r="BC214" s="1">
        <f t="shared" si="14"/>
        <v>51451384</v>
      </c>
      <c r="BE214" s="1">
        <f>+'St of Net Assets - GA'!AA214-'St of Activities - GA Exp'!BC214</f>
        <v>0</v>
      </c>
    </row>
    <row r="215" spans="1:57">
      <c r="A215" s="17" t="s">
        <v>620</v>
      </c>
      <c r="B215" s="17"/>
      <c r="C215" s="17" t="s">
        <v>65</v>
      </c>
      <c r="D215" s="17"/>
      <c r="E215" s="13">
        <v>50278</v>
      </c>
      <c r="G215" s="1">
        <v>5885208</v>
      </c>
      <c r="H215" s="1"/>
      <c r="I215" s="1">
        <v>1363088</v>
      </c>
      <c r="J215" s="1"/>
      <c r="K215" s="1">
        <v>15292</v>
      </c>
      <c r="L215" s="1"/>
      <c r="M215" s="1">
        <v>187658</v>
      </c>
      <c r="N215" s="1"/>
      <c r="O215" s="1">
        <v>377402</v>
      </c>
      <c r="P215" s="1"/>
      <c r="Q215" s="1">
        <v>754425</v>
      </c>
      <c r="R215" s="1"/>
      <c r="S215" s="1">
        <v>15961</v>
      </c>
      <c r="T215" s="1"/>
      <c r="U215" s="1">
        <v>1143729</v>
      </c>
      <c r="V215" s="1"/>
      <c r="W215" s="1">
        <v>377110</v>
      </c>
      <c r="X215" s="1"/>
      <c r="Y215" s="1">
        <v>0</v>
      </c>
      <c r="Z215" s="1"/>
      <c r="AA215" s="1">
        <v>955417</v>
      </c>
      <c r="AB215" s="1"/>
      <c r="AC215" s="1">
        <v>918253</v>
      </c>
      <c r="AD215" s="1"/>
      <c r="AE215" s="1">
        <v>39693</v>
      </c>
      <c r="AF215" s="1"/>
      <c r="AG215" s="1">
        <v>431461</v>
      </c>
      <c r="AH215" s="1"/>
      <c r="AI215" s="1">
        <v>0</v>
      </c>
      <c r="AJ215" s="1"/>
      <c r="AK215" s="17" t="s">
        <v>620</v>
      </c>
      <c r="AL215" s="17"/>
      <c r="AM215" s="17" t="s">
        <v>65</v>
      </c>
      <c r="AN215" s="17"/>
      <c r="AO215" s="1">
        <v>404680</v>
      </c>
      <c r="AP215" s="1"/>
      <c r="AQ215" s="1">
        <v>52770</v>
      </c>
      <c r="AR215" s="1"/>
      <c r="AS215" s="1"/>
      <c r="AT215" s="1"/>
      <c r="AU215" s="1">
        <v>0</v>
      </c>
      <c r="AV215" s="1"/>
      <c r="AW215" s="1">
        <f t="shared" si="13"/>
        <v>12922147</v>
      </c>
      <c r="AY215" s="1">
        <f>+'St of Activites - GA Rev'!AI215-'St of Activities - GA Exp'!AW215</f>
        <v>-465178</v>
      </c>
      <c r="BA215" s="1">
        <v>5209907</v>
      </c>
      <c r="BC215" s="1">
        <f t="shared" si="14"/>
        <v>4744729</v>
      </c>
      <c r="BE215" s="1">
        <f>+'St of Net Assets - GA'!AA215-'St of Activities - GA Exp'!BC215</f>
        <v>0</v>
      </c>
    </row>
    <row r="216" spans="1:57" ht="12" customHeight="1">
      <c r="A216" s="17" t="s">
        <v>291</v>
      </c>
      <c r="B216" s="17"/>
      <c r="C216" s="17" t="s">
        <v>20</v>
      </c>
      <c r="D216" s="17"/>
      <c r="E216" s="13">
        <v>44040</v>
      </c>
      <c r="G216" s="1">
        <v>17926867</v>
      </c>
      <c r="H216" s="1"/>
      <c r="I216" s="1">
        <v>4531619</v>
      </c>
      <c r="J216" s="1"/>
      <c r="K216" s="1">
        <v>449054</v>
      </c>
      <c r="L216" s="1"/>
      <c r="M216" s="1">
        <v>2261897</v>
      </c>
      <c r="N216" s="1"/>
      <c r="O216" s="1">
        <v>2936780</v>
      </c>
      <c r="P216" s="1"/>
      <c r="Q216" s="1">
        <v>2492879</v>
      </c>
      <c r="R216" s="1"/>
      <c r="S216" s="1">
        <v>98672</v>
      </c>
      <c r="T216" s="1"/>
      <c r="U216" s="1">
        <v>3051333</v>
      </c>
      <c r="V216" s="1"/>
      <c r="W216" s="1">
        <v>1076896</v>
      </c>
      <c r="X216" s="1"/>
      <c r="Y216" s="1">
        <v>860053</v>
      </c>
      <c r="Z216" s="1"/>
      <c r="AA216" s="1">
        <v>3782429</v>
      </c>
      <c r="AB216" s="1"/>
      <c r="AC216" s="1">
        <v>1022779</v>
      </c>
      <c r="AD216" s="1"/>
      <c r="AE216" s="1">
        <v>314114</v>
      </c>
      <c r="AF216" s="1"/>
      <c r="AG216" s="1">
        <v>1366004</v>
      </c>
      <c r="AH216" s="1"/>
      <c r="AI216" s="1">
        <v>1224491</v>
      </c>
      <c r="AJ216" s="1"/>
      <c r="AK216" s="17" t="s">
        <v>291</v>
      </c>
      <c r="AL216" s="17"/>
      <c r="AM216" s="17" t="s">
        <v>20</v>
      </c>
      <c r="AN216" s="17"/>
      <c r="AO216" s="1">
        <v>416490</v>
      </c>
      <c r="AP216" s="1"/>
      <c r="AQ216" s="1">
        <v>2526992</v>
      </c>
      <c r="AR216" s="1"/>
      <c r="AS216" s="1"/>
      <c r="AT216" s="1"/>
      <c r="AU216" s="1">
        <v>0</v>
      </c>
      <c r="AV216" s="1"/>
      <c r="AW216" s="1">
        <f t="shared" si="13"/>
        <v>46339349</v>
      </c>
      <c r="AY216" s="1">
        <f>+'St of Activites - GA Rev'!AI216-'St of Activities - GA Exp'!AW216</f>
        <v>18309600</v>
      </c>
      <c r="BA216" s="1">
        <v>3348562</v>
      </c>
      <c r="BC216" s="1">
        <f t="shared" si="14"/>
        <v>21658162</v>
      </c>
      <c r="BE216" s="1">
        <f>+'St of Net Assets - GA'!AA216-'St of Activities - GA Exp'!BC216</f>
        <v>0</v>
      </c>
    </row>
    <row r="217" spans="1:57" ht="12" customHeight="1">
      <c r="A217" s="17" t="s">
        <v>786</v>
      </c>
      <c r="B217" s="17"/>
      <c r="C217" s="17" t="s">
        <v>12</v>
      </c>
      <c r="D217" s="17"/>
      <c r="E217" s="13">
        <v>44057</v>
      </c>
      <c r="G217" s="1">
        <v>10897110</v>
      </c>
      <c r="H217" s="1"/>
      <c r="I217" s="1">
        <v>3442587</v>
      </c>
      <c r="J217" s="1"/>
      <c r="K217" s="1">
        <v>405404</v>
      </c>
      <c r="L217" s="1"/>
      <c r="M217" s="1">
        <v>1375656</v>
      </c>
      <c r="N217" s="1"/>
      <c r="O217" s="1">
        <v>1518395</v>
      </c>
      <c r="P217" s="1"/>
      <c r="Q217" s="1">
        <v>747353</v>
      </c>
      <c r="R217" s="1"/>
      <c r="S217" s="1">
        <v>20177</v>
      </c>
      <c r="T217" s="1"/>
      <c r="U217" s="1">
        <v>1769740</v>
      </c>
      <c r="V217" s="1"/>
      <c r="W217" s="1">
        <v>546726</v>
      </c>
      <c r="X217" s="1"/>
      <c r="Y217" s="1">
        <v>33992</v>
      </c>
      <c r="Z217" s="1"/>
      <c r="AA217" s="1">
        <v>3154555</v>
      </c>
      <c r="AB217" s="1"/>
      <c r="AC217" s="1">
        <v>1498474</v>
      </c>
      <c r="AD217" s="1"/>
      <c r="AE217" s="1">
        <v>4047</v>
      </c>
      <c r="AF217" s="1"/>
      <c r="AG217" s="1">
        <v>0</v>
      </c>
      <c r="AH217" s="1"/>
      <c r="AI217" s="1">
        <v>1345163</v>
      </c>
      <c r="AJ217" s="1"/>
      <c r="AK217" s="17" t="s">
        <v>786</v>
      </c>
      <c r="AL217" s="17"/>
      <c r="AM217" s="17" t="s">
        <v>12</v>
      </c>
      <c r="AN217" s="17"/>
      <c r="AO217" s="1">
        <v>726019</v>
      </c>
      <c r="AP217" s="1"/>
      <c r="AQ217" s="1">
        <v>928551</v>
      </c>
      <c r="AR217" s="1"/>
      <c r="AS217" s="1"/>
      <c r="AT217" s="1"/>
      <c r="AU217" s="1">
        <v>0</v>
      </c>
      <c r="AV217" s="1"/>
      <c r="AW217" s="1">
        <f t="shared" si="13"/>
        <v>28413949</v>
      </c>
      <c r="AY217" s="1">
        <f>+'St of Activites - GA Rev'!AI217-'St of Activities - GA Exp'!AW217</f>
        <v>22126856</v>
      </c>
      <c r="BA217" s="1">
        <v>26063212</v>
      </c>
      <c r="BC217" s="1">
        <f t="shared" si="14"/>
        <v>48190068</v>
      </c>
      <c r="BE217" s="1">
        <f>+'St of Net Assets - GA'!AA217-'St of Activities - GA Exp'!BC217</f>
        <v>0</v>
      </c>
    </row>
    <row r="218" spans="1:57">
      <c r="A218" s="17" t="s">
        <v>521</v>
      </c>
      <c r="B218" s="17"/>
      <c r="C218" s="17" t="s">
        <v>53</v>
      </c>
      <c r="D218" s="17"/>
      <c r="E218" s="13">
        <v>48942</v>
      </c>
      <c r="G218" s="1">
        <v>7323081</v>
      </c>
      <c r="H218" s="1"/>
      <c r="I218" s="1">
        <v>1067410</v>
      </c>
      <c r="J218" s="1"/>
      <c r="K218" s="1">
        <v>0</v>
      </c>
      <c r="L218" s="1"/>
      <c r="M218" s="1">
        <v>151</v>
      </c>
      <c r="N218" s="1"/>
      <c r="O218" s="1">
        <v>370720</v>
      </c>
      <c r="P218" s="1"/>
      <c r="Q218" s="1">
        <v>118301</v>
      </c>
      <c r="R218" s="1"/>
      <c r="S218" s="1">
        <v>10068</v>
      </c>
      <c r="T218" s="1"/>
      <c r="U218" s="1">
        <v>999733</v>
      </c>
      <c r="V218" s="1"/>
      <c r="W218" s="1">
        <v>354530</v>
      </c>
      <c r="X218" s="1"/>
      <c r="Y218" s="1">
        <v>13872</v>
      </c>
      <c r="Z218" s="1"/>
      <c r="AA218" s="1">
        <v>1004941</v>
      </c>
      <c r="AB218" s="1"/>
      <c r="AC218" s="1">
        <v>403759</v>
      </c>
      <c r="AD218" s="1"/>
      <c r="AE218" s="1">
        <v>360871</v>
      </c>
      <c r="AF218" s="1"/>
      <c r="AG218" s="1">
        <v>0</v>
      </c>
      <c r="AH218" s="1"/>
      <c r="AI218" s="1">
        <v>7844</v>
      </c>
      <c r="AJ218" s="1"/>
      <c r="AK218" s="17" t="s">
        <v>521</v>
      </c>
      <c r="AL218" s="17"/>
      <c r="AM218" s="17" t="s">
        <v>53</v>
      </c>
      <c r="AN218" s="17"/>
      <c r="AO218" s="1">
        <v>567506</v>
      </c>
      <c r="AP218" s="1"/>
      <c r="AQ218" s="1">
        <v>509252</v>
      </c>
      <c r="AR218" s="1"/>
      <c r="AS218" s="1"/>
      <c r="AT218" s="1"/>
      <c r="AU218" s="1">
        <v>0</v>
      </c>
      <c r="AV218" s="1"/>
      <c r="AW218" s="1">
        <f t="shared" si="13"/>
        <v>13112039</v>
      </c>
      <c r="AY218" s="1">
        <f>+'St of Activites - GA Rev'!AI218-'St of Activities - GA Exp'!AW218</f>
        <v>527959</v>
      </c>
      <c r="BA218" s="1">
        <v>20248336</v>
      </c>
      <c r="BC218" s="1">
        <f t="shared" si="14"/>
        <v>20776295</v>
      </c>
      <c r="BE218" s="1">
        <f>+'St of Net Assets - GA'!AA218-'St of Activities - GA Exp'!BC218</f>
        <v>0</v>
      </c>
    </row>
    <row r="219" spans="1:57" hidden="1">
      <c r="A219" s="17" t="s">
        <v>816</v>
      </c>
      <c r="B219" s="17"/>
      <c r="C219" s="17" t="s">
        <v>77</v>
      </c>
      <c r="D219" s="17"/>
      <c r="E219" s="13">
        <v>45377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7" t="s">
        <v>816</v>
      </c>
      <c r="AL219" s="17"/>
      <c r="AM219" s="17" t="s">
        <v>77</v>
      </c>
      <c r="AN219" s="17"/>
      <c r="AO219" s="1"/>
      <c r="AP219" s="1"/>
      <c r="AQ219" s="1"/>
      <c r="AR219" s="1"/>
      <c r="AS219" s="1"/>
      <c r="AT219" s="1"/>
      <c r="AU219" s="1"/>
      <c r="AV219" s="1"/>
      <c r="AW219" s="1">
        <f t="shared" si="13"/>
        <v>0</v>
      </c>
      <c r="AY219" s="1">
        <f>+'St of Activites - GA Rev'!AI219-'St of Activities - GA Exp'!AW219</f>
        <v>0</v>
      </c>
      <c r="BC219" s="1">
        <f t="shared" si="14"/>
        <v>0</v>
      </c>
      <c r="BE219" s="1">
        <f>+'St of Net Assets - GA'!AA219-'St of Activities - GA Exp'!BC219</f>
        <v>0</v>
      </c>
    </row>
    <row r="220" spans="1:57">
      <c r="A220" s="17" t="s">
        <v>557</v>
      </c>
      <c r="B220" s="17"/>
      <c r="C220" s="17" t="s">
        <v>79</v>
      </c>
      <c r="D220" s="17"/>
      <c r="E220" s="13">
        <v>45385</v>
      </c>
      <c r="G220" s="1">
        <v>5342443</v>
      </c>
      <c r="H220" s="1"/>
      <c r="I220" s="1">
        <v>1037452</v>
      </c>
      <c r="J220" s="1"/>
      <c r="K220" s="1">
        <v>189072</v>
      </c>
      <c r="L220" s="1"/>
      <c r="M220" s="1">
        <v>881</v>
      </c>
      <c r="N220" s="1"/>
      <c r="O220" s="1">
        <v>392633</v>
      </c>
      <c r="P220" s="1"/>
      <c r="Q220" s="1">
        <v>70621</v>
      </c>
      <c r="R220" s="1"/>
      <c r="S220" s="1">
        <v>42871</v>
      </c>
      <c r="T220" s="1"/>
      <c r="U220" s="1">
        <v>836736</v>
      </c>
      <c r="V220" s="1"/>
      <c r="W220" s="1">
        <v>468103</v>
      </c>
      <c r="X220" s="1"/>
      <c r="Y220" s="1">
        <v>6378</v>
      </c>
      <c r="Z220" s="1"/>
      <c r="AA220" s="1">
        <v>1208991</v>
      </c>
      <c r="AB220" s="1"/>
      <c r="AC220" s="1">
        <v>386540</v>
      </c>
      <c r="AD220" s="1"/>
      <c r="AE220" s="1">
        <v>1604</v>
      </c>
      <c r="AF220" s="1"/>
      <c r="AG220" s="1">
        <v>485975</v>
      </c>
      <c r="AH220" s="1"/>
      <c r="AI220" s="1">
        <v>149722</v>
      </c>
      <c r="AJ220" s="1"/>
      <c r="AK220" s="17" t="s">
        <v>557</v>
      </c>
      <c r="AL220" s="17"/>
      <c r="AM220" s="17" t="s">
        <v>79</v>
      </c>
      <c r="AN220" s="17"/>
      <c r="AO220" s="1">
        <v>333203</v>
      </c>
      <c r="AP220" s="1"/>
      <c r="AQ220" s="1">
        <v>224599</v>
      </c>
      <c r="AR220" s="1"/>
      <c r="AS220" s="1"/>
      <c r="AT220" s="1"/>
      <c r="AU220" s="1">
        <v>0</v>
      </c>
      <c r="AV220" s="1"/>
      <c r="AW220" s="1">
        <f>SUM(G220:AV220)</f>
        <v>11177824</v>
      </c>
      <c r="AY220" s="1">
        <f>+'St of Activites - GA Rev'!AI220-'St of Activities - GA Exp'!AW220</f>
        <v>-184141</v>
      </c>
      <c r="BA220" s="1">
        <v>21626117</v>
      </c>
      <c r="BC220" s="1">
        <f t="shared" si="14"/>
        <v>21441976</v>
      </c>
      <c r="BE220" s="1">
        <f>+'St of Net Assets - GA'!AA220-'St of Activities - GA Exp'!BC220</f>
        <v>0</v>
      </c>
    </row>
    <row r="221" spans="1:57" ht="12" customHeight="1">
      <c r="A221" s="17" t="s">
        <v>603</v>
      </c>
      <c r="B221" s="17"/>
      <c r="C221" s="17" t="s">
        <v>64</v>
      </c>
      <c r="D221" s="17"/>
      <c r="E221" s="13">
        <v>44065</v>
      </c>
      <c r="G221" s="1">
        <v>6645673</v>
      </c>
      <c r="H221" s="1"/>
      <c r="I221" s="1">
        <v>1851346</v>
      </c>
      <c r="J221" s="1"/>
      <c r="K221" s="1">
        <v>186224</v>
      </c>
      <c r="L221" s="1"/>
      <c r="M221" s="1">
        <v>656303</v>
      </c>
      <c r="N221" s="1"/>
      <c r="O221" s="1">
        <v>1014064</v>
      </c>
      <c r="P221" s="1"/>
      <c r="Q221" s="1">
        <v>207203</v>
      </c>
      <c r="R221" s="1"/>
      <c r="S221" s="1">
        <v>58831</v>
      </c>
      <c r="T221" s="1"/>
      <c r="U221" s="1">
        <v>1081343</v>
      </c>
      <c r="V221" s="1"/>
      <c r="W221" s="1">
        <v>760729</v>
      </c>
      <c r="X221" s="1"/>
      <c r="Y221" s="1">
        <v>0</v>
      </c>
      <c r="Z221" s="1"/>
      <c r="AA221" s="1">
        <v>1357929</v>
      </c>
      <c r="AB221" s="1"/>
      <c r="AC221" s="1">
        <v>535738</v>
      </c>
      <c r="AD221" s="1"/>
      <c r="AE221" s="1">
        <v>7039</v>
      </c>
      <c r="AF221" s="1"/>
      <c r="AG221" s="1">
        <v>582877</v>
      </c>
      <c r="AH221" s="1"/>
      <c r="AI221" s="1">
        <v>169710</v>
      </c>
      <c r="AJ221" s="1"/>
      <c r="AK221" s="17" t="s">
        <v>603</v>
      </c>
      <c r="AL221" s="17"/>
      <c r="AM221" s="17" t="s">
        <v>64</v>
      </c>
      <c r="AN221" s="17"/>
      <c r="AO221" s="1">
        <v>601889</v>
      </c>
      <c r="AP221" s="1"/>
      <c r="AQ221" s="1">
        <v>603797</v>
      </c>
      <c r="AR221" s="1"/>
      <c r="AS221" s="1"/>
      <c r="AT221" s="1"/>
      <c r="AU221" s="1">
        <v>0</v>
      </c>
      <c r="AV221" s="1"/>
      <c r="AW221" s="1">
        <f t="shared" si="13"/>
        <v>16320695</v>
      </c>
      <c r="AY221" s="1">
        <f>+'St of Activites - GA Rev'!AI221-'St of Activities - GA Exp'!AW221</f>
        <v>926020</v>
      </c>
      <c r="BA221" s="1">
        <v>34226370</v>
      </c>
      <c r="BC221" s="1">
        <f t="shared" si="14"/>
        <v>35152390</v>
      </c>
      <c r="BE221" s="1">
        <f>+'St of Net Assets - GA'!AA221-'St of Activities - GA Exp'!BC221</f>
        <v>0</v>
      </c>
    </row>
    <row r="222" spans="1:57" hidden="1">
      <c r="A222" s="17" t="s">
        <v>869</v>
      </c>
      <c r="B222" s="17"/>
      <c r="C222" s="17" t="s">
        <v>28</v>
      </c>
      <c r="D222" s="17"/>
      <c r="E222" s="13">
        <v>47068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7" t="s">
        <v>869</v>
      </c>
      <c r="AL222" s="17"/>
      <c r="AM222" s="17" t="s">
        <v>28</v>
      </c>
      <c r="AN222" s="17"/>
      <c r="AO222" s="1"/>
      <c r="AP222" s="1"/>
      <c r="AQ222" s="1"/>
      <c r="AR222" s="1"/>
      <c r="AS222" s="1"/>
      <c r="AT222" s="1"/>
      <c r="AU222" s="1"/>
      <c r="AV222" s="1"/>
      <c r="AW222" s="1">
        <f t="shared" si="13"/>
        <v>0</v>
      </c>
      <c r="AY222" s="1">
        <f>+'St of Activites - GA Rev'!AI222-'St of Activities - GA Exp'!AW222</f>
        <v>0</v>
      </c>
      <c r="BC222" s="1">
        <f t="shared" si="14"/>
        <v>0</v>
      </c>
      <c r="BE222" s="1">
        <f>+'St of Net Assets - GA'!AA222-'St of Activities - GA Exp'!BC222</f>
        <v>0</v>
      </c>
    </row>
    <row r="223" spans="1:57">
      <c r="A223" s="17" t="s">
        <v>254</v>
      </c>
      <c r="B223" s="17"/>
      <c r="C223" s="17" t="s">
        <v>115</v>
      </c>
      <c r="D223" s="17"/>
      <c r="E223" s="13">
        <v>46342</v>
      </c>
      <c r="G223" s="1">
        <v>10895182</v>
      </c>
      <c r="H223" s="1"/>
      <c r="I223" s="1">
        <v>2517763</v>
      </c>
      <c r="J223" s="1"/>
      <c r="K223" s="1">
        <v>441574</v>
      </c>
      <c r="L223" s="1"/>
      <c r="M223" s="1">
        <v>0</v>
      </c>
      <c r="N223" s="1"/>
      <c r="O223" s="1">
        <v>3065204</v>
      </c>
      <c r="P223" s="1"/>
      <c r="Q223" s="1">
        <v>3286598</v>
      </c>
      <c r="R223" s="1"/>
      <c r="S223" s="1">
        <v>49894</v>
      </c>
      <c r="T223" s="1"/>
      <c r="U223" s="1">
        <v>1703947</v>
      </c>
      <c r="V223" s="1"/>
      <c r="W223" s="1">
        <v>619251</v>
      </c>
      <c r="X223" s="1"/>
      <c r="Y223" s="1">
        <v>100974</v>
      </c>
      <c r="Z223" s="1"/>
      <c r="AA223" s="1">
        <v>1756794</v>
      </c>
      <c r="AB223" s="1"/>
      <c r="AC223" s="1">
        <v>2192947</v>
      </c>
      <c r="AD223" s="1"/>
      <c r="AE223" s="1">
        <v>0</v>
      </c>
      <c r="AF223" s="1"/>
      <c r="AG223" s="1">
        <v>1187532</v>
      </c>
      <c r="AH223" s="1"/>
      <c r="AI223" s="1">
        <v>29041</v>
      </c>
      <c r="AJ223" s="1"/>
      <c r="AK223" s="17" t="s">
        <v>254</v>
      </c>
      <c r="AL223" s="17"/>
      <c r="AM223" s="17" t="s">
        <v>115</v>
      </c>
      <c r="AN223" s="17"/>
      <c r="AO223" s="1">
        <v>464164</v>
      </c>
      <c r="AP223" s="1"/>
      <c r="AQ223" s="1">
        <v>547264</v>
      </c>
      <c r="AR223" s="1"/>
      <c r="AS223" s="1"/>
      <c r="AT223" s="1"/>
      <c r="AU223" s="1">
        <v>0</v>
      </c>
      <c r="AV223" s="1"/>
      <c r="AW223" s="1">
        <f t="shared" si="13"/>
        <v>28858129</v>
      </c>
      <c r="AY223" s="1">
        <f>+'St of Activites - GA Rev'!AI223-'St of Activities - GA Exp'!AW223</f>
        <v>-1483008</v>
      </c>
      <c r="BA223" s="1">
        <v>32177823</v>
      </c>
      <c r="BC223" s="1">
        <f t="shared" si="14"/>
        <v>30694815</v>
      </c>
      <c r="BE223" s="1">
        <f>+'St of Net Assets - GA'!AA223-'St of Activities - GA Exp'!BC223</f>
        <v>0</v>
      </c>
    </row>
    <row r="224" spans="1:57">
      <c r="A224" s="17" t="s">
        <v>239</v>
      </c>
      <c r="B224" s="17"/>
      <c r="C224" s="17" t="s">
        <v>240</v>
      </c>
      <c r="D224" s="17"/>
      <c r="E224" s="13">
        <v>46193</v>
      </c>
      <c r="G224" s="1">
        <v>8315420</v>
      </c>
      <c r="H224" s="1"/>
      <c r="I224" s="1">
        <v>2259574</v>
      </c>
      <c r="J224" s="1"/>
      <c r="K224" s="1">
        <v>436</v>
      </c>
      <c r="L224" s="1"/>
      <c r="M224" s="1">
        <f>1581128+114723</f>
        <v>1695851</v>
      </c>
      <c r="N224" s="1"/>
      <c r="O224" s="1">
        <v>1080425</v>
      </c>
      <c r="P224" s="1"/>
      <c r="Q224" s="1">
        <v>1430774</v>
      </c>
      <c r="R224" s="1"/>
      <c r="S224" s="1">
        <v>71008</v>
      </c>
      <c r="T224" s="1"/>
      <c r="U224" s="1">
        <v>1587109</v>
      </c>
      <c r="V224" s="1"/>
      <c r="W224" s="1">
        <v>446469</v>
      </c>
      <c r="X224" s="1"/>
      <c r="Y224" s="1">
        <v>38694</v>
      </c>
      <c r="Z224" s="1"/>
      <c r="AA224" s="1">
        <v>1573031</v>
      </c>
      <c r="AB224" s="1"/>
      <c r="AC224" s="1">
        <v>1293797</v>
      </c>
      <c r="AD224" s="1"/>
      <c r="AE224" s="1">
        <v>225897</v>
      </c>
      <c r="AF224" s="1"/>
      <c r="AG224" s="1">
        <v>0</v>
      </c>
      <c r="AH224" s="1"/>
      <c r="AI224" s="1">
        <v>782880</v>
      </c>
      <c r="AJ224" s="1"/>
      <c r="AK224" s="17" t="s">
        <v>239</v>
      </c>
      <c r="AL224" s="17"/>
      <c r="AM224" s="17" t="s">
        <v>240</v>
      </c>
      <c r="AN224" s="17"/>
      <c r="AO224" s="1">
        <v>556092</v>
      </c>
      <c r="AP224" s="1"/>
      <c r="AQ224" s="1">
        <v>931368</v>
      </c>
      <c r="AR224" s="1"/>
      <c r="AS224" s="1"/>
      <c r="AT224" s="1"/>
      <c r="AU224" s="1">
        <v>0</v>
      </c>
      <c r="AV224" s="1"/>
      <c r="AW224" s="1">
        <f t="shared" si="13"/>
        <v>22288825</v>
      </c>
      <c r="AY224" s="1">
        <f>+'St of Activites - GA Rev'!AI224-'St of Activities - GA Exp'!AW224</f>
        <v>-506673</v>
      </c>
      <c r="BA224" s="1">
        <v>30986966</v>
      </c>
      <c r="BC224" s="1">
        <f t="shared" si="14"/>
        <v>30480293</v>
      </c>
      <c r="BE224" s="1">
        <f>+'St of Net Assets - GA'!AA224-'St of Activities - GA Exp'!BC224</f>
        <v>0</v>
      </c>
    </row>
    <row r="225" spans="1:57">
      <c r="A225" s="17" t="s">
        <v>211</v>
      </c>
      <c r="B225" s="17"/>
      <c r="C225" s="17" t="s">
        <v>12</v>
      </c>
      <c r="D225" s="17"/>
      <c r="E225" s="13">
        <v>45864</v>
      </c>
      <c r="G225" s="1">
        <v>7022936</v>
      </c>
      <c r="H225" s="1"/>
      <c r="I225" s="1">
        <v>898596</v>
      </c>
      <c r="J225" s="1"/>
      <c r="K225" s="1">
        <v>181910</v>
      </c>
      <c r="L225" s="1"/>
      <c r="M225" s="1">
        <v>61830</v>
      </c>
      <c r="N225" s="1"/>
      <c r="O225" s="1">
        <v>457973</v>
      </c>
      <c r="P225" s="1"/>
      <c r="Q225" s="1">
        <v>497178</v>
      </c>
      <c r="R225" s="1"/>
      <c r="S225" s="1">
        <v>18284</v>
      </c>
      <c r="T225" s="1"/>
      <c r="U225" s="1">
        <v>1314500</v>
      </c>
      <c r="V225" s="1"/>
      <c r="W225" s="1">
        <v>329287</v>
      </c>
      <c r="X225" s="1"/>
      <c r="Y225" s="1">
        <v>21979</v>
      </c>
      <c r="Z225" s="1"/>
      <c r="AA225" s="1">
        <v>2837139</v>
      </c>
      <c r="AB225" s="1"/>
      <c r="AC225" s="1">
        <v>1314325</v>
      </c>
      <c r="AD225" s="1"/>
      <c r="AE225" s="1">
        <v>16446</v>
      </c>
      <c r="AF225" s="1"/>
      <c r="AG225" s="1">
        <v>560602</v>
      </c>
      <c r="AH225" s="1"/>
      <c r="AI225" s="1">
        <v>0</v>
      </c>
      <c r="AJ225" s="1"/>
      <c r="AK225" s="17" t="s">
        <v>211</v>
      </c>
      <c r="AL225" s="17"/>
      <c r="AM225" s="17" t="s">
        <v>12</v>
      </c>
      <c r="AN225" s="17"/>
      <c r="AO225" s="1">
        <v>488372</v>
      </c>
      <c r="AP225" s="1"/>
      <c r="AQ225" s="1">
        <v>561318</v>
      </c>
      <c r="AR225" s="1"/>
      <c r="AS225" s="1"/>
      <c r="AT225" s="1"/>
      <c r="AU225" s="1">
        <v>0</v>
      </c>
      <c r="AV225" s="1"/>
      <c r="AW225" s="1">
        <f t="shared" si="13"/>
        <v>16582675</v>
      </c>
      <c r="AY225" s="1">
        <f>+'St of Activites - GA Rev'!AI225-'St of Activities - GA Exp'!AW225</f>
        <v>-771266</v>
      </c>
      <c r="BA225" s="1">
        <v>29368753</v>
      </c>
      <c r="BC225" s="1">
        <f t="shared" si="14"/>
        <v>28597487</v>
      </c>
      <c r="BE225" s="1">
        <f>+'St of Net Assets - GA'!AA225-'St of Activities - GA Exp'!BC225</f>
        <v>0</v>
      </c>
    </row>
    <row r="226" spans="1:57">
      <c r="A226" s="17" t="s">
        <v>334</v>
      </c>
      <c r="B226" s="17"/>
      <c r="C226" s="17" t="s">
        <v>27</v>
      </c>
      <c r="D226" s="17"/>
      <c r="E226" s="13">
        <v>44073</v>
      </c>
      <c r="G226" s="1">
        <v>7398868</v>
      </c>
      <c r="H226" s="1"/>
      <c r="I226" s="1">
        <v>2384845</v>
      </c>
      <c r="J226" s="1"/>
      <c r="K226" s="1">
        <v>116359</v>
      </c>
      <c r="L226" s="1"/>
      <c r="M226" s="1">
        <v>0</v>
      </c>
      <c r="N226" s="1"/>
      <c r="O226" s="1">
        <v>1715957</v>
      </c>
      <c r="P226" s="1"/>
      <c r="Q226" s="1">
        <v>914405</v>
      </c>
      <c r="R226" s="1"/>
      <c r="S226" s="1">
        <v>18240</v>
      </c>
      <c r="T226" s="1"/>
      <c r="U226" s="1">
        <v>1094301</v>
      </c>
      <c r="V226" s="1"/>
      <c r="W226" s="1">
        <v>593864</v>
      </c>
      <c r="X226" s="1"/>
      <c r="Y226" s="1">
        <v>54142</v>
      </c>
      <c r="Z226" s="1"/>
      <c r="AA226" s="1">
        <v>1552547</v>
      </c>
      <c r="AB226" s="1"/>
      <c r="AC226" s="1">
        <v>13730</v>
      </c>
      <c r="AD226" s="1"/>
      <c r="AE226" s="1">
        <v>65976</v>
      </c>
      <c r="AF226" s="1"/>
      <c r="AG226" s="1">
        <v>0</v>
      </c>
      <c r="AH226" s="1"/>
      <c r="AI226" s="1">
        <v>0</v>
      </c>
      <c r="AJ226" s="1"/>
      <c r="AK226" s="17" t="s">
        <v>334</v>
      </c>
      <c r="AL226" s="17"/>
      <c r="AM226" s="17" t="s">
        <v>27</v>
      </c>
      <c r="AN226" s="17"/>
      <c r="AO226" s="1">
        <v>828428</v>
      </c>
      <c r="AP226" s="1"/>
      <c r="AQ226" s="1">
        <v>311099</v>
      </c>
      <c r="AR226" s="1"/>
      <c r="AS226" s="1"/>
      <c r="AT226" s="1"/>
      <c r="AU226" s="1">
        <v>95408</v>
      </c>
      <c r="AV226" s="1"/>
      <c r="AW226" s="1">
        <f t="shared" si="13"/>
        <v>17158169</v>
      </c>
      <c r="AY226" s="1">
        <f>+'St of Activites - GA Rev'!AI226-'St of Activities - GA Exp'!AW226</f>
        <v>369386</v>
      </c>
      <c r="BA226" s="1">
        <v>14449329</v>
      </c>
      <c r="BC226" s="1">
        <f t="shared" si="14"/>
        <v>14818715</v>
      </c>
      <c r="BE226" s="1">
        <f>+'St of Net Assets - GA'!AA226-'St of Activities - GA Exp'!BC226</f>
        <v>0</v>
      </c>
    </row>
    <row r="227" spans="1:57">
      <c r="A227" s="17" t="s">
        <v>817</v>
      </c>
      <c r="B227" s="17"/>
      <c r="C227" s="17" t="s">
        <v>42</v>
      </c>
      <c r="D227" s="17"/>
      <c r="E227" s="13">
        <v>45393</v>
      </c>
      <c r="G227" s="1">
        <v>11899120</v>
      </c>
      <c r="H227" s="1"/>
      <c r="I227" s="1">
        <v>2520861</v>
      </c>
      <c r="J227" s="1"/>
      <c r="K227" s="1">
        <v>158132</v>
      </c>
      <c r="L227" s="1"/>
      <c r="M227" s="1">
        <v>0</v>
      </c>
      <c r="N227" s="1"/>
      <c r="O227" s="1">
        <v>1874209</v>
      </c>
      <c r="P227" s="1"/>
      <c r="Q227" s="1">
        <v>1455718</v>
      </c>
      <c r="R227" s="1"/>
      <c r="S227" s="1">
        <v>58596</v>
      </c>
      <c r="T227" s="1"/>
      <c r="U227" s="1">
        <v>1582101</v>
      </c>
      <c r="V227" s="1"/>
      <c r="W227" s="1">
        <v>756267</v>
      </c>
      <c r="X227" s="1"/>
      <c r="Y227" s="1">
        <v>142458</v>
      </c>
      <c r="Z227" s="1"/>
      <c r="AA227" s="1">
        <v>2352343</v>
      </c>
      <c r="AB227" s="1"/>
      <c r="AC227" s="1">
        <v>1687517</v>
      </c>
      <c r="AD227" s="1"/>
      <c r="AE227" s="1">
        <v>378264</v>
      </c>
      <c r="AF227" s="1"/>
      <c r="AG227" s="1">
        <v>0</v>
      </c>
      <c r="AH227" s="1"/>
      <c r="AI227" s="1">
        <v>908460</v>
      </c>
      <c r="AJ227" s="1"/>
      <c r="AK227" s="17" t="s">
        <v>817</v>
      </c>
      <c r="AL227" s="17"/>
      <c r="AM227" s="17" t="s">
        <v>42</v>
      </c>
      <c r="AN227" s="17"/>
      <c r="AO227" s="1">
        <v>1281203</v>
      </c>
      <c r="AP227" s="1"/>
      <c r="AQ227" s="1">
        <v>2247407</v>
      </c>
      <c r="AR227" s="1"/>
      <c r="AS227" s="1"/>
      <c r="AT227" s="1"/>
      <c r="AU227" s="1">
        <v>0</v>
      </c>
      <c r="AV227" s="1"/>
      <c r="AW227" s="1">
        <f t="shared" si="13"/>
        <v>29302656</v>
      </c>
      <c r="AY227" s="1">
        <f>+'St of Activites - GA Rev'!AI227-'St of Activities - GA Exp'!AW227</f>
        <v>-175647</v>
      </c>
      <c r="BA227" s="1">
        <v>9416000</v>
      </c>
      <c r="BC227" s="1">
        <f t="shared" si="14"/>
        <v>9240353</v>
      </c>
      <c r="BE227" s="1">
        <f>+'St of Net Assets - GA'!AA227-'St of Activities - GA Exp'!BC227</f>
        <v>0</v>
      </c>
    </row>
    <row r="228" spans="1:57">
      <c r="A228" s="17" t="s">
        <v>561</v>
      </c>
      <c r="B228" s="17"/>
      <c r="C228" s="17" t="s">
        <v>59</v>
      </c>
      <c r="D228" s="17"/>
      <c r="E228" s="13">
        <v>49619</v>
      </c>
      <c r="G228" s="1">
        <v>2248063</v>
      </c>
      <c r="H228" s="1"/>
      <c r="I228" s="1">
        <v>828341</v>
      </c>
      <c r="J228" s="1"/>
      <c r="K228" s="1">
        <v>76425</v>
      </c>
      <c r="L228" s="1"/>
      <c r="M228" s="1">
        <v>747530</v>
      </c>
      <c r="N228" s="1"/>
      <c r="O228" s="1">
        <v>413827</v>
      </c>
      <c r="P228" s="1"/>
      <c r="Q228" s="1">
        <v>263796</v>
      </c>
      <c r="R228" s="1"/>
      <c r="S228" s="1">
        <v>37130</v>
      </c>
      <c r="T228" s="1"/>
      <c r="U228" s="1">
        <v>512329</v>
      </c>
      <c r="V228" s="1"/>
      <c r="W228" s="1">
        <v>247219</v>
      </c>
      <c r="X228" s="1"/>
      <c r="Y228" s="1">
        <v>0</v>
      </c>
      <c r="Z228" s="1"/>
      <c r="AA228" s="1">
        <v>637395</v>
      </c>
      <c r="AB228" s="1"/>
      <c r="AC228" s="1">
        <v>472930</v>
      </c>
      <c r="AD228" s="1"/>
      <c r="AE228" s="1">
        <v>0</v>
      </c>
      <c r="AF228" s="1"/>
      <c r="AG228" s="1">
        <v>0</v>
      </c>
      <c r="AH228" s="1"/>
      <c r="AI228" s="1">
        <v>272242</v>
      </c>
      <c r="AJ228" s="1"/>
      <c r="AK228" s="17" t="s">
        <v>561</v>
      </c>
      <c r="AL228" s="17"/>
      <c r="AM228" s="17" t="s">
        <v>59</v>
      </c>
      <c r="AN228" s="17"/>
      <c r="AO228" s="1">
        <v>118147</v>
      </c>
      <c r="AP228" s="1"/>
      <c r="AQ228" s="1">
        <v>1392</v>
      </c>
      <c r="AR228" s="1"/>
      <c r="AS228" s="1"/>
      <c r="AT228" s="1"/>
      <c r="AU228" s="1">
        <v>0</v>
      </c>
      <c r="AV228" s="1"/>
      <c r="AW228" s="1">
        <f t="shared" si="13"/>
        <v>6876766</v>
      </c>
      <c r="AY228" s="1">
        <f>+'St of Activites - GA Rev'!AI228-'St of Activities - GA Exp'!AW228</f>
        <v>199237</v>
      </c>
      <c r="BA228" s="1">
        <v>2386189</v>
      </c>
      <c r="BC228" s="1">
        <f t="shared" si="14"/>
        <v>2585426</v>
      </c>
      <c r="BE228" s="1">
        <f>+'St of Net Assets - GA'!AA228-'St of Activities - GA Exp'!BC228</f>
        <v>0</v>
      </c>
    </row>
    <row r="229" spans="1:57">
      <c r="A229" s="17" t="s">
        <v>561</v>
      </c>
      <c r="B229" s="17"/>
      <c r="C229" s="17" t="s">
        <v>63</v>
      </c>
      <c r="D229" s="17"/>
      <c r="E229" s="13">
        <v>50013</v>
      </c>
      <c r="G229" s="1">
        <v>17853214</v>
      </c>
      <c r="H229" s="1"/>
      <c r="I229" s="1">
        <v>5420246</v>
      </c>
      <c r="J229" s="1"/>
      <c r="K229" s="1">
        <v>146469</v>
      </c>
      <c r="L229" s="1"/>
      <c r="M229" s="1">
        <f>67495+958365</f>
        <v>1025860</v>
      </c>
      <c r="N229" s="1"/>
      <c r="O229" s="1">
        <v>2378960</v>
      </c>
      <c r="P229" s="1"/>
      <c r="Q229" s="1">
        <v>2386428</v>
      </c>
      <c r="R229" s="1"/>
      <c r="S229" s="1">
        <v>37061</v>
      </c>
      <c r="T229" s="1"/>
      <c r="U229" s="1">
        <v>2735105</v>
      </c>
      <c r="V229" s="1"/>
      <c r="W229" s="1">
        <v>1171937</v>
      </c>
      <c r="X229" s="1"/>
      <c r="Y229" s="1">
        <v>116743</v>
      </c>
      <c r="Z229" s="1"/>
      <c r="AA229" s="1">
        <v>3770894</v>
      </c>
      <c r="AB229" s="1"/>
      <c r="AC229" s="1">
        <v>1731739</v>
      </c>
      <c r="AD229" s="1"/>
      <c r="AE229" s="1">
        <v>25557</v>
      </c>
      <c r="AF229" s="1"/>
      <c r="AG229" s="1">
        <v>1434259</v>
      </c>
      <c r="AH229" s="1"/>
      <c r="AI229" s="1">
        <v>125470</v>
      </c>
      <c r="AJ229" s="1"/>
      <c r="AK229" s="17" t="s">
        <v>561</v>
      </c>
      <c r="AL229" s="17"/>
      <c r="AM229" s="17" t="s">
        <v>63</v>
      </c>
      <c r="AN229" s="17"/>
      <c r="AO229" s="1">
        <v>1142719</v>
      </c>
      <c r="AP229" s="1"/>
      <c r="AQ229" s="1">
        <v>991971</v>
      </c>
      <c r="AR229" s="1"/>
      <c r="AS229" s="1"/>
      <c r="AT229" s="1"/>
      <c r="AU229" s="1">
        <v>0</v>
      </c>
      <c r="AV229" s="1"/>
      <c r="AW229" s="1">
        <f t="shared" si="13"/>
        <v>42494632</v>
      </c>
      <c r="AY229" s="1">
        <f>+'St of Activites - GA Rev'!AI229-'St of Activities - GA Exp'!AW229</f>
        <v>-995503</v>
      </c>
      <c r="BA229" s="1">
        <v>4096643</v>
      </c>
      <c r="BC229" s="1">
        <f t="shared" si="14"/>
        <v>3101140</v>
      </c>
      <c r="BE229" s="1">
        <f>+'St of Net Assets - GA'!AA229-'St of Activities - GA Exp'!BC229</f>
        <v>0</v>
      </c>
    </row>
    <row r="230" spans="1:57" hidden="1">
      <c r="A230" s="17" t="s">
        <v>934</v>
      </c>
      <c r="B230" s="17"/>
      <c r="C230" s="17" t="s">
        <v>71</v>
      </c>
      <c r="D230" s="17"/>
      <c r="E230" s="13">
        <v>50559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7" t="s">
        <v>934</v>
      </c>
      <c r="AL230" s="17"/>
      <c r="AM230" s="17" t="s">
        <v>71</v>
      </c>
      <c r="AN230" s="17"/>
      <c r="AO230" s="1"/>
      <c r="AP230" s="1"/>
      <c r="AQ230" s="1"/>
      <c r="AR230" s="1"/>
      <c r="AS230" s="1"/>
      <c r="AT230" s="1"/>
      <c r="AU230" s="1"/>
      <c r="AV230" s="1"/>
      <c r="AW230" s="1">
        <f t="shared" si="13"/>
        <v>0</v>
      </c>
      <c r="AY230" s="1">
        <f>+'St of Activites - GA Rev'!AI230-'St of Activities - GA Exp'!AW230</f>
        <v>0</v>
      </c>
      <c r="BC230" s="1">
        <f t="shared" si="14"/>
        <v>0</v>
      </c>
      <c r="BE230" s="1">
        <f>+'St of Net Assets - GA'!AA230-'St of Activities - GA Exp'!BC230</f>
        <v>0</v>
      </c>
    </row>
    <row r="231" spans="1:57">
      <c r="A231" s="17" t="s">
        <v>358</v>
      </c>
      <c r="B231" s="17"/>
      <c r="C231" s="17" t="s">
        <v>116</v>
      </c>
      <c r="D231" s="17"/>
      <c r="E231" s="13">
        <v>47266</v>
      </c>
      <c r="G231" s="1">
        <v>5865548</v>
      </c>
      <c r="H231" s="1"/>
      <c r="I231" s="1">
        <v>1089595</v>
      </c>
      <c r="J231" s="1"/>
      <c r="K231" s="1">
        <v>90246</v>
      </c>
      <c r="L231" s="1"/>
      <c r="M231" s="1">
        <v>13365</v>
      </c>
      <c r="N231" s="1"/>
      <c r="O231" s="1">
        <v>1223419</v>
      </c>
      <c r="P231" s="1"/>
      <c r="Q231" s="1">
        <v>750429</v>
      </c>
      <c r="R231" s="1"/>
      <c r="S231" s="1">
        <v>82774</v>
      </c>
      <c r="T231" s="1"/>
      <c r="U231" s="1">
        <v>1175007</v>
      </c>
      <c r="V231" s="1"/>
      <c r="W231" s="1">
        <v>365023</v>
      </c>
      <c r="X231" s="1"/>
      <c r="Y231" s="1">
        <v>347</v>
      </c>
      <c r="Z231" s="1"/>
      <c r="AA231" s="1">
        <v>942502</v>
      </c>
      <c r="AB231" s="1"/>
      <c r="AC231" s="1">
        <v>864738</v>
      </c>
      <c r="AD231" s="1"/>
      <c r="AE231" s="1">
        <v>0</v>
      </c>
      <c r="AF231" s="1"/>
      <c r="AG231" s="1">
        <v>0</v>
      </c>
      <c r="AH231" s="1"/>
      <c r="AI231" s="1">
        <v>322410</v>
      </c>
      <c r="AJ231" s="1"/>
      <c r="AK231" s="17" t="s">
        <v>358</v>
      </c>
      <c r="AL231" s="17"/>
      <c r="AM231" s="17" t="s">
        <v>116</v>
      </c>
      <c r="AN231" s="17"/>
      <c r="AO231" s="1">
        <v>392308</v>
      </c>
      <c r="AP231" s="1"/>
      <c r="AQ231" s="1">
        <v>364906</v>
      </c>
      <c r="AR231" s="1"/>
      <c r="AS231" s="1"/>
      <c r="AT231" s="1"/>
      <c r="AU231" s="1">
        <v>0</v>
      </c>
      <c r="AV231" s="1"/>
      <c r="AW231" s="1">
        <f t="shared" si="13"/>
        <v>13542617</v>
      </c>
      <c r="AY231" s="1">
        <f>+'St of Activites - GA Rev'!AI231-'St of Activities - GA Exp'!AW231</f>
        <v>4166684</v>
      </c>
      <c r="BA231" s="1">
        <v>7200584</v>
      </c>
      <c r="BC231" s="1">
        <f t="shared" si="14"/>
        <v>11367268</v>
      </c>
      <c r="BE231" s="1">
        <f>+'St of Net Assets - GA'!AA231-'St of Activities - GA Exp'!BC231</f>
        <v>0</v>
      </c>
    </row>
    <row r="232" spans="1:57" ht="12" customHeight="1">
      <c r="A232" s="17" t="s">
        <v>397</v>
      </c>
      <c r="B232" s="17"/>
      <c r="C232" s="17" t="s">
        <v>395</v>
      </c>
      <c r="D232" s="17"/>
      <c r="E232" s="13">
        <v>45401</v>
      </c>
      <c r="G232" s="1">
        <v>9530739</v>
      </c>
      <c r="H232" s="1"/>
      <c r="I232" s="1">
        <v>1931338</v>
      </c>
      <c r="J232" s="1"/>
      <c r="K232" s="1">
        <v>507232</v>
      </c>
      <c r="L232" s="1"/>
      <c r="M232" s="1">
        <v>904510</v>
      </c>
      <c r="N232" s="1"/>
      <c r="O232" s="1">
        <v>815098</v>
      </c>
      <c r="P232" s="1"/>
      <c r="Q232" s="1">
        <v>378966</v>
      </c>
      <c r="R232" s="1"/>
      <c r="S232" s="1">
        <v>47850</v>
      </c>
      <c r="T232" s="1"/>
      <c r="U232" s="1">
        <v>1627285</v>
      </c>
      <c r="V232" s="1"/>
      <c r="W232" s="1">
        <v>428514</v>
      </c>
      <c r="X232" s="1"/>
      <c r="Y232" s="1">
        <v>0</v>
      </c>
      <c r="Z232" s="1"/>
      <c r="AA232" s="1">
        <v>2086719</v>
      </c>
      <c r="AB232" s="1"/>
      <c r="AC232" s="1">
        <v>969532</v>
      </c>
      <c r="AD232" s="1"/>
      <c r="AE232" s="1">
        <v>56296</v>
      </c>
      <c r="AF232" s="1"/>
      <c r="AG232" s="1">
        <v>0</v>
      </c>
      <c r="AH232" s="1"/>
      <c r="AI232" s="1">
        <v>752339</v>
      </c>
      <c r="AJ232" s="1"/>
      <c r="AK232" s="12" t="s">
        <v>397</v>
      </c>
      <c r="AL232" s="12"/>
      <c r="AM232" s="12" t="s">
        <v>395</v>
      </c>
      <c r="AN232" s="12"/>
      <c r="AO232" s="1">
        <v>327833</v>
      </c>
      <c r="AP232" s="1"/>
      <c r="AQ232" s="1">
        <v>133500</v>
      </c>
      <c r="AR232" s="1"/>
      <c r="AS232" s="1"/>
      <c r="AT232" s="1"/>
      <c r="AU232" s="1">
        <v>0</v>
      </c>
      <c r="AV232" s="1"/>
      <c r="AW232" s="1">
        <f t="shared" si="13"/>
        <v>20497751</v>
      </c>
      <c r="AY232" s="1">
        <f>+'St of Activites - GA Rev'!AI232-'St of Activities - GA Exp'!AW232</f>
        <v>1606732</v>
      </c>
      <c r="BA232" s="1">
        <v>27447147</v>
      </c>
      <c r="BC232" s="1">
        <f t="shared" si="14"/>
        <v>29053879</v>
      </c>
      <c r="BE232" s="1">
        <f>+'St of Net Assets - GA'!AA232-'St of Activities - GA Exp'!BC232</f>
        <v>0</v>
      </c>
    </row>
    <row r="233" spans="1:57">
      <c r="A233" s="17" t="s">
        <v>246</v>
      </c>
      <c r="B233" s="17"/>
      <c r="C233" s="17" t="s">
        <v>17</v>
      </c>
      <c r="D233" s="17"/>
      <c r="E233" s="13">
        <v>46235</v>
      </c>
      <c r="G233" s="1">
        <v>7232282</v>
      </c>
      <c r="H233" s="1"/>
      <c r="I233" s="1">
        <v>1664684</v>
      </c>
      <c r="J233" s="1"/>
      <c r="K233" s="1">
        <v>546839</v>
      </c>
      <c r="L233" s="1"/>
      <c r="M233" s="1">
        <v>403540</v>
      </c>
      <c r="N233" s="1"/>
      <c r="O233" s="1">
        <v>620789</v>
      </c>
      <c r="P233" s="1"/>
      <c r="Q233" s="1">
        <v>381702</v>
      </c>
      <c r="R233" s="1"/>
      <c r="S233" s="1">
        <v>117656</v>
      </c>
      <c r="T233" s="1"/>
      <c r="U233" s="1">
        <v>1491491</v>
      </c>
      <c r="V233" s="1"/>
      <c r="W233" s="1">
        <v>494386</v>
      </c>
      <c r="X233" s="1"/>
      <c r="Y233" s="1">
        <v>191727</v>
      </c>
      <c r="Z233" s="1"/>
      <c r="AA233" s="1">
        <v>1501600</v>
      </c>
      <c r="AB233" s="1"/>
      <c r="AC233" s="1">
        <v>1059062</v>
      </c>
      <c r="AD233" s="1"/>
      <c r="AE233" s="1">
        <v>178156</v>
      </c>
      <c r="AF233" s="1"/>
      <c r="AG233" s="1">
        <v>661868</v>
      </c>
      <c r="AH233" s="1"/>
      <c r="AI233" s="1">
        <v>29973</v>
      </c>
      <c r="AJ233" s="1"/>
      <c r="AK233" s="17" t="s">
        <v>246</v>
      </c>
      <c r="AL233" s="17"/>
      <c r="AM233" s="17" t="s">
        <v>17</v>
      </c>
      <c r="AN233" s="17"/>
      <c r="AO233" s="1">
        <v>412674</v>
      </c>
      <c r="AP233" s="1"/>
      <c r="AQ233" s="1">
        <v>1904</v>
      </c>
      <c r="AR233" s="1"/>
      <c r="AS233" s="1"/>
      <c r="AT233" s="1"/>
      <c r="AU233" s="1">
        <v>0</v>
      </c>
      <c r="AV233" s="1"/>
      <c r="AW233" s="1">
        <f>SUM(G233:AV233)</f>
        <v>16990333</v>
      </c>
      <c r="AY233" s="1">
        <f>+'St of Activites - GA Rev'!AI233-'St of Activities - GA Exp'!AW233</f>
        <v>-333</v>
      </c>
      <c r="BA233" s="1">
        <v>9015731</v>
      </c>
      <c r="BC233" s="1">
        <f t="shared" si="14"/>
        <v>9015398</v>
      </c>
      <c r="BE233" s="1">
        <f>+'St of Net Assets - GA'!AA233-'St of Activities - GA Exp'!BC233</f>
        <v>4602</v>
      </c>
    </row>
    <row r="234" spans="1:57">
      <c r="A234" s="17" t="s">
        <v>309</v>
      </c>
      <c r="B234" s="17"/>
      <c r="C234" s="17" t="s">
        <v>21</v>
      </c>
      <c r="D234" s="17"/>
      <c r="E234" s="13">
        <v>44099</v>
      </c>
      <c r="G234" s="1">
        <v>12178399</v>
      </c>
      <c r="H234" s="1"/>
      <c r="I234" s="1">
        <v>3496302</v>
      </c>
      <c r="J234" s="1"/>
      <c r="K234" s="1">
        <v>1825015</v>
      </c>
      <c r="L234" s="1"/>
      <c r="M234" s="1">
        <f>37540+241392</f>
        <v>278932</v>
      </c>
      <c r="N234" s="1"/>
      <c r="O234" s="1">
        <v>1140310</v>
      </c>
      <c r="P234" s="1"/>
      <c r="Q234" s="1">
        <v>1671127</v>
      </c>
      <c r="R234" s="1"/>
      <c r="S234" s="1">
        <v>153825</v>
      </c>
      <c r="T234" s="1"/>
      <c r="U234" s="1">
        <v>2035213</v>
      </c>
      <c r="V234" s="1"/>
      <c r="W234" s="1">
        <v>828405</v>
      </c>
      <c r="X234" s="1"/>
      <c r="Y234" s="1">
        <v>14113</v>
      </c>
      <c r="Z234" s="1"/>
      <c r="AA234" s="1">
        <v>1514502</v>
      </c>
      <c r="AB234" s="1"/>
      <c r="AC234" s="1">
        <v>905528</v>
      </c>
      <c r="AD234" s="1"/>
      <c r="AE234" s="1">
        <v>247333</v>
      </c>
      <c r="AF234" s="1"/>
      <c r="AG234" s="1">
        <v>0</v>
      </c>
      <c r="AH234" s="1"/>
      <c r="AI234" s="1">
        <v>1144998</v>
      </c>
      <c r="AJ234" s="1"/>
      <c r="AK234" s="17" t="s">
        <v>309</v>
      </c>
      <c r="AL234" s="17"/>
      <c r="AM234" s="17" t="s">
        <v>21</v>
      </c>
      <c r="AN234" s="17"/>
      <c r="AO234" s="1">
        <v>624474</v>
      </c>
      <c r="AP234" s="1"/>
      <c r="AQ234" s="1">
        <v>0</v>
      </c>
      <c r="AR234" s="1"/>
      <c r="AS234" s="1"/>
      <c r="AT234" s="1"/>
      <c r="AU234" s="1">
        <v>0</v>
      </c>
      <c r="AV234" s="1"/>
      <c r="AW234" s="1">
        <f t="shared" si="13"/>
        <v>28058476</v>
      </c>
      <c r="AY234" s="1">
        <f>+'St of Activites - GA Rev'!AI234-'St of Activities - GA Exp'!AW234</f>
        <v>1487771</v>
      </c>
      <c r="BA234" s="1">
        <v>16128625</v>
      </c>
      <c r="BC234" s="1">
        <f t="shared" si="14"/>
        <v>17616396</v>
      </c>
      <c r="BE234" s="1">
        <f>+'St of Net Assets - GA'!AA234-'St of Activities - GA Exp'!BC234</f>
        <v>0</v>
      </c>
    </row>
    <row r="235" spans="1:57">
      <c r="A235" s="17" t="s">
        <v>335</v>
      </c>
      <c r="B235" s="17"/>
      <c r="C235" s="17" t="s">
        <v>27</v>
      </c>
      <c r="D235" s="17"/>
      <c r="E235" s="13">
        <v>46979</v>
      </c>
      <c r="G235" s="1">
        <v>30827400</v>
      </c>
      <c r="H235" s="1"/>
      <c r="I235" s="1">
        <v>8630366</v>
      </c>
      <c r="J235" s="1"/>
      <c r="K235" s="1">
        <v>140411</v>
      </c>
      <c r="L235" s="1"/>
      <c r="M235" s="1">
        <v>1557513</v>
      </c>
      <c r="N235" s="1"/>
      <c r="O235" s="1">
        <v>2877794</v>
      </c>
      <c r="P235" s="1"/>
      <c r="Q235" s="1">
        <v>4500387</v>
      </c>
      <c r="R235" s="1"/>
      <c r="S235" s="1">
        <v>1255682</v>
      </c>
      <c r="T235" s="1"/>
      <c r="U235" s="1">
        <v>3838633</v>
      </c>
      <c r="V235" s="1"/>
      <c r="W235" s="1">
        <v>1255799</v>
      </c>
      <c r="X235" s="1"/>
      <c r="Y235" s="1">
        <v>87893</v>
      </c>
      <c r="Z235" s="1"/>
      <c r="AA235" s="1">
        <v>5274534</v>
      </c>
      <c r="AB235" s="1"/>
      <c r="AC235" s="1">
        <v>5790392</v>
      </c>
      <c r="AD235" s="1"/>
      <c r="AE235" s="1">
        <v>683914</v>
      </c>
      <c r="AF235" s="1"/>
      <c r="AG235" s="1">
        <v>0</v>
      </c>
      <c r="AH235" s="1"/>
      <c r="AI235" s="1">
        <v>2761233</v>
      </c>
      <c r="AJ235" s="1"/>
      <c r="AK235" s="17" t="s">
        <v>335</v>
      </c>
      <c r="AL235" s="17"/>
      <c r="AM235" s="17" t="s">
        <v>27</v>
      </c>
      <c r="AN235" s="17"/>
      <c r="AO235" s="1">
        <v>743632</v>
      </c>
      <c r="AP235" s="1"/>
      <c r="AQ235" s="1">
        <v>18551</v>
      </c>
      <c r="AR235" s="1"/>
      <c r="AS235" s="1"/>
      <c r="AT235" s="1"/>
      <c r="AU235" s="1">
        <v>0</v>
      </c>
      <c r="AV235" s="1"/>
      <c r="AW235" s="1">
        <f t="shared" si="13"/>
        <v>70244134</v>
      </c>
      <c r="AY235" s="1">
        <f>+'St of Activites - GA Rev'!AI235-'St of Activities - GA Exp'!AW235</f>
        <v>1082306</v>
      </c>
      <c r="BA235" s="1">
        <v>14216789</v>
      </c>
      <c r="BC235" s="1">
        <f t="shared" si="14"/>
        <v>15299095</v>
      </c>
      <c r="BE235" s="1">
        <f>+'St of Net Assets - GA'!AA235-'St of Activities - GA Exp'!BC235</f>
        <v>0</v>
      </c>
    </row>
    <row r="236" spans="1:57" ht="11.25" customHeight="1">
      <c r="A236" s="17" t="s">
        <v>229</v>
      </c>
      <c r="B236" s="17"/>
      <c r="C236" s="17" t="s">
        <v>227</v>
      </c>
      <c r="D236" s="17"/>
      <c r="E236" s="13">
        <v>44107</v>
      </c>
      <c r="G236" s="1">
        <v>41057819</v>
      </c>
      <c r="H236" s="1"/>
      <c r="I236" s="1">
        <v>13160424</v>
      </c>
      <c r="J236" s="1"/>
      <c r="K236" s="1">
        <v>1898536</v>
      </c>
      <c r="L236" s="1"/>
      <c r="M236" s="1">
        <v>249547</v>
      </c>
      <c r="N236" s="1"/>
      <c r="O236" s="1">
        <v>6215363</v>
      </c>
      <c r="P236" s="1"/>
      <c r="Q236" s="1">
        <v>5233397</v>
      </c>
      <c r="R236" s="1"/>
      <c r="S236" s="1">
        <v>416760</v>
      </c>
      <c r="T236" s="1"/>
      <c r="U236" s="1">
        <v>8645643</v>
      </c>
      <c r="V236" s="1"/>
      <c r="W236" s="1">
        <v>1206997</v>
      </c>
      <c r="X236" s="1"/>
      <c r="Y236" s="1">
        <v>380104</v>
      </c>
      <c r="Z236" s="1"/>
      <c r="AA236" s="1">
        <v>7738490</v>
      </c>
      <c r="AB236" s="1"/>
      <c r="AC236" s="1">
        <v>2811243</v>
      </c>
      <c r="AD236" s="1"/>
      <c r="AE236" s="1">
        <v>794600</v>
      </c>
      <c r="AF236" s="1"/>
      <c r="AG236" s="1">
        <v>4835125</v>
      </c>
      <c r="AH236" s="1"/>
      <c r="AI236" s="1">
        <v>0</v>
      </c>
      <c r="AJ236" s="1"/>
      <c r="AK236" s="17" t="s">
        <v>229</v>
      </c>
      <c r="AL236" s="17"/>
      <c r="AM236" s="17" t="s">
        <v>227</v>
      </c>
      <c r="AN236" s="17"/>
      <c r="AO236" s="1">
        <v>3127168</v>
      </c>
      <c r="AP236" s="1"/>
      <c r="AQ236" s="1">
        <v>5030270</v>
      </c>
      <c r="AR236" s="1"/>
      <c r="AS236" s="1"/>
      <c r="AT236" s="1"/>
      <c r="AU236" s="1">
        <v>0</v>
      </c>
      <c r="AV236" s="1"/>
      <c r="AW236" s="1">
        <f>SUM(G236:AV236)</f>
        <v>102801486</v>
      </c>
      <c r="AY236" s="1">
        <f>+'St of Activites - GA Rev'!AI236-'St of Activities - GA Exp'!AW236</f>
        <v>-4351070</v>
      </c>
      <c r="BA236" s="1">
        <v>163186998</v>
      </c>
      <c r="BC236" s="1">
        <f t="shared" si="14"/>
        <v>158835928</v>
      </c>
      <c r="BE236" s="1">
        <f>+'St of Net Assets - GA'!AA236-'St of Activities - GA Exp'!BC236</f>
        <v>-35928</v>
      </c>
    </row>
    <row r="237" spans="1:57">
      <c r="A237" s="17" t="s">
        <v>935</v>
      </c>
      <c r="B237" s="17"/>
      <c r="C237" s="17" t="s">
        <v>27</v>
      </c>
      <c r="D237" s="17"/>
      <c r="E237" s="13">
        <v>46953</v>
      </c>
      <c r="G237" s="1">
        <v>10321066</v>
      </c>
      <c r="H237" s="1"/>
      <c r="I237" s="1">
        <v>3775033</v>
      </c>
      <c r="J237" s="1"/>
      <c r="K237" s="1">
        <v>212043</v>
      </c>
      <c r="L237" s="1"/>
      <c r="M237" s="1">
        <v>1641945</v>
      </c>
      <c r="N237" s="1"/>
      <c r="O237" s="1">
        <v>2448543</v>
      </c>
      <c r="P237" s="1"/>
      <c r="Q237" s="1">
        <v>642531</v>
      </c>
      <c r="R237" s="1"/>
      <c r="S237" s="1">
        <v>8801</v>
      </c>
      <c r="T237" s="1"/>
      <c r="U237" s="1">
        <v>2220374</v>
      </c>
      <c r="V237" s="1"/>
      <c r="W237" s="1">
        <v>1000846</v>
      </c>
      <c r="X237" s="1"/>
      <c r="Y237" s="1">
        <v>6098</v>
      </c>
      <c r="Z237" s="1"/>
      <c r="AA237" s="1">
        <v>2882917</v>
      </c>
      <c r="AB237" s="1"/>
      <c r="AC237" s="1">
        <v>1054887</v>
      </c>
      <c r="AD237" s="1"/>
      <c r="AE237" s="1">
        <v>61854</v>
      </c>
      <c r="AF237" s="1"/>
      <c r="AG237" s="1">
        <v>0</v>
      </c>
      <c r="AH237" s="1"/>
      <c r="AI237" s="1">
        <v>1494883</v>
      </c>
      <c r="AJ237" s="16"/>
      <c r="AK237" s="17" t="s">
        <v>935</v>
      </c>
      <c r="AL237" s="17"/>
      <c r="AM237" s="17" t="s">
        <v>27</v>
      </c>
      <c r="AN237" s="17"/>
      <c r="AO237" s="1">
        <v>749040</v>
      </c>
      <c r="AP237" s="1"/>
      <c r="AQ237" s="1">
        <v>1251263</v>
      </c>
      <c r="AR237" s="1"/>
      <c r="AS237" s="1"/>
      <c r="AT237" s="1"/>
      <c r="AU237" s="1">
        <v>347523</v>
      </c>
      <c r="AV237" s="1"/>
      <c r="AW237" s="1">
        <f t="shared" ref="AW237" si="15">SUM(G237:AV237)</f>
        <v>30119647</v>
      </c>
      <c r="AY237" s="1">
        <f>+'St of Activites - GA Rev'!AI237-'St of Activities - GA Exp'!AW237</f>
        <v>153344</v>
      </c>
      <c r="BA237" s="1">
        <v>58278419</v>
      </c>
      <c r="BC237" s="1">
        <f t="shared" si="14"/>
        <v>58431763</v>
      </c>
      <c r="BE237" s="1">
        <f>+'St of Net Assets - GA'!AA237-'St of Activities - GA Exp'!BC237</f>
        <v>0</v>
      </c>
    </row>
    <row r="238" spans="1:57">
      <c r="A238" s="17" t="s">
        <v>384</v>
      </c>
      <c r="B238" s="17"/>
      <c r="C238" s="17" t="s">
        <v>383</v>
      </c>
      <c r="D238" s="17"/>
      <c r="E238" s="13">
        <v>47498</v>
      </c>
      <c r="G238" s="1">
        <v>2373141</v>
      </c>
      <c r="H238" s="1"/>
      <c r="I238" s="1">
        <v>433928</v>
      </c>
      <c r="J238" s="1"/>
      <c r="K238" s="1">
        <v>231013</v>
      </c>
      <c r="L238" s="1"/>
      <c r="M238" s="1">
        <v>0</v>
      </c>
      <c r="N238" s="1"/>
      <c r="O238" s="1">
        <v>154786</v>
      </c>
      <c r="P238" s="1"/>
      <c r="Q238" s="1">
        <v>152391</v>
      </c>
      <c r="R238" s="1"/>
      <c r="S238" s="1">
        <v>41638</v>
      </c>
      <c r="T238" s="1"/>
      <c r="U238" s="1">
        <v>481122</v>
      </c>
      <c r="V238" s="1"/>
      <c r="W238" s="1">
        <v>205703</v>
      </c>
      <c r="X238" s="1"/>
      <c r="Y238" s="1">
        <v>0</v>
      </c>
      <c r="Z238" s="1"/>
      <c r="AA238" s="1">
        <v>295657</v>
      </c>
      <c r="AB238" s="1"/>
      <c r="AC238" s="1">
        <v>234036</v>
      </c>
      <c r="AD238" s="1"/>
      <c r="AE238" s="1">
        <v>0</v>
      </c>
      <c r="AF238" s="1"/>
      <c r="AG238" s="1">
        <v>0</v>
      </c>
      <c r="AH238" s="1"/>
      <c r="AI238" s="1">
        <v>167527</v>
      </c>
      <c r="AJ238" s="1"/>
      <c r="AK238" s="17" t="s">
        <v>384</v>
      </c>
      <c r="AL238" s="17"/>
      <c r="AM238" s="17" t="s">
        <v>383</v>
      </c>
      <c r="AN238" s="17"/>
      <c r="AO238" s="1">
        <v>189277</v>
      </c>
      <c r="AP238" s="1"/>
      <c r="AQ238" s="1">
        <v>161177</v>
      </c>
      <c r="AR238" s="1"/>
      <c r="AS238" s="1"/>
      <c r="AT238" s="1"/>
      <c r="AU238" s="1">
        <v>90798</v>
      </c>
      <c r="AV238" s="1"/>
      <c r="AW238" s="1">
        <f t="shared" si="13"/>
        <v>5212194</v>
      </c>
      <c r="AY238" s="1">
        <f>+'St of Activites - GA Rev'!AI238-'St of Activities - GA Exp'!AW238</f>
        <v>4705288</v>
      </c>
      <c r="BA238" s="1">
        <v>8524598</v>
      </c>
      <c r="BC238" s="1">
        <f t="shared" si="14"/>
        <v>13229886</v>
      </c>
      <c r="BE238" s="1">
        <f>+'St of Net Assets - GA'!AA238-'St of Activities - GA Exp'!BC238</f>
        <v>0</v>
      </c>
    </row>
    <row r="239" spans="1:57" hidden="1">
      <c r="A239" s="17" t="s">
        <v>936</v>
      </c>
      <c r="B239" s="17"/>
      <c r="C239" s="17" t="s">
        <v>61</v>
      </c>
      <c r="D239" s="17"/>
      <c r="E239" s="13">
        <v>49791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7" t="s">
        <v>936</v>
      </c>
      <c r="AL239" s="17"/>
      <c r="AM239" s="17" t="s">
        <v>61</v>
      </c>
      <c r="AN239" s="17"/>
      <c r="AO239" s="1"/>
      <c r="AP239" s="1"/>
      <c r="AQ239" s="1"/>
      <c r="AR239" s="1"/>
      <c r="AS239" s="1"/>
      <c r="AT239" s="1"/>
      <c r="AU239" s="1"/>
      <c r="AV239" s="1"/>
      <c r="AW239" s="1">
        <f t="shared" si="13"/>
        <v>0</v>
      </c>
      <c r="AY239" s="1">
        <f>+'St of Activites - GA Rev'!AI239-'St of Activities - GA Exp'!AW239</f>
        <v>0</v>
      </c>
      <c r="BC239" s="1">
        <f t="shared" si="14"/>
        <v>0</v>
      </c>
      <c r="BE239" s="1">
        <f>+'St of Net Assets - GA'!AA239-'St of Activities - GA Exp'!BC239</f>
        <v>0</v>
      </c>
    </row>
    <row r="240" spans="1:57">
      <c r="A240" s="17" t="s">
        <v>389</v>
      </c>
      <c r="B240" s="17"/>
      <c r="C240" s="17" t="s">
        <v>388</v>
      </c>
      <c r="D240" s="17"/>
      <c r="E240" s="13">
        <v>45245</v>
      </c>
      <c r="G240" s="1">
        <v>9103768</v>
      </c>
      <c r="H240" s="1"/>
      <c r="I240" s="1">
        <v>1951966</v>
      </c>
      <c r="J240" s="1"/>
      <c r="K240" s="1">
        <v>470583</v>
      </c>
      <c r="L240" s="1"/>
      <c r="M240" s="1">
        <v>652141</v>
      </c>
      <c r="N240" s="1"/>
      <c r="O240" s="1">
        <v>1068921</v>
      </c>
      <c r="P240" s="1"/>
      <c r="Q240" s="1">
        <v>639217</v>
      </c>
      <c r="R240" s="1"/>
      <c r="S240" s="1">
        <v>151249</v>
      </c>
      <c r="T240" s="1"/>
      <c r="U240" s="1">
        <v>1428232</v>
      </c>
      <c r="V240" s="1"/>
      <c r="W240" s="1">
        <v>546182</v>
      </c>
      <c r="X240" s="1"/>
      <c r="Y240" s="1">
        <v>0</v>
      </c>
      <c r="Z240" s="1"/>
      <c r="AA240" s="1">
        <v>1325358</v>
      </c>
      <c r="AB240" s="1"/>
      <c r="AC240" s="1">
        <v>1534917</v>
      </c>
      <c r="AD240" s="1"/>
      <c r="AE240" s="1">
        <v>281317</v>
      </c>
      <c r="AF240" s="1"/>
      <c r="AG240" s="1">
        <v>775029</v>
      </c>
      <c r="AH240" s="1"/>
      <c r="AI240" s="1">
        <v>318777</v>
      </c>
      <c r="AJ240" s="1"/>
      <c r="AK240" s="17" t="s">
        <v>389</v>
      </c>
      <c r="AL240" s="17"/>
      <c r="AM240" s="17" t="s">
        <v>388</v>
      </c>
      <c r="AN240" s="17"/>
      <c r="AO240" s="1">
        <v>355600</v>
      </c>
      <c r="AP240" s="1"/>
      <c r="AQ240" s="1">
        <v>122</v>
      </c>
      <c r="AR240" s="1"/>
      <c r="AS240" s="1"/>
      <c r="AT240" s="1"/>
      <c r="AU240" s="1">
        <v>0</v>
      </c>
      <c r="AV240" s="1"/>
      <c r="AW240" s="1">
        <f t="shared" si="13"/>
        <v>20603379</v>
      </c>
      <c r="AY240" s="1">
        <f>+'St of Activites - GA Rev'!AI240-'St of Activities - GA Exp'!AW240</f>
        <v>-929432</v>
      </c>
      <c r="BA240" s="1">
        <v>9627736</v>
      </c>
      <c r="BC240" s="1">
        <f t="shared" si="14"/>
        <v>8698304</v>
      </c>
      <c r="BE240" s="1">
        <f>+'St of Net Assets - GA'!AA240-'St of Activities - GA Exp'!BC240</f>
        <v>0</v>
      </c>
    </row>
    <row r="241" spans="1:57">
      <c r="A241" s="17" t="s">
        <v>427</v>
      </c>
      <c r="B241" s="17"/>
      <c r="C241" s="17" t="s">
        <v>42</v>
      </c>
      <c r="D241" s="17"/>
      <c r="E241" s="13">
        <v>44115</v>
      </c>
      <c r="G241" s="1">
        <v>10537518</v>
      </c>
      <c r="H241" s="1"/>
      <c r="I241" s="1">
        <v>0</v>
      </c>
      <c r="J241" s="1"/>
      <c r="K241" s="1">
        <v>0</v>
      </c>
      <c r="L241" s="1"/>
      <c r="M241" s="1">
        <v>0</v>
      </c>
      <c r="N241" s="1"/>
      <c r="O241" s="1">
        <v>1030058</v>
      </c>
      <c r="P241" s="1"/>
      <c r="Q241" s="1">
        <v>374083</v>
      </c>
      <c r="R241" s="1"/>
      <c r="S241" s="1">
        <v>11787</v>
      </c>
      <c r="T241" s="1"/>
      <c r="U241" s="1">
        <v>1450432</v>
      </c>
      <c r="V241" s="1"/>
      <c r="W241" s="1">
        <v>504185</v>
      </c>
      <c r="X241" s="1"/>
      <c r="Y241" s="1">
        <v>34831</v>
      </c>
      <c r="Z241" s="1"/>
      <c r="AA241" s="1">
        <v>1236884</v>
      </c>
      <c r="AB241" s="1"/>
      <c r="AC241" s="1">
        <v>631971</v>
      </c>
      <c r="AD241" s="1"/>
      <c r="AE241" s="1">
        <v>291401</v>
      </c>
      <c r="AF241" s="1"/>
      <c r="AG241" s="1">
        <v>629322</v>
      </c>
      <c r="AH241" s="1"/>
      <c r="AI241" s="1">
        <v>10722</v>
      </c>
      <c r="AJ241" s="1"/>
      <c r="AK241" s="17" t="s">
        <v>427</v>
      </c>
      <c r="AL241" s="17"/>
      <c r="AM241" s="17" t="s">
        <v>42</v>
      </c>
      <c r="AN241" s="17"/>
      <c r="AO241" s="1">
        <v>713070</v>
      </c>
      <c r="AP241" s="1"/>
      <c r="AQ241" s="1">
        <v>985299</v>
      </c>
      <c r="AR241" s="1"/>
      <c r="AS241" s="1"/>
      <c r="AT241" s="1"/>
      <c r="AU241" s="1">
        <v>0</v>
      </c>
      <c r="AV241" s="1"/>
      <c r="AW241" s="1">
        <f t="shared" si="13"/>
        <v>18441563</v>
      </c>
      <c r="AY241" s="1">
        <f>+'St of Activites - GA Rev'!AI241-'St of Activities - GA Exp'!AW241</f>
        <v>-103212</v>
      </c>
      <c r="BA241" s="1">
        <v>5267096</v>
      </c>
      <c r="BC241" s="1">
        <f t="shared" si="14"/>
        <v>5163884</v>
      </c>
      <c r="BE241" s="1">
        <f>+'St of Net Assets - GA'!AA241-'St of Activities - GA Exp'!BC241</f>
        <v>0</v>
      </c>
    </row>
    <row r="242" spans="1:57" ht="12" hidden="1" customHeight="1">
      <c r="A242" s="17" t="s">
        <v>818</v>
      </c>
      <c r="B242" s="17"/>
      <c r="C242" s="17" t="s">
        <v>22</v>
      </c>
      <c r="D242" s="17"/>
      <c r="E242" s="13">
        <v>45419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7" t="s">
        <v>818</v>
      </c>
      <c r="AL242" s="17"/>
      <c r="AM242" s="17" t="s">
        <v>22</v>
      </c>
      <c r="AN242" s="17"/>
      <c r="AO242" s="1"/>
      <c r="AP242" s="1"/>
      <c r="AQ242" s="1"/>
      <c r="AR242" s="1"/>
      <c r="AS242" s="1"/>
      <c r="AT242" s="1"/>
      <c r="AU242" s="1"/>
      <c r="AV242" s="1"/>
      <c r="AW242" s="1">
        <f t="shared" si="13"/>
        <v>0</v>
      </c>
      <c r="AY242" s="1">
        <f>+'St of Activites - GA Rev'!AI242-'St of Activities - GA Exp'!AW242</f>
        <v>0</v>
      </c>
      <c r="BC242" s="1">
        <f t="shared" si="14"/>
        <v>0</v>
      </c>
      <c r="BE242" s="1">
        <f>+'St of Net Assets - GA'!AA242-'St of Activities - GA Exp'!BC242</f>
        <v>0</v>
      </c>
    </row>
    <row r="243" spans="1:57">
      <c r="A243" s="17" t="s">
        <v>481</v>
      </c>
      <c r="B243" s="17"/>
      <c r="C243" s="17" t="s">
        <v>47</v>
      </c>
      <c r="D243" s="17"/>
      <c r="E243" s="13">
        <v>48496</v>
      </c>
      <c r="G243" s="1">
        <v>13533366</v>
      </c>
      <c r="H243" s="1"/>
      <c r="I243" s="1">
        <v>2851628</v>
      </c>
      <c r="J243" s="1"/>
      <c r="K243" s="1">
        <v>278812</v>
      </c>
      <c r="L243" s="1"/>
      <c r="M243" s="1">
        <v>191003</v>
      </c>
      <c r="N243" s="1"/>
      <c r="O243" s="1">
        <v>1749221</v>
      </c>
      <c r="P243" s="1"/>
      <c r="Q243" s="1">
        <v>2083672</v>
      </c>
      <c r="R243" s="1"/>
      <c r="S243" s="1">
        <v>33645</v>
      </c>
      <c r="T243" s="1"/>
      <c r="U243" s="1">
        <v>2161944</v>
      </c>
      <c r="V243" s="1"/>
      <c r="W243" s="1">
        <v>827008</v>
      </c>
      <c r="X243" s="1"/>
      <c r="Y243" s="1">
        <v>36531</v>
      </c>
      <c r="Z243" s="1"/>
      <c r="AA243" s="1">
        <v>3110315</v>
      </c>
      <c r="AB243" s="1"/>
      <c r="AC243" s="1">
        <v>1676783</v>
      </c>
      <c r="AD243" s="1"/>
      <c r="AE243" s="1">
        <v>264307</v>
      </c>
      <c r="AF243" s="1"/>
      <c r="AG243" s="1">
        <v>1141808</v>
      </c>
      <c r="AH243" s="1"/>
      <c r="AI243" s="1">
        <v>176670</v>
      </c>
      <c r="AJ243" s="1"/>
      <c r="AK243" s="17" t="s">
        <v>481</v>
      </c>
      <c r="AL243" s="17"/>
      <c r="AM243" s="17" t="s">
        <v>47</v>
      </c>
      <c r="AN243" s="17"/>
      <c r="AO243" s="1">
        <v>1496114</v>
      </c>
      <c r="AP243" s="1"/>
      <c r="AQ243" s="1">
        <v>1532326</v>
      </c>
      <c r="AR243" s="1"/>
      <c r="AS243" s="1"/>
      <c r="AT243" s="1"/>
      <c r="AU243" s="1">
        <v>0</v>
      </c>
      <c r="AV243" s="1"/>
      <c r="AW243" s="1">
        <f t="shared" si="13"/>
        <v>33145153</v>
      </c>
      <c r="AY243" s="1">
        <f>+'St of Activites - GA Rev'!AI243-'St of Activities - GA Exp'!AW243</f>
        <v>-1415771</v>
      </c>
      <c r="BA243" s="1">
        <v>20632330</v>
      </c>
      <c r="BC243" s="1">
        <f t="shared" si="14"/>
        <v>19216559</v>
      </c>
      <c r="BE243" s="1">
        <f>+'St of Net Assets - GA'!AA243-'St of Activities - GA Exp'!BC243</f>
        <v>0</v>
      </c>
    </row>
    <row r="244" spans="1:57">
      <c r="A244" s="17" t="s">
        <v>481</v>
      </c>
      <c r="B244" s="17"/>
      <c r="C244" s="17" t="s">
        <v>78</v>
      </c>
      <c r="D244" s="17"/>
      <c r="E244" s="13">
        <v>48801</v>
      </c>
      <c r="G244" s="1">
        <v>7711331</v>
      </c>
      <c r="H244" s="1"/>
      <c r="I244" s="1">
        <v>2402410</v>
      </c>
      <c r="J244" s="1"/>
      <c r="K244" s="1">
        <v>155038</v>
      </c>
      <c r="L244" s="1"/>
      <c r="M244" s="1">
        <v>0</v>
      </c>
      <c r="N244" s="1"/>
      <c r="O244" s="1">
        <v>896396</v>
      </c>
      <c r="P244" s="1"/>
      <c r="Q244" s="1">
        <v>903004</v>
      </c>
      <c r="R244" s="1"/>
      <c r="S244" s="1">
        <v>276443</v>
      </c>
      <c r="T244" s="1"/>
      <c r="U244" s="1">
        <v>727374</v>
      </c>
      <c r="V244" s="1"/>
      <c r="W244" s="1">
        <v>401892</v>
      </c>
      <c r="X244" s="1"/>
      <c r="Y244" s="1">
        <v>0</v>
      </c>
      <c r="Z244" s="1"/>
      <c r="AA244" s="1">
        <v>1442212</v>
      </c>
      <c r="AB244" s="1"/>
      <c r="AC244" s="1">
        <v>1374071</v>
      </c>
      <c r="AD244" s="1"/>
      <c r="AE244" s="1">
        <v>8270</v>
      </c>
      <c r="AF244" s="1"/>
      <c r="AG244" s="1">
        <v>0</v>
      </c>
      <c r="AH244" s="1"/>
      <c r="AI244" s="1">
        <v>755778</v>
      </c>
      <c r="AJ244" s="1"/>
      <c r="AK244" s="17" t="s">
        <v>481</v>
      </c>
      <c r="AL244" s="17"/>
      <c r="AM244" s="17" t="s">
        <v>78</v>
      </c>
      <c r="AN244" s="17"/>
      <c r="AO244" s="1">
        <v>372397</v>
      </c>
      <c r="AP244" s="1"/>
      <c r="AQ244" s="1">
        <v>814627</v>
      </c>
      <c r="AR244" s="1"/>
      <c r="AS244" s="1"/>
      <c r="AT244" s="1"/>
      <c r="AU244" s="1">
        <v>0</v>
      </c>
      <c r="AV244" s="1"/>
      <c r="AW244" s="1">
        <f t="shared" si="13"/>
        <v>18241243</v>
      </c>
      <c r="AY244" s="1">
        <f>+'St of Activites - GA Rev'!AI244-'St of Activities - GA Exp'!AW244</f>
        <v>220286</v>
      </c>
      <c r="BA244" s="1">
        <v>53539778</v>
      </c>
      <c r="BC244" s="1">
        <f t="shared" si="14"/>
        <v>53760064</v>
      </c>
      <c r="BE244" s="1">
        <f>+'St of Net Assets - GA'!AA244-'St of Activities - GA Exp'!BC244</f>
        <v>0</v>
      </c>
    </row>
    <row r="245" spans="1:57">
      <c r="A245" s="17" t="s">
        <v>337</v>
      </c>
      <c r="B245" s="17"/>
      <c r="C245" s="17" t="s">
        <v>27</v>
      </c>
      <c r="D245" s="17"/>
      <c r="E245" s="13">
        <v>47019</v>
      </c>
      <c r="G245" s="1">
        <v>93413678</v>
      </c>
      <c r="H245" s="1"/>
      <c r="I245" s="1">
        <v>19298827</v>
      </c>
      <c r="J245" s="1"/>
      <c r="K245" s="1">
        <v>1350631</v>
      </c>
      <c r="L245" s="1"/>
      <c r="M245" s="1">
        <v>0</v>
      </c>
      <c r="N245" s="1"/>
      <c r="O245" s="1">
        <v>10047902</v>
      </c>
      <c r="P245" s="1"/>
      <c r="Q245" s="1">
        <v>9854465</v>
      </c>
      <c r="R245" s="1"/>
      <c r="S245" s="1">
        <v>438072</v>
      </c>
      <c r="T245" s="1"/>
      <c r="U245" s="1">
        <v>10214620</v>
      </c>
      <c r="V245" s="1"/>
      <c r="W245" s="1">
        <v>3831070</v>
      </c>
      <c r="X245" s="1"/>
      <c r="Y245" s="1">
        <v>971255</v>
      </c>
      <c r="Z245" s="1"/>
      <c r="AA245" s="1">
        <v>16420139</v>
      </c>
      <c r="AB245" s="1"/>
      <c r="AC245" s="1">
        <v>7997969</v>
      </c>
      <c r="AD245" s="1"/>
      <c r="AE245" s="1">
        <v>673108</v>
      </c>
      <c r="AF245" s="1"/>
      <c r="AG245" s="1">
        <v>4774193</v>
      </c>
      <c r="AH245" s="1"/>
      <c r="AI245" s="1">
        <v>2556229</v>
      </c>
      <c r="AJ245" s="1"/>
      <c r="AK245" s="17" t="s">
        <v>337</v>
      </c>
      <c r="AL245" s="17"/>
      <c r="AM245" s="17" t="s">
        <v>27</v>
      </c>
      <c r="AN245" s="17"/>
      <c r="AO245" s="1">
        <v>4924554</v>
      </c>
      <c r="AP245" s="1"/>
      <c r="AQ245" s="1">
        <v>11204471</v>
      </c>
      <c r="AR245" s="1"/>
      <c r="AS245" s="1"/>
      <c r="AT245" s="1"/>
      <c r="AU245" s="1">
        <v>0</v>
      </c>
      <c r="AV245" s="1"/>
      <c r="AW245" s="1">
        <f t="shared" si="13"/>
        <v>197971183</v>
      </c>
      <c r="AY245" s="1">
        <f>+'St of Activites - GA Rev'!AI245-'St of Activities - GA Exp'!AW245</f>
        <v>-5383019</v>
      </c>
      <c r="BA245" s="1">
        <v>61054040</v>
      </c>
      <c r="BC245" s="1">
        <f t="shared" si="14"/>
        <v>55671021</v>
      </c>
      <c r="BE245" s="1">
        <f>+'St of Net Assets - GA'!AA245-'St of Activities - GA Exp'!BC245</f>
        <v>0</v>
      </c>
    </row>
    <row r="246" spans="1:57" ht="12" hidden="1" customHeight="1">
      <c r="A246" s="17" t="s">
        <v>398</v>
      </c>
      <c r="B246" s="17"/>
      <c r="C246" s="17" t="s">
        <v>395</v>
      </c>
      <c r="D246" s="17"/>
      <c r="E246" s="13">
        <v>44123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7" t="s">
        <v>398</v>
      </c>
      <c r="AL246" s="17"/>
      <c r="AM246" s="17" t="s">
        <v>395</v>
      </c>
      <c r="AN246" s="17"/>
      <c r="AO246" s="1"/>
      <c r="AP246" s="1"/>
      <c r="AQ246" s="1"/>
      <c r="AR246" s="1"/>
      <c r="AS246" s="1"/>
      <c r="AT246" s="1"/>
      <c r="AU246" s="1"/>
      <c r="AV246" s="1"/>
      <c r="AW246" s="1">
        <f t="shared" si="13"/>
        <v>0</v>
      </c>
      <c r="AY246" s="1">
        <f>+'St of Activites - GA Rev'!AI246-'St of Activities - GA Exp'!AW246</f>
        <v>0</v>
      </c>
      <c r="BC246" s="1">
        <f t="shared" si="14"/>
        <v>0</v>
      </c>
      <c r="BE246" s="1">
        <f>+'St of Net Assets - GA'!AA246-'St of Activities - GA Exp'!BC246</f>
        <v>0</v>
      </c>
    </row>
    <row r="247" spans="1:57">
      <c r="A247" s="17" t="s">
        <v>207</v>
      </c>
      <c r="B247" s="17"/>
      <c r="C247" s="17" t="s">
        <v>11</v>
      </c>
      <c r="D247" s="17"/>
      <c r="E247" s="13">
        <v>45823</v>
      </c>
      <c r="F247" s="1"/>
      <c r="G247" s="1">
        <v>4619246</v>
      </c>
      <c r="H247" s="1"/>
      <c r="I247" s="1">
        <v>608802</v>
      </c>
      <c r="J247" s="1"/>
      <c r="K247" s="1">
        <v>407793</v>
      </c>
      <c r="L247" s="1"/>
      <c r="M247" s="1">
        <v>240888</v>
      </c>
      <c r="N247" s="1"/>
      <c r="O247" s="1">
        <v>568682</v>
      </c>
      <c r="P247" s="1"/>
      <c r="Q247" s="1">
        <v>322614</v>
      </c>
      <c r="R247" s="1"/>
      <c r="S247" s="1">
        <v>55673</v>
      </c>
      <c r="T247" s="1"/>
      <c r="U247" s="1">
        <v>870548</v>
      </c>
      <c r="V247" s="1"/>
      <c r="W247" s="1">
        <v>338485</v>
      </c>
      <c r="X247" s="1"/>
      <c r="Y247" s="1">
        <v>0</v>
      </c>
      <c r="Z247" s="1"/>
      <c r="AA247" s="1">
        <v>973951</v>
      </c>
      <c r="AB247" s="1"/>
      <c r="AC247" s="1">
        <v>821240</v>
      </c>
      <c r="AD247" s="1"/>
      <c r="AE247" s="1">
        <v>6859</v>
      </c>
      <c r="AF247" s="1"/>
      <c r="AG247" s="1">
        <v>357155</v>
      </c>
      <c r="AH247" s="1"/>
      <c r="AI247" s="1">
        <v>617</v>
      </c>
      <c r="AJ247" s="1"/>
      <c r="AK247" s="17" t="s">
        <v>207</v>
      </c>
      <c r="AL247" s="17"/>
      <c r="AM247" s="17" t="s">
        <v>11</v>
      </c>
      <c r="AN247" s="17"/>
      <c r="AO247" s="1">
        <v>467181</v>
      </c>
      <c r="AP247" s="1"/>
      <c r="AQ247" s="1">
        <v>8016</v>
      </c>
      <c r="AR247" s="1"/>
      <c r="AS247" s="1"/>
      <c r="AT247" s="1"/>
      <c r="AU247" s="1">
        <v>0</v>
      </c>
      <c r="AV247" s="1"/>
      <c r="AW247" s="1">
        <f t="shared" si="13"/>
        <v>10667750</v>
      </c>
      <c r="AY247" s="1">
        <f>+'St of Activites - GA Rev'!AI247-'St of Activities - GA Exp'!AW247</f>
        <v>23169</v>
      </c>
      <c r="BA247" s="1">
        <v>3648469</v>
      </c>
      <c r="BC247" s="1">
        <f t="shared" si="14"/>
        <v>3671638</v>
      </c>
      <c r="BE247" s="1">
        <f>+'St of Net Assets - GA'!AA247-'St of Activities - GA Exp'!BC247</f>
        <v>0</v>
      </c>
    </row>
    <row r="248" spans="1:57">
      <c r="A248" s="17" t="s">
        <v>390</v>
      </c>
      <c r="B248" s="17"/>
      <c r="C248" s="17" t="s">
        <v>34</v>
      </c>
      <c r="D248" s="17"/>
      <c r="E248" s="13">
        <v>47571</v>
      </c>
      <c r="G248" s="1">
        <v>2822995</v>
      </c>
      <c r="H248" s="1"/>
      <c r="I248" s="1">
        <v>543770</v>
      </c>
      <c r="J248" s="1"/>
      <c r="K248" s="1">
        <v>107136</v>
      </c>
      <c r="L248" s="1"/>
      <c r="M248" s="1">
        <v>0</v>
      </c>
      <c r="N248" s="1"/>
      <c r="O248" s="1">
        <v>246571</v>
      </c>
      <c r="P248" s="1"/>
      <c r="Q248" s="1">
        <v>189432</v>
      </c>
      <c r="R248" s="1"/>
      <c r="S248" s="1">
        <v>17994</v>
      </c>
      <c r="T248" s="1"/>
      <c r="U248" s="1">
        <v>494890</v>
      </c>
      <c r="V248" s="1"/>
      <c r="W248" s="1">
        <v>207218</v>
      </c>
      <c r="X248" s="1"/>
      <c r="Y248" s="1">
        <v>8917</v>
      </c>
      <c r="Z248" s="1"/>
      <c r="AA248" s="1">
        <v>453885</v>
      </c>
      <c r="AB248" s="1"/>
      <c r="AC248" s="1">
        <v>218955</v>
      </c>
      <c r="AD248" s="1"/>
      <c r="AE248" s="1">
        <v>90796</v>
      </c>
      <c r="AF248" s="1"/>
      <c r="AG248" s="1">
        <v>0</v>
      </c>
      <c r="AH248" s="1"/>
      <c r="AI248" s="1">
        <v>241417</v>
      </c>
      <c r="AJ248" s="1"/>
      <c r="AK248" s="17" t="s">
        <v>390</v>
      </c>
      <c r="AL248" s="17"/>
      <c r="AM248" s="17" t="s">
        <v>34</v>
      </c>
      <c r="AN248" s="17"/>
      <c r="AO248" s="1">
        <v>274340</v>
      </c>
      <c r="AP248" s="1"/>
      <c r="AQ248" s="1">
        <v>221734</v>
      </c>
      <c r="AR248" s="1"/>
      <c r="AS248" s="1"/>
      <c r="AT248" s="1"/>
      <c r="AU248" s="1">
        <v>0</v>
      </c>
      <c r="AV248" s="1"/>
      <c r="AW248" s="1">
        <f t="shared" ref="AW248:AW274" si="16">SUM(G248:AV248)</f>
        <v>6140050</v>
      </c>
      <c r="AY248" s="1">
        <f>+'St of Activites - GA Rev'!AI248-'St of Activities - GA Exp'!AW248</f>
        <v>1023837</v>
      </c>
      <c r="BA248" s="1">
        <v>18875096</v>
      </c>
      <c r="BC248" s="1">
        <f t="shared" si="14"/>
        <v>19898933</v>
      </c>
      <c r="BE248" s="1">
        <f>+'St of Net Assets - GA'!AA248-'St of Activities - GA Exp'!BC248</f>
        <v>0</v>
      </c>
    </row>
    <row r="249" spans="1:57">
      <c r="A249" s="17" t="s">
        <v>604</v>
      </c>
      <c r="B249" s="17"/>
      <c r="C249" s="17" t="s">
        <v>64</v>
      </c>
      <c r="D249" s="17"/>
      <c r="E249" s="13">
        <v>50161</v>
      </c>
      <c r="G249" s="1">
        <v>13293715</v>
      </c>
      <c r="H249" s="1"/>
      <c r="I249" s="1">
        <v>3792046</v>
      </c>
      <c r="J249" s="1"/>
      <c r="K249" s="1">
        <v>615308</v>
      </c>
      <c r="L249" s="1"/>
      <c r="M249" s="1">
        <v>1708193</v>
      </c>
      <c r="N249" s="1"/>
      <c r="O249" s="1">
        <v>1698911</v>
      </c>
      <c r="P249" s="1"/>
      <c r="Q249" s="1">
        <v>1284093</v>
      </c>
      <c r="R249" s="1"/>
      <c r="S249" s="1">
        <v>304684</v>
      </c>
      <c r="T249" s="1"/>
      <c r="U249" s="1">
        <v>2404330</v>
      </c>
      <c r="V249" s="1"/>
      <c r="W249" s="1">
        <v>687846</v>
      </c>
      <c r="X249" s="1"/>
      <c r="Y249" s="1">
        <v>97730</v>
      </c>
      <c r="Z249" s="1"/>
      <c r="AA249" s="1">
        <v>3441515</v>
      </c>
      <c r="AB249" s="1"/>
      <c r="AC249" s="1">
        <v>1755493</v>
      </c>
      <c r="AD249" s="1"/>
      <c r="AE249" s="1">
        <v>13510</v>
      </c>
      <c r="AF249" s="1"/>
      <c r="AG249" s="1">
        <v>940268</v>
      </c>
      <c r="AH249" s="1"/>
      <c r="AI249" s="1">
        <v>150871</v>
      </c>
      <c r="AJ249" s="1"/>
      <c r="AK249" s="17" t="s">
        <v>604</v>
      </c>
      <c r="AL249" s="17"/>
      <c r="AM249" s="17" t="s">
        <v>64</v>
      </c>
      <c r="AN249" s="17"/>
      <c r="AO249" s="1">
        <v>722067</v>
      </c>
      <c r="AP249" s="1"/>
      <c r="AQ249" s="1">
        <v>0</v>
      </c>
      <c r="AR249" s="1"/>
      <c r="AS249" s="1"/>
      <c r="AT249" s="1"/>
      <c r="AU249" s="1">
        <v>0</v>
      </c>
      <c r="AV249" s="1"/>
      <c r="AW249" s="1">
        <f t="shared" si="16"/>
        <v>32910580</v>
      </c>
      <c r="AY249" s="1">
        <f>+'St of Activites - GA Rev'!AI249-'St of Activities - GA Exp'!AW249</f>
        <v>318019</v>
      </c>
      <c r="BA249" s="1">
        <v>6784489</v>
      </c>
      <c r="BC249" s="1">
        <f t="shared" ref="BC249:BC275" si="17">+AY249+BA249</f>
        <v>7102508</v>
      </c>
      <c r="BE249" s="1">
        <f>+'St of Net Assets - GA'!AA249-'St of Activities - GA Exp'!BC249</f>
        <v>0</v>
      </c>
    </row>
    <row r="250" spans="1:57">
      <c r="A250" s="17" t="s">
        <v>605</v>
      </c>
      <c r="B250" s="17"/>
      <c r="C250" s="17" t="s">
        <v>64</v>
      </c>
      <c r="D250" s="17"/>
      <c r="E250" s="13">
        <v>45427</v>
      </c>
      <c r="G250" s="1">
        <v>8574065</v>
      </c>
      <c r="H250" s="1"/>
      <c r="I250" s="1">
        <v>1729821</v>
      </c>
      <c r="J250" s="1"/>
      <c r="K250" s="1">
        <v>323276</v>
      </c>
      <c r="L250" s="1"/>
      <c r="M250" s="1">
        <v>529606</v>
      </c>
      <c r="N250" s="1"/>
      <c r="O250" s="1">
        <v>911449</v>
      </c>
      <c r="P250" s="1"/>
      <c r="Q250" s="1">
        <v>719462</v>
      </c>
      <c r="R250" s="1"/>
      <c r="S250" s="1">
        <v>17997</v>
      </c>
      <c r="T250" s="1"/>
      <c r="U250" s="1">
        <v>1349001</v>
      </c>
      <c r="V250" s="1"/>
      <c r="W250" s="1">
        <v>430908</v>
      </c>
      <c r="X250" s="1"/>
      <c r="Y250" s="1">
        <v>16915</v>
      </c>
      <c r="Z250" s="1"/>
      <c r="AA250" s="1">
        <v>1920270</v>
      </c>
      <c r="AB250" s="1"/>
      <c r="AC250" s="1">
        <v>1076646</v>
      </c>
      <c r="AD250" s="1"/>
      <c r="AE250" s="1">
        <v>314638</v>
      </c>
      <c r="AF250" s="1"/>
      <c r="AG250" s="1">
        <v>876878</v>
      </c>
      <c r="AH250" s="1"/>
      <c r="AI250" s="1">
        <v>397897</v>
      </c>
      <c r="AJ250" s="1"/>
      <c r="AK250" s="17" t="s">
        <v>605</v>
      </c>
      <c r="AL250" s="17"/>
      <c r="AM250" s="17" t="s">
        <v>64</v>
      </c>
      <c r="AN250" s="17"/>
      <c r="AO250" s="1">
        <v>677905</v>
      </c>
      <c r="AP250" s="1"/>
      <c r="AQ250" s="1">
        <v>818662</v>
      </c>
      <c r="AR250" s="1"/>
      <c r="AS250" s="1"/>
      <c r="AT250" s="1"/>
      <c r="AU250" s="1">
        <v>0</v>
      </c>
      <c r="AV250" s="1"/>
      <c r="AW250" s="1">
        <f t="shared" si="16"/>
        <v>20685396</v>
      </c>
      <c r="AY250" s="1">
        <f>+'St of Activites - GA Rev'!AI250-'St of Activities - GA Exp'!AW250</f>
        <v>2618278</v>
      </c>
      <c r="BA250" s="1">
        <v>46649639</v>
      </c>
      <c r="BC250" s="1">
        <f t="shared" si="17"/>
        <v>49267917</v>
      </c>
      <c r="BE250" s="1">
        <f>+'St of Net Assets - GA'!AA250-'St of Activities - GA Exp'!BC250</f>
        <v>0</v>
      </c>
    </row>
    <row r="251" spans="1:57">
      <c r="A251" s="17" t="s">
        <v>497</v>
      </c>
      <c r="B251" s="17"/>
      <c r="C251" s="17" t="s">
        <v>50</v>
      </c>
      <c r="D251" s="17"/>
      <c r="E251" s="13">
        <v>48751</v>
      </c>
      <c r="G251" s="1">
        <v>46882492</v>
      </c>
      <c r="H251" s="1"/>
      <c r="I251" s="1">
        <v>0</v>
      </c>
      <c r="J251" s="1"/>
      <c r="K251" s="1">
        <v>0</v>
      </c>
      <c r="L251" s="1"/>
      <c r="M251" s="1">
        <v>0</v>
      </c>
      <c r="N251" s="1"/>
      <c r="O251" s="1">
        <v>3008807</v>
      </c>
      <c r="P251" s="1"/>
      <c r="Q251" s="1">
        <v>4814503</v>
      </c>
      <c r="R251" s="1"/>
      <c r="S251" s="1">
        <v>34682</v>
      </c>
      <c r="T251" s="1"/>
      <c r="U251" s="1">
        <v>4368505</v>
      </c>
      <c r="V251" s="1"/>
      <c r="W251" s="1">
        <v>1064319</v>
      </c>
      <c r="X251" s="1"/>
      <c r="Y251" s="1">
        <v>546871</v>
      </c>
      <c r="Z251" s="1"/>
      <c r="AA251" s="1">
        <v>5006891</v>
      </c>
      <c r="AB251" s="1"/>
      <c r="AC251" s="1">
        <v>3598309</v>
      </c>
      <c r="AD251" s="1"/>
      <c r="AE251" s="1">
        <v>569406</v>
      </c>
      <c r="AF251" s="1"/>
      <c r="AG251" s="1">
        <v>2338398</v>
      </c>
      <c r="AH251" s="1"/>
      <c r="AI251" s="1">
        <v>549378</v>
      </c>
      <c r="AJ251" s="1"/>
      <c r="AK251" s="17" t="s">
        <v>497</v>
      </c>
      <c r="AL251" s="17"/>
      <c r="AM251" s="17" t="s">
        <v>50</v>
      </c>
      <c r="AN251" s="17"/>
      <c r="AO251" s="1">
        <v>1068294</v>
      </c>
      <c r="AP251" s="1"/>
      <c r="AQ251" s="1">
        <v>3604890</v>
      </c>
      <c r="AR251" s="1"/>
      <c r="AS251" s="1"/>
      <c r="AT251" s="1"/>
      <c r="AU251" s="1">
        <v>0</v>
      </c>
      <c r="AV251" s="1"/>
      <c r="AW251" s="1">
        <f t="shared" si="16"/>
        <v>77455745</v>
      </c>
      <c r="AY251" s="1">
        <f>+'St of Activites - GA Rev'!AI251-'St of Activities - GA Exp'!AW251</f>
        <v>-1454949</v>
      </c>
      <c r="BA251" s="1">
        <v>128465584</v>
      </c>
      <c r="BC251" s="1">
        <f t="shared" si="17"/>
        <v>127010635</v>
      </c>
      <c r="BE251" s="1">
        <f>+'St of Net Assets - GA'!AA251-'St of Activities - GA Exp'!BC251</f>
        <v>0</v>
      </c>
    </row>
    <row r="252" spans="1:57">
      <c r="A252" s="17" t="s">
        <v>590</v>
      </c>
      <c r="B252" s="17"/>
      <c r="C252" s="17" t="s">
        <v>63</v>
      </c>
      <c r="D252" s="17"/>
      <c r="E252" s="13">
        <v>50021</v>
      </c>
      <c r="G252" s="1">
        <v>31363765</v>
      </c>
      <c r="H252" s="1"/>
      <c r="I252" s="1">
        <v>6853151</v>
      </c>
      <c r="J252" s="1"/>
      <c r="K252" s="1">
        <v>419385</v>
      </c>
      <c r="L252" s="1"/>
      <c r="M252" s="1">
        <v>1026976</v>
      </c>
      <c r="N252" s="1"/>
      <c r="O252" s="1">
        <v>4796386</v>
      </c>
      <c r="P252" s="1"/>
      <c r="Q252" s="1">
        <v>5483143</v>
      </c>
      <c r="R252" s="1"/>
      <c r="S252" s="1">
        <v>37223</v>
      </c>
      <c r="T252" s="1"/>
      <c r="U252" s="1">
        <v>4611017</v>
      </c>
      <c r="V252" s="1"/>
      <c r="W252" s="1">
        <v>1662591</v>
      </c>
      <c r="X252" s="1"/>
      <c r="Y252" s="1">
        <v>606119</v>
      </c>
      <c r="Z252" s="1"/>
      <c r="AA252" s="1">
        <v>6242385</v>
      </c>
      <c r="AB252" s="1"/>
      <c r="AC252" s="1">
        <v>4306932</v>
      </c>
      <c r="AD252" s="1"/>
      <c r="AE252" s="1">
        <v>533722</v>
      </c>
      <c r="AF252" s="1"/>
      <c r="AG252" s="1">
        <v>1790492</v>
      </c>
      <c r="AH252" s="1"/>
      <c r="AI252" s="1">
        <f>53654+1183200</f>
        <v>1236854</v>
      </c>
      <c r="AJ252" s="1"/>
      <c r="AK252" s="17" t="s">
        <v>590</v>
      </c>
      <c r="AL252" s="17"/>
      <c r="AM252" s="17" t="s">
        <v>63</v>
      </c>
      <c r="AN252" s="17"/>
      <c r="AO252" s="1">
        <v>1381672</v>
      </c>
      <c r="AP252" s="1"/>
      <c r="AQ252" s="1">
        <v>1768561</v>
      </c>
      <c r="AR252" s="1"/>
      <c r="AS252" s="1"/>
      <c r="AT252" s="1"/>
      <c r="AU252" s="1">
        <v>0</v>
      </c>
      <c r="AV252" s="1"/>
      <c r="AW252" s="1">
        <f t="shared" si="16"/>
        <v>74120374</v>
      </c>
      <c r="AY252" s="1">
        <f>+'St of Activites - GA Rev'!AI252-'St of Activities - GA Exp'!AW252</f>
        <v>-3465585</v>
      </c>
      <c r="BA252" s="1">
        <v>38275588</v>
      </c>
      <c r="BC252" s="1">
        <f t="shared" si="17"/>
        <v>34810003</v>
      </c>
      <c r="BE252" s="1">
        <f>+'St of Net Assets - GA'!AA252-'St of Activities - GA Exp'!BC252</f>
        <v>0</v>
      </c>
    </row>
    <row r="253" spans="1:57">
      <c r="A253" s="17" t="s">
        <v>551</v>
      </c>
      <c r="B253" s="17"/>
      <c r="C253" s="17" t="s">
        <v>58</v>
      </c>
      <c r="D253" s="17"/>
      <c r="E253" s="13">
        <v>49502</v>
      </c>
      <c r="G253" s="1">
        <v>7089288</v>
      </c>
      <c r="H253" s="1"/>
      <c r="I253" s="1">
        <v>1552004</v>
      </c>
      <c r="J253" s="1"/>
      <c r="K253" s="1">
        <v>0</v>
      </c>
      <c r="L253" s="1"/>
      <c r="M253" s="1">
        <v>165477</v>
      </c>
      <c r="N253" s="1"/>
      <c r="O253" s="1">
        <v>328192</v>
      </c>
      <c r="P253" s="1"/>
      <c r="Q253" s="1">
        <v>163139</v>
      </c>
      <c r="R253" s="1"/>
      <c r="S253" s="1">
        <v>29696</v>
      </c>
      <c r="T253" s="1"/>
      <c r="U253" s="1">
        <v>794145</v>
      </c>
      <c r="V253" s="1"/>
      <c r="W253" s="1">
        <v>594550</v>
      </c>
      <c r="X253" s="1"/>
      <c r="Y253" s="1">
        <v>0</v>
      </c>
      <c r="Z253" s="1"/>
      <c r="AA253" s="1">
        <v>1173659</v>
      </c>
      <c r="AB253" s="1"/>
      <c r="AC253" s="1">
        <v>810797</v>
      </c>
      <c r="AD253" s="1"/>
      <c r="AE253" s="1">
        <v>0</v>
      </c>
      <c r="AF253" s="1"/>
      <c r="AG253" s="1">
        <v>527394</v>
      </c>
      <c r="AH253" s="1"/>
      <c r="AI253" s="1">
        <v>0</v>
      </c>
      <c r="AJ253" s="1"/>
      <c r="AK253" s="17" t="s">
        <v>551</v>
      </c>
      <c r="AL253" s="17"/>
      <c r="AM253" s="17" t="s">
        <v>58</v>
      </c>
      <c r="AN253" s="17"/>
      <c r="AO253" s="1">
        <v>334555</v>
      </c>
      <c r="AP253" s="1"/>
      <c r="AQ253" s="1">
        <v>45467</v>
      </c>
      <c r="AR253" s="1"/>
      <c r="AS253" s="1"/>
      <c r="AT253" s="1"/>
      <c r="AU253" s="1">
        <v>0</v>
      </c>
      <c r="AV253" s="1"/>
      <c r="AW253" s="1">
        <f t="shared" si="16"/>
        <v>13608363</v>
      </c>
      <c r="AY253" s="1">
        <f>+'St of Activites - GA Rev'!AI253-'St of Activities - GA Exp'!AW253</f>
        <v>-863776</v>
      </c>
      <c r="BA253" s="1">
        <v>16824731</v>
      </c>
      <c r="BC253" s="1">
        <f t="shared" si="17"/>
        <v>15960955</v>
      </c>
      <c r="BE253" s="1">
        <f>+'St of Net Assets - GA'!AA253-'St of Activities - GA Exp'!BC253</f>
        <v>0</v>
      </c>
    </row>
    <row r="254" spans="1:57">
      <c r="A254" s="17" t="s">
        <v>315</v>
      </c>
      <c r="B254" s="17"/>
      <c r="C254" s="17" t="s">
        <v>24</v>
      </c>
      <c r="D254" s="17"/>
      <c r="E254" s="13">
        <v>44131</v>
      </c>
      <c r="G254" s="1">
        <v>7057334</v>
      </c>
      <c r="H254" s="1"/>
      <c r="I254" s="1">
        <v>2227810</v>
      </c>
      <c r="J254" s="1"/>
      <c r="K254" s="1">
        <v>0</v>
      </c>
      <c r="L254" s="1"/>
      <c r="M254" s="1">
        <v>79409</v>
      </c>
      <c r="N254" s="1"/>
      <c r="O254" s="1">
        <v>518882</v>
      </c>
      <c r="P254" s="1"/>
      <c r="Q254" s="1">
        <v>718625</v>
      </c>
      <c r="R254" s="1"/>
      <c r="S254" s="1">
        <v>35456</v>
      </c>
      <c r="T254" s="1"/>
      <c r="U254" s="1">
        <v>1540748</v>
      </c>
      <c r="V254" s="1"/>
      <c r="W254" s="1">
        <v>524898</v>
      </c>
      <c r="X254" s="1"/>
      <c r="Y254" s="1">
        <v>0</v>
      </c>
      <c r="Z254" s="1"/>
      <c r="AA254" s="1">
        <v>1562839</v>
      </c>
      <c r="AB254" s="1"/>
      <c r="AC254" s="1">
        <v>990100</v>
      </c>
      <c r="AD254" s="1"/>
      <c r="AE254" s="1">
        <v>4378</v>
      </c>
      <c r="AF254" s="1"/>
      <c r="AG254" s="1">
        <v>669754</v>
      </c>
      <c r="AH254" s="1"/>
      <c r="AI254" s="1">
        <v>217063</v>
      </c>
      <c r="AJ254" s="1"/>
      <c r="AK254" s="17" t="s">
        <v>315</v>
      </c>
      <c r="AL254" s="17"/>
      <c r="AM254" s="17" t="s">
        <v>24</v>
      </c>
      <c r="AN254" s="17"/>
      <c r="AO254" s="1">
        <v>606060</v>
      </c>
      <c r="AP254" s="1"/>
      <c r="AQ254" s="1">
        <v>383506</v>
      </c>
      <c r="AR254" s="1"/>
      <c r="AS254" s="1"/>
      <c r="AT254" s="1"/>
      <c r="AU254" s="1">
        <v>36482</v>
      </c>
      <c r="AV254" s="1"/>
      <c r="AW254" s="1">
        <f t="shared" si="16"/>
        <v>17173344</v>
      </c>
      <c r="AY254" s="1">
        <f>+'St of Activites - GA Rev'!AI254-'St of Activities - GA Exp'!AW254</f>
        <v>1666724</v>
      </c>
      <c r="BA254" s="1">
        <v>5941839</v>
      </c>
      <c r="BC254" s="1">
        <f t="shared" si="17"/>
        <v>7608563</v>
      </c>
      <c r="BE254" s="1">
        <f>+'St of Net Assets - GA'!AA254-'St of Activities - GA Exp'!BC254</f>
        <v>0</v>
      </c>
    </row>
    <row r="255" spans="1:57">
      <c r="A255" s="17" t="s">
        <v>292</v>
      </c>
      <c r="B255" s="17"/>
      <c r="C255" s="17" t="s">
        <v>20</v>
      </c>
      <c r="D255" s="17"/>
      <c r="E255" s="13">
        <v>46565</v>
      </c>
      <c r="G255" s="1">
        <v>8055170</v>
      </c>
      <c r="H255" s="1"/>
      <c r="I255" s="1">
        <v>400001</v>
      </c>
      <c r="J255" s="1"/>
      <c r="K255" s="1">
        <v>1011</v>
      </c>
      <c r="L255" s="1"/>
      <c r="M255" s="1">
        <f>135053+16283</f>
        <v>151336</v>
      </c>
      <c r="N255" s="1"/>
      <c r="O255" s="1">
        <v>803912</v>
      </c>
      <c r="P255" s="1"/>
      <c r="Q255" s="1">
        <v>2012414</v>
      </c>
      <c r="R255" s="1"/>
      <c r="S255" s="1">
        <v>188288</v>
      </c>
      <c r="T255" s="1"/>
      <c r="U255" s="1">
        <v>997450</v>
      </c>
      <c r="V255" s="1"/>
      <c r="W255" s="1">
        <v>618962</v>
      </c>
      <c r="X255" s="1"/>
      <c r="Y255" s="1">
        <v>220029</v>
      </c>
      <c r="Z255" s="1"/>
      <c r="AA255" s="1">
        <v>1725017</v>
      </c>
      <c r="AB255" s="1"/>
      <c r="AC255" s="1">
        <v>921802</v>
      </c>
      <c r="AD255" s="1"/>
      <c r="AE255" s="1">
        <v>5000</v>
      </c>
      <c r="AF255" s="1"/>
      <c r="AG255" s="1">
        <v>302536</v>
      </c>
      <c r="AH255" s="1"/>
      <c r="AI255" s="1">
        <v>191108</v>
      </c>
      <c r="AJ255" s="1"/>
      <c r="AK255" s="17" t="s">
        <v>292</v>
      </c>
      <c r="AL255" s="17"/>
      <c r="AM255" s="17" t="s">
        <v>20</v>
      </c>
      <c r="AN255" s="17"/>
      <c r="AO255" s="1">
        <v>550498</v>
      </c>
      <c r="AP255" s="1"/>
      <c r="AQ255" s="1">
        <v>736323</v>
      </c>
      <c r="AR255" s="1"/>
      <c r="AS255" s="1"/>
      <c r="AT255" s="1"/>
      <c r="AU255" s="1">
        <v>0</v>
      </c>
      <c r="AV255" s="1"/>
      <c r="AW255" s="1">
        <f t="shared" si="16"/>
        <v>17880857</v>
      </c>
      <c r="AY255" s="1">
        <f>+'St of Activites - GA Rev'!AI255-'St of Activities - GA Exp'!AW255</f>
        <v>1336890</v>
      </c>
      <c r="BA255" s="1">
        <v>14646779</v>
      </c>
      <c r="BC255" s="1">
        <f t="shared" si="17"/>
        <v>15983669</v>
      </c>
      <c r="BE255" s="1">
        <f>+'St of Net Assets - GA'!AA255-'St of Activities - GA Exp'!BC255</f>
        <v>0</v>
      </c>
    </row>
    <row r="256" spans="1:57">
      <c r="A256" s="17"/>
      <c r="B256" s="17"/>
      <c r="C256" s="17"/>
      <c r="D256" s="17"/>
      <c r="E256" s="13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7"/>
      <c r="AL256" s="17"/>
      <c r="AM256" s="17"/>
      <c r="AN256" s="17"/>
      <c r="AO256" s="1"/>
      <c r="AP256" s="1"/>
      <c r="AQ256" s="1"/>
      <c r="AR256" s="1"/>
      <c r="AS256" s="1"/>
      <c r="AT256" s="1"/>
      <c r="AU256" s="1"/>
      <c r="AV256" s="1"/>
    </row>
    <row r="257" spans="1:57">
      <c r="A257" s="17"/>
      <c r="B257" s="17"/>
      <c r="C257" s="17"/>
      <c r="D257" s="17"/>
      <c r="E257" s="13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20" t="s">
        <v>709</v>
      </c>
      <c r="AJ257" s="1"/>
      <c r="AK257" s="17"/>
      <c r="AL257" s="17"/>
      <c r="AM257" s="17"/>
      <c r="AN257" s="17"/>
      <c r="AO257" s="1"/>
      <c r="AP257" s="1"/>
      <c r="AQ257" s="1"/>
      <c r="AR257" s="1"/>
      <c r="AS257" s="1"/>
      <c r="AT257" s="1"/>
      <c r="AU257" s="1"/>
      <c r="AV257" s="1"/>
      <c r="AY257" s="18"/>
      <c r="BC257" s="20" t="s">
        <v>709</v>
      </c>
    </row>
    <row r="258" spans="1:57">
      <c r="A258" s="17"/>
      <c r="B258" s="17"/>
      <c r="C258" s="17"/>
      <c r="D258" s="17"/>
      <c r="E258" s="1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7"/>
      <c r="AL258" s="17"/>
      <c r="AM258" s="17"/>
      <c r="AN258" s="17"/>
      <c r="AO258" s="1"/>
      <c r="AP258" s="1"/>
      <c r="AQ258" s="1"/>
      <c r="AR258" s="1"/>
      <c r="AS258" s="1"/>
      <c r="AT258" s="1"/>
      <c r="AU258" s="1"/>
      <c r="AV258" s="1"/>
    </row>
    <row r="259" spans="1:57" s="1" customFormat="1">
      <c r="A259" s="12" t="s">
        <v>411</v>
      </c>
      <c r="B259" s="12"/>
      <c r="C259" s="12" t="s">
        <v>39</v>
      </c>
      <c r="D259" s="12"/>
      <c r="E259" s="12">
        <v>47803</v>
      </c>
      <c r="G259" s="16">
        <v>10865708</v>
      </c>
      <c r="H259" s="16"/>
      <c r="I259" s="16">
        <v>3048020</v>
      </c>
      <c r="J259" s="16"/>
      <c r="K259" s="16">
        <v>313332</v>
      </c>
      <c r="L259" s="16"/>
      <c r="M259" s="16">
        <f>3251+280406</f>
        <v>283657</v>
      </c>
      <c r="N259" s="16"/>
      <c r="O259" s="16">
        <v>891373</v>
      </c>
      <c r="P259" s="16"/>
      <c r="Q259" s="16">
        <v>1021441</v>
      </c>
      <c r="R259" s="16"/>
      <c r="S259" s="16">
        <v>14565</v>
      </c>
      <c r="T259" s="16"/>
      <c r="U259" s="16">
        <v>1738167</v>
      </c>
      <c r="V259" s="16"/>
      <c r="W259" s="16">
        <v>436698</v>
      </c>
      <c r="X259" s="16"/>
      <c r="Y259" s="16">
        <v>0</v>
      </c>
      <c r="Z259" s="16"/>
      <c r="AA259" s="16">
        <v>1934415</v>
      </c>
      <c r="AB259" s="16"/>
      <c r="AC259" s="16">
        <v>1104043</v>
      </c>
      <c r="AD259" s="16"/>
      <c r="AE259" s="16">
        <v>90874</v>
      </c>
      <c r="AF259" s="16"/>
      <c r="AG259" s="16">
        <v>906825</v>
      </c>
      <c r="AH259" s="16"/>
      <c r="AI259" s="16">
        <v>250128</v>
      </c>
      <c r="AK259" s="12" t="s">
        <v>411</v>
      </c>
      <c r="AL259" s="12"/>
      <c r="AM259" s="12" t="s">
        <v>39</v>
      </c>
      <c r="AN259" s="12"/>
      <c r="AO259" s="16">
        <v>392410</v>
      </c>
      <c r="AP259" s="16"/>
      <c r="AQ259" s="16">
        <v>630493</v>
      </c>
      <c r="AR259" s="16"/>
      <c r="AS259" s="16"/>
      <c r="AT259" s="16"/>
      <c r="AU259" s="16">
        <v>0</v>
      </c>
      <c r="AV259" s="16"/>
      <c r="AW259" s="16">
        <f t="shared" si="16"/>
        <v>23922149</v>
      </c>
      <c r="AX259" s="16"/>
      <c r="AY259" s="16">
        <f>+'St of Activites - GA Rev'!AI259-'St of Activities - GA Exp'!AW259</f>
        <v>3529336</v>
      </c>
      <c r="AZ259" s="16"/>
      <c r="BA259" s="16">
        <v>6722855</v>
      </c>
      <c r="BB259" s="16"/>
      <c r="BC259" s="16">
        <f t="shared" si="17"/>
        <v>10252191</v>
      </c>
      <c r="BE259" s="1">
        <f>+'St of Net Assets - GA'!AA259-'St of Activities - GA Exp'!BC259</f>
        <v>0</v>
      </c>
    </row>
    <row r="260" spans="1:57" ht="12" customHeight="1">
      <c r="A260" s="17" t="s">
        <v>365</v>
      </c>
      <c r="B260" s="17"/>
      <c r="C260" s="17" t="s">
        <v>32</v>
      </c>
      <c r="D260" s="17"/>
      <c r="E260" s="13">
        <v>45435</v>
      </c>
      <c r="G260" s="1">
        <v>15064938</v>
      </c>
      <c r="H260" s="1"/>
      <c r="I260" s="1">
        <v>2279816</v>
      </c>
      <c r="J260" s="1"/>
      <c r="K260" s="1">
        <v>10304</v>
      </c>
      <c r="L260" s="1"/>
      <c r="M260" s="1">
        <v>375287</v>
      </c>
      <c r="N260" s="1"/>
      <c r="O260" s="1">
        <v>2253828</v>
      </c>
      <c r="P260" s="1"/>
      <c r="Q260" s="1">
        <v>3186806</v>
      </c>
      <c r="R260" s="1"/>
      <c r="S260" s="1">
        <v>28994</v>
      </c>
      <c r="T260" s="1"/>
      <c r="U260" s="1">
        <v>2633329</v>
      </c>
      <c r="V260" s="1"/>
      <c r="W260" s="1">
        <v>781270</v>
      </c>
      <c r="X260" s="1"/>
      <c r="Y260" s="1">
        <v>94847</v>
      </c>
      <c r="Z260" s="1"/>
      <c r="AA260" s="1">
        <v>3630160</v>
      </c>
      <c r="AB260" s="1"/>
      <c r="AC260" s="1">
        <v>1876493</v>
      </c>
      <c r="AD260" s="1"/>
      <c r="AE260" s="1">
        <v>80813</v>
      </c>
      <c r="AF260" s="1"/>
      <c r="AG260" s="1">
        <v>604170</v>
      </c>
      <c r="AH260" s="1"/>
      <c r="AI260" s="1">
        <v>1090896</v>
      </c>
      <c r="AJ260" s="1"/>
      <c r="AK260" s="17" t="s">
        <v>365</v>
      </c>
      <c r="AL260" s="17"/>
      <c r="AM260" s="17" t="s">
        <v>32</v>
      </c>
      <c r="AN260" s="17"/>
      <c r="AO260" s="1">
        <v>947607</v>
      </c>
      <c r="AP260" s="1"/>
      <c r="AQ260" s="1">
        <v>2065147</v>
      </c>
      <c r="AR260" s="1"/>
      <c r="AS260" s="1"/>
      <c r="AT260" s="1"/>
      <c r="AU260" s="1">
        <v>0</v>
      </c>
      <c r="AV260" s="1"/>
      <c r="AW260" s="1">
        <f t="shared" si="16"/>
        <v>37004705</v>
      </c>
      <c r="AY260" s="1">
        <f>+'St of Activites - GA Rev'!AI260-'St of Activities - GA Exp'!AW260</f>
        <v>2850862</v>
      </c>
      <c r="BA260" s="1">
        <v>40167193</v>
      </c>
      <c r="BC260" s="1">
        <f t="shared" si="17"/>
        <v>43018055</v>
      </c>
      <c r="BE260" s="1">
        <f>+'St of Net Assets - GA'!AA260-'St of Activities - GA Exp'!BC260</f>
        <v>0</v>
      </c>
    </row>
    <row r="261" spans="1:57" ht="12" hidden="1" customHeight="1">
      <c r="A261" s="17" t="s">
        <v>937</v>
      </c>
      <c r="B261" s="17"/>
      <c r="C261" s="17" t="s">
        <v>43</v>
      </c>
      <c r="D261" s="17"/>
      <c r="E261" s="13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7" t="s">
        <v>937</v>
      </c>
      <c r="AL261" s="17"/>
      <c r="AM261" s="17" t="s">
        <v>43</v>
      </c>
      <c r="AN261" s="17"/>
      <c r="AO261" s="1"/>
      <c r="AP261" s="1"/>
      <c r="AQ261" s="1"/>
      <c r="AR261" s="1"/>
      <c r="AS261" s="1"/>
      <c r="AT261" s="1"/>
      <c r="AU261" s="1"/>
      <c r="AV261" s="1"/>
      <c r="AW261" s="1">
        <f t="shared" si="16"/>
        <v>0</v>
      </c>
      <c r="AY261" s="1">
        <f>+'St of Activites - GA Rev'!AI261-'St of Activities - GA Exp'!AW261</f>
        <v>0</v>
      </c>
      <c r="BC261" s="1">
        <f t="shared" si="17"/>
        <v>0</v>
      </c>
      <c r="BE261" s="1">
        <f>+'St of Net Assets - GA'!AA261-'St of Activities - GA Exp'!BC261</f>
        <v>0</v>
      </c>
    </row>
    <row r="262" spans="1:57">
      <c r="A262" s="17" t="s">
        <v>621</v>
      </c>
      <c r="B262" s="17"/>
      <c r="C262" s="17" t="s">
        <v>65</v>
      </c>
      <c r="D262" s="17"/>
      <c r="E262" s="13">
        <v>50286</v>
      </c>
      <c r="G262" s="1">
        <v>7885126</v>
      </c>
      <c r="H262" s="1"/>
      <c r="I262" s="1">
        <v>1875168</v>
      </c>
      <c r="J262" s="1"/>
      <c r="K262" s="1">
        <v>196179</v>
      </c>
      <c r="L262" s="1"/>
      <c r="M262" s="1">
        <f>89483+1600173</f>
        <v>1689656</v>
      </c>
      <c r="N262" s="1"/>
      <c r="O262" s="1">
        <v>564358</v>
      </c>
      <c r="P262" s="1"/>
      <c r="Q262" s="1">
        <v>613954</v>
      </c>
      <c r="R262" s="1"/>
      <c r="S262" s="1">
        <v>46659</v>
      </c>
      <c r="T262" s="1"/>
      <c r="U262" s="1">
        <v>1185132</v>
      </c>
      <c r="V262" s="1"/>
      <c r="W262" s="1">
        <v>407040</v>
      </c>
      <c r="X262" s="1"/>
      <c r="Y262" s="1">
        <v>126205</v>
      </c>
      <c r="Z262" s="1"/>
      <c r="AA262" s="1">
        <v>1637196</v>
      </c>
      <c r="AB262" s="1"/>
      <c r="AC262" s="1">
        <v>1161790</v>
      </c>
      <c r="AD262" s="1"/>
      <c r="AE262" s="1">
        <v>18906</v>
      </c>
      <c r="AF262" s="1"/>
      <c r="AG262" s="1">
        <v>847624</v>
      </c>
      <c r="AH262" s="1"/>
      <c r="AI262" s="1">
        <v>11500</v>
      </c>
      <c r="AJ262" s="1"/>
      <c r="AK262" s="17" t="s">
        <v>621</v>
      </c>
      <c r="AL262" s="17"/>
      <c r="AM262" s="17" t="s">
        <v>65</v>
      </c>
      <c r="AN262" s="17"/>
      <c r="AO262" s="1">
        <v>474664</v>
      </c>
      <c r="AP262" s="1"/>
      <c r="AQ262" s="1">
        <v>558993</v>
      </c>
      <c r="AR262" s="1"/>
      <c r="AS262" s="1"/>
      <c r="AT262" s="1"/>
      <c r="AU262" s="1">
        <v>0</v>
      </c>
      <c r="AV262" s="1"/>
      <c r="AW262" s="1">
        <f t="shared" si="16"/>
        <v>19300150</v>
      </c>
      <c r="AY262" s="1">
        <f>+'St of Activites - GA Rev'!AI262-'St of Activities - GA Exp'!AW262</f>
        <v>-681935</v>
      </c>
      <c r="BA262" s="1">
        <v>35031884</v>
      </c>
      <c r="BC262" s="1">
        <f t="shared" si="17"/>
        <v>34349949</v>
      </c>
      <c r="BE262" s="1">
        <f>+'St of Net Assets - GA'!AA262-'St of Activities - GA Exp'!BC262</f>
        <v>0</v>
      </c>
    </row>
    <row r="263" spans="1:57" ht="12" customHeight="1">
      <c r="A263" s="17" t="s">
        <v>423</v>
      </c>
      <c r="B263" s="17"/>
      <c r="C263" s="17" t="s">
        <v>420</v>
      </c>
      <c r="D263" s="17"/>
      <c r="E263" s="13">
        <v>44149</v>
      </c>
      <c r="G263" s="1">
        <v>7082664</v>
      </c>
      <c r="H263" s="1"/>
      <c r="I263" s="1">
        <v>1903460</v>
      </c>
      <c r="J263" s="1"/>
      <c r="K263" s="1">
        <v>169560</v>
      </c>
      <c r="L263" s="1"/>
      <c r="M263" s="1">
        <v>31444</v>
      </c>
      <c r="N263" s="1"/>
      <c r="O263" s="1">
        <v>635365</v>
      </c>
      <c r="P263" s="1"/>
      <c r="Q263" s="1">
        <v>450715</v>
      </c>
      <c r="R263" s="1"/>
      <c r="S263" s="1">
        <v>213156</v>
      </c>
      <c r="T263" s="1"/>
      <c r="U263" s="1">
        <v>1009552</v>
      </c>
      <c r="V263" s="1"/>
      <c r="W263" s="1">
        <v>545306</v>
      </c>
      <c r="X263" s="1"/>
      <c r="Y263" s="1">
        <v>0</v>
      </c>
      <c r="Z263" s="1"/>
      <c r="AA263" s="1">
        <v>2340137</v>
      </c>
      <c r="AB263" s="1"/>
      <c r="AC263" s="1">
        <v>584996</v>
      </c>
      <c r="AD263" s="1"/>
      <c r="AE263" s="1">
        <v>115915</v>
      </c>
      <c r="AF263" s="1"/>
      <c r="AG263" s="1">
        <v>701133</v>
      </c>
      <c r="AH263" s="1"/>
      <c r="AI263" s="1">
        <v>171746</v>
      </c>
      <c r="AJ263" s="1"/>
      <c r="AK263" s="17" t="s">
        <v>423</v>
      </c>
      <c r="AL263" s="17"/>
      <c r="AM263" s="17" t="s">
        <v>420</v>
      </c>
      <c r="AN263" s="17"/>
      <c r="AO263" s="1">
        <v>651915</v>
      </c>
      <c r="AP263" s="1"/>
      <c r="AQ263" s="1">
        <v>783052</v>
      </c>
      <c r="AR263" s="1"/>
      <c r="AS263" s="1"/>
      <c r="AT263" s="1"/>
      <c r="AU263" s="1">
        <v>0</v>
      </c>
      <c r="AV263" s="1"/>
      <c r="AW263" s="1">
        <f t="shared" si="16"/>
        <v>17390116</v>
      </c>
      <c r="AY263" s="1">
        <f>+'St of Activites - GA Rev'!AI263-'St of Activities - GA Exp'!AW263</f>
        <v>-297497</v>
      </c>
      <c r="BA263" s="1">
        <v>40125254</v>
      </c>
      <c r="BC263" s="1">
        <f t="shared" si="17"/>
        <v>39827757</v>
      </c>
      <c r="BE263" s="1">
        <f>+'St of Net Assets - GA'!AA263-'St of Activities - GA Exp'!BC263</f>
        <v>0</v>
      </c>
    </row>
    <row r="264" spans="1:57" ht="12" hidden="1" customHeight="1">
      <c r="A264" s="17" t="s">
        <v>820</v>
      </c>
      <c r="B264" s="17"/>
      <c r="C264" s="17" t="s">
        <v>61</v>
      </c>
      <c r="D264" s="17"/>
      <c r="E264" s="13">
        <v>49809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7" t="s">
        <v>820</v>
      </c>
      <c r="AL264" s="17"/>
      <c r="AM264" s="17" t="s">
        <v>61</v>
      </c>
      <c r="AN264" s="17"/>
      <c r="AO264" s="1"/>
      <c r="AP264" s="1"/>
      <c r="AQ264" s="1"/>
      <c r="AR264" s="1"/>
      <c r="AS264" s="1"/>
      <c r="AT264" s="1"/>
      <c r="AU264" s="1"/>
      <c r="AV264" s="1"/>
      <c r="AW264" s="1">
        <f t="shared" si="16"/>
        <v>0</v>
      </c>
      <c r="AY264" s="1">
        <f>+'St of Activites - GA Rev'!AI264-'St of Activities - GA Exp'!AW264</f>
        <v>0</v>
      </c>
      <c r="BC264" s="1">
        <f t="shared" si="17"/>
        <v>0</v>
      </c>
      <c r="BE264" s="1">
        <f>+'St of Net Assets - GA'!AA264-'St of Activities - GA Exp'!BC264</f>
        <v>0</v>
      </c>
    </row>
    <row r="265" spans="1:57" ht="12" hidden="1" customHeight="1">
      <c r="A265" s="17" t="s">
        <v>838</v>
      </c>
      <c r="B265" s="17"/>
      <c r="C265" s="17" t="s">
        <v>38</v>
      </c>
      <c r="D265" s="17"/>
      <c r="E265" s="13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7" t="s">
        <v>838</v>
      </c>
      <c r="AL265" s="17"/>
      <c r="AM265" s="17" t="s">
        <v>38</v>
      </c>
      <c r="AN265" s="17"/>
      <c r="AO265" s="1"/>
      <c r="AP265" s="1"/>
      <c r="AQ265" s="1"/>
      <c r="AR265" s="1"/>
      <c r="AS265" s="1"/>
      <c r="AT265" s="1"/>
      <c r="AU265" s="1"/>
      <c r="AV265" s="1"/>
      <c r="AW265" s="1">
        <f t="shared" si="16"/>
        <v>0</v>
      </c>
      <c r="AY265" s="1">
        <f>+'St of Activites - GA Rev'!AI265-'St of Activities - GA Exp'!AW265</f>
        <v>0</v>
      </c>
      <c r="BC265" s="1">
        <f t="shared" si="17"/>
        <v>0</v>
      </c>
      <c r="BE265" s="1">
        <f>+'St of Net Assets - GA'!AA265-'St of Activities - GA Exp'!BC265</f>
        <v>0</v>
      </c>
    </row>
    <row r="266" spans="1:57">
      <c r="A266" s="17" t="s">
        <v>576</v>
      </c>
      <c r="B266" s="17"/>
      <c r="C266" s="17" t="s">
        <v>62</v>
      </c>
      <c r="D266" s="17"/>
      <c r="E266" s="13">
        <v>49858</v>
      </c>
      <c r="G266" s="1">
        <v>24088044</v>
      </c>
      <c r="H266" s="1"/>
      <c r="I266" s="1">
        <v>4143788</v>
      </c>
      <c r="J266" s="1"/>
      <c r="K266" s="1">
        <v>950909</v>
      </c>
      <c r="L266" s="1"/>
      <c r="M266" s="1">
        <f>69796+1217065</f>
        <v>1286861</v>
      </c>
      <c r="N266" s="1"/>
      <c r="O266" s="1">
        <v>2894701</v>
      </c>
      <c r="P266" s="1"/>
      <c r="Q266" s="1">
        <v>2990262</v>
      </c>
      <c r="R266" s="1"/>
      <c r="S266" s="1">
        <v>18064</v>
      </c>
      <c r="T266" s="1"/>
      <c r="U266" s="1">
        <v>3247222</v>
      </c>
      <c r="V266" s="1"/>
      <c r="W266" s="1">
        <v>1117433</v>
      </c>
      <c r="X266" s="1"/>
      <c r="Y266" s="1">
        <v>345935</v>
      </c>
      <c r="Z266" s="1"/>
      <c r="AA266" s="1">
        <v>5884462</v>
      </c>
      <c r="AB266" s="1"/>
      <c r="AC266" s="1">
        <v>3187255</v>
      </c>
      <c r="AD266" s="1"/>
      <c r="AE266" s="1">
        <v>1334458</v>
      </c>
      <c r="AF266" s="1"/>
      <c r="AG266" s="1">
        <v>1750527</v>
      </c>
      <c r="AH266" s="1"/>
      <c r="AI266" s="1">
        <v>20912</v>
      </c>
      <c r="AJ266" s="1"/>
      <c r="AK266" s="17" t="s">
        <v>576</v>
      </c>
      <c r="AL266" s="17"/>
      <c r="AM266" s="17" t="s">
        <v>62</v>
      </c>
      <c r="AN266" s="17"/>
      <c r="AO266" s="1">
        <v>1936061</v>
      </c>
      <c r="AP266" s="1"/>
      <c r="AQ266" s="1">
        <v>3729354</v>
      </c>
      <c r="AR266" s="1"/>
      <c r="AS266" s="1"/>
      <c r="AT266" s="1"/>
      <c r="AU266" s="1">
        <v>0</v>
      </c>
      <c r="AV266" s="1"/>
      <c r="AW266" s="1">
        <f t="shared" si="16"/>
        <v>58926248</v>
      </c>
      <c r="AY266" s="1">
        <f>+'St of Activites - GA Rev'!AI266-'St of Activities - GA Exp'!AW266</f>
        <v>2298557</v>
      </c>
      <c r="BA266" s="1">
        <v>30044033</v>
      </c>
      <c r="BC266" s="1">
        <f t="shared" si="17"/>
        <v>32342590</v>
      </c>
      <c r="BE266" s="1">
        <f>+'St of Net Assets - GA'!AA266-'St of Activities - GA Exp'!BC266</f>
        <v>0</v>
      </c>
    </row>
    <row r="267" spans="1:57" ht="12" customHeight="1">
      <c r="A267" s="17" t="s">
        <v>465</v>
      </c>
      <c r="B267" s="17"/>
      <c r="C267" s="17" t="s">
        <v>45</v>
      </c>
      <c r="D267" s="17"/>
      <c r="E267" s="13">
        <v>48322</v>
      </c>
      <c r="G267" s="1">
        <v>3863627</v>
      </c>
      <c r="H267" s="1"/>
      <c r="I267" s="1">
        <v>1363651</v>
      </c>
      <c r="J267" s="1"/>
      <c r="K267" s="1">
        <v>87797</v>
      </c>
      <c r="L267" s="1"/>
      <c r="M267" s="1">
        <v>0</v>
      </c>
      <c r="N267" s="1"/>
      <c r="O267" s="1">
        <v>233328</v>
      </c>
      <c r="P267" s="1"/>
      <c r="Q267" s="1">
        <v>130993</v>
      </c>
      <c r="R267" s="1"/>
      <c r="S267" s="1">
        <v>72100</v>
      </c>
      <c r="T267" s="1"/>
      <c r="U267" s="1">
        <v>556605</v>
      </c>
      <c r="V267" s="1"/>
      <c r="W267" s="1">
        <v>453059</v>
      </c>
      <c r="X267" s="1"/>
      <c r="Y267" s="1">
        <v>0</v>
      </c>
      <c r="Z267" s="1"/>
      <c r="AA267" s="1">
        <v>695961</v>
      </c>
      <c r="AB267" s="1"/>
      <c r="AC267" s="1">
        <v>861545</v>
      </c>
      <c r="AD267" s="1"/>
      <c r="AE267" s="1">
        <v>0</v>
      </c>
      <c r="AF267" s="1"/>
      <c r="AG267" s="1">
        <v>355316</v>
      </c>
      <c r="AH267" s="1"/>
      <c r="AI267" s="1">
        <v>1942</v>
      </c>
      <c r="AJ267" s="1"/>
      <c r="AK267" s="17" t="s">
        <v>465</v>
      </c>
      <c r="AL267" s="17"/>
      <c r="AM267" s="17" t="s">
        <v>45</v>
      </c>
      <c r="AN267" s="17"/>
      <c r="AO267" s="1">
        <v>390693</v>
      </c>
      <c r="AP267" s="1"/>
      <c r="AQ267" s="1">
        <v>678819</v>
      </c>
      <c r="AR267" s="1"/>
      <c r="AS267" s="1"/>
      <c r="AT267" s="1"/>
      <c r="AU267" s="1">
        <v>0</v>
      </c>
      <c r="AV267" s="1"/>
      <c r="AW267" s="1">
        <f t="shared" si="16"/>
        <v>9745436</v>
      </c>
      <c r="AY267" s="1">
        <f>+'St of Activites - GA Rev'!AI267-'St of Activities - GA Exp'!AW267</f>
        <v>1107187</v>
      </c>
      <c r="BA267" s="1">
        <v>5212002</v>
      </c>
      <c r="BC267" s="1">
        <f t="shared" si="17"/>
        <v>6319189</v>
      </c>
      <c r="BE267" s="1">
        <f>+'St of Net Assets - GA'!AA267-'St of Activities - GA Exp'!BC267</f>
        <v>0</v>
      </c>
    </row>
    <row r="268" spans="1:57">
      <c r="A268" s="17" t="s">
        <v>534</v>
      </c>
      <c r="B268" s="17"/>
      <c r="C268" s="17" t="s">
        <v>56</v>
      </c>
      <c r="D268" s="17"/>
      <c r="E268" s="13">
        <v>49205</v>
      </c>
      <c r="G268" s="1">
        <v>6263259</v>
      </c>
      <c r="H268" s="1"/>
      <c r="I268" s="1">
        <v>1216456</v>
      </c>
      <c r="J268" s="1"/>
      <c r="K268" s="1">
        <v>0</v>
      </c>
      <c r="L268" s="1"/>
      <c r="M268" s="1">
        <v>6766</v>
      </c>
      <c r="N268" s="1"/>
      <c r="O268" s="1">
        <v>606108</v>
      </c>
      <c r="P268" s="1"/>
      <c r="Q268" s="1">
        <v>548526</v>
      </c>
      <c r="R268" s="1"/>
      <c r="S268" s="1">
        <v>34118</v>
      </c>
      <c r="T268" s="1"/>
      <c r="U268" s="1">
        <v>1083065</v>
      </c>
      <c r="V268" s="1"/>
      <c r="W268" s="1">
        <v>289498</v>
      </c>
      <c r="X268" s="1"/>
      <c r="Y268" s="1">
        <v>0</v>
      </c>
      <c r="Z268" s="1"/>
      <c r="AA268" s="1">
        <v>1285948</v>
      </c>
      <c r="AB268" s="1"/>
      <c r="AC268" s="1">
        <v>876627</v>
      </c>
      <c r="AD268" s="1"/>
      <c r="AE268" s="1">
        <v>145758</v>
      </c>
      <c r="AF268" s="1"/>
      <c r="AG268" s="1">
        <v>561638</v>
      </c>
      <c r="AH268" s="1"/>
      <c r="AI268" s="1">
        <v>6633</v>
      </c>
      <c r="AJ268" s="1"/>
      <c r="AK268" s="17" t="s">
        <v>534</v>
      </c>
      <c r="AL268" s="17"/>
      <c r="AM268" s="17" t="s">
        <v>56</v>
      </c>
      <c r="AN268" s="17"/>
      <c r="AO268" s="1">
        <v>518915</v>
      </c>
      <c r="AP268" s="1"/>
      <c r="AQ268" s="1">
        <v>289374</v>
      </c>
      <c r="AR268" s="1"/>
      <c r="AS268" s="1"/>
      <c r="AT268" s="1"/>
      <c r="AU268" s="1">
        <v>0</v>
      </c>
      <c r="AV268" s="1"/>
      <c r="AW268" s="1">
        <f t="shared" si="16"/>
        <v>13732689</v>
      </c>
      <c r="AY268" s="1">
        <f>+'St of Activites - GA Rev'!AI268-'St of Activities - GA Exp'!AW268</f>
        <v>1050116</v>
      </c>
      <c r="BA268" s="1">
        <v>3751337</v>
      </c>
      <c r="BC268" s="1">
        <f t="shared" si="17"/>
        <v>4801453</v>
      </c>
      <c r="BE268" s="1">
        <f>+'St of Net Assets - GA'!AA268-'St of Activities - GA Exp'!BC268</f>
        <v>0</v>
      </c>
    </row>
    <row r="269" spans="1:57" ht="12" customHeight="1">
      <c r="A269" s="17" t="s">
        <v>212</v>
      </c>
      <c r="B269" s="17"/>
      <c r="C269" s="17" t="s">
        <v>12</v>
      </c>
      <c r="D269" s="17"/>
      <c r="E269" s="13">
        <v>45872</v>
      </c>
      <c r="G269" s="1">
        <v>10316956</v>
      </c>
      <c r="H269" s="1"/>
      <c r="I269" s="1">
        <v>1710766</v>
      </c>
      <c r="J269" s="1"/>
      <c r="K269" s="1">
        <v>100899</v>
      </c>
      <c r="L269" s="1"/>
      <c r="M269" s="1">
        <v>0</v>
      </c>
      <c r="N269" s="1"/>
      <c r="O269" s="1">
        <v>1427800</v>
      </c>
      <c r="P269" s="1"/>
      <c r="Q269" s="1">
        <v>125413</v>
      </c>
      <c r="R269" s="1"/>
      <c r="S269" s="1">
        <v>19307</v>
      </c>
      <c r="T269" s="1"/>
      <c r="U269" s="1">
        <v>1125053</v>
      </c>
      <c r="V269" s="1"/>
      <c r="W269" s="1">
        <v>609590</v>
      </c>
      <c r="X269" s="1"/>
      <c r="Y269" s="1">
        <v>8305</v>
      </c>
      <c r="Z269" s="1"/>
      <c r="AA269" s="1">
        <v>2392685</v>
      </c>
      <c r="AB269" s="1"/>
      <c r="AC269" s="1">
        <v>1339353</v>
      </c>
      <c r="AD269" s="1"/>
      <c r="AE269" s="1">
        <v>131764</v>
      </c>
      <c r="AF269" s="1"/>
      <c r="AG269" s="1">
        <v>738281</v>
      </c>
      <c r="AH269" s="1"/>
      <c r="AI269" s="1">
        <v>335545</v>
      </c>
      <c r="AJ269" s="1"/>
      <c r="AK269" s="17" t="s">
        <v>212</v>
      </c>
      <c r="AL269" s="17"/>
      <c r="AM269" s="17" t="s">
        <v>12</v>
      </c>
      <c r="AN269" s="17"/>
      <c r="AO269" s="1">
        <v>451353</v>
      </c>
      <c r="AP269" s="1"/>
      <c r="AQ269" s="1">
        <v>927829</v>
      </c>
      <c r="AR269" s="1"/>
      <c r="AS269" s="1"/>
      <c r="AT269" s="1"/>
      <c r="AU269" s="1">
        <v>0</v>
      </c>
      <c r="AV269" s="1"/>
      <c r="AW269" s="1">
        <f t="shared" si="16"/>
        <v>21760899</v>
      </c>
      <c r="AY269" s="1">
        <f>+'St of Activites - GA Rev'!AI269-'St of Activities - GA Exp'!AW269</f>
        <v>-2393322</v>
      </c>
      <c r="BA269" s="1">
        <v>44991469</v>
      </c>
      <c r="BC269" s="1">
        <f t="shared" si="17"/>
        <v>42598147</v>
      </c>
      <c r="BE269" s="1">
        <f>+'St of Net Assets - GA'!AA269-'St of Activities - GA Exp'!BC269</f>
        <v>0</v>
      </c>
    </row>
    <row r="270" spans="1:57">
      <c r="A270" s="17" t="s">
        <v>457</v>
      </c>
      <c r="B270" s="17"/>
      <c r="C270" s="17" t="s">
        <v>458</v>
      </c>
      <c r="D270" s="17"/>
      <c r="E270" s="13">
        <v>48256</v>
      </c>
      <c r="G270" s="1">
        <v>5817758</v>
      </c>
      <c r="H270" s="1"/>
      <c r="I270" s="1">
        <v>1732189</v>
      </c>
      <c r="J270" s="1"/>
      <c r="K270" s="1">
        <v>0</v>
      </c>
      <c r="L270" s="1"/>
      <c r="M270" s="1">
        <v>0</v>
      </c>
      <c r="N270" s="1"/>
      <c r="O270" s="1">
        <v>787498</v>
      </c>
      <c r="P270" s="1"/>
      <c r="Q270" s="1">
        <v>675186</v>
      </c>
      <c r="R270" s="1"/>
      <c r="S270" s="1">
        <v>65079</v>
      </c>
      <c r="T270" s="1"/>
      <c r="U270" s="1">
        <v>892076</v>
      </c>
      <c r="V270" s="1"/>
      <c r="W270" s="1">
        <v>483013</v>
      </c>
      <c r="X270" s="1"/>
      <c r="Y270" s="1">
        <v>58671</v>
      </c>
      <c r="Z270" s="1"/>
      <c r="AA270" s="1">
        <v>1444484</v>
      </c>
      <c r="AB270" s="1"/>
      <c r="AC270" s="1">
        <v>581849</v>
      </c>
      <c r="AD270" s="1"/>
      <c r="AE270" s="1">
        <v>290288</v>
      </c>
      <c r="AF270" s="1"/>
      <c r="AG270" s="1">
        <v>592242</v>
      </c>
      <c r="AH270" s="1"/>
      <c r="AI270" s="1">
        <v>0</v>
      </c>
      <c r="AJ270" s="1"/>
      <c r="AK270" s="17" t="s">
        <v>457</v>
      </c>
      <c r="AL270" s="17"/>
      <c r="AM270" s="17" t="s">
        <v>458</v>
      </c>
      <c r="AN270" s="17"/>
      <c r="AO270" s="1">
        <v>681776</v>
      </c>
      <c r="AP270" s="1"/>
      <c r="AQ270" s="1">
        <v>590942</v>
      </c>
      <c r="AR270" s="1"/>
      <c r="AS270" s="1"/>
      <c r="AT270" s="1"/>
      <c r="AU270" s="1">
        <v>0</v>
      </c>
      <c r="AV270" s="1"/>
      <c r="AW270" s="1">
        <f t="shared" si="16"/>
        <v>14693051</v>
      </c>
      <c r="AY270" s="1">
        <f>+'St of Activites - GA Rev'!AI270-'St of Activities - GA Exp'!AW270</f>
        <v>544896</v>
      </c>
      <c r="BA270" s="1">
        <v>23888693</v>
      </c>
      <c r="BC270" s="1">
        <f t="shared" si="17"/>
        <v>24433589</v>
      </c>
      <c r="BE270" s="1">
        <f>+'St of Net Assets - GA'!AA270-'St of Activities - GA Exp'!BC270</f>
        <v>0</v>
      </c>
    </row>
    <row r="271" spans="1:57" ht="12" customHeight="1">
      <c r="A271" s="17" t="s">
        <v>498</v>
      </c>
      <c r="B271" s="17"/>
      <c r="C271" s="17" t="s">
        <v>50</v>
      </c>
      <c r="D271" s="17"/>
      <c r="E271" s="13">
        <v>48686</v>
      </c>
      <c r="G271" s="1">
        <v>1908828</v>
      </c>
      <c r="H271" s="1"/>
      <c r="I271" s="1">
        <v>2002929</v>
      </c>
      <c r="J271" s="1"/>
      <c r="K271" s="1">
        <v>0</v>
      </c>
      <c r="L271" s="1"/>
      <c r="M271" s="1">
        <v>1835957</v>
      </c>
      <c r="N271" s="1"/>
      <c r="O271" s="1">
        <v>190052</v>
      </c>
      <c r="P271" s="1"/>
      <c r="Q271" s="1">
        <v>445583</v>
      </c>
      <c r="R271" s="1"/>
      <c r="S271" s="1">
        <v>41857</v>
      </c>
      <c r="T271" s="1"/>
      <c r="U271" s="1">
        <v>577768</v>
      </c>
      <c r="V271" s="1"/>
      <c r="W271" s="1">
        <v>242597</v>
      </c>
      <c r="X271" s="1"/>
      <c r="Y271" s="1">
        <v>518</v>
      </c>
      <c r="Z271" s="1"/>
      <c r="AA271" s="1">
        <v>685421</v>
      </c>
      <c r="AB271" s="1"/>
      <c r="AC271" s="1">
        <v>405396</v>
      </c>
      <c r="AD271" s="1"/>
      <c r="AE271" s="1">
        <v>53698</v>
      </c>
      <c r="AF271" s="1"/>
      <c r="AG271" s="1">
        <v>327507</v>
      </c>
      <c r="AH271" s="1"/>
      <c r="AI271" s="1">
        <v>11180</v>
      </c>
      <c r="AJ271" s="1"/>
      <c r="AK271" s="17" t="s">
        <v>498</v>
      </c>
      <c r="AL271" s="17"/>
      <c r="AM271" s="17" t="s">
        <v>50</v>
      </c>
      <c r="AN271" s="17"/>
      <c r="AO271" s="1">
        <v>105551</v>
      </c>
      <c r="AP271" s="1"/>
      <c r="AQ271" s="1">
        <v>37000</v>
      </c>
      <c r="AR271" s="1"/>
      <c r="AS271" s="1"/>
      <c r="AT271" s="1"/>
      <c r="AU271" s="1">
        <v>0</v>
      </c>
      <c r="AV271" s="1"/>
      <c r="AW271" s="1">
        <f t="shared" si="16"/>
        <v>8871842</v>
      </c>
      <c r="AY271" s="1">
        <f>+'St of Activites - GA Rev'!AI271-'St of Activities - GA Exp'!AW271</f>
        <v>1624819</v>
      </c>
      <c r="BA271" s="1">
        <v>821590</v>
      </c>
      <c r="BC271" s="1">
        <f t="shared" si="17"/>
        <v>2446409</v>
      </c>
      <c r="BE271" s="1">
        <f>+'St of Net Assets - GA'!AA271-'St of Activities - GA Exp'!BC271</f>
        <v>0</v>
      </c>
    </row>
    <row r="272" spans="1:57" ht="12" hidden="1" customHeight="1">
      <c r="A272" s="17" t="s">
        <v>821</v>
      </c>
      <c r="B272" s="17"/>
      <c r="C272" s="17" t="s">
        <v>542</v>
      </c>
      <c r="D272" s="17"/>
      <c r="E272" s="13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7" t="s">
        <v>821</v>
      </c>
      <c r="AL272" s="17"/>
      <c r="AM272" s="17" t="s">
        <v>542</v>
      </c>
      <c r="AN272" s="17"/>
      <c r="AO272" s="1"/>
      <c r="AP272" s="1"/>
      <c r="AQ272" s="1"/>
      <c r="AR272" s="1"/>
      <c r="AS272" s="1"/>
      <c r="AT272" s="1"/>
      <c r="AU272" s="1"/>
      <c r="AV272" s="1"/>
      <c r="AW272" s="1">
        <f t="shared" si="16"/>
        <v>0</v>
      </c>
      <c r="AY272" s="1">
        <f>+'St of Activites - GA Rev'!AI272-'St of Activities - GA Exp'!AW272</f>
        <v>0</v>
      </c>
      <c r="BC272" s="1">
        <f t="shared" si="17"/>
        <v>0</v>
      </c>
      <c r="BE272" s="1">
        <f>+'St of Net Assets - GA'!AA272-'St of Activities - GA Exp'!BC272</f>
        <v>0</v>
      </c>
    </row>
    <row r="273" spans="1:57">
      <c r="A273" s="17" t="s">
        <v>428</v>
      </c>
      <c r="B273" s="17"/>
      <c r="C273" s="17" t="s">
        <v>42</v>
      </c>
      <c r="D273" s="17"/>
      <c r="E273" s="13">
        <v>47985</v>
      </c>
      <c r="G273" s="1">
        <v>5859623</v>
      </c>
      <c r="H273" s="1"/>
      <c r="I273" s="1">
        <v>1234479</v>
      </c>
      <c r="J273" s="1"/>
      <c r="K273" s="1">
        <v>180115</v>
      </c>
      <c r="L273" s="1"/>
      <c r="M273" s="1">
        <v>358997</v>
      </c>
      <c r="N273" s="1"/>
      <c r="O273" s="1">
        <v>473220</v>
      </c>
      <c r="P273" s="1"/>
      <c r="Q273" s="1">
        <v>537229</v>
      </c>
      <c r="R273" s="1"/>
      <c r="S273" s="1">
        <v>58263</v>
      </c>
      <c r="T273" s="1"/>
      <c r="U273" s="1">
        <v>987164</v>
      </c>
      <c r="V273" s="1"/>
      <c r="W273" s="1">
        <v>387650</v>
      </c>
      <c r="X273" s="1"/>
      <c r="Y273" s="1">
        <v>0</v>
      </c>
      <c r="Z273" s="1"/>
      <c r="AA273" s="1">
        <v>1021082</v>
      </c>
      <c r="AB273" s="1"/>
      <c r="AC273" s="1">
        <v>691780</v>
      </c>
      <c r="AD273" s="1"/>
      <c r="AE273" s="1">
        <v>48869</v>
      </c>
      <c r="AF273" s="1"/>
      <c r="AG273" s="1">
        <v>327831</v>
      </c>
      <c r="AH273" s="1"/>
      <c r="AI273" s="1">
        <v>23188</v>
      </c>
      <c r="AJ273" s="1"/>
      <c r="AK273" s="17" t="s">
        <v>428</v>
      </c>
      <c r="AL273" s="17"/>
      <c r="AM273" s="17" t="s">
        <v>42</v>
      </c>
      <c r="AN273" s="17"/>
      <c r="AO273" s="1">
        <v>464589</v>
      </c>
      <c r="AP273" s="1"/>
      <c r="AQ273" s="1">
        <v>21163</v>
      </c>
      <c r="AR273" s="1"/>
      <c r="AS273" s="1"/>
      <c r="AT273" s="1"/>
      <c r="AU273" s="1">
        <v>0</v>
      </c>
      <c r="AV273" s="1"/>
      <c r="AW273" s="1">
        <f t="shared" si="16"/>
        <v>12675242</v>
      </c>
      <c r="AY273" s="1">
        <f>+'St of Activites - GA Rev'!AI273-'St of Activities - GA Exp'!AW273</f>
        <v>3385260</v>
      </c>
      <c r="BA273" s="1">
        <v>6001252</v>
      </c>
      <c r="BC273" s="1">
        <f t="shared" si="17"/>
        <v>9386512</v>
      </c>
      <c r="BE273" s="1">
        <f>+'St of Net Assets - GA'!AA273-'St of Activities - GA Exp'!BC273</f>
        <v>0</v>
      </c>
    </row>
    <row r="274" spans="1:57">
      <c r="A274" s="17" t="s">
        <v>459</v>
      </c>
      <c r="B274" s="17"/>
      <c r="C274" s="17" t="s">
        <v>458</v>
      </c>
      <c r="D274" s="17"/>
      <c r="E274" s="13">
        <v>48264</v>
      </c>
      <c r="G274" s="1">
        <v>8254015</v>
      </c>
      <c r="H274" s="1"/>
      <c r="I274" s="1">
        <v>2244268</v>
      </c>
      <c r="J274" s="1"/>
      <c r="K274" s="1">
        <v>168137</v>
      </c>
      <c r="L274" s="1"/>
      <c r="M274" s="1">
        <v>3722</v>
      </c>
      <c r="N274" s="1"/>
      <c r="O274" s="1">
        <v>1101751</v>
      </c>
      <c r="P274" s="1"/>
      <c r="Q274" s="1">
        <v>793024</v>
      </c>
      <c r="R274" s="1"/>
      <c r="S274" s="1">
        <v>99766</v>
      </c>
      <c r="T274" s="1"/>
      <c r="U274" s="1">
        <v>1613053</v>
      </c>
      <c r="V274" s="1"/>
      <c r="W274" s="1">
        <v>611503</v>
      </c>
      <c r="X274" s="1"/>
      <c r="Y274" s="1">
        <v>7743</v>
      </c>
      <c r="Z274" s="1"/>
      <c r="AA274" s="1">
        <v>1817389</v>
      </c>
      <c r="AB274" s="1"/>
      <c r="AC274" s="1">
        <v>1076704</v>
      </c>
      <c r="AD274" s="1"/>
      <c r="AE274" s="1">
        <v>0</v>
      </c>
      <c r="AF274" s="1"/>
      <c r="AG274" s="1">
        <v>863126</v>
      </c>
      <c r="AH274" s="1"/>
      <c r="AI274" s="1">
        <v>0</v>
      </c>
      <c r="AJ274" s="1"/>
      <c r="AK274" s="17" t="s">
        <v>459</v>
      </c>
      <c r="AL274" s="17"/>
      <c r="AM274" s="17" t="s">
        <v>458</v>
      </c>
      <c r="AN274" s="17"/>
      <c r="AO274" s="1">
        <v>682548</v>
      </c>
      <c r="AP274" s="1"/>
      <c r="AQ274" s="1">
        <v>1068072</v>
      </c>
      <c r="AR274" s="1"/>
      <c r="AS274" s="1"/>
      <c r="AT274" s="1"/>
      <c r="AU274" s="1">
        <v>0</v>
      </c>
      <c r="AV274" s="1"/>
      <c r="AW274" s="1">
        <f t="shared" si="16"/>
        <v>20404821</v>
      </c>
      <c r="AY274" s="1">
        <f>+'St of Activites - GA Rev'!AI274-'St of Activities - GA Exp'!AW274</f>
        <v>264077</v>
      </c>
      <c r="BA274" s="1">
        <v>35182089</v>
      </c>
      <c r="BC274" s="1">
        <f t="shared" si="17"/>
        <v>35446166</v>
      </c>
      <c r="BE274" s="1">
        <f>+'St of Net Assets - GA'!AA274-'St of Activities - GA Exp'!BC274</f>
        <v>0</v>
      </c>
    </row>
    <row r="275" spans="1:57">
      <c r="A275" s="17" t="s">
        <v>606</v>
      </c>
      <c r="B275" s="17"/>
      <c r="C275" s="17" t="s">
        <v>64</v>
      </c>
      <c r="D275" s="17"/>
      <c r="E275" s="13">
        <v>50179</v>
      </c>
      <c r="G275" s="1">
        <v>4961442</v>
      </c>
      <c r="H275" s="1"/>
      <c r="I275" s="1">
        <v>678273</v>
      </c>
      <c r="J275" s="1"/>
      <c r="K275" s="1">
        <v>80198</v>
      </c>
      <c r="L275" s="1"/>
      <c r="M275" s="1">
        <v>53257</v>
      </c>
      <c r="N275" s="1"/>
      <c r="O275" s="1">
        <v>349973</v>
      </c>
      <c r="P275" s="1"/>
      <c r="Q275" s="1">
        <v>97555</v>
      </c>
      <c r="R275" s="1"/>
      <c r="S275" s="1">
        <v>145313</v>
      </c>
      <c r="T275" s="1"/>
      <c r="U275" s="1">
        <v>668694</v>
      </c>
      <c r="V275" s="1"/>
      <c r="W275" s="1">
        <v>307843</v>
      </c>
      <c r="X275" s="1"/>
      <c r="Y275" s="1">
        <v>0</v>
      </c>
      <c r="Z275" s="1"/>
      <c r="AA275" s="1">
        <v>701994</v>
      </c>
      <c r="AB275" s="1"/>
      <c r="AC275" s="1">
        <v>790014</v>
      </c>
      <c r="AD275" s="1"/>
      <c r="AE275" s="1">
        <v>150664</v>
      </c>
      <c r="AF275" s="1"/>
      <c r="AG275" s="1">
        <v>379274</v>
      </c>
      <c r="AH275" s="1"/>
      <c r="AI275" s="1">
        <f>512562+26325</f>
        <v>538887</v>
      </c>
      <c r="AJ275" s="1"/>
      <c r="AK275" s="17" t="s">
        <v>606</v>
      </c>
      <c r="AL275" s="17"/>
      <c r="AM275" s="17" t="s">
        <v>64</v>
      </c>
      <c r="AN275" s="17"/>
      <c r="AO275" s="1">
        <v>280430</v>
      </c>
      <c r="AP275" s="1"/>
      <c r="AQ275" s="1">
        <v>324241</v>
      </c>
      <c r="AR275" s="1"/>
      <c r="AS275" s="1"/>
      <c r="AT275" s="1"/>
      <c r="AU275" s="1">
        <v>0</v>
      </c>
      <c r="AV275" s="1"/>
      <c r="AW275" s="1">
        <f t="shared" ref="AW275:AW335" si="18">SUM(G275:AV275)</f>
        <v>10508052</v>
      </c>
      <c r="AY275" s="1">
        <f>+'St of Activites - GA Rev'!AI275-'St of Activities - GA Exp'!AW275</f>
        <v>-334868</v>
      </c>
      <c r="BA275" s="1">
        <v>21259548</v>
      </c>
      <c r="BC275" s="1">
        <f t="shared" si="17"/>
        <v>20924680</v>
      </c>
      <c r="BE275" s="1">
        <f>+'St of Net Assets - GA'!AA275-'St of Activities - GA Exp'!BC275</f>
        <v>0</v>
      </c>
    </row>
    <row r="276" spans="1:57" hidden="1">
      <c r="A276" s="17" t="s">
        <v>316</v>
      </c>
      <c r="B276" s="17"/>
      <c r="C276" s="17" t="s">
        <v>24</v>
      </c>
      <c r="D276" s="17"/>
      <c r="E276" s="13">
        <v>46797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7" t="s">
        <v>316</v>
      </c>
      <c r="AL276" s="17"/>
      <c r="AM276" s="17" t="s">
        <v>24</v>
      </c>
      <c r="AN276" s="17"/>
      <c r="AO276" s="1"/>
      <c r="AP276" s="1"/>
      <c r="AQ276" s="1"/>
      <c r="AR276" s="1"/>
      <c r="AS276" s="1"/>
      <c r="AT276" s="1"/>
      <c r="AU276" s="1"/>
      <c r="AV276" s="1"/>
      <c r="AW276" s="1">
        <f t="shared" si="18"/>
        <v>0</v>
      </c>
      <c r="AY276" s="1">
        <f>+'St of Activites - GA Rev'!AI276-'St of Activities - GA Exp'!AW276</f>
        <v>0</v>
      </c>
      <c r="BC276" s="1">
        <f t="shared" ref="BC276:BC319" si="19">+AY276+BA276</f>
        <v>0</v>
      </c>
      <c r="BE276" s="1">
        <f>+'St of Net Assets - GA'!AA276-'St of Activities - GA Exp'!BC276</f>
        <v>0</v>
      </c>
    </row>
    <row r="277" spans="1:57">
      <c r="A277" s="17" t="s">
        <v>353</v>
      </c>
      <c r="B277" s="17"/>
      <c r="C277" s="17" t="s">
        <v>30</v>
      </c>
      <c r="D277" s="17"/>
      <c r="E277" s="13">
        <v>47191</v>
      </c>
      <c r="G277" s="1">
        <v>15953102</v>
      </c>
      <c r="H277" s="1"/>
      <c r="I277" s="1">
        <v>4174608</v>
      </c>
      <c r="J277" s="1"/>
      <c r="K277" s="1">
        <v>146682</v>
      </c>
      <c r="L277" s="1"/>
      <c r="M277" s="1">
        <f>510965</f>
        <v>510965</v>
      </c>
      <c r="N277" s="1"/>
      <c r="O277" s="1">
        <v>2491893</v>
      </c>
      <c r="P277" s="1"/>
      <c r="Q277" s="1">
        <v>1104241</v>
      </c>
      <c r="R277" s="1"/>
      <c r="S277" s="1">
        <v>55185</v>
      </c>
      <c r="T277" s="1"/>
      <c r="U277" s="1">
        <v>2794093</v>
      </c>
      <c r="V277" s="1"/>
      <c r="W277" s="1">
        <v>990759</v>
      </c>
      <c r="X277" s="1"/>
      <c r="Y277" s="1">
        <v>49653</v>
      </c>
      <c r="Z277" s="1"/>
      <c r="AA277" s="1">
        <v>3642583</v>
      </c>
      <c r="AB277" s="1"/>
      <c r="AC277" s="1">
        <v>2537276</v>
      </c>
      <c r="AD277" s="1"/>
      <c r="AE277" s="1">
        <v>35527</v>
      </c>
      <c r="AF277" s="1"/>
      <c r="AG277" s="1">
        <v>1126629</v>
      </c>
      <c r="AH277" s="1"/>
      <c r="AI277" s="1">
        <f>148235+156670+94785+308319</f>
        <v>708009</v>
      </c>
      <c r="AJ277" s="1"/>
      <c r="AK277" s="17" t="s">
        <v>353</v>
      </c>
      <c r="AL277" s="17"/>
      <c r="AM277" s="17" t="s">
        <v>30</v>
      </c>
      <c r="AN277" s="17"/>
      <c r="AO277" s="1">
        <v>1459442</v>
      </c>
      <c r="AP277" s="1"/>
      <c r="AQ277" s="1">
        <v>2112420</v>
      </c>
      <c r="AR277" s="1"/>
      <c r="AS277" s="1"/>
      <c r="AT277" s="1"/>
      <c r="AU277" s="1">
        <v>0</v>
      </c>
      <c r="AV277" s="1"/>
      <c r="AW277" s="1">
        <f t="shared" si="18"/>
        <v>39893067</v>
      </c>
      <c r="AY277" s="1">
        <f>+'St of Activites - GA Rev'!AI277-'St of Activities - GA Exp'!AW277</f>
        <v>1056806</v>
      </c>
      <c r="BA277" s="1">
        <v>23962156</v>
      </c>
      <c r="BC277" s="1">
        <f t="shared" si="19"/>
        <v>25018962</v>
      </c>
      <c r="BE277" s="1">
        <f>+'St of Net Assets - GA'!AA277-'St of Activities - GA Exp'!BC277</f>
        <v>0</v>
      </c>
    </row>
    <row r="278" spans="1:57">
      <c r="A278" s="17" t="s">
        <v>535</v>
      </c>
      <c r="B278" s="17"/>
      <c r="C278" s="17" t="s">
        <v>56</v>
      </c>
      <c r="D278" s="17"/>
      <c r="E278" s="13">
        <v>44164</v>
      </c>
      <c r="G278" s="1">
        <v>19307323</v>
      </c>
      <c r="H278" s="1"/>
      <c r="I278" s="1">
        <v>5516384</v>
      </c>
      <c r="J278" s="1"/>
      <c r="K278" s="1">
        <v>2186661</v>
      </c>
      <c r="L278" s="1"/>
      <c r="M278" s="1">
        <f>42243+425257+668944</f>
        <v>1136444</v>
      </c>
      <c r="N278" s="1"/>
      <c r="O278" s="1">
        <v>2557729</v>
      </c>
      <c r="P278" s="1"/>
      <c r="Q278" s="1">
        <v>2519379</v>
      </c>
      <c r="R278" s="1"/>
      <c r="S278" s="1">
        <v>174970</v>
      </c>
      <c r="T278" s="1"/>
      <c r="U278" s="1">
        <v>3264732</v>
      </c>
      <c r="V278" s="1"/>
      <c r="W278" s="1">
        <v>1010988</v>
      </c>
      <c r="X278" s="1"/>
      <c r="Y278" s="1">
        <v>373354</v>
      </c>
      <c r="Z278" s="1"/>
      <c r="AA278" s="1">
        <v>3394618</v>
      </c>
      <c r="AB278" s="1"/>
      <c r="AC278" s="1">
        <v>1594294</v>
      </c>
      <c r="AD278" s="1"/>
      <c r="AE278" s="1">
        <v>345168</v>
      </c>
      <c r="AF278" s="1"/>
      <c r="AG278" s="1">
        <v>1331307</v>
      </c>
      <c r="AH278" s="1"/>
      <c r="AI278" s="1">
        <v>452642</v>
      </c>
      <c r="AJ278" s="1"/>
      <c r="AK278" s="17" t="s">
        <v>535</v>
      </c>
      <c r="AL278" s="17"/>
      <c r="AM278" s="17" t="s">
        <v>56</v>
      </c>
      <c r="AN278" s="17"/>
      <c r="AO278" s="1">
        <v>1194897</v>
      </c>
      <c r="AP278" s="1"/>
      <c r="AQ278" s="1">
        <v>1273966</v>
      </c>
      <c r="AR278" s="1"/>
      <c r="AS278" s="1"/>
      <c r="AT278" s="1"/>
      <c r="AU278" s="1">
        <v>14301</v>
      </c>
      <c r="AV278" s="1"/>
      <c r="AW278" s="1">
        <f t="shared" si="18"/>
        <v>47649157</v>
      </c>
      <c r="AY278" s="1">
        <f>+'St of Activites - GA Rev'!AI278-'St of Activities - GA Exp'!AW278</f>
        <v>3476752</v>
      </c>
      <c r="BA278" s="1">
        <v>15429642</v>
      </c>
      <c r="BC278" s="1">
        <f t="shared" si="19"/>
        <v>18906394</v>
      </c>
      <c r="BE278" s="1">
        <f>+'St of Net Assets - GA'!AA278-'St of Activities - GA Exp'!BC278</f>
        <v>0</v>
      </c>
    </row>
    <row r="279" spans="1:57" ht="12" customHeight="1">
      <c r="A279" s="17" t="s">
        <v>385</v>
      </c>
      <c r="B279" s="17"/>
      <c r="C279" s="17" t="s">
        <v>383</v>
      </c>
      <c r="D279" s="17"/>
      <c r="E279" s="13">
        <v>44172</v>
      </c>
      <c r="G279" s="1">
        <v>9965786</v>
      </c>
      <c r="H279" s="1"/>
      <c r="I279" s="1">
        <v>2403930</v>
      </c>
      <c r="J279" s="1"/>
      <c r="K279" s="1">
        <v>185088</v>
      </c>
      <c r="L279" s="1"/>
      <c r="M279" s="1">
        <v>0</v>
      </c>
      <c r="N279" s="1"/>
      <c r="O279" s="1">
        <v>602128</v>
      </c>
      <c r="P279" s="1"/>
      <c r="Q279" s="1">
        <v>1245776</v>
      </c>
      <c r="R279" s="1"/>
      <c r="S279" s="1">
        <v>24746</v>
      </c>
      <c r="T279" s="1"/>
      <c r="U279" s="1">
        <v>1637294</v>
      </c>
      <c r="V279" s="1"/>
      <c r="W279" s="1">
        <v>421573</v>
      </c>
      <c r="X279" s="1"/>
      <c r="Y279" s="1">
        <v>0</v>
      </c>
      <c r="Z279" s="1"/>
      <c r="AA279" s="1">
        <v>1620124</v>
      </c>
      <c r="AB279" s="1"/>
      <c r="AC279" s="1">
        <v>711876</v>
      </c>
      <c r="AD279" s="1"/>
      <c r="AE279" s="1">
        <v>68070</v>
      </c>
      <c r="AF279" s="1"/>
      <c r="AG279" s="1">
        <v>0</v>
      </c>
      <c r="AH279" s="1"/>
      <c r="AI279" s="1">
        <v>916917</v>
      </c>
      <c r="AJ279" s="1"/>
      <c r="AK279" s="17" t="s">
        <v>385</v>
      </c>
      <c r="AL279" s="17"/>
      <c r="AM279" s="17" t="s">
        <v>383</v>
      </c>
      <c r="AN279" s="17"/>
      <c r="AO279" s="1">
        <v>284150</v>
      </c>
      <c r="AP279" s="1"/>
      <c r="AQ279" s="1">
        <v>0</v>
      </c>
      <c r="AR279" s="1"/>
      <c r="AS279" s="1"/>
      <c r="AT279" s="1"/>
      <c r="AU279" s="1">
        <v>0</v>
      </c>
      <c r="AV279" s="1"/>
      <c r="AW279" s="1">
        <f t="shared" si="18"/>
        <v>20087458</v>
      </c>
      <c r="AY279" s="1">
        <f>+'St of Activites - GA Rev'!AI279-'St of Activities - GA Exp'!AW279</f>
        <v>-680210</v>
      </c>
      <c r="BA279" s="1">
        <v>4842104</v>
      </c>
      <c r="BC279" s="1">
        <f t="shared" si="19"/>
        <v>4161894</v>
      </c>
      <c r="BE279" s="1">
        <f>+'St of Net Assets - GA'!AA279-'St of Activities - GA Exp'!BC279</f>
        <v>0</v>
      </c>
    </row>
    <row r="280" spans="1:57">
      <c r="A280" s="17" t="s">
        <v>499</v>
      </c>
      <c r="B280" s="17"/>
      <c r="C280" s="17" t="s">
        <v>50</v>
      </c>
      <c r="D280" s="17"/>
      <c r="E280" s="13">
        <v>44180</v>
      </c>
      <c r="G280" s="1">
        <v>36080724</v>
      </c>
      <c r="H280" s="1"/>
      <c r="I280" s="1">
        <v>9075308</v>
      </c>
      <c r="J280" s="1"/>
      <c r="K280" s="1">
        <v>2726098</v>
      </c>
      <c r="L280" s="1"/>
      <c r="M280" s="1">
        <f>80190+2333372</f>
        <v>2413562</v>
      </c>
      <c r="N280" s="1"/>
      <c r="O280" s="1">
        <v>8570082</v>
      </c>
      <c r="P280" s="1"/>
      <c r="Q280" s="1">
        <v>5617159</v>
      </c>
      <c r="R280" s="1"/>
      <c r="S280" s="1">
        <v>67166</v>
      </c>
      <c r="T280" s="1"/>
      <c r="U280" s="1">
        <v>5676841</v>
      </c>
      <c r="V280" s="1"/>
      <c r="W280" s="1">
        <v>1570448</v>
      </c>
      <c r="X280" s="1"/>
      <c r="Y280" s="1">
        <v>617931</v>
      </c>
      <c r="Z280" s="1"/>
      <c r="AA280" s="1">
        <v>8764444</v>
      </c>
      <c r="AB280" s="1"/>
      <c r="AC280" s="1">
        <v>3531497</v>
      </c>
      <c r="AD280" s="1"/>
      <c r="AE280" s="1">
        <v>1895046</v>
      </c>
      <c r="AF280" s="1"/>
      <c r="AG280" s="1">
        <v>0</v>
      </c>
      <c r="AH280" s="1"/>
      <c r="AI280" s="1">
        <v>4730528</v>
      </c>
      <c r="AJ280" s="1"/>
      <c r="AK280" s="17" t="s">
        <v>499</v>
      </c>
      <c r="AL280" s="17"/>
      <c r="AM280" s="17" t="s">
        <v>50</v>
      </c>
      <c r="AN280" s="17"/>
      <c r="AO280" s="1">
        <v>1841347</v>
      </c>
      <c r="AP280" s="1"/>
      <c r="AQ280" s="1">
        <v>4321249</v>
      </c>
      <c r="AR280" s="1"/>
      <c r="AS280" s="1"/>
      <c r="AT280" s="1"/>
      <c r="AU280" s="1">
        <v>0</v>
      </c>
      <c r="AV280" s="1"/>
      <c r="AW280" s="1">
        <f t="shared" si="18"/>
        <v>97499430</v>
      </c>
      <c r="AY280" s="1">
        <f>+'St of Activites - GA Rev'!AI280-'St of Activities - GA Exp'!AW280</f>
        <v>-1710532</v>
      </c>
      <c r="BA280" s="1">
        <v>23490689</v>
      </c>
      <c r="BC280" s="1">
        <f t="shared" si="19"/>
        <v>21780157</v>
      </c>
      <c r="BE280" s="1">
        <f>+'St of Net Assets - GA'!AA280-'St of Activities - GA Exp'!BC280</f>
        <v>0</v>
      </c>
    </row>
    <row r="281" spans="1:57" ht="12" customHeight="1">
      <c r="A281" s="17" t="s">
        <v>442</v>
      </c>
      <c r="B281" s="17"/>
      <c r="C281" s="17" t="s">
        <v>44</v>
      </c>
      <c r="D281" s="17"/>
      <c r="E281" s="13">
        <v>48165</v>
      </c>
      <c r="G281" s="1">
        <v>7587064</v>
      </c>
      <c r="H281" s="1"/>
      <c r="I281" s="1">
        <v>1626780</v>
      </c>
      <c r="J281" s="1"/>
      <c r="K281" s="1">
        <v>101087</v>
      </c>
      <c r="L281" s="1"/>
      <c r="M281" s="1">
        <v>114886</v>
      </c>
      <c r="N281" s="1"/>
      <c r="O281" s="1">
        <v>886994</v>
      </c>
      <c r="P281" s="1"/>
      <c r="Q281" s="1">
        <v>532728</v>
      </c>
      <c r="R281" s="1"/>
      <c r="S281" s="1">
        <v>34668</v>
      </c>
      <c r="T281" s="1"/>
      <c r="U281" s="1">
        <v>1238876</v>
      </c>
      <c r="V281" s="1"/>
      <c r="W281" s="1">
        <v>428194</v>
      </c>
      <c r="X281" s="1"/>
      <c r="Y281" s="1">
        <v>0</v>
      </c>
      <c r="Z281" s="1"/>
      <c r="AA281" s="1">
        <v>1326992</v>
      </c>
      <c r="AB281" s="1"/>
      <c r="AC281" s="1">
        <v>958546</v>
      </c>
      <c r="AD281" s="1"/>
      <c r="AE281" s="1">
        <v>374039</v>
      </c>
      <c r="AF281" s="1"/>
      <c r="AG281" s="1">
        <v>485656</v>
      </c>
      <c r="AH281" s="1"/>
      <c r="AI281" s="1">
        <f>55778+111471</f>
        <v>167249</v>
      </c>
      <c r="AJ281" s="1"/>
      <c r="AK281" s="17" t="s">
        <v>442</v>
      </c>
      <c r="AL281" s="17"/>
      <c r="AM281" s="17" t="s">
        <v>44</v>
      </c>
      <c r="AN281" s="17"/>
      <c r="AO281" s="1">
        <v>463680</v>
      </c>
      <c r="AP281" s="1"/>
      <c r="AQ281" s="1">
        <v>753411</v>
      </c>
      <c r="AR281" s="1"/>
      <c r="AS281" s="1"/>
      <c r="AT281" s="1"/>
      <c r="AU281" s="1">
        <v>0</v>
      </c>
      <c r="AV281" s="1"/>
      <c r="AW281" s="1">
        <f t="shared" si="18"/>
        <v>17080850</v>
      </c>
      <c r="AY281" s="1">
        <f>+'St of Activites - GA Rev'!AI281-'St of Activities - GA Exp'!AW281</f>
        <v>-222291</v>
      </c>
      <c r="BA281" s="1">
        <v>10250267</v>
      </c>
      <c r="BC281" s="1">
        <f t="shared" si="19"/>
        <v>10027976</v>
      </c>
      <c r="BE281" s="1">
        <f>+'St of Net Assets - GA'!AA281-'St of Activities - GA Exp'!BC281</f>
        <v>0</v>
      </c>
    </row>
    <row r="282" spans="1:57">
      <c r="A282" s="17" t="s">
        <v>633</v>
      </c>
      <c r="B282" s="17"/>
      <c r="C282" s="17" t="s">
        <v>69</v>
      </c>
      <c r="D282" s="17"/>
      <c r="E282" s="13">
        <v>50435</v>
      </c>
      <c r="G282" s="1">
        <v>17929298</v>
      </c>
      <c r="H282" s="1"/>
      <c r="I282" s="1">
        <v>4000964</v>
      </c>
      <c r="J282" s="1"/>
      <c r="K282" s="1">
        <v>0</v>
      </c>
      <c r="L282" s="1"/>
      <c r="M282" s="1">
        <v>766807</v>
      </c>
      <c r="N282" s="1"/>
      <c r="O282" s="1">
        <v>1885457</v>
      </c>
      <c r="P282" s="1"/>
      <c r="Q282" s="1">
        <v>1960215</v>
      </c>
      <c r="R282" s="1"/>
      <c r="S282" s="1">
        <v>95730</v>
      </c>
      <c r="T282" s="1"/>
      <c r="U282" s="1">
        <v>3606289</v>
      </c>
      <c r="V282" s="1"/>
      <c r="W282" s="1">
        <v>898565</v>
      </c>
      <c r="X282" s="1"/>
      <c r="Y282" s="1">
        <v>234649</v>
      </c>
      <c r="Z282" s="1"/>
      <c r="AA282" s="1">
        <v>5218286</v>
      </c>
      <c r="AB282" s="1"/>
      <c r="AC282" s="1">
        <v>3051502</v>
      </c>
      <c r="AD282" s="1"/>
      <c r="AE282" s="1">
        <v>286659</v>
      </c>
      <c r="AF282" s="1"/>
      <c r="AG282" s="1">
        <v>1258640</v>
      </c>
      <c r="AH282" s="1"/>
      <c r="AI282" s="1">
        <f>1070471+27553+387419</f>
        <v>1485443</v>
      </c>
      <c r="AJ282" s="1"/>
      <c r="AK282" s="17" t="s">
        <v>633</v>
      </c>
      <c r="AL282" s="17"/>
      <c r="AM282" s="17" t="s">
        <v>69</v>
      </c>
      <c r="AN282" s="17"/>
      <c r="AO282" s="1">
        <v>1277864</v>
      </c>
      <c r="AP282" s="1"/>
      <c r="AQ282" s="1">
        <v>3202211</v>
      </c>
      <c r="AR282" s="1"/>
      <c r="AS282" s="1"/>
      <c r="AT282" s="1"/>
      <c r="AU282" s="1">
        <v>0</v>
      </c>
      <c r="AV282" s="1"/>
      <c r="AW282" s="1">
        <f t="shared" si="18"/>
        <v>47158579</v>
      </c>
      <c r="AY282" s="1">
        <f>+'St of Activites - GA Rev'!AI282-'St of Activities - GA Exp'!AW282</f>
        <v>-2602107</v>
      </c>
      <c r="BA282" s="1">
        <v>10416762</v>
      </c>
      <c r="BC282" s="1">
        <f t="shared" si="19"/>
        <v>7814655</v>
      </c>
      <c r="BE282" s="1">
        <f>+'St of Net Assets - GA'!AA282-'St of Activities - GA Exp'!BC282</f>
        <v>0</v>
      </c>
    </row>
    <row r="283" spans="1:57" ht="12" hidden="1" customHeight="1">
      <c r="A283" s="17" t="s">
        <v>862</v>
      </c>
      <c r="B283" s="17"/>
      <c r="C283" s="17" t="s">
        <v>41</v>
      </c>
      <c r="D283" s="17"/>
      <c r="E283" s="13">
        <v>47878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7" t="s">
        <v>862</v>
      </c>
      <c r="AL283" s="17"/>
      <c r="AM283" s="17" t="s">
        <v>41</v>
      </c>
      <c r="AN283" s="17"/>
      <c r="AO283" s="1"/>
      <c r="AP283" s="1"/>
      <c r="AQ283" s="1"/>
      <c r="AR283" s="1"/>
      <c r="AS283" s="1"/>
      <c r="AT283" s="1"/>
      <c r="AU283" s="1"/>
      <c r="AV283" s="1"/>
      <c r="AW283" s="1">
        <f t="shared" si="18"/>
        <v>0</v>
      </c>
      <c r="AY283" s="1">
        <f>+'St of Activites - GA Rev'!AI283-'St of Activities - GA Exp'!AW283</f>
        <v>0</v>
      </c>
      <c r="BC283" s="1">
        <f t="shared" si="19"/>
        <v>0</v>
      </c>
      <c r="BE283" s="1">
        <f>+'St of Net Assets - GA'!AA283-'St of Activities - GA Exp'!BC283</f>
        <v>0</v>
      </c>
    </row>
    <row r="284" spans="1:57">
      <c r="A284" s="17" t="s">
        <v>607</v>
      </c>
      <c r="B284" s="17"/>
      <c r="C284" s="17" t="s">
        <v>64</v>
      </c>
      <c r="D284" s="17"/>
      <c r="E284" s="13">
        <v>50245</v>
      </c>
      <c r="G284" s="1">
        <v>6654041</v>
      </c>
      <c r="H284" s="1"/>
      <c r="I284" s="1">
        <v>1556018</v>
      </c>
      <c r="J284" s="1"/>
      <c r="K284" s="1">
        <v>89802</v>
      </c>
      <c r="L284" s="1"/>
      <c r="M284" s="1">
        <f>1365+476250</f>
        <v>477615</v>
      </c>
      <c r="N284" s="1"/>
      <c r="O284" s="1">
        <v>748232</v>
      </c>
      <c r="P284" s="1"/>
      <c r="Q284" s="1">
        <v>289327</v>
      </c>
      <c r="R284" s="1"/>
      <c r="S284" s="1">
        <v>44424</v>
      </c>
      <c r="T284" s="1"/>
      <c r="U284" s="1">
        <v>1106376</v>
      </c>
      <c r="V284" s="1"/>
      <c r="W284" s="1">
        <v>365312</v>
      </c>
      <c r="X284" s="1"/>
      <c r="Y284" s="1">
        <v>0</v>
      </c>
      <c r="Z284" s="1"/>
      <c r="AA284" s="1">
        <v>1643338</v>
      </c>
      <c r="AB284" s="1"/>
      <c r="AC284" s="1">
        <v>612215</v>
      </c>
      <c r="AD284" s="1"/>
      <c r="AE284" s="1">
        <v>113992</v>
      </c>
      <c r="AF284" s="1"/>
      <c r="AG284" s="1">
        <v>697527</v>
      </c>
      <c r="AH284" s="1"/>
      <c r="AI284" s="1">
        <v>3473</v>
      </c>
      <c r="AJ284" s="1"/>
      <c r="AK284" s="17" t="s">
        <v>607</v>
      </c>
      <c r="AL284" s="17"/>
      <c r="AM284" s="17" t="s">
        <v>64</v>
      </c>
      <c r="AN284" s="17"/>
      <c r="AO284" s="1">
        <v>503560</v>
      </c>
      <c r="AP284" s="1"/>
      <c r="AQ284" s="1">
        <v>444670</v>
      </c>
      <c r="AR284" s="1"/>
      <c r="AS284" s="1"/>
      <c r="AT284" s="1"/>
      <c r="AU284" s="1">
        <v>0</v>
      </c>
      <c r="AV284" s="1"/>
      <c r="AW284" s="1">
        <f t="shared" si="18"/>
        <v>15349922</v>
      </c>
      <c r="AY284" s="1">
        <f>+'St of Activites - GA Rev'!AI284-'St of Activities - GA Exp'!AW284</f>
        <v>186681</v>
      </c>
      <c r="BA284" s="1">
        <v>21685174</v>
      </c>
      <c r="BC284" s="1">
        <f t="shared" si="19"/>
        <v>21871855</v>
      </c>
      <c r="BE284" s="1">
        <f>+'St of Net Assets - GA'!AA284-'St of Activities - GA Exp'!BC284</f>
        <v>0</v>
      </c>
    </row>
    <row r="285" spans="1:57">
      <c r="A285" s="17" t="s">
        <v>577</v>
      </c>
      <c r="B285" s="17"/>
      <c r="C285" s="17" t="s">
        <v>62</v>
      </c>
      <c r="D285" s="17"/>
      <c r="E285" s="13">
        <v>49866</v>
      </c>
      <c r="G285" s="1">
        <v>15798767</v>
      </c>
      <c r="H285" s="1"/>
      <c r="I285" s="1">
        <v>3509139</v>
      </c>
      <c r="J285" s="1"/>
      <c r="K285" s="1">
        <v>510730</v>
      </c>
      <c r="L285" s="1"/>
      <c r="M285" s="1">
        <f>232268+1039231</f>
        <v>1271499</v>
      </c>
      <c r="N285" s="1"/>
      <c r="O285" s="1">
        <v>962798</v>
      </c>
      <c r="P285" s="1"/>
      <c r="Q285" s="1">
        <v>1646425</v>
      </c>
      <c r="R285" s="1"/>
      <c r="S285" s="1">
        <v>35370</v>
      </c>
      <c r="T285" s="1"/>
      <c r="U285" s="1">
        <v>2678790</v>
      </c>
      <c r="V285" s="1"/>
      <c r="W285" s="1">
        <v>654600</v>
      </c>
      <c r="X285" s="1"/>
      <c r="Y285" s="1">
        <v>76164</v>
      </c>
      <c r="Z285" s="1"/>
      <c r="AA285" s="1">
        <v>3256977</v>
      </c>
      <c r="AB285" s="1"/>
      <c r="AC285" s="1">
        <v>2145337</v>
      </c>
      <c r="AD285" s="1"/>
      <c r="AE285" s="1">
        <v>163126</v>
      </c>
      <c r="AF285" s="1"/>
      <c r="AG285" s="1">
        <v>1086648</v>
      </c>
      <c r="AH285" s="1"/>
      <c r="AI285" s="1">
        <f>455381+122309+90494</f>
        <v>668184</v>
      </c>
      <c r="AJ285" s="1"/>
      <c r="AK285" s="17" t="s">
        <v>577</v>
      </c>
      <c r="AL285" s="17"/>
      <c r="AM285" s="17" t="s">
        <v>62</v>
      </c>
      <c r="AN285" s="17"/>
      <c r="AO285" s="1">
        <v>997916</v>
      </c>
      <c r="AP285" s="1"/>
      <c r="AQ285" s="1">
        <v>1305456</v>
      </c>
      <c r="AR285" s="1"/>
      <c r="AS285" s="1"/>
      <c r="AT285" s="1"/>
      <c r="AU285" s="1">
        <v>0</v>
      </c>
      <c r="AV285" s="1"/>
      <c r="AW285" s="1">
        <f t="shared" si="18"/>
        <v>36767926</v>
      </c>
      <c r="AY285" s="1">
        <f>+'St of Activites - GA Rev'!AI285-'St of Activities - GA Exp'!AW285</f>
        <v>-1117074</v>
      </c>
      <c r="BA285" s="1">
        <v>17487750</v>
      </c>
      <c r="BC285" s="1">
        <f t="shared" si="19"/>
        <v>16370676</v>
      </c>
      <c r="BE285" s="1">
        <f>+'St of Net Assets - GA'!AA285-'St of Activities - GA Exp'!BC285</f>
        <v>0</v>
      </c>
    </row>
    <row r="286" spans="1:57" hidden="1">
      <c r="A286" s="12" t="s">
        <v>939</v>
      </c>
      <c r="B286" s="17"/>
      <c r="C286" s="17" t="s">
        <v>72</v>
      </c>
      <c r="D286" s="17"/>
      <c r="E286" s="13">
        <v>50690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2" t="s">
        <v>939</v>
      </c>
      <c r="AL286" s="17"/>
      <c r="AM286" s="17" t="s">
        <v>72</v>
      </c>
      <c r="AN286" s="17"/>
      <c r="AO286" s="1"/>
      <c r="AP286" s="1"/>
      <c r="AQ286" s="1"/>
      <c r="AR286" s="1"/>
      <c r="AS286" s="1"/>
      <c r="AT286" s="1"/>
      <c r="AU286" s="1"/>
      <c r="AV286" s="1"/>
      <c r="AW286" s="1">
        <f t="shared" si="18"/>
        <v>0</v>
      </c>
      <c r="AY286" s="1">
        <f>+'St of Activites - GA Rev'!AI286-'St of Activities - GA Exp'!AW286</f>
        <v>0</v>
      </c>
      <c r="BC286" s="1">
        <f t="shared" si="19"/>
        <v>0</v>
      </c>
      <c r="BE286" s="1">
        <f>+'St of Net Assets - GA'!AA286-'St of Activities - GA Exp'!BC286</f>
        <v>0</v>
      </c>
    </row>
    <row r="287" spans="1:57">
      <c r="A287" s="17" t="s">
        <v>608</v>
      </c>
      <c r="B287" s="17"/>
      <c r="C287" s="17" t="s">
        <v>64</v>
      </c>
      <c r="D287" s="17"/>
      <c r="E287" s="13">
        <v>50187</v>
      </c>
      <c r="G287" s="1">
        <v>8566138</v>
      </c>
      <c r="H287" s="1"/>
      <c r="I287" s="1">
        <v>2459354</v>
      </c>
      <c r="J287" s="1"/>
      <c r="K287" s="1">
        <v>0</v>
      </c>
      <c r="L287" s="1"/>
      <c r="M287" s="1">
        <v>0</v>
      </c>
      <c r="N287" s="1"/>
      <c r="O287" s="1">
        <v>885287</v>
      </c>
      <c r="P287" s="1"/>
      <c r="Q287" s="1">
        <v>793555</v>
      </c>
      <c r="R287" s="1"/>
      <c r="S287" s="1">
        <v>21771</v>
      </c>
      <c r="T287" s="1"/>
      <c r="U287" s="1">
        <v>1177991</v>
      </c>
      <c r="V287" s="1"/>
      <c r="W287" s="1">
        <v>435114</v>
      </c>
      <c r="X287" s="1"/>
      <c r="Y287" s="1">
        <v>0</v>
      </c>
      <c r="Z287" s="1"/>
      <c r="AA287" s="1">
        <v>1637921</v>
      </c>
      <c r="AB287" s="1"/>
      <c r="AC287" s="1">
        <v>728522</v>
      </c>
      <c r="AD287" s="1"/>
      <c r="AE287" s="1">
        <v>3179</v>
      </c>
      <c r="AF287" s="1"/>
      <c r="AG287" s="1">
        <v>600051</v>
      </c>
      <c r="AH287" s="1"/>
      <c r="AI287" s="1">
        <v>9119</v>
      </c>
      <c r="AJ287" s="1"/>
      <c r="AK287" s="17" t="s">
        <v>608</v>
      </c>
      <c r="AL287" s="17"/>
      <c r="AM287" s="17" t="s">
        <v>64</v>
      </c>
      <c r="AN287" s="17"/>
      <c r="AO287" s="1">
        <v>458023</v>
      </c>
      <c r="AP287" s="1"/>
      <c r="AQ287" s="1">
        <v>606027</v>
      </c>
      <c r="AR287" s="1"/>
      <c r="AS287" s="1"/>
      <c r="AT287" s="1"/>
      <c r="AU287" s="1">
        <v>0</v>
      </c>
      <c r="AV287" s="1"/>
      <c r="AW287" s="1">
        <f t="shared" si="18"/>
        <v>18382052</v>
      </c>
      <c r="AY287" s="1">
        <f>+'St of Activites - GA Rev'!AI287-'St of Activities - GA Exp'!AW287</f>
        <v>963782</v>
      </c>
      <c r="BA287" s="1">
        <v>961361</v>
      </c>
      <c r="BC287" s="1">
        <f t="shared" si="19"/>
        <v>1925143</v>
      </c>
      <c r="BE287" s="1">
        <f>+'St of Net Assets - GA'!AA287-'St of Activities - GA Exp'!BC287</f>
        <v>0</v>
      </c>
    </row>
    <row r="288" spans="1:57">
      <c r="A288" s="17" t="s">
        <v>293</v>
      </c>
      <c r="B288" s="17"/>
      <c r="C288" s="17" t="s">
        <v>20</v>
      </c>
      <c r="D288" s="17"/>
      <c r="E288" s="13">
        <v>44198</v>
      </c>
      <c r="G288" s="1">
        <v>32106503</v>
      </c>
      <c r="H288" s="1"/>
      <c r="I288" s="1">
        <v>13507687</v>
      </c>
      <c r="J288" s="1"/>
      <c r="K288" s="1">
        <v>2874671</v>
      </c>
      <c r="L288" s="1"/>
      <c r="M288" s="1">
        <f>224798+2849169</f>
        <v>3073967</v>
      </c>
      <c r="N288" s="1"/>
      <c r="O288" s="1">
        <v>4855970</v>
      </c>
      <c r="P288" s="1"/>
      <c r="Q288" s="1">
        <v>4826057</v>
      </c>
      <c r="R288" s="1"/>
      <c r="S288" s="1">
        <v>35851</v>
      </c>
      <c r="T288" s="1"/>
      <c r="U288" s="1">
        <v>3392528</v>
      </c>
      <c r="V288" s="1"/>
      <c r="W288" s="1">
        <v>1750824</v>
      </c>
      <c r="X288" s="1"/>
      <c r="Y288" s="1">
        <v>998011</v>
      </c>
      <c r="Z288" s="1"/>
      <c r="AA288" s="1">
        <v>8624418</v>
      </c>
      <c r="AB288" s="1"/>
      <c r="AC288" s="1">
        <v>91754</v>
      </c>
      <c r="AD288" s="1"/>
      <c r="AE288" s="1">
        <v>405642</v>
      </c>
      <c r="AF288" s="1"/>
      <c r="AG288" s="1">
        <v>1689720</v>
      </c>
      <c r="AH288" s="1"/>
      <c r="AI288" s="1">
        <f>2835338+225257</f>
        <v>3060595</v>
      </c>
      <c r="AJ288" s="1"/>
      <c r="AK288" s="17" t="s">
        <v>293</v>
      </c>
      <c r="AL288" s="17"/>
      <c r="AM288" s="17" t="s">
        <v>20</v>
      </c>
      <c r="AN288" s="17"/>
      <c r="AO288" s="1">
        <v>1457857</v>
      </c>
      <c r="AP288" s="1"/>
      <c r="AQ288" s="1">
        <v>6288905</v>
      </c>
      <c r="AR288" s="1"/>
      <c r="AS288" s="1"/>
      <c r="AT288" s="1"/>
      <c r="AU288" s="1">
        <v>0</v>
      </c>
      <c r="AV288" s="1"/>
      <c r="AW288" s="1">
        <f t="shared" si="18"/>
        <v>89040960</v>
      </c>
      <c r="AY288" s="1">
        <f>+'St of Activites - GA Rev'!AI288-'St of Activities - GA Exp'!AW288</f>
        <v>-5591105</v>
      </c>
      <c r="BA288" s="1">
        <v>25806562</v>
      </c>
      <c r="BC288" s="1">
        <f t="shared" si="19"/>
        <v>20215457</v>
      </c>
      <c r="BE288" s="1">
        <f>+'St of Net Assets - GA'!AA288-'St of Activities - GA Exp'!BC288</f>
        <v>0</v>
      </c>
    </row>
    <row r="289" spans="1:57">
      <c r="A289" s="17" t="s">
        <v>762</v>
      </c>
      <c r="B289" s="17"/>
      <c r="C289" s="17" t="s">
        <v>42</v>
      </c>
      <c r="D289" s="17"/>
      <c r="E289" s="13">
        <v>47993</v>
      </c>
      <c r="G289" s="1">
        <v>13547787</v>
      </c>
      <c r="H289" s="1"/>
      <c r="I289" s="1">
        <v>0</v>
      </c>
      <c r="J289" s="1"/>
      <c r="K289" s="1">
        <v>0</v>
      </c>
      <c r="L289" s="1"/>
      <c r="M289" s="1">
        <v>0</v>
      </c>
      <c r="N289" s="1"/>
      <c r="O289" s="1">
        <v>1312081</v>
      </c>
      <c r="P289" s="1"/>
      <c r="Q289" s="1">
        <v>386414</v>
      </c>
      <c r="R289" s="1"/>
      <c r="S289" s="1">
        <v>81589</v>
      </c>
      <c r="T289" s="1"/>
      <c r="U289" s="1">
        <v>1816833</v>
      </c>
      <c r="V289" s="1"/>
      <c r="W289" s="1">
        <v>590518</v>
      </c>
      <c r="X289" s="1"/>
      <c r="Y289" s="1">
        <v>19125</v>
      </c>
      <c r="Z289" s="1"/>
      <c r="AA289" s="1">
        <v>1551761</v>
      </c>
      <c r="AB289" s="1"/>
      <c r="AC289" s="1">
        <v>1589527</v>
      </c>
      <c r="AD289" s="1"/>
      <c r="AE289" s="1">
        <v>314949</v>
      </c>
      <c r="AF289" s="1"/>
      <c r="AG289" s="1">
        <v>916439</v>
      </c>
      <c r="AH289" s="1"/>
      <c r="AI289" s="1">
        <v>61088</v>
      </c>
      <c r="AJ289" s="1"/>
      <c r="AK289" s="17" t="s">
        <v>762</v>
      </c>
      <c r="AL289" s="17"/>
      <c r="AM289" s="17" t="s">
        <v>42</v>
      </c>
      <c r="AN289" s="17"/>
      <c r="AO289" s="1">
        <v>521163</v>
      </c>
      <c r="AP289" s="1"/>
      <c r="AQ289" s="1">
        <v>593824</v>
      </c>
      <c r="AR289" s="1"/>
      <c r="AS289" s="1"/>
      <c r="AT289" s="1"/>
      <c r="AU289" s="1">
        <v>0</v>
      </c>
      <c r="AV289" s="1"/>
      <c r="AW289" s="1">
        <f t="shared" si="18"/>
        <v>23303098</v>
      </c>
      <c r="AY289" s="1">
        <f>+'St of Activites - GA Rev'!AI289-'St of Activities - GA Exp'!AW289</f>
        <v>-99586</v>
      </c>
      <c r="BA289" s="1">
        <v>8155794</v>
      </c>
      <c r="BC289" s="1">
        <f t="shared" si="19"/>
        <v>8056208</v>
      </c>
      <c r="BE289" s="1">
        <f>+'St of Net Assets - GA'!AA289-'St of Activities - GA Exp'!BC289</f>
        <v>0</v>
      </c>
    </row>
    <row r="290" spans="1:57">
      <c r="A290" s="17" t="s">
        <v>230</v>
      </c>
      <c r="B290" s="17"/>
      <c r="C290" s="17" t="s">
        <v>227</v>
      </c>
      <c r="D290" s="17"/>
      <c r="E290" s="13">
        <v>46110</v>
      </c>
      <c r="G290" s="1">
        <v>82642995</v>
      </c>
      <c r="H290" s="1"/>
      <c r="I290" s="1">
        <v>14725660</v>
      </c>
      <c r="J290" s="1"/>
      <c r="K290" s="1">
        <v>0</v>
      </c>
      <c r="L290" s="1"/>
      <c r="M290" s="1">
        <v>3009707</v>
      </c>
      <c r="N290" s="1"/>
      <c r="O290" s="1">
        <v>12740885</v>
      </c>
      <c r="P290" s="1"/>
      <c r="Q290" s="1">
        <v>12525237</v>
      </c>
      <c r="R290" s="1"/>
      <c r="S290" s="1">
        <v>66318</v>
      </c>
      <c r="T290" s="1"/>
      <c r="U290" s="1">
        <v>14002040</v>
      </c>
      <c r="V290" s="1"/>
      <c r="W290" s="1">
        <v>1236620</v>
      </c>
      <c r="X290" s="1"/>
      <c r="Y290" s="1">
        <v>357957</v>
      </c>
      <c r="Z290" s="1"/>
      <c r="AA290" s="1">
        <v>14249777</v>
      </c>
      <c r="AB290" s="1"/>
      <c r="AC290" s="1">
        <v>19423730</v>
      </c>
      <c r="AD290" s="1"/>
      <c r="AE290" s="1">
        <v>3663618</v>
      </c>
      <c r="AF290" s="1"/>
      <c r="AG290" s="1">
        <v>5178893</v>
      </c>
      <c r="AH290" s="1"/>
      <c r="AI290" s="1">
        <f>602247+1292433</f>
        <v>1894680</v>
      </c>
      <c r="AJ290" s="1"/>
      <c r="AK290" s="17" t="s">
        <v>230</v>
      </c>
      <c r="AL290" s="17"/>
      <c r="AM290" s="17" t="s">
        <v>227</v>
      </c>
      <c r="AN290" s="17"/>
      <c r="AO290" s="1">
        <v>3426136</v>
      </c>
      <c r="AP290" s="1"/>
      <c r="AQ290" s="1">
        <v>8047154</v>
      </c>
      <c r="AR290" s="1"/>
      <c r="AS290" s="1"/>
      <c r="AT290" s="1"/>
      <c r="AU290" s="1">
        <v>0</v>
      </c>
      <c r="AV290" s="1"/>
      <c r="AW290" s="1">
        <f t="shared" si="18"/>
        <v>197191407</v>
      </c>
      <c r="AY290" s="1">
        <f>+'St of Activites - GA Rev'!AI290-'St of Activities - GA Exp'!AW290</f>
        <v>-8898625</v>
      </c>
      <c r="BA290" s="1">
        <v>64814535</v>
      </c>
      <c r="BC290" s="1">
        <f t="shared" si="19"/>
        <v>55915910</v>
      </c>
      <c r="BE290" s="1">
        <f>+'St of Net Assets - GA'!AA290-'St of Activities - GA Exp'!BC290</f>
        <v>0</v>
      </c>
    </row>
    <row r="291" spans="1:57">
      <c r="A291" s="17" t="s">
        <v>230</v>
      </c>
      <c r="B291" s="17"/>
      <c r="C291" s="17" t="s">
        <v>79</v>
      </c>
      <c r="D291" s="17"/>
      <c r="E291" s="13">
        <v>49569</v>
      </c>
      <c r="G291" s="1">
        <v>5134105</v>
      </c>
      <c r="H291" s="1"/>
      <c r="I291" s="1">
        <v>1820463</v>
      </c>
      <c r="J291" s="1"/>
      <c r="K291" s="1">
        <v>22262</v>
      </c>
      <c r="L291" s="1"/>
      <c r="M291" s="1">
        <v>23506</v>
      </c>
      <c r="N291" s="1"/>
      <c r="O291" s="1">
        <v>637309</v>
      </c>
      <c r="P291" s="1"/>
      <c r="Q291" s="1">
        <v>363521</v>
      </c>
      <c r="R291" s="1"/>
      <c r="S291" s="1">
        <v>21257</v>
      </c>
      <c r="T291" s="1"/>
      <c r="U291" s="1">
        <v>858728</v>
      </c>
      <c r="V291" s="1"/>
      <c r="W291" s="1">
        <v>223266</v>
      </c>
      <c r="X291" s="1"/>
      <c r="Y291" s="1">
        <v>225583</v>
      </c>
      <c r="Z291" s="1"/>
      <c r="AA291" s="1">
        <v>878096</v>
      </c>
      <c r="AB291" s="1"/>
      <c r="AC291" s="1">
        <v>738767</v>
      </c>
      <c r="AD291" s="1"/>
      <c r="AE291" s="1">
        <v>60468</v>
      </c>
      <c r="AF291" s="1"/>
      <c r="AG291" s="1">
        <v>454230</v>
      </c>
      <c r="AH291" s="1"/>
      <c r="AI291" s="1">
        <v>1722</v>
      </c>
      <c r="AJ291" s="1"/>
      <c r="AK291" s="17" t="s">
        <v>230</v>
      </c>
      <c r="AL291" s="17"/>
      <c r="AM291" s="17" t="s">
        <v>79</v>
      </c>
      <c r="AN291" s="17"/>
      <c r="AO291" s="1">
        <v>339021</v>
      </c>
      <c r="AP291" s="1"/>
      <c r="AQ291" s="1">
        <v>846923</v>
      </c>
      <c r="AR291" s="1"/>
      <c r="AS291" s="1"/>
      <c r="AT291" s="1"/>
      <c r="AU291" s="1">
        <v>0</v>
      </c>
      <c r="AV291" s="1"/>
      <c r="AW291" s="1">
        <f t="shared" si="18"/>
        <v>12649227</v>
      </c>
      <c r="AY291" s="1">
        <f>+'St of Activites - GA Rev'!AI291-'St of Activities - GA Exp'!AW291</f>
        <v>1370074</v>
      </c>
      <c r="BA291" s="1">
        <v>19099980</v>
      </c>
      <c r="BC291" s="1">
        <f t="shared" si="19"/>
        <v>20470054</v>
      </c>
      <c r="BE291" s="1">
        <f>+'St of Net Assets - GA'!AA291-'St of Activities - GA Exp'!BC291</f>
        <v>0</v>
      </c>
    </row>
    <row r="292" spans="1:57" ht="12" customHeight="1">
      <c r="A292" s="17" t="s">
        <v>325</v>
      </c>
      <c r="B292" s="17"/>
      <c r="C292" s="17" t="s">
        <v>25</v>
      </c>
      <c r="D292" s="17"/>
      <c r="E292" s="13">
        <v>44206</v>
      </c>
      <c r="G292" s="1">
        <v>25015206</v>
      </c>
      <c r="H292" s="1"/>
      <c r="I292" s="1">
        <v>6505593</v>
      </c>
      <c r="J292" s="1"/>
      <c r="K292" s="1">
        <v>2045360</v>
      </c>
      <c r="L292" s="1"/>
      <c r="M292" s="1">
        <v>174393</v>
      </c>
      <c r="N292" s="1"/>
      <c r="O292" s="1">
        <v>3439429</v>
      </c>
      <c r="P292" s="1"/>
      <c r="Q292" s="1">
        <v>3817462</v>
      </c>
      <c r="R292" s="1"/>
      <c r="S292" s="1">
        <v>100093</v>
      </c>
      <c r="T292" s="1"/>
      <c r="U292" s="1">
        <v>3507018</v>
      </c>
      <c r="V292" s="1"/>
      <c r="W292" s="1">
        <v>1162607</v>
      </c>
      <c r="X292" s="1"/>
      <c r="Y292" s="1">
        <v>344051</v>
      </c>
      <c r="Z292" s="1"/>
      <c r="AA292" s="1">
        <v>4473972</v>
      </c>
      <c r="AB292" s="1"/>
      <c r="AC292" s="1">
        <v>1819850</v>
      </c>
      <c r="AD292" s="1"/>
      <c r="AE292" s="1">
        <v>1016939</v>
      </c>
      <c r="AF292" s="1"/>
      <c r="AG292" s="1">
        <v>2391647</v>
      </c>
      <c r="AH292" s="1"/>
      <c r="AI292" s="1">
        <v>1045247</v>
      </c>
      <c r="AJ292" s="1"/>
      <c r="AK292" s="17" t="s">
        <v>325</v>
      </c>
      <c r="AL292" s="17"/>
      <c r="AM292" s="17" t="s">
        <v>25</v>
      </c>
      <c r="AN292" s="17"/>
      <c r="AO292" s="1">
        <v>1184055</v>
      </c>
      <c r="AP292" s="1"/>
      <c r="AQ292" s="1">
        <v>42918</v>
      </c>
      <c r="AR292" s="1"/>
      <c r="AS292" s="1"/>
      <c r="AT292" s="1"/>
      <c r="AU292" s="1">
        <v>0</v>
      </c>
      <c r="AV292" s="1"/>
      <c r="AW292" s="1">
        <f t="shared" si="18"/>
        <v>58085840</v>
      </c>
      <c r="AY292" s="1">
        <f>+'St of Activites - GA Rev'!AI292-'St of Activities - GA Exp'!AW292</f>
        <v>7905275</v>
      </c>
      <c r="BA292" s="1">
        <v>36843252</v>
      </c>
      <c r="BC292" s="1">
        <f t="shared" si="19"/>
        <v>44748527</v>
      </c>
      <c r="BE292" s="1">
        <f>+'St of Net Assets - GA'!AA292-'St of Activities - GA Exp'!BC292</f>
        <v>0</v>
      </c>
    </row>
    <row r="293" spans="1:57" ht="12" hidden="1" customHeight="1">
      <c r="A293" s="17" t="s">
        <v>732</v>
      </c>
      <c r="B293" s="17"/>
      <c r="C293" s="17" t="s">
        <v>69</v>
      </c>
      <c r="D293" s="17"/>
      <c r="E293" s="13">
        <v>44214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7" t="s">
        <v>732</v>
      </c>
      <c r="AL293" s="17"/>
      <c r="AM293" s="17" t="s">
        <v>69</v>
      </c>
      <c r="AN293" s="17"/>
      <c r="AO293" s="1"/>
      <c r="AP293" s="1"/>
      <c r="AQ293" s="1"/>
      <c r="AR293" s="1"/>
      <c r="AS293" s="1"/>
      <c r="AT293" s="1"/>
      <c r="AU293" s="1"/>
      <c r="AV293" s="1"/>
      <c r="AW293" s="1">
        <f t="shared" si="18"/>
        <v>0</v>
      </c>
      <c r="AY293" s="1">
        <f>+'St of Activites - GA Rev'!AI293-'St of Activities - GA Exp'!AW293</f>
        <v>0</v>
      </c>
      <c r="BC293" s="1">
        <f t="shared" si="19"/>
        <v>0</v>
      </c>
      <c r="BE293" s="1">
        <f>+'St of Net Assets - GA'!AA293-'St of Activities - GA Exp'!BC293</f>
        <v>0</v>
      </c>
    </row>
    <row r="294" spans="1:57">
      <c r="A294" s="17" t="s">
        <v>354</v>
      </c>
      <c r="B294" s="17"/>
      <c r="C294" s="17" t="s">
        <v>30</v>
      </c>
      <c r="D294" s="17"/>
      <c r="E294" s="13">
        <v>47209</v>
      </c>
      <c r="G294" s="1">
        <v>2403156</v>
      </c>
      <c r="H294" s="1"/>
      <c r="I294" s="1">
        <v>971278</v>
      </c>
      <c r="J294" s="1"/>
      <c r="K294" s="1">
        <v>134784</v>
      </c>
      <c r="L294" s="1"/>
      <c r="M294" s="1">
        <v>627355</v>
      </c>
      <c r="N294" s="1"/>
      <c r="O294" s="1">
        <v>115400</v>
      </c>
      <c r="P294" s="1"/>
      <c r="Q294" s="1">
        <v>102056</v>
      </c>
      <c r="R294" s="1"/>
      <c r="S294" s="1">
        <v>24201</v>
      </c>
      <c r="T294" s="1"/>
      <c r="U294" s="1">
        <v>584791</v>
      </c>
      <c r="V294" s="1"/>
      <c r="W294" s="1">
        <v>191962</v>
      </c>
      <c r="X294" s="1"/>
      <c r="Y294" s="1">
        <v>0</v>
      </c>
      <c r="Z294" s="1"/>
      <c r="AA294" s="1">
        <v>574484</v>
      </c>
      <c r="AB294" s="1"/>
      <c r="AC294" s="1">
        <v>574855</v>
      </c>
      <c r="AD294" s="1"/>
      <c r="AE294" s="1">
        <v>21499</v>
      </c>
      <c r="AF294" s="1"/>
      <c r="AG294" s="1">
        <v>170307</v>
      </c>
      <c r="AH294" s="1"/>
      <c r="AI294" s="1">
        <v>6060</v>
      </c>
      <c r="AJ294" s="1"/>
      <c r="AK294" s="17" t="s">
        <v>354</v>
      </c>
      <c r="AL294" s="17"/>
      <c r="AM294" s="17" t="s">
        <v>30</v>
      </c>
      <c r="AN294" s="17"/>
      <c r="AO294" s="1">
        <v>124070</v>
      </c>
      <c r="AP294" s="1"/>
      <c r="AQ294" s="1">
        <v>0</v>
      </c>
      <c r="AR294" s="1"/>
      <c r="AS294" s="1"/>
      <c r="AT294" s="1"/>
      <c r="AU294" s="1">
        <v>0</v>
      </c>
      <c r="AV294" s="1"/>
      <c r="AW294" s="1">
        <f t="shared" si="18"/>
        <v>6626258</v>
      </c>
      <c r="AY294" s="1">
        <f>+'St of Activites - GA Rev'!AI294-'St of Activities - GA Exp'!AW294</f>
        <v>-1171325</v>
      </c>
      <c r="BA294" s="1">
        <v>1564530</v>
      </c>
      <c r="BC294" s="1">
        <f t="shared" si="19"/>
        <v>393205</v>
      </c>
      <c r="BE294" s="1">
        <f>+'St of Net Assets - GA'!AA294-'St of Activities - GA Exp'!BC294</f>
        <v>0</v>
      </c>
    </row>
    <row r="295" spans="1:57" hidden="1">
      <c r="A295" s="12" t="s">
        <v>941</v>
      </c>
      <c r="B295" s="17"/>
      <c r="C295" s="17" t="s">
        <v>114</v>
      </c>
      <c r="D295" s="17"/>
      <c r="E295" s="13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2" t="s">
        <v>941</v>
      </c>
      <c r="AL295" s="17"/>
      <c r="AM295" s="17" t="s">
        <v>114</v>
      </c>
      <c r="AN295" s="17"/>
      <c r="AO295" s="1"/>
      <c r="AP295" s="1"/>
      <c r="AQ295" s="1"/>
      <c r="AR295" s="1"/>
      <c r="AS295" s="1"/>
      <c r="AT295" s="1"/>
      <c r="AU295" s="1"/>
      <c r="AV295" s="1"/>
      <c r="AW295" s="1">
        <f t="shared" ref="AW295" si="20">SUM(G295:AV295)</f>
        <v>0</v>
      </c>
      <c r="AY295" s="1">
        <f>+'St of Activites - GA Rev'!AI296-'St of Activities - GA Exp'!AW295</f>
        <v>0</v>
      </c>
      <c r="BC295" s="1">
        <f t="shared" ref="BC295" si="21">+AY295+BA295</f>
        <v>0</v>
      </c>
      <c r="BE295" s="1">
        <f>+'St of Net Assets - GA'!AA295-'St of Activities - GA Exp'!BC295</f>
        <v>0</v>
      </c>
    </row>
    <row r="296" spans="1:57" ht="12" hidden="1" customHeight="1">
      <c r="A296" s="17" t="s">
        <v>843</v>
      </c>
      <c r="B296" s="17"/>
      <c r="C296" s="17" t="s">
        <v>542</v>
      </c>
      <c r="D296" s="17"/>
      <c r="E296" s="13">
        <v>49353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7" t="s">
        <v>843</v>
      </c>
      <c r="AL296" s="17"/>
      <c r="AM296" s="17" t="s">
        <v>542</v>
      </c>
      <c r="AN296" s="17"/>
      <c r="AO296" s="1"/>
      <c r="AP296" s="1"/>
      <c r="AQ296" s="1"/>
      <c r="AR296" s="1"/>
      <c r="AS296" s="1"/>
      <c r="AT296" s="1"/>
      <c r="AU296" s="1"/>
      <c r="AV296" s="1"/>
      <c r="AW296" s="1">
        <f t="shared" si="18"/>
        <v>0</v>
      </c>
      <c r="AY296" s="1">
        <f>+'St of Activites - GA Rev'!AI296-'St of Activities - GA Exp'!AW296</f>
        <v>0</v>
      </c>
      <c r="BC296" s="1">
        <f t="shared" si="19"/>
        <v>0</v>
      </c>
      <c r="BE296" s="1">
        <f>+'St of Net Assets - GA'!AA296-'St of Activities - GA Exp'!BC296</f>
        <v>0</v>
      </c>
    </row>
    <row r="297" spans="1:57" hidden="1">
      <c r="A297" s="12" t="s">
        <v>942</v>
      </c>
      <c r="B297" s="17"/>
      <c r="C297" s="17" t="s">
        <v>112</v>
      </c>
      <c r="D297" s="17"/>
      <c r="E297" s="13">
        <v>49437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2" t="s">
        <v>942</v>
      </c>
      <c r="AL297" s="17"/>
      <c r="AM297" s="17" t="s">
        <v>112</v>
      </c>
      <c r="AN297" s="17"/>
      <c r="AO297" s="1"/>
      <c r="AP297" s="1"/>
      <c r="AQ297" s="1"/>
      <c r="AR297" s="1"/>
      <c r="AS297" s="1"/>
      <c r="AT297" s="1"/>
      <c r="AU297" s="1"/>
      <c r="AV297" s="1"/>
      <c r="AW297" s="1">
        <f t="shared" si="18"/>
        <v>0</v>
      </c>
      <c r="AY297" s="1">
        <f>+'St of Activites - GA Rev'!AI297-'St of Activities - GA Exp'!AW297</f>
        <v>0</v>
      </c>
      <c r="BC297" s="1">
        <f t="shared" si="19"/>
        <v>0</v>
      </c>
      <c r="BE297" s="1">
        <f>+'St of Net Assets - GA'!AA297-'St of Activities - GA Exp'!BC297</f>
        <v>0</v>
      </c>
    </row>
    <row r="298" spans="1:57">
      <c r="A298" s="17" t="s">
        <v>391</v>
      </c>
      <c r="B298" s="17"/>
      <c r="C298" s="17" t="s">
        <v>34</v>
      </c>
      <c r="D298" s="17"/>
      <c r="E298" s="13">
        <v>47589</v>
      </c>
      <c r="G298" s="1">
        <v>4558542</v>
      </c>
      <c r="H298" s="1"/>
      <c r="I298" s="1">
        <v>2282518</v>
      </c>
      <c r="J298" s="1"/>
      <c r="K298" s="1">
        <v>251352</v>
      </c>
      <c r="L298" s="1"/>
      <c r="M298" s="1">
        <f>63819+282436</f>
        <v>346255</v>
      </c>
      <c r="N298" s="1"/>
      <c r="O298" s="1">
        <v>737457</v>
      </c>
      <c r="P298" s="1"/>
      <c r="Q298" s="1">
        <v>547120</v>
      </c>
      <c r="R298" s="1"/>
      <c r="S298" s="1">
        <v>76919</v>
      </c>
      <c r="T298" s="1"/>
      <c r="U298" s="1">
        <v>807614</v>
      </c>
      <c r="V298" s="1"/>
      <c r="W298" s="1">
        <v>324875</v>
      </c>
      <c r="X298" s="1"/>
      <c r="Y298" s="1">
        <v>0</v>
      </c>
      <c r="Z298" s="1"/>
      <c r="AA298" s="1">
        <v>757160</v>
      </c>
      <c r="AB298" s="1"/>
      <c r="AC298" s="1">
        <v>510467</v>
      </c>
      <c r="AD298" s="1"/>
      <c r="AE298" s="1">
        <v>208290</v>
      </c>
      <c r="AF298" s="1"/>
      <c r="AG298" s="1">
        <v>0</v>
      </c>
      <c r="AH298" s="1"/>
      <c r="AI298" s="1">
        <v>484912</v>
      </c>
      <c r="AJ298" s="1"/>
      <c r="AK298" s="17" t="s">
        <v>391</v>
      </c>
      <c r="AL298" s="17"/>
      <c r="AM298" s="17" t="s">
        <v>34</v>
      </c>
      <c r="AN298" s="17"/>
      <c r="AO298" s="1">
        <v>589238</v>
      </c>
      <c r="AP298" s="1"/>
      <c r="AQ298" s="1">
        <v>101222</v>
      </c>
      <c r="AR298" s="1"/>
      <c r="AS298" s="1"/>
      <c r="AT298" s="1"/>
      <c r="AU298" s="1">
        <v>142390</v>
      </c>
      <c r="AV298" s="1"/>
      <c r="AW298" s="1">
        <f t="shared" si="18"/>
        <v>12726331</v>
      </c>
      <c r="AY298" s="1">
        <f>+'St of Activites - GA Rev'!AI298-'St of Activities - GA Exp'!AW298</f>
        <v>1175427</v>
      </c>
      <c r="BA298" s="1">
        <v>9064048</v>
      </c>
      <c r="BC298" s="1">
        <f t="shared" si="19"/>
        <v>10239475</v>
      </c>
      <c r="BE298" s="1">
        <f>+'St of Net Assets - GA'!AA298-'St of Activities - GA Exp'!BC298</f>
        <v>0</v>
      </c>
    </row>
    <row r="299" spans="1:57" ht="12" customHeight="1">
      <c r="A299" s="17" t="s">
        <v>844</v>
      </c>
      <c r="B299" s="17"/>
      <c r="C299" s="17" t="s">
        <v>64</v>
      </c>
      <c r="D299" s="17"/>
      <c r="E299" s="13">
        <v>50195</v>
      </c>
      <c r="G299" s="1">
        <v>9860218</v>
      </c>
      <c r="H299" s="1"/>
      <c r="I299" s="1">
        <v>1511220</v>
      </c>
      <c r="J299" s="1"/>
      <c r="K299" s="1">
        <v>81199</v>
      </c>
      <c r="L299" s="1"/>
      <c r="M299" s="1">
        <v>0</v>
      </c>
      <c r="N299" s="1"/>
      <c r="O299" s="1">
        <v>641147</v>
      </c>
      <c r="P299" s="1"/>
      <c r="Q299" s="1">
        <v>499573</v>
      </c>
      <c r="R299" s="1"/>
      <c r="S299" s="1">
        <v>9873</v>
      </c>
      <c r="T299" s="1"/>
      <c r="U299" s="1">
        <v>1168104</v>
      </c>
      <c r="V299" s="1"/>
      <c r="W299" s="1">
        <v>2120081</v>
      </c>
      <c r="X299" s="1"/>
      <c r="Y299" s="1">
        <v>626</v>
      </c>
      <c r="Z299" s="1"/>
      <c r="AA299" s="1">
        <v>1735179</v>
      </c>
      <c r="AB299" s="1"/>
      <c r="AC299" s="1">
        <v>834809</v>
      </c>
      <c r="AD299" s="1"/>
      <c r="AE299" s="1">
        <v>76692</v>
      </c>
      <c r="AF299" s="1"/>
      <c r="AG299" s="1">
        <v>634189</v>
      </c>
      <c r="AH299" s="1"/>
      <c r="AI299" s="1">
        <v>48253</v>
      </c>
      <c r="AJ299" s="1"/>
      <c r="AK299" s="17" t="s">
        <v>844</v>
      </c>
      <c r="AL299" s="17"/>
      <c r="AM299" s="17" t="s">
        <v>64</v>
      </c>
      <c r="AN299" s="17"/>
      <c r="AO299" s="1">
        <v>514136</v>
      </c>
      <c r="AP299" s="1"/>
      <c r="AQ299" s="1">
        <v>499265</v>
      </c>
      <c r="AR299" s="1"/>
      <c r="AS299" s="1"/>
      <c r="AT299" s="1"/>
      <c r="AU299" s="1">
        <v>0</v>
      </c>
      <c r="AV299" s="1"/>
      <c r="AW299" s="1">
        <f t="shared" si="18"/>
        <v>20234564</v>
      </c>
      <c r="AY299" s="1">
        <f>+'St of Activites - GA Rev'!AI299-'St of Activities - GA Exp'!AW299</f>
        <v>229285</v>
      </c>
      <c r="BA299" s="1">
        <v>1415870</v>
      </c>
      <c r="BC299" s="1">
        <f t="shared" si="19"/>
        <v>1645155</v>
      </c>
      <c r="BE299" s="1">
        <f>+'St of Net Assets - GA'!AA299-'St of Activities - GA Exp'!BC299</f>
        <v>0</v>
      </c>
    </row>
    <row r="300" spans="1:57">
      <c r="A300" s="17" t="s">
        <v>768</v>
      </c>
      <c r="B300" s="17"/>
      <c r="C300" s="17" t="s">
        <v>25</v>
      </c>
      <c r="D300" s="17"/>
      <c r="E300" s="13">
        <v>46888</v>
      </c>
      <c r="G300" s="1">
        <v>5903083</v>
      </c>
      <c r="H300" s="1"/>
      <c r="I300" s="1">
        <v>1532341</v>
      </c>
      <c r="J300" s="1"/>
      <c r="K300" s="1">
        <v>412481</v>
      </c>
      <c r="L300" s="1"/>
      <c r="M300" s="1">
        <v>76863</v>
      </c>
      <c r="N300" s="1"/>
      <c r="O300" s="1">
        <v>658112</v>
      </c>
      <c r="P300" s="1"/>
      <c r="Q300" s="1">
        <v>617764</v>
      </c>
      <c r="R300" s="1"/>
      <c r="S300" s="1">
        <v>87093</v>
      </c>
      <c r="T300" s="1"/>
      <c r="U300" s="1">
        <v>1062549</v>
      </c>
      <c r="V300" s="1"/>
      <c r="W300" s="1">
        <v>569665</v>
      </c>
      <c r="X300" s="1"/>
      <c r="Y300" s="1">
        <v>0</v>
      </c>
      <c r="Z300" s="1"/>
      <c r="AA300" s="1">
        <v>1358569</v>
      </c>
      <c r="AB300" s="1"/>
      <c r="AC300" s="1">
        <v>655191</v>
      </c>
      <c r="AD300" s="1"/>
      <c r="AE300" s="1">
        <v>0</v>
      </c>
      <c r="AF300" s="1"/>
      <c r="AG300" s="1">
        <v>523230</v>
      </c>
      <c r="AH300" s="1"/>
      <c r="AI300" s="1">
        <v>0</v>
      </c>
      <c r="AJ300" s="1"/>
      <c r="AK300" s="17" t="s">
        <v>768</v>
      </c>
      <c r="AL300" s="17"/>
      <c r="AM300" s="17" t="s">
        <v>25</v>
      </c>
      <c r="AN300" s="17"/>
      <c r="AO300" s="1">
        <v>578727</v>
      </c>
      <c r="AP300" s="1"/>
      <c r="AQ300" s="1">
        <v>431221</v>
      </c>
      <c r="AR300" s="1"/>
      <c r="AS300" s="1"/>
      <c r="AT300" s="1"/>
      <c r="AU300" s="1">
        <v>0</v>
      </c>
      <c r="AV300" s="1"/>
      <c r="AW300" s="1">
        <f t="shared" si="18"/>
        <v>14466889</v>
      </c>
      <c r="AY300" s="1">
        <f>+'St of Activites - GA Rev'!AI300-'St of Activities - GA Exp'!AW300</f>
        <v>812408</v>
      </c>
      <c r="BA300" s="1">
        <v>27286529</v>
      </c>
      <c r="BC300" s="1">
        <f t="shared" si="19"/>
        <v>28098937</v>
      </c>
      <c r="BE300" s="1">
        <f>+'St of Net Assets - GA'!AA300-'St of Activities - GA Exp'!BC300</f>
        <v>0</v>
      </c>
    </row>
    <row r="301" spans="1:57">
      <c r="A301" s="17" t="s">
        <v>381</v>
      </c>
      <c r="B301" s="17"/>
      <c r="C301" s="17" t="s">
        <v>33</v>
      </c>
      <c r="D301" s="17"/>
      <c r="E301" s="13">
        <v>47449</v>
      </c>
      <c r="G301" s="1">
        <v>5993005</v>
      </c>
      <c r="H301" s="1"/>
      <c r="I301" s="1">
        <v>1255067</v>
      </c>
      <c r="J301" s="1"/>
      <c r="K301" s="1">
        <v>376502</v>
      </c>
      <c r="L301" s="1"/>
      <c r="M301" s="1">
        <v>0</v>
      </c>
      <c r="N301" s="1"/>
      <c r="O301" s="1">
        <v>1067660</v>
      </c>
      <c r="P301" s="1"/>
      <c r="Q301" s="1">
        <v>439481</v>
      </c>
      <c r="R301" s="1"/>
      <c r="S301" s="1">
        <v>13261</v>
      </c>
      <c r="T301" s="1"/>
      <c r="U301" s="1">
        <v>956991</v>
      </c>
      <c r="V301" s="1"/>
      <c r="W301" s="1">
        <v>313564</v>
      </c>
      <c r="X301" s="1"/>
      <c r="Y301" s="1">
        <v>2035</v>
      </c>
      <c r="Z301" s="1"/>
      <c r="AA301" s="1">
        <v>1172284</v>
      </c>
      <c r="AB301" s="1"/>
      <c r="AC301" s="1">
        <v>585338</v>
      </c>
      <c r="AD301" s="1"/>
      <c r="AE301" s="1">
        <v>119512</v>
      </c>
      <c r="AF301" s="1"/>
      <c r="AG301" s="1">
        <v>0</v>
      </c>
      <c r="AH301" s="1"/>
      <c r="AI301" s="1">
        <v>478748</v>
      </c>
      <c r="AJ301" s="1"/>
      <c r="AK301" s="17" t="s">
        <v>381</v>
      </c>
      <c r="AL301" s="17"/>
      <c r="AM301" s="17" t="s">
        <v>33</v>
      </c>
      <c r="AN301" s="17"/>
      <c r="AO301" s="1">
        <v>527429</v>
      </c>
      <c r="AP301" s="1"/>
      <c r="AQ301" s="1">
        <v>460615</v>
      </c>
      <c r="AR301" s="1"/>
      <c r="AS301" s="1"/>
      <c r="AT301" s="1"/>
      <c r="AU301" s="1">
        <v>0</v>
      </c>
      <c r="AV301" s="1"/>
      <c r="AW301" s="1">
        <f t="shared" si="18"/>
        <v>13761492</v>
      </c>
      <c r="AY301" s="1">
        <f>+'St of Activites - GA Rev'!AI301-'St of Activities - GA Exp'!AW301</f>
        <v>103454</v>
      </c>
      <c r="BA301" s="1">
        <v>10602097</v>
      </c>
      <c r="BC301" s="1">
        <f t="shared" si="19"/>
        <v>10705551</v>
      </c>
      <c r="BE301" s="1">
        <f>+'St of Net Assets - GA'!AA301-'St of Activities - GA Exp'!BC301</f>
        <v>0</v>
      </c>
    </row>
    <row r="302" spans="1:57">
      <c r="A302" s="17" t="s">
        <v>429</v>
      </c>
      <c r="B302" s="17"/>
      <c r="C302" s="17" t="s">
        <v>42</v>
      </c>
      <c r="D302" s="17"/>
      <c r="E302" s="13">
        <v>48009</v>
      </c>
      <c r="G302" s="1">
        <v>12530172</v>
      </c>
      <c r="H302" s="1"/>
      <c r="I302" s="1">
        <v>3293103</v>
      </c>
      <c r="J302" s="1"/>
      <c r="K302" s="1">
        <v>296633</v>
      </c>
      <c r="L302" s="1"/>
      <c r="M302" s="1">
        <v>335719</v>
      </c>
      <c r="N302" s="1"/>
      <c r="O302" s="1">
        <v>1237581</v>
      </c>
      <c r="P302" s="1"/>
      <c r="Q302" s="1">
        <v>1299801</v>
      </c>
      <c r="R302" s="1"/>
      <c r="S302" s="1">
        <v>72287</v>
      </c>
      <c r="T302" s="1"/>
      <c r="U302" s="1">
        <v>2033939</v>
      </c>
      <c r="V302" s="1"/>
      <c r="W302" s="1">
        <v>668606</v>
      </c>
      <c r="X302" s="1"/>
      <c r="Y302" s="1">
        <v>0</v>
      </c>
      <c r="Z302" s="1"/>
      <c r="AA302" s="1">
        <v>3206703</v>
      </c>
      <c r="AB302" s="1"/>
      <c r="AC302" s="1">
        <v>2432584</v>
      </c>
      <c r="AD302" s="1"/>
      <c r="AE302" s="1">
        <v>262583</v>
      </c>
      <c r="AF302" s="1"/>
      <c r="AG302" s="1">
        <v>0</v>
      </c>
      <c r="AH302" s="1"/>
      <c r="AI302" s="1">
        <v>1319154</v>
      </c>
      <c r="AJ302" s="1"/>
      <c r="AK302" s="17" t="s">
        <v>429</v>
      </c>
      <c r="AL302" s="17"/>
      <c r="AM302" s="17" t="s">
        <v>42</v>
      </c>
      <c r="AN302" s="17"/>
      <c r="AO302" s="1">
        <v>607507</v>
      </c>
      <c r="AP302" s="1"/>
      <c r="AQ302" s="1">
        <v>2969618</v>
      </c>
      <c r="AR302" s="1"/>
      <c r="AS302" s="1"/>
      <c r="AT302" s="1"/>
      <c r="AU302" s="1">
        <v>1422999</v>
      </c>
      <c r="AV302" s="1"/>
      <c r="AW302" s="1">
        <f t="shared" si="18"/>
        <v>33988989</v>
      </c>
      <c r="AY302" s="1">
        <f>+'St of Activites - GA Rev'!AI302-'St of Activities - GA Exp'!AW302</f>
        <v>122402</v>
      </c>
      <c r="BA302" s="1">
        <v>10198131</v>
      </c>
      <c r="BC302" s="1">
        <f t="shared" si="19"/>
        <v>10320533</v>
      </c>
      <c r="BE302" s="1">
        <f>+'St of Net Assets - GA'!AA302-'St of Activities - GA Exp'!BC302</f>
        <v>0</v>
      </c>
    </row>
    <row r="303" spans="1:57">
      <c r="A303" s="17" t="s">
        <v>430</v>
      </c>
      <c r="B303" s="17"/>
      <c r="C303" s="17" t="s">
        <v>42</v>
      </c>
      <c r="D303" s="17"/>
      <c r="E303" s="13">
        <v>48017</v>
      </c>
      <c r="G303" s="1">
        <v>8263203</v>
      </c>
      <c r="H303" s="1"/>
      <c r="I303" s="1">
        <v>1837508</v>
      </c>
      <c r="J303" s="1"/>
      <c r="K303" s="1">
        <v>316847</v>
      </c>
      <c r="L303" s="1"/>
      <c r="M303" s="1">
        <v>39978</v>
      </c>
      <c r="N303" s="1"/>
      <c r="O303" s="1">
        <v>590746</v>
      </c>
      <c r="P303" s="1"/>
      <c r="Q303" s="1">
        <v>889026</v>
      </c>
      <c r="R303" s="1"/>
      <c r="S303" s="1">
        <v>30201</v>
      </c>
      <c r="T303" s="1"/>
      <c r="U303" s="1">
        <v>1962773</v>
      </c>
      <c r="V303" s="1"/>
      <c r="W303" s="1">
        <v>433126</v>
      </c>
      <c r="X303" s="1"/>
      <c r="Y303" s="1">
        <v>64765</v>
      </c>
      <c r="Z303" s="1"/>
      <c r="AA303" s="1">
        <v>1609250</v>
      </c>
      <c r="AB303" s="1"/>
      <c r="AC303" s="1">
        <v>1399628</v>
      </c>
      <c r="AD303" s="1"/>
      <c r="AE303" s="1">
        <v>186022</v>
      </c>
      <c r="AF303" s="1"/>
      <c r="AG303" s="1">
        <v>0</v>
      </c>
      <c r="AH303" s="1"/>
      <c r="AI303" s="1">
        <v>1028858</v>
      </c>
      <c r="AJ303" s="1"/>
      <c r="AK303" s="17" t="s">
        <v>430</v>
      </c>
      <c r="AL303" s="17"/>
      <c r="AM303" s="17" t="s">
        <v>42</v>
      </c>
      <c r="AN303" s="17"/>
      <c r="AO303" s="1">
        <v>517683</v>
      </c>
      <c r="AP303" s="1"/>
      <c r="AQ303" s="1">
        <v>616001</v>
      </c>
      <c r="AR303" s="1"/>
      <c r="AS303" s="1"/>
      <c r="AT303" s="1"/>
      <c r="AU303" s="1">
        <v>0</v>
      </c>
      <c r="AV303" s="1"/>
      <c r="AW303" s="1">
        <f t="shared" si="18"/>
        <v>19785615</v>
      </c>
      <c r="AY303" s="1">
        <f>+'St of Activites - GA Rev'!AI303-'St of Activities - GA Exp'!AW303</f>
        <v>1097923</v>
      </c>
      <c r="BA303" s="1">
        <v>31201626</v>
      </c>
      <c r="BC303" s="1">
        <f t="shared" si="19"/>
        <v>32299549</v>
      </c>
      <c r="BE303" s="1">
        <f>+'St of Net Assets - GA'!AA303-'St of Activities - GA Exp'!BC303</f>
        <v>0</v>
      </c>
    </row>
    <row r="304" spans="1:57" hidden="1">
      <c r="A304" s="12" t="s">
        <v>845</v>
      </c>
      <c r="B304" s="12"/>
      <c r="C304" s="12" t="s">
        <v>10</v>
      </c>
      <c r="D304" s="17"/>
      <c r="E304" s="13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2" t="s">
        <v>845</v>
      </c>
      <c r="AL304" s="12"/>
      <c r="AM304" s="12" t="s">
        <v>10</v>
      </c>
      <c r="AN304" s="17"/>
      <c r="AO304" s="1"/>
      <c r="AP304" s="1"/>
      <c r="AQ304" s="1"/>
      <c r="AR304" s="1"/>
      <c r="AS304" s="1"/>
      <c r="AT304" s="1"/>
      <c r="AU304" s="1"/>
      <c r="AV304" s="1"/>
      <c r="AW304" s="1">
        <f t="shared" si="18"/>
        <v>0</v>
      </c>
      <c r="AY304" s="1">
        <f>+'St of Activites - GA Rev'!AI304-'St of Activities - GA Exp'!AW304</f>
        <v>0</v>
      </c>
      <c r="BC304" s="1">
        <f t="shared" si="19"/>
        <v>0</v>
      </c>
      <c r="BE304" s="1">
        <f>+'St of Net Assets - GA'!AA304-'St of Activities - GA Exp'!BC304</f>
        <v>0</v>
      </c>
    </row>
    <row r="305" spans="1:57">
      <c r="A305" s="17" t="s">
        <v>628</v>
      </c>
      <c r="B305" s="17"/>
      <c r="C305" s="17" t="s">
        <v>67</v>
      </c>
      <c r="D305" s="17"/>
      <c r="E305" s="13">
        <v>50369</v>
      </c>
      <c r="G305" s="1">
        <v>3834329</v>
      </c>
      <c r="H305" s="1"/>
      <c r="I305" s="1">
        <v>1723641</v>
      </c>
      <c r="J305" s="1"/>
      <c r="K305" s="1">
        <v>181731</v>
      </c>
      <c r="L305" s="1"/>
      <c r="M305" s="1">
        <v>702901</v>
      </c>
      <c r="N305" s="1"/>
      <c r="O305" s="1">
        <v>148844</v>
      </c>
      <c r="P305" s="1"/>
      <c r="Q305" s="1">
        <v>351187</v>
      </c>
      <c r="R305" s="1"/>
      <c r="S305" s="1">
        <v>30786</v>
      </c>
      <c r="T305" s="1"/>
      <c r="U305" s="1">
        <v>953327</v>
      </c>
      <c r="V305" s="1"/>
      <c r="W305" s="1">
        <v>288242</v>
      </c>
      <c r="X305" s="1"/>
      <c r="Y305" s="1">
        <v>0</v>
      </c>
      <c r="Z305" s="1"/>
      <c r="AA305" s="1">
        <v>662564</v>
      </c>
      <c r="AB305" s="1"/>
      <c r="AC305" s="1">
        <v>376478</v>
      </c>
      <c r="AD305" s="1"/>
      <c r="AE305" s="1">
        <v>23620</v>
      </c>
      <c r="AF305" s="1"/>
      <c r="AG305" s="1">
        <v>353444</v>
      </c>
      <c r="AH305" s="1"/>
      <c r="AI305" s="1">
        <v>14823</v>
      </c>
      <c r="AJ305" s="1"/>
      <c r="AK305" s="17" t="s">
        <v>628</v>
      </c>
      <c r="AL305" s="17"/>
      <c r="AM305" s="17" t="s">
        <v>67</v>
      </c>
      <c r="AN305" s="17"/>
      <c r="AO305" s="1">
        <v>313400</v>
      </c>
      <c r="AP305" s="1"/>
      <c r="AQ305" s="1">
        <v>605786</v>
      </c>
      <c r="AR305" s="1"/>
      <c r="AS305" s="1"/>
      <c r="AT305" s="1"/>
      <c r="AU305" s="1">
        <v>0</v>
      </c>
      <c r="AV305" s="1"/>
      <c r="AW305" s="1">
        <f t="shared" si="18"/>
        <v>10565103</v>
      </c>
      <c r="AY305" s="1">
        <f>+'St of Activites - GA Rev'!AI305-'St of Activities - GA Exp'!AW305</f>
        <v>202573</v>
      </c>
      <c r="BA305" s="1">
        <v>22745992</v>
      </c>
      <c r="BC305" s="1">
        <f t="shared" si="19"/>
        <v>22948565</v>
      </c>
      <c r="BE305" s="1">
        <f>+'St of Net Assets - GA'!AA305-'St of Activities - GA Exp'!BC305</f>
        <v>0</v>
      </c>
    </row>
    <row r="306" spans="1:57">
      <c r="A306" s="17" t="s">
        <v>268</v>
      </c>
      <c r="B306" s="17"/>
      <c r="C306" s="17" t="s">
        <v>114</v>
      </c>
      <c r="D306" s="17"/>
      <c r="E306" s="13">
        <v>45450</v>
      </c>
      <c r="G306" s="1">
        <v>5219355</v>
      </c>
      <c r="H306" s="1"/>
      <c r="I306" s="1">
        <v>752627</v>
      </c>
      <c r="J306" s="1"/>
      <c r="K306" s="1">
        <v>88116</v>
      </c>
      <c r="L306" s="1"/>
      <c r="M306" s="1">
        <v>431636</v>
      </c>
      <c r="N306" s="1"/>
      <c r="O306" s="1">
        <v>503166</v>
      </c>
      <c r="P306" s="1"/>
      <c r="Q306" s="1">
        <v>332139</v>
      </c>
      <c r="R306" s="1"/>
      <c r="S306" s="1">
        <v>31119</v>
      </c>
      <c r="T306" s="1"/>
      <c r="U306" s="1">
        <v>797257</v>
      </c>
      <c r="V306" s="1"/>
      <c r="W306" s="1">
        <v>265146</v>
      </c>
      <c r="X306" s="1"/>
      <c r="Y306" s="1">
        <v>0</v>
      </c>
      <c r="Z306" s="1"/>
      <c r="AA306" s="1">
        <v>990978</v>
      </c>
      <c r="AB306" s="1"/>
      <c r="AC306" s="1">
        <v>418223</v>
      </c>
      <c r="AD306" s="1"/>
      <c r="AE306" s="1">
        <v>43199</v>
      </c>
      <c r="AF306" s="1"/>
      <c r="AG306" s="1">
        <v>496826</v>
      </c>
      <c r="AH306" s="1"/>
      <c r="AI306" s="1">
        <v>297924</v>
      </c>
      <c r="AJ306" s="1"/>
      <c r="AK306" s="17" t="s">
        <v>268</v>
      </c>
      <c r="AL306" s="17"/>
      <c r="AM306" s="17" t="s">
        <v>114</v>
      </c>
      <c r="AN306" s="17"/>
      <c r="AO306" s="1">
        <v>0</v>
      </c>
      <c r="AP306" s="1"/>
      <c r="AQ306" s="1">
        <v>246853</v>
      </c>
      <c r="AR306" s="1"/>
      <c r="AS306" s="1"/>
      <c r="AT306" s="1"/>
      <c r="AU306" s="1">
        <v>0</v>
      </c>
      <c r="AV306" s="1"/>
      <c r="AW306" s="1">
        <f t="shared" si="18"/>
        <v>10914564</v>
      </c>
      <c r="AY306" s="1">
        <f>+'St of Activites - GA Rev'!AI306-'St of Activities - GA Exp'!AW306</f>
        <v>465128</v>
      </c>
      <c r="BA306" s="1">
        <v>20103793</v>
      </c>
      <c r="BC306" s="1">
        <f t="shared" si="19"/>
        <v>20568921</v>
      </c>
      <c r="BE306" s="1">
        <f>+'St of Net Assets - GA'!AA306-'St of Activities - GA Exp'!BC306</f>
        <v>0</v>
      </c>
    </row>
    <row r="307" spans="1:57">
      <c r="A307" s="17" t="s">
        <v>634</v>
      </c>
      <c r="B307" s="17"/>
      <c r="C307" s="17" t="s">
        <v>69</v>
      </c>
      <c r="D307" s="17"/>
      <c r="E307" s="13">
        <v>50443</v>
      </c>
      <c r="G307" s="1">
        <v>15069580</v>
      </c>
      <c r="H307" s="1"/>
      <c r="I307" s="1">
        <v>4238026</v>
      </c>
      <c r="J307" s="1"/>
      <c r="K307" s="1">
        <v>0</v>
      </c>
      <c r="L307" s="1"/>
      <c r="M307" s="1">
        <v>1622023</v>
      </c>
      <c r="N307" s="1"/>
      <c r="O307" s="1">
        <v>1175589</v>
      </c>
      <c r="P307" s="1"/>
      <c r="Q307" s="1">
        <v>665945</v>
      </c>
      <c r="R307" s="1"/>
      <c r="S307" s="1">
        <v>22205</v>
      </c>
      <c r="T307" s="1"/>
      <c r="U307" s="1">
        <v>2359232</v>
      </c>
      <c r="V307" s="1"/>
      <c r="W307" s="1">
        <v>671169</v>
      </c>
      <c r="X307" s="1"/>
      <c r="Y307" s="1">
        <v>230730</v>
      </c>
      <c r="Z307" s="1"/>
      <c r="AA307" s="1">
        <v>3075689</v>
      </c>
      <c r="AB307" s="1"/>
      <c r="AC307" s="1">
        <v>2838120</v>
      </c>
      <c r="AD307" s="1"/>
      <c r="AE307" s="1">
        <v>655295</v>
      </c>
      <c r="AF307" s="1"/>
      <c r="AG307" s="1">
        <v>0</v>
      </c>
      <c r="AH307" s="1"/>
      <c r="AI307" s="1">
        <v>1267099</v>
      </c>
      <c r="AJ307" s="1"/>
      <c r="AK307" s="12" t="s">
        <v>634</v>
      </c>
      <c r="AL307" s="12"/>
      <c r="AM307" s="12" t="s">
        <v>69</v>
      </c>
      <c r="AN307" s="12"/>
      <c r="AO307" s="1">
        <v>816058</v>
      </c>
      <c r="AP307" s="1"/>
      <c r="AQ307" s="1">
        <v>3519574</v>
      </c>
      <c r="AR307" s="1"/>
      <c r="AS307" s="1"/>
      <c r="AT307" s="1"/>
      <c r="AU307" s="1">
        <v>0</v>
      </c>
      <c r="AV307" s="1"/>
      <c r="AW307" s="1">
        <f t="shared" si="18"/>
        <v>38226334</v>
      </c>
      <c r="AY307" s="1">
        <f>+'St of Activites - GA Rev'!AI307-'St of Activities - GA Exp'!AW307</f>
        <v>82042</v>
      </c>
      <c r="BA307" s="1">
        <v>-5450335</v>
      </c>
      <c r="BC307" s="1">
        <f t="shared" si="19"/>
        <v>-5368293</v>
      </c>
      <c r="BE307" s="1">
        <f>+'St of Net Assets - GA'!AA307-'St of Activities - GA Exp'!BC307</f>
        <v>0</v>
      </c>
    </row>
    <row r="308" spans="1:57" ht="12" hidden="1" customHeight="1">
      <c r="A308" s="17" t="s">
        <v>943</v>
      </c>
      <c r="B308" s="17"/>
      <c r="C308" s="17" t="s">
        <v>32</v>
      </c>
      <c r="D308" s="17"/>
      <c r="E308" s="13">
        <v>44230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7" t="s">
        <v>943</v>
      </c>
      <c r="AL308" s="17"/>
      <c r="AM308" s="17" t="s">
        <v>32</v>
      </c>
      <c r="AN308" s="17"/>
      <c r="AO308" s="1"/>
      <c r="AP308" s="1"/>
      <c r="AQ308" s="1"/>
      <c r="AR308" s="1"/>
      <c r="AS308" s="1"/>
      <c r="AT308" s="1"/>
      <c r="AU308" s="1"/>
      <c r="AV308" s="1"/>
      <c r="AW308" s="1">
        <f t="shared" si="18"/>
        <v>0</v>
      </c>
      <c r="AY308" s="1">
        <f>+'St of Activites - GA Rev'!AI308-'St of Activities - GA Exp'!AW308</f>
        <v>0</v>
      </c>
      <c r="BC308" s="1">
        <f t="shared" si="19"/>
        <v>0</v>
      </c>
      <c r="BE308" s="1">
        <f>+'St of Net Assets - GA'!AA308-'St of Activities - GA Exp'!BC308</f>
        <v>0</v>
      </c>
    </row>
    <row r="309" spans="1:57" s="16" customFormat="1">
      <c r="A309" s="14" t="s">
        <v>526</v>
      </c>
      <c r="B309" s="14"/>
      <c r="C309" s="14" t="s">
        <v>54</v>
      </c>
      <c r="D309" s="14"/>
      <c r="E309" s="14">
        <v>49080</v>
      </c>
      <c r="G309" s="1">
        <v>10246708</v>
      </c>
      <c r="H309" s="1"/>
      <c r="I309" s="1">
        <v>2324753</v>
      </c>
      <c r="J309" s="1"/>
      <c r="K309" s="1">
        <v>14898</v>
      </c>
      <c r="L309" s="1"/>
      <c r="M309" s="1">
        <v>304959</v>
      </c>
      <c r="N309" s="1"/>
      <c r="O309" s="1">
        <v>943806</v>
      </c>
      <c r="P309" s="1"/>
      <c r="Q309" s="1">
        <v>1329171</v>
      </c>
      <c r="R309" s="1"/>
      <c r="S309" s="1">
        <v>105970</v>
      </c>
      <c r="T309" s="1"/>
      <c r="U309" s="1">
        <v>1477208</v>
      </c>
      <c r="V309" s="1"/>
      <c r="W309" s="1">
        <v>501202</v>
      </c>
      <c r="X309" s="1"/>
      <c r="Y309" s="1">
        <v>3776</v>
      </c>
      <c r="Z309" s="1"/>
      <c r="AA309" s="1">
        <v>2181770</v>
      </c>
      <c r="AB309" s="1"/>
      <c r="AC309" s="1">
        <v>1676696</v>
      </c>
      <c r="AD309" s="1"/>
      <c r="AE309" s="1">
        <v>250777</v>
      </c>
      <c r="AF309" s="1"/>
      <c r="AG309" s="1">
        <v>938776</v>
      </c>
      <c r="AH309" s="1"/>
      <c r="AI309" s="1">
        <v>0</v>
      </c>
      <c r="AJ309" s="1"/>
      <c r="AK309" s="14" t="s">
        <v>526</v>
      </c>
      <c r="AL309" s="14"/>
      <c r="AM309" s="14" t="s">
        <v>54</v>
      </c>
      <c r="AN309" s="14"/>
      <c r="AO309" s="1">
        <v>531212</v>
      </c>
      <c r="AP309" s="1"/>
      <c r="AQ309" s="1">
        <v>0</v>
      </c>
      <c r="AR309" s="1"/>
      <c r="AS309" s="1"/>
      <c r="AT309" s="1"/>
      <c r="AU309" s="1">
        <v>0</v>
      </c>
      <c r="AV309" s="1"/>
      <c r="AW309" s="1">
        <f t="shared" si="18"/>
        <v>22831682</v>
      </c>
      <c r="AX309" s="1"/>
      <c r="AY309" s="1">
        <f>+'St of Activites - GA Rev'!AI309-'St of Activities - GA Exp'!AW309</f>
        <v>-926854</v>
      </c>
      <c r="AZ309" s="1"/>
      <c r="BA309" s="1">
        <v>11989382</v>
      </c>
      <c r="BB309" s="1"/>
      <c r="BC309" s="1">
        <f t="shared" si="19"/>
        <v>11062528</v>
      </c>
      <c r="BE309" s="1">
        <f>+'St of Net Assets - GA'!AA309-'St of Activities - GA Exp'!BC309</f>
        <v>0</v>
      </c>
    </row>
    <row r="310" spans="1:57">
      <c r="A310" s="17" t="s">
        <v>400</v>
      </c>
      <c r="B310" s="17"/>
      <c r="C310" s="17" t="s">
        <v>35</v>
      </c>
      <c r="D310" s="17"/>
      <c r="E310" s="13">
        <v>44248</v>
      </c>
      <c r="G310" s="1">
        <v>16362678</v>
      </c>
      <c r="H310" s="1"/>
      <c r="I310" s="1">
        <v>5501898</v>
      </c>
      <c r="J310" s="1"/>
      <c r="K310" s="1">
        <v>516694</v>
      </c>
      <c r="L310" s="1"/>
      <c r="M310" s="1">
        <v>111306</v>
      </c>
      <c r="N310" s="1"/>
      <c r="O310" s="1">
        <v>2605298</v>
      </c>
      <c r="P310" s="1"/>
      <c r="Q310" s="1">
        <v>3136735</v>
      </c>
      <c r="R310" s="1"/>
      <c r="S310" s="1">
        <v>84459</v>
      </c>
      <c r="T310" s="1"/>
      <c r="U310" s="1">
        <v>2647572</v>
      </c>
      <c r="V310" s="1"/>
      <c r="W310" s="1">
        <v>1058673</v>
      </c>
      <c r="X310" s="1"/>
      <c r="Y310" s="1">
        <v>0</v>
      </c>
      <c r="Z310" s="1"/>
      <c r="AA310" s="1">
        <v>3913781</v>
      </c>
      <c r="AB310" s="1"/>
      <c r="AC310" s="1">
        <v>2814190</v>
      </c>
      <c r="AD310" s="1"/>
      <c r="AE310" s="1">
        <v>45618</v>
      </c>
      <c r="AF310" s="1"/>
      <c r="AG310" s="1">
        <v>1788471</v>
      </c>
      <c r="AH310" s="1"/>
      <c r="AI310" s="1">
        <f>393269+55588</f>
        <v>448857</v>
      </c>
      <c r="AJ310" s="1"/>
      <c r="AK310" s="17" t="s">
        <v>400</v>
      </c>
      <c r="AL310" s="17"/>
      <c r="AM310" s="17" t="s">
        <v>35</v>
      </c>
      <c r="AN310" s="17"/>
      <c r="AO310" s="1">
        <v>1151471</v>
      </c>
      <c r="AP310" s="1"/>
      <c r="AQ310" s="1">
        <v>1468327</v>
      </c>
      <c r="AR310" s="1"/>
      <c r="AS310" s="1"/>
      <c r="AT310" s="1"/>
      <c r="AU310" s="1">
        <v>0</v>
      </c>
      <c r="AV310" s="1"/>
      <c r="AW310" s="1">
        <f t="shared" si="18"/>
        <v>43656028</v>
      </c>
      <c r="AY310" s="1">
        <f>+'St of Activites - GA Rev'!AI310-'St of Activities - GA Exp'!AW310</f>
        <v>3475195</v>
      </c>
      <c r="BA310" s="1">
        <v>95030452</v>
      </c>
      <c r="BC310" s="1">
        <f t="shared" si="19"/>
        <v>98505647</v>
      </c>
      <c r="BE310" s="1">
        <f>+'St of Net Assets - GA'!AA310-'St of Activities - GA Exp'!BC310</f>
        <v>0</v>
      </c>
    </row>
    <row r="311" spans="1:57">
      <c r="A311" s="17" t="s">
        <v>460</v>
      </c>
      <c r="B311" s="17"/>
      <c r="C311" s="17" t="s">
        <v>458</v>
      </c>
      <c r="D311" s="17"/>
      <c r="E311" s="13">
        <v>44255</v>
      </c>
      <c r="G311" s="1">
        <v>10740431</v>
      </c>
      <c r="H311" s="1"/>
      <c r="I311" s="1">
        <v>3480713</v>
      </c>
      <c r="J311" s="1"/>
      <c r="K311" s="1">
        <v>416751</v>
      </c>
      <c r="L311" s="1"/>
      <c r="M311" s="1">
        <v>37137</v>
      </c>
      <c r="N311" s="1"/>
      <c r="O311" s="1">
        <v>982539</v>
      </c>
      <c r="P311" s="1"/>
      <c r="Q311" s="1">
        <v>1763845</v>
      </c>
      <c r="R311" s="1"/>
      <c r="S311" s="1">
        <v>172366</v>
      </c>
      <c r="T311" s="1"/>
      <c r="U311" s="1">
        <v>2105097</v>
      </c>
      <c r="V311" s="1"/>
      <c r="W311" s="1">
        <v>692700</v>
      </c>
      <c r="X311" s="1"/>
      <c r="Y311" s="1">
        <v>0</v>
      </c>
      <c r="Z311" s="1"/>
      <c r="AA311" s="1">
        <v>2966110</v>
      </c>
      <c r="AB311" s="1"/>
      <c r="AC311" s="1">
        <v>1002105</v>
      </c>
      <c r="AD311" s="1"/>
      <c r="AE311" s="1">
        <v>310561</v>
      </c>
      <c r="AF311" s="1"/>
      <c r="AG311" s="1">
        <v>813967</v>
      </c>
      <c r="AH311" s="1"/>
      <c r="AI311" s="1">
        <v>116748</v>
      </c>
      <c r="AJ311" s="1"/>
      <c r="AK311" s="17" t="s">
        <v>460</v>
      </c>
      <c r="AL311" s="17"/>
      <c r="AM311" s="17" t="s">
        <v>458</v>
      </c>
      <c r="AN311" s="17"/>
      <c r="AO311" s="1">
        <v>897254</v>
      </c>
      <c r="AP311" s="1"/>
      <c r="AQ311" s="1">
        <v>1289462</v>
      </c>
      <c r="AR311" s="1"/>
      <c r="AS311" s="1"/>
      <c r="AT311" s="1"/>
      <c r="AU311" s="1">
        <v>3570919</v>
      </c>
      <c r="AV311" s="1"/>
      <c r="AW311" s="1">
        <f t="shared" si="18"/>
        <v>31358705</v>
      </c>
      <c r="AY311" s="1">
        <f>+'St of Activites - GA Rev'!AI311-'St of Activities - GA Exp'!AW311</f>
        <v>-1877327</v>
      </c>
      <c r="BA311" s="1">
        <v>40508136</v>
      </c>
      <c r="BC311" s="1">
        <f t="shared" si="19"/>
        <v>38630809</v>
      </c>
      <c r="BE311" s="1">
        <f>+'St of Net Assets - GA'!AA311-'St of Activities - GA Exp'!BC311</f>
        <v>0</v>
      </c>
    </row>
    <row r="312" spans="1:57">
      <c r="A312" s="17" t="s">
        <v>443</v>
      </c>
      <c r="B312" s="17"/>
      <c r="C312" s="17" t="s">
        <v>44</v>
      </c>
      <c r="D312" s="17"/>
      <c r="E312" s="13">
        <v>44263</v>
      </c>
      <c r="G312" s="1">
        <v>44691860</v>
      </c>
      <c r="H312" s="1"/>
      <c r="I312" s="1">
        <v>8765969</v>
      </c>
      <c r="J312" s="1"/>
      <c r="K312" s="1">
        <v>3460181</v>
      </c>
      <c r="L312" s="1"/>
      <c r="M312" s="1">
        <f>1471288+16596746</f>
        <v>18068034</v>
      </c>
      <c r="N312" s="1"/>
      <c r="O312" s="1">
        <v>4731766</v>
      </c>
      <c r="P312" s="1"/>
      <c r="Q312" s="1">
        <v>7763165</v>
      </c>
      <c r="R312" s="1"/>
      <c r="S312" s="1">
        <v>260180</v>
      </c>
      <c r="T312" s="1"/>
      <c r="U312" s="1">
        <v>8124562</v>
      </c>
      <c r="V312" s="1"/>
      <c r="W312" s="1">
        <v>2307542</v>
      </c>
      <c r="X312" s="1"/>
      <c r="Y312" s="1">
        <v>468568</v>
      </c>
      <c r="Z312" s="1"/>
      <c r="AA312" s="1">
        <v>8846505</v>
      </c>
      <c r="AB312" s="1"/>
      <c r="AC312" s="1">
        <v>2718093</v>
      </c>
      <c r="AD312" s="1"/>
      <c r="AE312" s="1">
        <v>1343808</v>
      </c>
      <c r="AF312" s="1"/>
      <c r="AG312" s="1">
        <v>4393196</v>
      </c>
      <c r="AH312" s="1"/>
      <c r="AI312" s="1">
        <v>1454351</v>
      </c>
      <c r="AJ312" s="1"/>
      <c r="AK312" s="17" t="s">
        <v>443</v>
      </c>
      <c r="AL312" s="17"/>
      <c r="AM312" s="17" t="s">
        <v>44</v>
      </c>
      <c r="AN312" s="17"/>
      <c r="AO312" s="1">
        <v>1856981</v>
      </c>
      <c r="AP312" s="1"/>
      <c r="AQ312" s="1">
        <v>1742592</v>
      </c>
      <c r="AR312" s="1"/>
      <c r="AS312" s="1"/>
      <c r="AT312" s="1"/>
      <c r="AU312" s="1">
        <v>0</v>
      </c>
      <c r="AV312" s="1"/>
      <c r="AW312" s="1">
        <f t="shared" si="18"/>
        <v>120997353</v>
      </c>
      <c r="AY312" s="1">
        <f>+'St of Activites - GA Rev'!AI312-'St of Activities - GA Exp'!AW312</f>
        <v>-4322522</v>
      </c>
      <c r="BA312" s="1">
        <v>192431397</v>
      </c>
      <c r="BC312" s="1">
        <f t="shared" si="19"/>
        <v>188108875</v>
      </c>
      <c r="BE312" s="1">
        <f>+'St of Net Assets - GA'!AA312-'St of Activities - GA Exp'!BC312</f>
        <v>0</v>
      </c>
    </row>
    <row r="313" spans="1:57">
      <c r="A313" s="17" t="s">
        <v>610</v>
      </c>
      <c r="B313" s="17"/>
      <c r="C313" s="17" t="s">
        <v>64</v>
      </c>
      <c r="D313" s="17"/>
      <c r="E313" s="13">
        <v>50203</v>
      </c>
      <c r="G313" s="1">
        <v>3227831</v>
      </c>
      <c r="H313" s="1"/>
      <c r="I313" s="1">
        <v>793641</v>
      </c>
      <c r="J313" s="1"/>
      <c r="K313" s="1">
        <v>108674</v>
      </c>
      <c r="L313" s="1"/>
      <c r="M313" s="1">
        <v>232152</v>
      </c>
      <c r="N313" s="1"/>
      <c r="O313" s="1">
        <v>176083</v>
      </c>
      <c r="P313" s="1"/>
      <c r="Q313" s="1">
        <v>206274</v>
      </c>
      <c r="R313" s="1"/>
      <c r="S313" s="1">
        <v>127461</v>
      </c>
      <c r="T313" s="1"/>
      <c r="U313" s="1">
        <v>573297</v>
      </c>
      <c r="V313" s="1"/>
      <c r="W313" s="1">
        <v>312954</v>
      </c>
      <c r="X313" s="1"/>
      <c r="Y313" s="1">
        <v>35749</v>
      </c>
      <c r="Z313" s="1"/>
      <c r="AA313" s="1">
        <v>1135361</v>
      </c>
      <c r="AB313" s="1"/>
      <c r="AC313" s="1">
        <v>294937</v>
      </c>
      <c r="AD313" s="1"/>
      <c r="AE313" s="1">
        <v>45019</v>
      </c>
      <c r="AF313" s="1"/>
      <c r="AG313" s="1">
        <v>160458</v>
      </c>
      <c r="AH313" s="1"/>
      <c r="AI313" s="1">
        <v>1568</v>
      </c>
      <c r="AJ313" s="16"/>
      <c r="AK313" s="17" t="s">
        <v>610</v>
      </c>
      <c r="AL313" s="17"/>
      <c r="AM313" s="17" t="s">
        <v>64</v>
      </c>
      <c r="AN313" s="17"/>
      <c r="AO313" s="1">
        <v>241000</v>
      </c>
      <c r="AP313" s="1"/>
      <c r="AQ313" s="1">
        <v>105710</v>
      </c>
      <c r="AR313" s="1"/>
      <c r="AS313" s="1"/>
      <c r="AT313" s="1"/>
      <c r="AU313" s="1">
        <v>0</v>
      </c>
      <c r="AV313" s="1"/>
      <c r="AW313" s="1">
        <f t="shared" si="18"/>
        <v>7778169</v>
      </c>
      <c r="AY313" s="1">
        <f>+'St of Activites - GA Rev'!AI313-'St of Activities - GA Exp'!AW313</f>
        <v>-153611</v>
      </c>
      <c r="BA313" s="1">
        <v>4175240</v>
      </c>
      <c r="BC313" s="1">
        <f t="shared" si="19"/>
        <v>4021629</v>
      </c>
      <c r="BE313" s="1">
        <f>+'St of Net Assets - GA'!AA313-'St of Activities - GA Exp'!BC313</f>
        <v>0</v>
      </c>
    </row>
    <row r="314" spans="1:57">
      <c r="A314" s="17" t="s">
        <v>846</v>
      </c>
      <c r="B314" s="17"/>
      <c r="C314" s="17" t="s">
        <v>11</v>
      </c>
      <c r="D314" s="17"/>
      <c r="E314" s="13">
        <v>45468</v>
      </c>
      <c r="F314" s="1"/>
      <c r="G314" s="1">
        <v>5150006</v>
      </c>
      <c r="H314" s="1"/>
      <c r="I314" s="1">
        <v>1403382</v>
      </c>
      <c r="J314" s="1"/>
      <c r="K314" s="1">
        <v>399085</v>
      </c>
      <c r="L314" s="1"/>
      <c r="M314" s="1">
        <v>788369</v>
      </c>
      <c r="N314" s="1"/>
      <c r="O314" s="1">
        <v>721932</v>
      </c>
      <c r="P314" s="1"/>
      <c r="Q314" s="1">
        <v>771054</v>
      </c>
      <c r="R314" s="1"/>
      <c r="S314" s="1">
        <v>27635</v>
      </c>
      <c r="T314" s="1"/>
      <c r="U314" s="1">
        <v>995819</v>
      </c>
      <c r="V314" s="1"/>
      <c r="W314" s="1">
        <v>333278</v>
      </c>
      <c r="X314" s="1"/>
      <c r="Y314" s="1">
        <v>11228</v>
      </c>
      <c r="Z314" s="1"/>
      <c r="AA314" s="1">
        <v>1048224</v>
      </c>
      <c r="AB314" s="1"/>
      <c r="AC314" s="1">
        <v>776015</v>
      </c>
      <c r="AD314" s="1"/>
      <c r="AE314" s="1">
        <v>98234</v>
      </c>
      <c r="AF314" s="1"/>
      <c r="AG314" s="1">
        <v>457923</v>
      </c>
      <c r="AH314" s="1"/>
      <c r="AI314" s="1">
        <v>77165</v>
      </c>
      <c r="AJ314" s="1"/>
      <c r="AK314" s="17" t="s">
        <v>846</v>
      </c>
      <c r="AL314" s="17"/>
      <c r="AM314" s="17" t="s">
        <v>11</v>
      </c>
      <c r="AN314" s="17"/>
      <c r="AO314" s="1">
        <v>500158</v>
      </c>
      <c r="AP314" s="1"/>
      <c r="AQ314" s="1">
        <v>53129</v>
      </c>
      <c r="AR314" s="1"/>
      <c r="AS314" s="1"/>
      <c r="AT314" s="1"/>
      <c r="AU314" s="1">
        <v>0</v>
      </c>
      <c r="AV314" s="1"/>
      <c r="AW314" s="1">
        <f t="shared" si="18"/>
        <v>13612636</v>
      </c>
      <c r="AY314" s="1">
        <f>+'St of Activites - GA Rev'!AI314-'St of Activities - GA Exp'!AW314</f>
        <v>344124</v>
      </c>
      <c r="BA314" s="1">
        <v>6674977</v>
      </c>
      <c r="BC314" s="1">
        <f t="shared" si="19"/>
        <v>7019101</v>
      </c>
      <c r="BE314" s="1">
        <f>+'St of Net Assets - GA'!AA314-'St of Activities - GA Exp'!BC314</f>
        <v>0</v>
      </c>
    </row>
    <row r="315" spans="1:57">
      <c r="A315" s="17" t="s">
        <v>578</v>
      </c>
      <c r="B315" s="17"/>
      <c r="C315" s="17" t="s">
        <v>62</v>
      </c>
      <c r="D315" s="17"/>
      <c r="E315" s="13">
        <v>49874</v>
      </c>
      <c r="G315" s="1">
        <v>12854838</v>
      </c>
      <c r="H315" s="1"/>
      <c r="I315" s="1">
        <v>3852396</v>
      </c>
      <c r="J315" s="1"/>
      <c r="K315" s="1">
        <v>477350</v>
      </c>
      <c r="L315" s="1"/>
      <c r="M315" s="1">
        <v>878180</v>
      </c>
      <c r="N315" s="1"/>
      <c r="O315" s="1">
        <v>1614040</v>
      </c>
      <c r="P315" s="1"/>
      <c r="Q315" s="1">
        <v>961603</v>
      </c>
      <c r="R315" s="1"/>
      <c r="S315" s="1">
        <v>58653</v>
      </c>
      <c r="T315" s="1"/>
      <c r="U315" s="1">
        <v>1864747</v>
      </c>
      <c r="V315" s="1"/>
      <c r="W315" s="1">
        <v>609441</v>
      </c>
      <c r="X315" s="1"/>
      <c r="Y315" s="1">
        <v>112986</v>
      </c>
      <c r="Z315" s="1"/>
      <c r="AA315" s="1">
        <v>3518378</v>
      </c>
      <c r="AB315" s="1"/>
      <c r="AC315" s="1">
        <v>1225934</v>
      </c>
      <c r="AD315" s="1"/>
      <c r="AE315" s="1">
        <v>14840</v>
      </c>
      <c r="AF315" s="1"/>
      <c r="AG315" s="1">
        <v>1181913</v>
      </c>
      <c r="AH315" s="1"/>
      <c r="AI315" s="1">
        <v>476508</v>
      </c>
      <c r="AJ315" s="1"/>
      <c r="AK315" s="17" t="s">
        <v>578</v>
      </c>
      <c r="AL315" s="17"/>
      <c r="AM315" s="17" t="s">
        <v>62</v>
      </c>
      <c r="AN315" s="17"/>
      <c r="AO315" s="1">
        <v>1114303</v>
      </c>
      <c r="AP315" s="1"/>
      <c r="AQ315" s="1">
        <v>1583748</v>
      </c>
      <c r="AR315" s="1"/>
      <c r="AS315" s="1"/>
      <c r="AT315" s="1"/>
      <c r="AU315" s="1">
        <v>0</v>
      </c>
      <c r="AV315" s="1"/>
      <c r="AW315" s="1">
        <f t="shared" si="18"/>
        <v>32399858</v>
      </c>
      <c r="AY315" s="1">
        <f>+'St of Activites - GA Rev'!AI315-'St of Activities - GA Exp'!AW315</f>
        <v>-2933008</v>
      </c>
      <c r="BA315" s="1">
        <v>49692673</v>
      </c>
      <c r="BC315" s="1">
        <f t="shared" si="19"/>
        <v>46759665</v>
      </c>
      <c r="BE315" s="1">
        <f>+'St of Net Assets - GA'!AA315-'St of Activities - GA Exp'!BC315</f>
        <v>0</v>
      </c>
    </row>
    <row r="316" spans="1:57">
      <c r="A316" s="17" t="s">
        <v>366</v>
      </c>
      <c r="B316" s="17"/>
      <c r="C316" s="17" t="s">
        <v>32</v>
      </c>
      <c r="D316" s="17"/>
      <c r="E316" s="13">
        <v>44271</v>
      </c>
      <c r="G316" s="1">
        <v>20337934</v>
      </c>
      <c r="H316" s="1"/>
      <c r="I316" s="1">
        <v>5891540</v>
      </c>
      <c r="J316" s="1"/>
      <c r="K316" s="1">
        <v>167404</v>
      </c>
      <c r="L316" s="1"/>
      <c r="M316" s="1">
        <v>784112</v>
      </c>
      <c r="N316" s="1"/>
      <c r="O316" s="1">
        <v>2473535</v>
      </c>
      <c r="P316" s="1"/>
      <c r="Q316" s="1">
        <v>1426507</v>
      </c>
      <c r="R316" s="1"/>
      <c r="S316" s="1">
        <v>69219</v>
      </c>
      <c r="T316" s="1"/>
      <c r="U316" s="1">
        <v>2956671</v>
      </c>
      <c r="V316" s="1"/>
      <c r="W316" s="1">
        <v>1149757</v>
      </c>
      <c r="X316" s="1"/>
      <c r="Y316" s="1">
        <v>236730</v>
      </c>
      <c r="Z316" s="1"/>
      <c r="AA316" s="1">
        <v>3668258</v>
      </c>
      <c r="AB316" s="1"/>
      <c r="AC316" s="1">
        <v>3484344</v>
      </c>
      <c r="AD316" s="1"/>
      <c r="AE316" s="1">
        <v>985219</v>
      </c>
      <c r="AF316" s="1"/>
      <c r="AG316" s="1">
        <v>0</v>
      </c>
      <c r="AH316" s="1"/>
      <c r="AI316" s="1">
        <v>2139671</v>
      </c>
      <c r="AJ316" s="1"/>
      <c r="AK316" s="17" t="s">
        <v>366</v>
      </c>
      <c r="AL316" s="17"/>
      <c r="AM316" s="17" t="s">
        <v>32</v>
      </c>
      <c r="AN316" s="17"/>
      <c r="AO316" s="1">
        <v>1323360</v>
      </c>
      <c r="AP316" s="1"/>
      <c r="AQ316" s="1">
        <v>2332335</v>
      </c>
      <c r="AR316" s="1"/>
      <c r="AS316" s="1"/>
      <c r="AT316" s="1"/>
      <c r="AU316" s="1">
        <v>0</v>
      </c>
      <c r="AV316" s="1"/>
      <c r="AW316" s="1">
        <f t="shared" si="18"/>
        <v>49426596</v>
      </c>
      <c r="AY316" s="1">
        <f>+'St of Activites - GA Rev'!AI316-'St of Activities - GA Exp'!AW316</f>
        <v>663232</v>
      </c>
      <c r="BA316" s="1">
        <v>33528166</v>
      </c>
      <c r="BC316" s="1">
        <f t="shared" si="19"/>
        <v>34191398</v>
      </c>
      <c r="BE316" s="1">
        <f>+'St of Net Assets - GA'!AA316-'St of Activities - GA Exp'!BC316</f>
        <v>0</v>
      </c>
    </row>
    <row r="317" spans="1:57" ht="12" customHeight="1">
      <c r="A317" s="17" t="s">
        <v>466</v>
      </c>
      <c r="B317" s="17"/>
      <c r="C317" s="17" t="s">
        <v>45</v>
      </c>
      <c r="D317" s="17"/>
      <c r="E317" s="13">
        <v>48330</v>
      </c>
      <c r="G317" s="1">
        <v>2769130</v>
      </c>
      <c r="H317" s="1"/>
      <c r="I317" s="1">
        <v>365435</v>
      </c>
      <c r="J317" s="1"/>
      <c r="K317" s="1">
        <v>30234</v>
      </c>
      <c r="L317" s="1"/>
      <c r="M317" s="1">
        <v>1404</v>
      </c>
      <c r="N317" s="1"/>
      <c r="O317" s="1">
        <v>130067</v>
      </c>
      <c r="P317" s="1"/>
      <c r="Q317" s="1">
        <v>307478</v>
      </c>
      <c r="R317" s="1"/>
      <c r="S317" s="1">
        <v>15020</v>
      </c>
      <c r="T317" s="1"/>
      <c r="U317" s="1">
        <v>365435</v>
      </c>
      <c r="V317" s="1"/>
      <c r="W317" s="1">
        <v>154343</v>
      </c>
      <c r="X317" s="1"/>
      <c r="Y317" s="1">
        <v>0</v>
      </c>
      <c r="Z317" s="1"/>
      <c r="AA317" s="1">
        <v>432978</v>
      </c>
      <c r="AB317" s="1"/>
      <c r="AC317" s="1">
        <v>170475</v>
      </c>
      <c r="AD317" s="1"/>
      <c r="AE317" s="1">
        <v>40705</v>
      </c>
      <c r="AF317" s="1"/>
      <c r="AG317" s="1">
        <v>343771</v>
      </c>
      <c r="AH317" s="1"/>
      <c r="AI317" s="1">
        <v>0</v>
      </c>
      <c r="AJ317" s="1"/>
      <c r="AK317" s="17" t="s">
        <v>466</v>
      </c>
      <c r="AL317" s="17"/>
      <c r="AM317" s="17" t="s">
        <v>45</v>
      </c>
      <c r="AN317" s="17"/>
      <c r="AO317" s="1">
        <v>395170</v>
      </c>
      <c r="AP317" s="1"/>
      <c r="AQ317" s="1">
        <v>92047</v>
      </c>
      <c r="AR317" s="1"/>
      <c r="AS317" s="1"/>
      <c r="AT317" s="1"/>
      <c r="AU317" s="1">
        <v>0</v>
      </c>
      <c r="AV317" s="1"/>
      <c r="AW317" s="1">
        <f t="shared" si="18"/>
        <v>5613692</v>
      </c>
      <c r="AY317" s="1">
        <f>+'St of Activites - GA Rev'!AI317-'St of Activities - GA Exp'!AW317</f>
        <v>175693</v>
      </c>
      <c r="BA317" s="1">
        <v>14157748</v>
      </c>
      <c r="BC317" s="1">
        <f t="shared" si="19"/>
        <v>14333441</v>
      </c>
      <c r="BE317" s="1">
        <f>+'St of Net Assets - GA'!AA317-'St of Activities - GA Exp'!BC317</f>
        <v>0</v>
      </c>
    </row>
    <row r="318" spans="1:57">
      <c r="A318" s="17" t="s">
        <v>544</v>
      </c>
      <c r="B318" s="17"/>
      <c r="C318" s="17" t="s">
        <v>112</v>
      </c>
      <c r="D318" s="17"/>
      <c r="E318" s="13">
        <v>49445</v>
      </c>
      <c r="G318" s="1">
        <v>2155350</v>
      </c>
      <c r="H318" s="1"/>
      <c r="I318" s="1">
        <v>640346</v>
      </c>
      <c r="J318" s="1"/>
      <c r="K318" s="1">
        <v>327</v>
      </c>
      <c r="L318" s="1"/>
      <c r="M318" s="1">
        <v>448573</v>
      </c>
      <c r="N318" s="1"/>
      <c r="O318" s="1">
        <v>85586</v>
      </c>
      <c r="P318" s="1"/>
      <c r="Q318" s="1">
        <v>240987</v>
      </c>
      <c r="R318" s="1"/>
      <c r="S318" s="1">
        <v>20523</v>
      </c>
      <c r="T318" s="1"/>
      <c r="U318" s="1">
        <v>568715</v>
      </c>
      <c r="V318" s="1"/>
      <c r="W318" s="1">
        <v>227527</v>
      </c>
      <c r="X318" s="1"/>
      <c r="Y318" s="1">
        <v>0</v>
      </c>
      <c r="Z318" s="1"/>
      <c r="AA318" s="1">
        <v>588617</v>
      </c>
      <c r="AB318" s="1"/>
      <c r="AC318" s="1">
        <v>249547</v>
      </c>
      <c r="AD318" s="1"/>
      <c r="AE318" s="1">
        <v>82890</v>
      </c>
      <c r="AF318" s="1"/>
      <c r="AG318" s="1">
        <v>187502</v>
      </c>
      <c r="AH318" s="1"/>
      <c r="AI318" s="1">
        <v>1544</v>
      </c>
      <c r="AJ318" s="1"/>
      <c r="AK318" s="17" t="s">
        <v>544</v>
      </c>
      <c r="AL318" s="17"/>
      <c r="AM318" s="17" t="s">
        <v>112</v>
      </c>
      <c r="AN318" s="17"/>
      <c r="AO318" s="1">
        <v>192339</v>
      </c>
      <c r="AP318" s="1"/>
      <c r="AQ318" s="1">
        <v>0</v>
      </c>
      <c r="AR318" s="1"/>
      <c r="AS318" s="1"/>
      <c r="AT318" s="1"/>
      <c r="AU318" s="1">
        <v>0</v>
      </c>
      <c r="AV318" s="1"/>
      <c r="AW318" s="1">
        <f t="shared" si="18"/>
        <v>5690373</v>
      </c>
      <c r="AY318" s="1">
        <f>+'St of Activites - GA Rev'!AI318-'St of Activities - GA Exp'!AW318</f>
        <v>139494</v>
      </c>
      <c r="BA318" s="1">
        <v>4200525</v>
      </c>
      <c r="BC318" s="1">
        <f t="shared" si="19"/>
        <v>4340019</v>
      </c>
      <c r="BE318" s="1">
        <f>+'St of Net Assets - GA'!AA318-'St of Activities - GA Exp'!BC318</f>
        <v>0</v>
      </c>
    </row>
    <row r="319" spans="1:57">
      <c r="A319" s="17" t="s">
        <v>399</v>
      </c>
      <c r="B319" s="17"/>
      <c r="C319" s="17" t="s">
        <v>395</v>
      </c>
      <c r="D319" s="17"/>
      <c r="E319" s="13">
        <v>47639</v>
      </c>
      <c r="G319" s="1">
        <v>6166547</v>
      </c>
      <c r="H319" s="1"/>
      <c r="I319" s="1">
        <v>1252596</v>
      </c>
      <c r="J319" s="1"/>
      <c r="K319" s="1">
        <v>213954</v>
      </c>
      <c r="L319" s="1"/>
      <c r="M319" s="1">
        <v>6883</v>
      </c>
      <c r="N319" s="1"/>
      <c r="O319" s="1">
        <v>480884</v>
      </c>
      <c r="P319" s="1"/>
      <c r="Q319" s="1">
        <v>759396</v>
      </c>
      <c r="R319" s="1"/>
      <c r="S319" s="1">
        <v>39768</v>
      </c>
      <c r="T319" s="1"/>
      <c r="U319" s="1">
        <v>1202576</v>
      </c>
      <c r="V319" s="1"/>
      <c r="W319" s="1">
        <v>315607</v>
      </c>
      <c r="X319" s="1"/>
      <c r="Y319" s="1">
        <v>37191</v>
      </c>
      <c r="Z319" s="1"/>
      <c r="AA319" s="1">
        <v>1218198</v>
      </c>
      <c r="AB319" s="1"/>
      <c r="AC319" s="1">
        <v>894163</v>
      </c>
      <c r="AD319" s="1"/>
      <c r="AE319" s="1">
        <v>12000</v>
      </c>
      <c r="AF319" s="1"/>
      <c r="AG319" s="1">
        <v>641159</v>
      </c>
      <c r="AH319" s="1"/>
      <c r="AI319" s="1">
        <v>3068</v>
      </c>
      <c r="AJ319" s="1"/>
      <c r="AK319" s="17" t="s">
        <v>399</v>
      </c>
      <c r="AL319" s="17"/>
      <c r="AM319" s="17" t="s">
        <v>395</v>
      </c>
      <c r="AN319" s="17"/>
      <c r="AO319" s="1">
        <v>191032</v>
      </c>
      <c r="AP319" s="1"/>
      <c r="AQ319" s="1">
        <v>63344</v>
      </c>
      <c r="AR319" s="1"/>
      <c r="AS319" s="1"/>
      <c r="AT319" s="1"/>
      <c r="AU319" s="1">
        <v>0</v>
      </c>
      <c r="AV319" s="1"/>
      <c r="AW319" s="1">
        <f t="shared" si="18"/>
        <v>13498366</v>
      </c>
      <c r="AY319" s="1">
        <f>+'St of Activites - GA Rev'!AI319-'St of Activities - GA Exp'!AW319</f>
        <v>-514339</v>
      </c>
      <c r="BA319" s="1">
        <v>26239300</v>
      </c>
      <c r="BC319" s="1">
        <f t="shared" si="19"/>
        <v>25724961</v>
      </c>
      <c r="BE319" s="1">
        <f>+'St of Net Assets - GA'!AA319-'St of Activities - GA Exp'!BC319</f>
        <v>0</v>
      </c>
    </row>
    <row r="320" spans="1:57">
      <c r="A320" s="17" t="s">
        <v>500</v>
      </c>
      <c r="B320" s="17"/>
      <c r="C320" s="17" t="s">
        <v>50</v>
      </c>
      <c r="D320" s="17"/>
      <c r="E320" s="13">
        <v>48702</v>
      </c>
      <c r="G320" s="1">
        <v>16915069</v>
      </c>
      <c r="H320" s="1"/>
      <c r="I320" s="1">
        <v>4552186</v>
      </c>
      <c r="J320" s="1"/>
      <c r="K320" s="1">
        <v>2018743</v>
      </c>
      <c r="L320" s="1"/>
      <c r="M320" s="1">
        <f>28546+1490562</f>
        <v>1519108</v>
      </c>
      <c r="N320" s="1"/>
      <c r="O320" s="1">
        <v>2644153</v>
      </c>
      <c r="P320" s="1"/>
      <c r="Q320" s="1">
        <v>3186586</v>
      </c>
      <c r="R320" s="1"/>
      <c r="S320" s="1">
        <v>75920</v>
      </c>
      <c r="T320" s="1"/>
      <c r="U320" s="1">
        <v>3183649</v>
      </c>
      <c r="V320" s="1"/>
      <c r="W320" s="1">
        <v>688997</v>
      </c>
      <c r="X320" s="1"/>
      <c r="Y320" s="1">
        <v>8543</v>
      </c>
      <c r="Z320" s="1"/>
      <c r="AA320" s="1">
        <v>4286224</v>
      </c>
      <c r="AB320" s="1"/>
      <c r="AC320" s="1">
        <v>1462191</v>
      </c>
      <c r="AD320" s="1"/>
      <c r="AE320" s="1">
        <v>383860</v>
      </c>
      <c r="AF320" s="1"/>
      <c r="AG320" s="1">
        <v>0</v>
      </c>
      <c r="AH320" s="1"/>
      <c r="AI320" s="1">
        <v>2461390</v>
      </c>
      <c r="AJ320" s="1"/>
      <c r="AK320" s="17" t="s">
        <v>500</v>
      </c>
      <c r="AL320" s="17"/>
      <c r="AM320" s="17" t="s">
        <v>50</v>
      </c>
      <c r="AN320" s="17"/>
      <c r="AO320" s="1">
        <v>657319</v>
      </c>
      <c r="AP320" s="1"/>
      <c r="AQ320" s="1">
        <v>919896</v>
      </c>
      <c r="AR320" s="1"/>
      <c r="AS320" s="1"/>
      <c r="AT320" s="1"/>
      <c r="AU320" s="1">
        <v>0</v>
      </c>
      <c r="AV320" s="1"/>
      <c r="AW320" s="1">
        <f t="shared" si="18"/>
        <v>44963834</v>
      </c>
      <c r="AY320" s="1">
        <f>+'St of Activites - GA Rev'!AI320-'St of Activities - GA Exp'!AW320</f>
        <v>-2403591</v>
      </c>
      <c r="BA320" s="1">
        <v>80769128</v>
      </c>
      <c r="BC320" s="1">
        <f t="shared" ref="BC320:BC347" si="22">+AY320+BA320</f>
        <v>78365537</v>
      </c>
      <c r="BE320" s="1">
        <f>+'St of Net Assets - GA'!AA320-'St of Activities - GA Exp'!BC320</f>
        <v>0</v>
      </c>
    </row>
    <row r="321" spans="1:57">
      <c r="A321" s="17" t="s">
        <v>367</v>
      </c>
      <c r="B321" s="17"/>
      <c r="C321" s="17" t="s">
        <v>32</v>
      </c>
      <c r="D321" s="17"/>
      <c r="E321" s="13">
        <v>44289</v>
      </c>
      <c r="G321" s="1">
        <v>8497894</v>
      </c>
      <c r="H321" s="1"/>
      <c r="I321" s="1">
        <v>2144158</v>
      </c>
      <c r="J321" s="1"/>
      <c r="K321" s="1">
        <v>527</v>
      </c>
      <c r="L321" s="1"/>
      <c r="M321" s="1">
        <v>119045</v>
      </c>
      <c r="N321" s="1"/>
      <c r="O321" s="1">
        <v>1111680</v>
      </c>
      <c r="P321" s="1"/>
      <c r="Q321" s="1">
        <v>368154</v>
      </c>
      <c r="R321" s="1"/>
      <c r="S321" s="1">
        <v>41362</v>
      </c>
      <c r="T321" s="1"/>
      <c r="U321" s="1">
        <v>1112651</v>
      </c>
      <c r="V321" s="1"/>
      <c r="W321" s="1">
        <v>505850</v>
      </c>
      <c r="X321" s="1"/>
      <c r="Y321" s="1">
        <v>99517</v>
      </c>
      <c r="Z321" s="1"/>
      <c r="AA321" s="1">
        <v>1744571</v>
      </c>
      <c r="AB321" s="1"/>
      <c r="AC321" s="1">
        <v>767148</v>
      </c>
      <c r="AD321" s="1"/>
      <c r="AE321" s="1">
        <v>589192</v>
      </c>
      <c r="AF321" s="1"/>
      <c r="AG321" s="1">
        <v>0</v>
      </c>
      <c r="AH321" s="1"/>
      <c r="AI321" s="1">
        <v>846874</v>
      </c>
      <c r="AJ321" s="1"/>
      <c r="AK321" s="17" t="s">
        <v>367</v>
      </c>
      <c r="AL321" s="17"/>
      <c r="AM321" s="17" t="s">
        <v>32</v>
      </c>
      <c r="AN321" s="17"/>
      <c r="AO321" s="1">
        <v>520444</v>
      </c>
      <c r="AP321" s="1"/>
      <c r="AQ321" s="1">
        <v>1311705</v>
      </c>
      <c r="AR321" s="1"/>
      <c r="AS321" s="1"/>
      <c r="AT321" s="1"/>
      <c r="AU321" s="1">
        <v>0</v>
      </c>
      <c r="AV321" s="1"/>
      <c r="AW321" s="1">
        <f t="shared" si="18"/>
        <v>19780772</v>
      </c>
      <c r="AY321" s="1">
        <f>+'St of Activites - GA Rev'!AI321-'St of Activities - GA Exp'!AW321</f>
        <v>2554310</v>
      </c>
      <c r="BA321" s="1">
        <v>10157964</v>
      </c>
      <c r="BC321" s="1">
        <f t="shared" si="22"/>
        <v>12712274</v>
      </c>
      <c r="BE321" s="1">
        <f>+'St of Net Assets - GA'!AA321-'St of Activities - GA Exp'!BC321</f>
        <v>0</v>
      </c>
    </row>
    <row r="322" spans="1:57">
      <c r="A322" s="17" t="s">
        <v>231</v>
      </c>
      <c r="B322" s="17"/>
      <c r="C322" s="17" t="s">
        <v>227</v>
      </c>
      <c r="D322" s="17"/>
      <c r="E322" s="13">
        <v>46128</v>
      </c>
      <c r="G322" s="1">
        <v>6180750</v>
      </c>
      <c r="H322" s="1"/>
      <c r="I322" s="1">
        <v>1077070</v>
      </c>
      <c r="J322" s="1"/>
      <c r="K322" s="1">
        <v>2797</v>
      </c>
      <c r="L322" s="1"/>
      <c r="M322" s="1">
        <v>534703</v>
      </c>
      <c r="N322" s="1"/>
      <c r="O322" s="1">
        <v>658327</v>
      </c>
      <c r="P322" s="1"/>
      <c r="Q322" s="1">
        <v>892530</v>
      </c>
      <c r="R322" s="1"/>
      <c r="S322" s="1">
        <v>83741</v>
      </c>
      <c r="T322" s="1"/>
      <c r="U322" s="1">
        <v>1343915</v>
      </c>
      <c r="V322" s="1"/>
      <c r="W322" s="1">
        <v>314637</v>
      </c>
      <c r="X322" s="1"/>
      <c r="Y322" s="1">
        <v>4796</v>
      </c>
      <c r="Z322" s="1"/>
      <c r="AA322" s="1">
        <v>1715213</v>
      </c>
      <c r="AB322" s="1"/>
      <c r="AC322" s="1">
        <v>911670</v>
      </c>
      <c r="AD322" s="1"/>
      <c r="AE322" s="1">
        <v>411556</v>
      </c>
      <c r="AF322" s="1"/>
      <c r="AG322" s="1">
        <v>708774</v>
      </c>
      <c r="AH322" s="1"/>
      <c r="AI322" s="1">
        <v>42662</v>
      </c>
      <c r="AJ322" s="1"/>
      <c r="AK322" s="17" t="s">
        <v>231</v>
      </c>
      <c r="AL322" s="17"/>
      <c r="AM322" s="17" t="s">
        <v>227</v>
      </c>
      <c r="AN322" s="17"/>
      <c r="AO322" s="1">
        <v>422981</v>
      </c>
      <c r="AP322" s="1"/>
      <c r="AQ322" s="1">
        <v>651444</v>
      </c>
      <c r="AR322" s="1"/>
      <c r="AS322" s="1"/>
      <c r="AT322" s="1"/>
      <c r="AU322" s="1">
        <v>0</v>
      </c>
      <c r="AV322" s="1"/>
      <c r="AW322" s="1">
        <f t="shared" si="18"/>
        <v>15957566</v>
      </c>
      <c r="AY322" s="1">
        <f>+'St of Activites - GA Rev'!AI322-'St of Activities - GA Exp'!AW322</f>
        <v>4044219</v>
      </c>
      <c r="BA322" s="1">
        <v>21079509</v>
      </c>
      <c r="BC322" s="1">
        <f t="shared" si="22"/>
        <v>25123728</v>
      </c>
      <c r="BE322" s="1">
        <f>+'St of Net Assets - GA'!AA322-'St of Activities - GA Exp'!BC322</f>
        <v>0</v>
      </c>
    </row>
    <row r="323" spans="1:57" hidden="1">
      <c r="A323" s="17" t="s">
        <v>848</v>
      </c>
      <c r="B323" s="17"/>
      <c r="C323" s="17" t="s">
        <v>41</v>
      </c>
      <c r="D323" s="17"/>
      <c r="E323" s="13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7" t="s">
        <v>848</v>
      </c>
      <c r="AL323" s="17"/>
      <c r="AM323" s="17" t="s">
        <v>41</v>
      </c>
      <c r="AN323" s="17"/>
      <c r="AO323" s="1"/>
      <c r="AP323" s="1"/>
      <c r="AQ323" s="1"/>
      <c r="AR323" s="1"/>
      <c r="AS323" s="1"/>
      <c r="AT323" s="1"/>
      <c r="AU323" s="1"/>
      <c r="AV323" s="1"/>
      <c r="AW323" s="1">
        <f t="shared" si="18"/>
        <v>0</v>
      </c>
      <c r="AY323" s="1">
        <f>+'St of Activites - GA Rev'!AI323-'St of Activities - GA Exp'!AW323</f>
        <v>0</v>
      </c>
      <c r="BC323" s="1">
        <f t="shared" si="22"/>
        <v>0</v>
      </c>
      <c r="BE323" s="1">
        <f>+'St of Net Assets - GA'!AA323-'St of Activities - GA Exp'!BC323</f>
        <v>0</v>
      </c>
    </row>
    <row r="324" spans="1:57">
      <c r="A324" s="17" t="s">
        <v>231</v>
      </c>
      <c r="B324" s="17"/>
      <c r="C324" s="17" t="s">
        <v>112</v>
      </c>
      <c r="D324" s="17"/>
      <c r="E324" s="13">
        <v>49452</v>
      </c>
      <c r="G324" s="1">
        <v>12006897</v>
      </c>
      <c r="H324" s="1"/>
      <c r="I324" s="1">
        <v>3623469</v>
      </c>
      <c r="J324" s="1"/>
      <c r="K324" s="1">
        <v>3235064</v>
      </c>
      <c r="L324" s="1"/>
      <c r="M324" s="1">
        <f>65005+2099218</f>
        <v>2164223</v>
      </c>
      <c r="N324" s="1"/>
      <c r="O324" s="1">
        <v>1332138</v>
      </c>
      <c r="P324" s="1"/>
      <c r="Q324" s="1">
        <v>2135204</v>
      </c>
      <c r="R324" s="1"/>
      <c r="S324" s="1">
        <v>37308</v>
      </c>
      <c r="T324" s="1"/>
      <c r="U324" s="1">
        <v>2353551</v>
      </c>
      <c r="V324" s="1"/>
      <c r="W324" s="1">
        <v>740201</v>
      </c>
      <c r="X324" s="1"/>
      <c r="Y324" s="1">
        <v>70271</v>
      </c>
      <c r="Z324" s="1"/>
      <c r="AA324" s="1">
        <v>3133209</v>
      </c>
      <c r="AB324" s="1"/>
      <c r="AC324" s="1">
        <v>1459190</v>
      </c>
      <c r="AD324" s="1"/>
      <c r="AE324" s="1">
        <v>195055</v>
      </c>
      <c r="AF324" s="1"/>
      <c r="AG324" s="1">
        <v>1232945</v>
      </c>
      <c r="AH324" s="1"/>
      <c r="AI324" s="1">
        <v>507762</v>
      </c>
      <c r="AJ324" s="1"/>
      <c r="AK324" s="17" t="s">
        <v>231</v>
      </c>
      <c r="AL324" s="17"/>
      <c r="AM324" s="17" t="s">
        <v>112</v>
      </c>
      <c r="AN324" s="17"/>
      <c r="AO324" s="1">
        <v>664215</v>
      </c>
      <c r="AP324" s="1"/>
      <c r="AQ324" s="1">
        <v>3373</v>
      </c>
      <c r="AR324" s="1"/>
      <c r="AS324" s="1"/>
      <c r="AT324" s="1"/>
      <c r="AU324" s="1">
        <v>0</v>
      </c>
      <c r="AV324" s="1"/>
      <c r="AW324" s="1">
        <f t="shared" si="18"/>
        <v>34894075</v>
      </c>
      <c r="AY324" s="1">
        <f>+'St of Activites - GA Rev'!AI324-'St of Activities - GA Exp'!AW324</f>
        <v>-85530</v>
      </c>
      <c r="BA324" s="1">
        <v>14965089</v>
      </c>
      <c r="BC324" s="1">
        <f t="shared" si="22"/>
        <v>14879559</v>
      </c>
      <c r="BE324" s="1">
        <f>+'St of Net Assets - GA'!AA324-'St of Activities - GA Exp'!BC324</f>
        <v>0</v>
      </c>
    </row>
    <row r="325" spans="1:57">
      <c r="A325" s="17" t="s">
        <v>864</v>
      </c>
      <c r="B325" s="17"/>
      <c r="C325" s="17" t="s">
        <v>458</v>
      </c>
      <c r="D325" s="17"/>
      <c r="E325" s="13"/>
      <c r="G325" s="1">
        <v>7386834</v>
      </c>
      <c r="H325" s="1"/>
      <c r="I325" s="1">
        <v>796268</v>
      </c>
      <c r="J325" s="1"/>
      <c r="K325" s="1">
        <v>425148</v>
      </c>
      <c r="L325" s="1"/>
      <c r="M325" s="1">
        <v>0</v>
      </c>
      <c r="N325" s="1"/>
      <c r="O325" s="1">
        <v>420498</v>
      </c>
      <c r="P325" s="1"/>
      <c r="Q325" s="1">
        <v>585002</v>
      </c>
      <c r="R325" s="1"/>
      <c r="S325" s="1">
        <v>64329</v>
      </c>
      <c r="T325" s="1"/>
      <c r="U325" s="1">
        <v>1429883</v>
      </c>
      <c r="V325" s="1"/>
      <c r="W325" s="1">
        <v>579234</v>
      </c>
      <c r="X325" s="1"/>
      <c r="Y325" s="1">
        <v>3109</v>
      </c>
      <c r="Z325" s="1"/>
      <c r="AA325" s="1">
        <v>938777</v>
      </c>
      <c r="AB325" s="1"/>
      <c r="AC325" s="1">
        <v>975839</v>
      </c>
      <c r="AD325" s="1"/>
      <c r="AE325" s="1">
        <v>164664</v>
      </c>
      <c r="AF325" s="1"/>
      <c r="AG325" s="1">
        <v>673245</v>
      </c>
      <c r="AH325" s="1"/>
      <c r="AI325" s="1">
        <v>0</v>
      </c>
      <c r="AJ325" s="1"/>
      <c r="AK325" s="17" t="s">
        <v>864</v>
      </c>
      <c r="AL325" s="17"/>
      <c r="AM325" s="17" t="s">
        <v>458</v>
      </c>
      <c r="AN325" s="17"/>
      <c r="AO325" s="1">
        <v>495829</v>
      </c>
      <c r="AP325" s="1"/>
      <c r="AQ325" s="1">
        <v>9265</v>
      </c>
      <c r="AR325" s="1"/>
      <c r="AS325" s="1"/>
      <c r="AT325" s="1"/>
      <c r="AU325" s="1">
        <v>0</v>
      </c>
      <c r="AV325" s="1"/>
      <c r="AW325" s="1">
        <f t="shared" si="18"/>
        <v>14947924</v>
      </c>
      <c r="AY325" s="1">
        <f>+'St of Activites - GA Rev'!AI325-'St of Activities - GA Exp'!AW325</f>
        <v>3545635</v>
      </c>
      <c r="BA325" s="1">
        <v>11518881</v>
      </c>
      <c r="BC325" s="1">
        <f t="shared" si="22"/>
        <v>15064516</v>
      </c>
      <c r="BE325" s="1">
        <f>+'St of Net Assets - GA'!AA325-'St of Activities - GA Exp'!BC325</f>
        <v>0</v>
      </c>
    </row>
    <row r="326" spans="1:57">
      <c r="A326" s="17" t="s">
        <v>722</v>
      </c>
      <c r="B326" s="17"/>
      <c r="C326" s="17" t="s">
        <v>203</v>
      </c>
      <c r="D326" s="17"/>
      <c r="E326" s="13"/>
      <c r="G326" s="1">
        <v>4702878</v>
      </c>
      <c r="H326" s="1"/>
      <c r="I326" s="1">
        <v>1801204</v>
      </c>
      <c r="J326" s="1"/>
      <c r="K326" s="1">
        <v>680853</v>
      </c>
      <c r="L326" s="1"/>
      <c r="M326" s="1">
        <v>176342</v>
      </c>
      <c r="N326" s="1"/>
      <c r="O326" s="1">
        <v>488161</v>
      </c>
      <c r="P326" s="1"/>
      <c r="Q326" s="1">
        <v>680900</v>
      </c>
      <c r="R326" s="1"/>
      <c r="S326" s="1">
        <v>79503</v>
      </c>
      <c r="T326" s="1"/>
      <c r="U326" s="1">
        <v>922233</v>
      </c>
      <c r="V326" s="1"/>
      <c r="W326" s="1">
        <v>438824</v>
      </c>
      <c r="X326" s="1"/>
      <c r="Y326" s="1">
        <v>0</v>
      </c>
      <c r="Z326" s="1"/>
      <c r="AA326" s="1">
        <v>1137230</v>
      </c>
      <c r="AB326" s="1"/>
      <c r="AC326" s="1">
        <v>617806</v>
      </c>
      <c r="AD326" s="1"/>
      <c r="AE326" s="1">
        <v>0</v>
      </c>
      <c r="AF326" s="1"/>
      <c r="AG326" s="1">
        <v>521631</v>
      </c>
      <c r="AH326" s="1"/>
      <c r="AI326" s="1">
        <v>113573</v>
      </c>
      <c r="AJ326" s="1"/>
      <c r="AK326" s="17" t="s">
        <v>722</v>
      </c>
      <c r="AL326" s="17"/>
      <c r="AM326" s="17" t="s">
        <v>203</v>
      </c>
      <c r="AN326" s="17"/>
      <c r="AO326" s="1">
        <v>179080</v>
      </c>
      <c r="AP326" s="1"/>
      <c r="AQ326" s="1">
        <v>1018002</v>
      </c>
      <c r="AR326" s="1"/>
      <c r="AS326" s="1"/>
      <c r="AT326" s="1"/>
      <c r="AU326" s="1">
        <v>0</v>
      </c>
      <c r="AV326" s="1"/>
      <c r="AW326" s="1">
        <f t="shared" si="18"/>
        <v>13558220</v>
      </c>
      <c r="AY326" s="1">
        <f>+'St of Activites - GA Rev'!AI326-'St of Activities - GA Exp'!AW326</f>
        <v>3462769</v>
      </c>
      <c r="BA326" s="1">
        <v>13046642</v>
      </c>
      <c r="BC326" s="1">
        <f t="shared" si="22"/>
        <v>16509411</v>
      </c>
      <c r="BE326" s="1">
        <f>+'St of Net Assets - GA'!AA326-'St of Activities - GA Exp'!BC326</f>
        <v>0</v>
      </c>
    </row>
    <row r="327" spans="1:57" ht="12" customHeight="1">
      <c r="A327" s="17" t="s">
        <v>545</v>
      </c>
      <c r="B327" s="17"/>
      <c r="C327" s="17" t="s">
        <v>112</v>
      </c>
      <c r="D327" s="17"/>
      <c r="E327" s="13">
        <v>44297</v>
      </c>
      <c r="G327" s="1">
        <v>18069579</v>
      </c>
      <c r="H327" s="1"/>
      <c r="I327" s="1">
        <v>7984862</v>
      </c>
      <c r="J327" s="1"/>
      <c r="K327" s="1">
        <v>1286686</v>
      </c>
      <c r="L327" s="1"/>
      <c r="M327" s="1">
        <f>296283+11507952</f>
        <v>11804235</v>
      </c>
      <c r="N327" s="1"/>
      <c r="O327" s="1">
        <v>4008290</v>
      </c>
      <c r="P327" s="1"/>
      <c r="Q327" s="1">
        <v>2360438</v>
      </c>
      <c r="R327" s="1"/>
      <c r="S327" s="1">
        <v>41808</v>
      </c>
      <c r="T327" s="1"/>
      <c r="U327" s="1">
        <v>4051082</v>
      </c>
      <c r="V327" s="1"/>
      <c r="W327" s="1">
        <v>1408206</v>
      </c>
      <c r="X327" s="1"/>
      <c r="Y327" s="1">
        <v>854710</v>
      </c>
      <c r="Z327" s="1"/>
      <c r="AA327" s="1">
        <v>5260626</v>
      </c>
      <c r="AB327" s="1"/>
      <c r="AC327" s="1">
        <v>2110449</v>
      </c>
      <c r="AD327" s="1"/>
      <c r="AE327" s="1">
        <v>2563524</v>
      </c>
      <c r="AF327" s="1"/>
      <c r="AG327" s="1">
        <v>2049519</v>
      </c>
      <c r="AH327" s="1"/>
      <c r="AI327" s="1">
        <v>1970052</v>
      </c>
      <c r="AJ327" s="1"/>
      <c r="AK327" s="17" t="s">
        <v>545</v>
      </c>
      <c r="AL327" s="17"/>
      <c r="AM327" s="17" t="s">
        <v>112</v>
      </c>
      <c r="AN327" s="17"/>
      <c r="AO327" s="1">
        <v>841864</v>
      </c>
      <c r="AP327" s="1"/>
      <c r="AQ327" s="1">
        <v>750139</v>
      </c>
      <c r="AR327" s="1"/>
      <c r="AS327" s="1"/>
      <c r="AT327" s="1"/>
      <c r="AU327" s="1">
        <v>0</v>
      </c>
      <c r="AV327" s="1"/>
      <c r="AW327" s="1">
        <f t="shared" si="18"/>
        <v>67416069</v>
      </c>
      <c r="AY327" s="1">
        <f>+'St of Activites - GA Rev'!AI327-'St of Activities - GA Exp'!AW327</f>
        <v>-26819</v>
      </c>
      <c r="BA327" s="1">
        <v>62423514</v>
      </c>
      <c r="BC327" s="1">
        <f t="shared" si="22"/>
        <v>62396695</v>
      </c>
      <c r="BE327" s="1">
        <f>+'St of Net Assets - GA'!AA327-'St of Activities - GA Exp'!BC327</f>
        <v>0</v>
      </c>
    </row>
    <row r="328" spans="1:57">
      <c r="A328" s="17" t="s">
        <v>907</v>
      </c>
      <c r="B328" s="17"/>
      <c r="C328" s="17" t="s">
        <v>20</v>
      </c>
      <c r="D328" s="17"/>
      <c r="E328" s="13">
        <v>44305</v>
      </c>
      <c r="G328" s="1">
        <v>21219846</v>
      </c>
      <c r="H328" s="1"/>
      <c r="I328" s="1">
        <v>4021849</v>
      </c>
      <c r="J328" s="1"/>
      <c r="K328" s="1">
        <v>1776600</v>
      </c>
      <c r="L328" s="1"/>
      <c r="M328" s="1">
        <v>10224</v>
      </c>
      <c r="N328" s="1"/>
      <c r="O328" s="1">
        <v>2268496</v>
      </c>
      <c r="P328" s="1"/>
      <c r="Q328" s="1">
        <v>2218064</v>
      </c>
      <c r="R328" s="1"/>
      <c r="S328" s="1">
        <v>103963</v>
      </c>
      <c r="T328" s="1"/>
      <c r="U328" s="1">
        <v>4182176</v>
      </c>
      <c r="V328" s="1"/>
      <c r="W328" s="1">
        <v>1727599</v>
      </c>
      <c r="X328" s="1"/>
      <c r="Y328" s="1">
        <v>1738461</v>
      </c>
      <c r="Z328" s="1"/>
      <c r="AA328" s="1">
        <v>5065229</v>
      </c>
      <c r="AB328" s="1"/>
      <c r="AC328" s="1">
        <v>1720870</v>
      </c>
      <c r="AD328" s="1"/>
      <c r="AE328" s="1">
        <v>26224</v>
      </c>
      <c r="AF328" s="1"/>
      <c r="AG328" s="1">
        <v>1894802</v>
      </c>
      <c r="AH328" s="1"/>
      <c r="AI328" s="1">
        <v>253482</v>
      </c>
      <c r="AJ328" s="1"/>
      <c r="AK328" s="17" t="s">
        <v>907</v>
      </c>
      <c r="AL328" s="17"/>
      <c r="AM328" s="17" t="s">
        <v>20</v>
      </c>
      <c r="AN328" s="17"/>
      <c r="AO328" s="1">
        <v>998849</v>
      </c>
      <c r="AP328" s="1"/>
      <c r="AQ328" s="1">
        <v>2706321</v>
      </c>
      <c r="AR328" s="1"/>
      <c r="AS328" s="1"/>
      <c r="AT328" s="1"/>
      <c r="AU328" s="1">
        <v>0</v>
      </c>
      <c r="AV328" s="1"/>
      <c r="AW328" s="1">
        <f t="shared" si="18"/>
        <v>51933055</v>
      </c>
      <c r="AY328" s="1">
        <f>+'St of Activites - GA Rev'!AI328-'St of Activities - GA Exp'!AW328</f>
        <v>-4550785</v>
      </c>
      <c r="BA328" s="1">
        <v>64874476</v>
      </c>
      <c r="BC328" s="1">
        <f t="shared" si="22"/>
        <v>60323691</v>
      </c>
      <c r="BE328" s="1">
        <f>+'St of Net Assets - GA'!AA328-'St of Activities - GA Exp'!BC328</f>
        <v>0</v>
      </c>
    </row>
    <row r="329" spans="1:57">
      <c r="A329" s="17" t="s">
        <v>208</v>
      </c>
      <c r="B329" s="17"/>
      <c r="C329" s="17" t="s">
        <v>11</v>
      </c>
      <c r="D329" s="17"/>
      <c r="E329" s="13">
        <v>45831</v>
      </c>
      <c r="F329" s="1"/>
      <c r="G329" s="1">
        <v>4310857</v>
      </c>
      <c r="H329" s="1"/>
      <c r="I329" s="1">
        <v>826569</v>
      </c>
      <c r="J329" s="1"/>
      <c r="K329" s="1">
        <v>76022</v>
      </c>
      <c r="L329" s="1"/>
      <c r="M329" s="1">
        <v>843058</v>
      </c>
      <c r="N329" s="1"/>
      <c r="O329" s="1">
        <v>263191</v>
      </c>
      <c r="P329" s="1"/>
      <c r="Q329" s="1">
        <v>434227</v>
      </c>
      <c r="R329" s="1"/>
      <c r="S329" s="1">
        <v>58023</v>
      </c>
      <c r="T329" s="1"/>
      <c r="U329" s="1">
        <v>624287</v>
      </c>
      <c r="V329" s="1"/>
      <c r="W329" s="1">
        <v>271801</v>
      </c>
      <c r="X329" s="1"/>
      <c r="Y329" s="1">
        <v>0</v>
      </c>
      <c r="Z329" s="1"/>
      <c r="AA329" s="1">
        <v>803704</v>
      </c>
      <c r="AB329" s="1"/>
      <c r="AC329" s="1">
        <v>468418</v>
      </c>
      <c r="AD329" s="1"/>
      <c r="AE329" s="1">
        <v>122295</v>
      </c>
      <c r="AF329" s="1"/>
      <c r="AG329" s="1">
        <v>331591</v>
      </c>
      <c r="AH329" s="1"/>
      <c r="AI329" s="1">
        <v>9405</v>
      </c>
      <c r="AJ329" s="1"/>
      <c r="AK329" s="17" t="s">
        <v>208</v>
      </c>
      <c r="AL329" s="17"/>
      <c r="AM329" s="17" t="s">
        <v>11</v>
      </c>
      <c r="AN329" s="17"/>
      <c r="AO329" s="1">
        <v>284444</v>
      </c>
      <c r="AP329" s="1"/>
      <c r="AQ329" s="1">
        <v>162411</v>
      </c>
      <c r="AR329" s="1"/>
      <c r="AS329" s="1"/>
      <c r="AT329" s="1"/>
      <c r="AU329" s="1">
        <v>0</v>
      </c>
      <c r="AV329" s="1"/>
      <c r="AW329" s="1">
        <f t="shared" si="18"/>
        <v>9890303</v>
      </c>
      <c r="AY329" s="1">
        <f>+'St of Activites - GA Rev'!AI329-'St of Activities - GA Exp'!AW329</f>
        <v>-207243</v>
      </c>
      <c r="BA329" s="1">
        <v>17013826</v>
      </c>
      <c r="BC329" s="1">
        <f t="shared" si="22"/>
        <v>16806583</v>
      </c>
      <c r="BE329" s="1">
        <f>+'St of Net Assets - GA'!AA329-'St of Activities - GA Exp'!BC329</f>
        <v>0</v>
      </c>
    </row>
    <row r="330" spans="1:57">
      <c r="A330" s="17" t="s">
        <v>611</v>
      </c>
      <c r="B330" s="17"/>
      <c r="C330" s="17" t="s">
        <v>64</v>
      </c>
      <c r="D330" s="17"/>
      <c r="E330" s="13">
        <v>50211</v>
      </c>
      <c r="G330" s="1">
        <v>4943214</v>
      </c>
      <c r="H330" s="1"/>
      <c r="I330" s="1">
        <v>942961</v>
      </c>
      <c r="J330" s="1"/>
      <c r="K330" s="1">
        <v>43346</v>
      </c>
      <c r="L330" s="1"/>
      <c r="M330" s="1">
        <v>0</v>
      </c>
      <c r="N330" s="1"/>
      <c r="O330" s="1">
        <v>459554</v>
      </c>
      <c r="P330" s="1"/>
      <c r="Q330" s="1">
        <v>169384</v>
      </c>
      <c r="R330" s="1"/>
      <c r="S330" s="1">
        <v>32559</v>
      </c>
      <c r="T330" s="1"/>
      <c r="U330" s="1">
        <v>822839</v>
      </c>
      <c r="V330" s="1"/>
      <c r="W330" s="1">
        <v>303381</v>
      </c>
      <c r="X330" s="1"/>
      <c r="Y330" s="1">
        <v>61707</v>
      </c>
      <c r="Z330" s="1"/>
      <c r="AA330" s="1">
        <v>1051879</v>
      </c>
      <c r="AB330" s="1"/>
      <c r="AC330" s="1">
        <v>608300</v>
      </c>
      <c r="AD330" s="1"/>
      <c r="AE330" s="1">
        <v>43278</v>
      </c>
      <c r="AF330" s="1"/>
      <c r="AG330" s="1">
        <v>448463</v>
      </c>
      <c r="AH330" s="1"/>
      <c r="AI330" s="1">
        <v>3444</v>
      </c>
      <c r="AJ330" s="1"/>
      <c r="AK330" s="17" t="s">
        <v>611</v>
      </c>
      <c r="AL330" s="17"/>
      <c r="AM330" s="17" t="s">
        <v>64</v>
      </c>
      <c r="AN330" s="17"/>
      <c r="AO330" s="1">
        <v>254241</v>
      </c>
      <c r="AP330" s="1"/>
      <c r="AQ330" s="1">
        <v>137496</v>
      </c>
      <c r="AR330" s="1"/>
      <c r="AS330" s="1"/>
      <c r="AT330" s="1"/>
      <c r="AU330" s="1">
        <v>0</v>
      </c>
      <c r="AV330" s="1"/>
      <c r="AW330" s="1">
        <f t="shared" si="18"/>
        <v>10326046</v>
      </c>
      <c r="AY330" s="1">
        <f>+'St of Activites - GA Rev'!AI330-'St of Activities - GA Exp'!AW330</f>
        <v>-25790</v>
      </c>
      <c r="BA330" s="1">
        <v>20689107</v>
      </c>
      <c r="BC330" s="1">
        <f t="shared" si="22"/>
        <v>20663317</v>
      </c>
      <c r="BE330" s="1">
        <f>+'St of Net Assets - GA'!AA330-'St of Activities - GA Exp'!BC330</f>
        <v>0</v>
      </c>
    </row>
    <row r="331" spans="1:57" ht="12" customHeight="1">
      <c r="A331" s="17" t="s">
        <v>317</v>
      </c>
      <c r="B331" s="17"/>
      <c r="C331" s="17" t="s">
        <v>24</v>
      </c>
      <c r="D331" s="17"/>
      <c r="E331" s="13">
        <v>46805</v>
      </c>
      <c r="G331" s="1">
        <v>5259311</v>
      </c>
      <c r="H331" s="1"/>
      <c r="I331" s="1">
        <v>1459784</v>
      </c>
      <c r="J331" s="1"/>
      <c r="K331" s="1">
        <v>266087</v>
      </c>
      <c r="L331" s="1"/>
      <c r="M331" s="1">
        <v>22938</v>
      </c>
      <c r="N331" s="1"/>
      <c r="O331" s="1">
        <v>755121</v>
      </c>
      <c r="P331" s="1"/>
      <c r="Q331" s="1">
        <v>711639</v>
      </c>
      <c r="R331" s="1"/>
      <c r="S331" s="1">
        <v>179904</v>
      </c>
      <c r="T331" s="1"/>
      <c r="U331" s="1">
        <v>950178</v>
      </c>
      <c r="V331" s="1"/>
      <c r="W331" s="1">
        <v>405832</v>
      </c>
      <c r="X331" s="1"/>
      <c r="Y331" s="1">
        <v>0</v>
      </c>
      <c r="Z331" s="1"/>
      <c r="AA331" s="1">
        <v>1212716</v>
      </c>
      <c r="AB331" s="1"/>
      <c r="AC331" s="1">
        <v>1107246</v>
      </c>
      <c r="AD331" s="1"/>
      <c r="AE331" s="1">
        <v>68802</v>
      </c>
      <c r="AF331" s="1"/>
      <c r="AG331" s="1">
        <v>602192</v>
      </c>
      <c r="AH331" s="1"/>
      <c r="AI331" s="1">
        <v>168275</v>
      </c>
      <c r="AJ331" s="1"/>
      <c r="AK331" s="17" t="s">
        <v>317</v>
      </c>
      <c r="AL331" s="17"/>
      <c r="AM331" s="17" t="s">
        <v>24</v>
      </c>
      <c r="AN331" s="17"/>
      <c r="AO331" s="1">
        <v>475393</v>
      </c>
      <c r="AP331" s="1"/>
      <c r="AQ331" s="1">
        <v>110203</v>
      </c>
      <c r="AR331" s="1"/>
      <c r="AS331" s="1"/>
      <c r="AT331" s="1"/>
      <c r="AU331" s="1">
        <v>0</v>
      </c>
      <c r="AV331" s="1"/>
      <c r="AW331" s="1">
        <f t="shared" si="18"/>
        <v>13755621</v>
      </c>
      <c r="AY331" s="1">
        <f>+'St of Activites - GA Rev'!AI331-'St of Activities - GA Exp'!AW331</f>
        <v>-164381</v>
      </c>
      <c r="BA331" s="1">
        <v>3781301</v>
      </c>
      <c r="BC331" s="1">
        <f t="shared" si="22"/>
        <v>3616920</v>
      </c>
      <c r="BE331" s="1">
        <f>+'St of Net Assets - GA'!AA331-'St of Activities - GA Exp'!BC331</f>
        <v>0</v>
      </c>
    </row>
    <row r="332" spans="1:57">
      <c r="A332" s="17" t="s">
        <v>368</v>
      </c>
      <c r="B332" s="17"/>
      <c r="C332" s="17" t="s">
        <v>32</v>
      </c>
      <c r="D332" s="17"/>
      <c r="E332" s="13">
        <v>44313</v>
      </c>
      <c r="G332" s="1">
        <v>9901659</v>
      </c>
      <c r="H332" s="1"/>
      <c r="I332" s="1">
        <v>1786747</v>
      </c>
      <c r="J332" s="1"/>
      <c r="K332" s="1">
        <v>3926</v>
      </c>
      <c r="L332" s="1"/>
      <c r="M332" s="1">
        <v>79997</v>
      </c>
      <c r="N332" s="1"/>
      <c r="O332" s="1">
        <v>1748182</v>
      </c>
      <c r="P332" s="1"/>
      <c r="Q332" s="1">
        <v>1123309</v>
      </c>
      <c r="R332" s="1"/>
      <c r="S332" s="1">
        <v>16491</v>
      </c>
      <c r="T332" s="1"/>
      <c r="U332" s="1">
        <v>1716544</v>
      </c>
      <c r="V332" s="1"/>
      <c r="W332" s="1">
        <v>516183</v>
      </c>
      <c r="X332" s="1"/>
      <c r="Y332" s="1">
        <v>55114</v>
      </c>
      <c r="Z332" s="1"/>
      <c r="AA332" s="1">
        <v>2790445</v>
      </c>
      <c r="AB332" s="1"/>
      <c r="AC332" s="1">
        <v>762491</v>
      </c>
      <c r="AD332" s="1"/>
      <c r="AE332" s="1">
        <v>195018</v>
      </c>
      <c r="AF332" s="1"/>
      <c r="AG332" s="1">
        <v>0</v>
      </c>
      <c r="AH332" s="1"/>
      <c r="AI332" s="1">
        <v>227276</v>
      </c>
      <c r="AJ332" s="1"/>
      <c r="AK332" s="17" t="s">
        <v>368</v>
      </c>
      <c r="AL332" s="17"/>
      <c r="AM332" s="17" t="s">
        <v>32</v>
      </c>
      <c r="AN332" s="17"/>
      <c r="AO332" s="1">
        <v>585884</v>
      </c>
      <c r="AP332" s="1"/>
      <c r="AQ332" s="1">
        <v>328324</v>
      </c>
      <c r="AR332" s="1"/>
      <c r="AS332" s="1"/>
      <c r="AT332" s="1"/>
      <c r="AU332" s="1">
        <v>0</v>
      </c>
      <c r="AV332" s="1"/>
      <c r="AW332" s="1">
        <f t="shared" si="18"/>
        <v>21837590</v>
      </c>
      <c r="AY332" s="1">
        <f>+'St of Activites - GA Rev'!AI332-'St of Activities - GA Exp'!AW332</f>
        <v>1546238</v>
      </c>
      <c r="BA332" s="1">
        <v>12685016</v>
      </c>
      <c r="BC332" s="1">
        <f t="shared" si="22"/>
        <v>14231254</v>
      </c>
      <c r="BE332" s="1">
        <f>+'St of Net Assets - GA'!AA332-'St of Activities - GA Exp'!BC332</f>
        <v>0</v>
      </c>
    </row>
    <row r="333" spans="1:57" ht="12" hidden="1" customHeight="1">
      <c r="A333" s="17" t="s">
        <v>733</v>
      </c>
      <c r="B333" s="17"/>
      <c r="C333" s="17" t="s">
        <v>70</v>
      </c>
      <c r="D333" s="17"/>
      <c r="E333" s="13">
        <v>44321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7" t="s">
        <v>733</v>
      </c>
      <c r="AL333" s="17"/>
      <c r="AM333" s="17" t="s">
        <v>70</v>
      </c>
      <c r="AN333" s="17"/>
      <c r="AO333" s="1"/>
      <c r="AP333" s="1"/>
      <c r="AQ333" s="1"/>
      <c r="AR333" s="1"/>
      <c r="AS333" s="1"/>
      <c r="AT333" s="1"/>
      <c r="AU333" s="1"/>
      <c r="AV333" s="1"/>
      <c r="AW333" s="1">
        <f t="shared" si="18"/>
        <v>0</v>
      </c>
      <c r="AY333" s="1">
        <f>+'St of Activites - GA Rev'!AI333-'St of Activities - GA Exp'!AW333</f>
        <v>0</v>
      </c>
      <c r="BC333" s="1">
        <f t="shared" si="22"/>
        <v>0</v>
      </c>
      <c r="BE333" s="1">
        <f>+'St of Net Assets - GA'!AA333-'St of Activities - GA Exp'!BC333</f>
        <v>0</v>
      </c>
    </row>
    <row r="334" spans="1:57" ht="12" customHeight="1">
      <c r="A334" s="17" t="s">
        <v>474</v>
      </c>
      <c r="B334" s="17"/>
      <c r="C334" s="17" t="s">
        <v>46</v>
      </c>
      <c r="D334" s="17"/>
      <c r="E334" s="13">
        <v>44339</v>
      </c>
      <c r="G334" s="1">
        <v>26350238</v>
      </c>
      <c r="H334" s="1"/>
      <c r="I334" s="1">
        <v>7103772</v>
      </c>
      <c r="J334" s="1"/>
      <c r="K334" s="1">
        <v>591644</v>
      </c>
      <c r="L334" s="1"/>
      <c r="M334" s="1">
        <v>27321</v>
      </c>
      <c r="N334" s="1"/>
      <c r="O334" s="1">
        <v>2405072</v>
      </c>
      <c r="P334" s="1"/>
      <c r="Q334" s="1">
        <v>4491472</v>
      </c>
      <c r="R334" s="1"/>
      <c r="S334" s="1">
        <v>40943</v>
      </c>
      <c r="T334" s="1"/>
      <c r="U334" s="1">
        <v>3456652</v>
      </c>
      <c r="V334" s="1"/>
      <c r="W334" s="1">
        <v>722311</v>
      </c>
      <c r="X334" s="1"/>
      <c r="Y334" s="1">
        <v>407523</v>
      </c>
      <c r="Z334" s="1"/>
      <c r="AA334" s="1">
        <v>4270490</v>
      </c>
      <c r="AB334" s="1"/>
      <c r="AC334" s="1">
        <v>999722</v>
      </c>
      <c r="AD334" s="1"/>
      <c r="AE334" s="1">
        <v>0</v>
      </c>
      <c r="AF334" s="1"/>
      <c r="AG334" s="1">
        <v>0</v>
      </c>
      <c r="AH334" s="1"/>
      <c r="AI334" s="1">
        <v>2310519</v>
      </c>
      <c r="AJ334" s="1"/>
      <c r="AK334" s="17" t="s">
        <v>474</v>
      </c>
      <c r="AL334" s="17"/>
      <c r="AM334" s="17" t="s">
        <v>46</v>
      </c>
      <c r="AN334" s="17"/>
      <c r="AO334" s="1">
        <v>926220</v>
      </c>
      <c r="AP334" s="1"/>
      <c r="AQ334" s="1">
        <v>627564</v>
      </c>
      <c r="AR334" s="1"/>
      <c r="AS334" s="1"/>
      <c r="AT334" s="1"/>
      <c r="AU334" s="1">
        <v>0</v>
      </c>
      <c r="AV334" s="1"/>
      <c r="AW334" s="1">
        <f t="shared" si="18"/>
        <v>54731463</v>
      </c>
      <c r="AY334" s="1">
        <f>+'St of Activites - GA Rev'!AI334-'St of Activities - GA Exp'!AW334</f>
        <v>1515271</v>
      </c>
      <c r="BA334" s="1">
        <v>85102736</v>
      </c>
      <c r="BC334" s="1">
        <f t="shared" si="22"/>
        <v>86618007</v>
      </c>
      <c r="BE334" s="1">
        <f>+'St of Net Assets - GA'!AA334-'St of Activities - GA Exp'!BC334</f>
        <v>0</v>
      </c>
    </row>
    <row r="335" spans="1:57" ht="12" hidden="1" customHeight="1">
      <c r="A335" s="17" t="s">
        <v>850</v>
      </c>
      <c r="B335" s="17"/>
      <c r="C335" s="17" t="s">
        <v>486</v>
      </c>
      <c r="D335" s="17"/>
      <c r="E335" s="13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7" t="s">
        <v>850</v>
      </c>
      <c r="AL335" s="17"/>
      <c r="AM335" s="17" t="s">
        <v>486</v>
      </c>
      <c r="AN335" s="17"/>
      <c r="AO335" s="1"/>
      <c r="AP335" s="1"/>
      <c r="AQ335" s="1"/>
      <c r="AR335" s="1"/>
      <c r="AS335" s="1"/>
      <c r="AT335" s="1"/>
      <c r="AU335" s="1"/>
      <c r="AV335" s="1"/>
      <c r="AW335" s="1">
        <f t="shared" si="18"/>
        <v>0</v>
      </c>
      <c r="AY335" s="1">
        <f>+'St of Activites - GA Rev'!AI335-'St of Activities - GA Exp'!AW335</f>
        <v>0</v>
      </c>
      <c r="BC335" s="1">
        <f t="shared" si="22"/>
        <v>0</v>
      </c>
      <c r="BE335" s="1">
        <f>+'St of Net Assets - GA'!AA335-'St of Activities - GA Exp'!BC335</f>
        <v>0</v>
      </c>
    </row>
    <row r="336" spans="1:57">
      <c r="A336" s="17" t="s">
        <v>579</v>
      </c>
      <c r="B336" s="17"/>
      <c r="C336" s="17" t="s">
        <v>62</v>
      </c>
      <c r="D336" s="17"/>
      <c r="E336" s="13">
        <v>49882</v>
      </c>
      <c r="G336" s="1">
        <v>9080091</v>
      </c>
      <c r="H336" s="1"/>
      <c r="I336" s="1">
        <v>2737373</v>
      </c>
      <c r="J336" s="1"/>
      <c r="K336" s="1">
        <v>865488</v>
      </c>
      <c r="L336" s="1"/>
      <c r="M336" s="1">
        <v>649029</v>
      </c>
      <c r="N336" s="1"/>
      <c r="O336" s="1">
        <v>726480</v>
      </c>
      <c r="P336" s="1"/>
      <c r="Q336" s="1">
        <v>1331233</v>
      </c>
      <c r="R336" s="1"/>
      <c r="S336" s="1">
        <v>19647</v>
      </c>
      <c r="T336" s="1"/>
      <c r="U336" s="1">
        <v>1754916</v>
      </c>
      <c r="V336" s="1"/>
      <c r="W336" s="1">
        <v>532143</v>
      </c>
      <c r="X336" s="1"/>
      <c r="Y336" s="1">
        <v>495767</v>
      </c>
      <c r="Z336" s="1"/>
      <c r="AA336" s="1">
        <v>2113564</v>
      </c>
      <c r="AB336" s="1"/>
      <c r="AC336" s="1">
        <v>1388349</v>
      </c>
      <c r="AD336" s="1"/>
      <c r="AE336" s="1">
        <v>94038</v>
      </c>
      <c r="AF336" s="1"/>
      <c r="AG336" s="1">
        <v>988631</v>
      </c>
      <c r="AH336" s="1"/>
      <c r="AI336" s="1">
        <v>1086</v>
      </c>
      <c r="AJ336" s="1"/>
      <c r="AK336" s="17" t="s">
        <v>579</v>
      </c>
      <c r="AL336" s="17"/>
      <c r="AM336" s="17" t="s">
        <v>62</v>
      </c>
      <c r="AN336" s="17"/>
      <c r="AO336" s="1">
        <v>892853</v>
      </c>
      <c r="AP336" s="1"/>
      <c r="AQ336" s="1">
        <v>21958</v>
      </c>
      <c r="AR336" s="1"/>
      <c r="AS336" s="1"/>
      <c r="AT336" s="1"/>
      <c r="AU336" s="1">
        <v>0</v>
      </c>
      <c r="AV336" s="1"/>
      <c r="AW336" s="1">
        <f t="shared" ref="AW336:AW347" si="23">SUM(G336:AV336)</f>
        <v>23692646</v>
      </c>
      <c r="AY336" s="1">
        <f>+'St of Activites - GA Rev'!AI336-'St of Activities - GA Exp'!AW336</f>
        <v>748428</v>
      </c>
      <c r="BA336" s="1">
        <v>12107309</v>
      </c>
      <c r="BC336" s="1">
        <f t="shared" si="22"/>
        <v>12855737</v>
      </c>
      <c r="BE336" s="1">
        <f>+'St of Net Assets - GA'!AA336-'St of Activities - GA Exp'!BC336</f>
        <v>0</v>
      </c>
    </row>
    <row r="337" spans="1:57">
      <c r="A337" s="17" t="s">
        <v>221</v>
      </c>
      <c r="B337" s="17"/>
      <c r="C337" s="17" t="s">
        <v>15</v>
      </c>
      <c r="D337" s="17"/>
      <c r="E337" s="13">
        <v>44347</v>
      </c>
      <c r="G337" s="1">
        <v>6905780</v>
      </c>
      <c r="H337" s="1"/>
      <c r="I337" s="1">
        <v>2183780</v>
      </c>
      <c r="J337" s="1"/>
      <c r="K337" s="1">
        <v>405469</v>
      </c>
      <c r="L337" s="1"/>
      <c r="M337" s="1">
        <v>70664</v>
      </c>
      <c r="N337" s="1"/>
      <c r="O337" s="1">
        <v>623561</v>
      </c>
      <c r="P337" s="1"/>
      <c r="Q337" s="1">
        <v>768114</v>
      </c>
      <c r="R337" s="1"/>
      <c r="S337" s="1">
        <v>38219</v>
      </c>
      <c r="T337" s="1"/>
      <c r="U337" s="1">
        <v>1324198</v>
      </c>
      <c r="V337" s="1"/>
      <c r="W337" s="1">
        <v>324998</v>
      </c>
      <c r="X337" s="1"/>
      <c r="Y337" s="1">
        <v>0</v>
      </c>
      <c r="Z337" s="1"/>
      <c r="AA337" s="1">
        <v>1668634</v>
      </c>
      <c r="AB337" s="1"/>
      <c r="AC337" s="1">
        <v>660201</v>
      </c>
      <c r="AD337" s="1"/>
      <c r="AE337" s="1">
        <v>75689</v>
      </c>
      <c r="AF337" s="1"/>
      <c r="AG337" s="1">
        <v>792480</v>
      </c>
      <c r="AH337" s="1"/>
      <c r="AI337" s="1">
        <v>171707</v>
      </c>
      <c r="AJ337" s="1"/>
      <c r="AK337" s="17" t="s">
        <v>221</v>
      </c>
      <c r="AL337" s="17"/>
      <c r="AM337" s="17" t="s">
        <v>15</v>
      </c>
      <c r="AN337" s="17"/>
      <c r="AO337" s="1">
        <v>395017</v>
      </c>
      <c r="AP337" s="1"/>
      <c r="AQ337" s="1">
        <v>660890</v>
      </c>
      <c r="AR337" s="1"/>
      <c r="AS337" s="1"/>
      <c r="AT337" s="1"/>
      <c r="AU337" s="1">
        <v>0</v>
      </c>
      <c r="AV337" s="1"/>
      <c r="AW337" s="1">
        <f t="shared" si="23"/>
        <v>17069401</v>
      </c>
      <c r="AY337" s="1">
        <f>+'St of Activites - GA Rev'!AI337-'St of Activities - GA Exp'!AW337</f>
        <v>-1172861</v>
      </c>
      <c r="BA337" s="1">
        <v>28869913</v>
      </c>
      <c r="BC337" s="1">
        <f t="shared" si="22"/>
        <v>27697052</v>
      </c>
      <c r="BE337" s="1">
        <f>+'St of Net Assets - GA'!AA337-'St of Activities - GA Exp'!BC337</f>
        <v>0</v>
      </c>
    </row>
    <row r="338" spans="1:57">
      <c r="A338" s="17" t="s">
        <v>626</v>
      </c>
      <c r="B338" s="17"/>
      <c r="C338" s="17" t="s">
        <v>66</v>
      </c>
      <c r="D338" s="17"/>
      <c r="E338" s="13">
        <v>45476</v>
      </c>
      <c r="G338" s="1">
        <v>31598351</v>
      </c>
      <c r="H338" s="1"/>
      <c r="I338" s="1">
        <v>0</v>
      </c>
      <c r="J338" s="1"/>
      <c r="K338" s="1">
        <v>0</v>
      </c>
      <c r="L338" s="1"/>
      <c r="M338" s="1">
        <v>0</v>
      </c>
      <c r="N338" s="1"/>
      <c r="O338" s="1">
        <v>3153311</v>
      </c>
      <c r="P338" s="1"/>
      <c r="Q338" s="1">
        <v>4656691</v>
      </c>
      <c r="R338" s="1"/>
      <c r="S338" s="1">
        <v>27738</v>
      </c>
      <c r="T338" s="1"/>
      <c r="U338" s="1">
        <v>3331907</v>
      </c>
      <c r="V338" s="1"/>
      <c r="W338" s="1">
        <v>1328235</v>
      </c>
      <c r="X338" s="1"/>
      <c r="Y338" s="1">
        <v>894178</v>
      </c>
      <c r="Z338" s="1"/>
      <c r="AA338" s="1">
        <v>4975262</v>
      </c>
      <c r="AB338" s="1"/>
      <c r="AC338" s="1">
        <v>2513927</v>
      </c>
      <c r="AD338" s="1"/>
      <c r="AE338" s="1">
        <v>864333</v>
      </c>
      <c r="AF338" s="1"/>
      <c r="AG338" s="1">
        <v>0</v>
      </c>
      <c r="AH338" s="1"/>
      <c r="AI338" s="1">
        <v>110004</v>
      </c>
      <c r="AJ338" s="1"/>
      <c r="AK338" s="17" t="s">
        <v>626</v>
      </c>
      <c r="AL338" s="17"/>
      <c r="AM338" s="17" t="s">
        <v>66</v>
      </c>
      <c r="AN338" s="17"/>
      <c r="AO338" s="1">
        <v>1170584</v>
      </c>
      <c r="AP338" s="1"/>
      <c r="AQ338" s="1">
        <v>5402741</v>
      </c>
      <c r="AR338" s="1"/>
      <c r="AS338" s="1"/>
      <c r="AT338" s="1"/>
      <c r="AU338" s="1">
        <v>0</v>
      </c>
      <c r="AV338" s="1"/>
      <c r="AW338" s="1">
        <f t="shared" si="23"/>
        <v>60027262</v>
      </c>
      <c r="AY338" s="1">
        <f>+'St of Activites - GA Rev'!AI338-'St of Activities - GA Exp'!AW338</f>
        <v>1648473</v>
      </c>
      <c r="BA338" s="1">
        <v>10973511</v>
      </c>
      <c r="BC338" s="1">
        <f t="shared" si="22"/>
        <v>12621984</v>
      </c>
      <c r="BE338" s="1">
        <f>+'St of Net Assets - GA'!AA338-'St of Activities - GA Exp'!BC338</f>
        <v>0</v>
      </c>
    </row>
    <row r="339" spans="1:57">
      <c r="A339" s="17" t="s">
        <v>635</v>
      </c>
      <c r="B339" s="17"/>
      <c r="C339" s="17" t="s">
        <v>69</v>
      </c>
      <c r="D339" s="17"/>
      <c r="E339" s="13">
        <v>50450</v>
      </c>
      <c r="G339" s="1">
        <v>46761285</v>
      </c>
      <c r="H339" s="1"/>
      <c r="I339" s="1">
        <v>12178668</v>
      </c>
      <c r="J339" s="1"/>
      <c r="K339" s="1">
        <v>8082</v>
      </c>
      <c r="L339" s="1"/>
      <c r="M339" s="1">
        <v>745660</v>
      </c>
      <c r="N339" s="1"/>
      <c r="O339" s="1">
        <v>6467313</v>
      </c>
      <c r="P339" s="1"/>
      <c r="Q339" s="1">
        <v>7349240</v>
      </c>
      <c r="R339" s="1"/>
      <c r="S339" s="1">
        <v>46528</v>
      </c>
      <c r="T339" s="1"/>
      <c r="U339" s="1">
        <v>5623539</v>
      </c>
      <c r="V339" s="1"/>
      <c r="W339" s="1">
        <v>1952877</v>
      </c>
      <c r="X339" s="1"/>
      <c r="Y339" s="1">
        <v>418485</v>
      </c>
      <c r="Z339" s="1"/>
      <c r="AA339" s="1">
        <v>13318720</v>
      </c>
      <c r="AB339" s="1"/>
      <c r="AC339" s="1">
        <v>7895529</v>
      </c>
      <c r="AD339" s="1"/>
      <c r="AE339" s="1">
        <v>4357847</v>
      </c>
      <c r="AF339" s="1"/>
      <c r="AG339" s="1">
        <v>0</v>
      </c>
      <c r="AH339" s="1"/>
      <c r="AI339" s="1">
        <v>5759571</v>
      </c>
      <c r="AJ339" s="1"/>
      <c r="AK339" s="17" t="s">
        <v>635</v>
      </c>
      <c r="AL339" s="17"/>
      <c r="AM339" s="17" t="s">
        <v>69</v>
      </c>
      <c r="AN339" s="17"/>
      <c r="AO339" s="1">
        <v>2408819</v>
      </c>
      <c r="AP339" s="1"/>
      <c r="AQ339" s="1">
        <v>6725808</v>
      </c>
      <c r="AR339" s="1"/>
      <c r="AS339" s="1"/>
      <c r="AT339" s="1"/>
      <c r="AU339" s="1">
        <v>0</v>
      </c>
      <c r="AV339" s="1"/>
      <c r="AW339" s="1">
        <f t="shared" si="23"/>
        <v>122017971</v>
      </c>
      <c r="AY339" s="1">
        <f>+'St of Activites - GA Rev'!AI339-'St of Activities - GA Exp'!AW339</f>
        <v>2554431</v>
      </c>
      <c r="BA339" s="1">
        <v>87400908</v>
      </c>
      <c r="BC339" s="1">
        <f t="shared" si="22"/>
        <v>89955339</v>
      </c>
      <c r="BE339" s="1">
        <f>+'St of Net Assets - GA'!AA339-'St of Activities - GA Exp'!BC339</f>
        <v>0</v>
      </c>
    </row>
    <row r="340" spans="1:57">
      <c r="A340" s="17" t="s">
        <v>580</v>
      </c>
      <c r="B340" s="17"/>
      <c r="C340" s="17" t="s">
        <v>62</v>
      </c>
      <c r="D340" s="17"/>
      <c r="E340" s="13">
        <v>44354</v>
      </c>
      <c r="G340" s="1">
        <v>20619539</v>
      </c>
      <c r="H340" s="1"/>
      <c r="I340" s="1">
        <v>5292502</v>
      </c>
      <c r="J340" s="1"/>
      <c r="K340" s="1">
        <v>1935492</v>
      </c>
      <c r="L340" s="1"/>
      <c r="M340" s="1">
        <f>46869+304333+843457</f>
        <v>1194659</v>
      </c>
      <c r="N340" s="1"/>
      <c r="O340" s="1">
        <v>3089051</v>
      </c>
      <c r="P340" s="1"/>
      <c r="Q340" s="1">
        <v>1768971</v>
      </c>
      <c r="R340" s="1"/>
      <c r="S340" s="1">
        <v>357926</v>
      </c>
      <c r="T340" s="1"/>
      <c r="U340" s="1">
        <v>3023005</v>
      </c>
      <c r="V340" s="1"/>
      <c r="W340" s="1">
        <v>1012827</v>
      </c>
      <c r="X340" s="1"/>
      <c r="Y340" s="1">
        <v>14274</v>
      </c>
      <c r="Z340" s="1"/>
      <c r="AA340" s="1">
        <v>5050866</v>
      </c>
      <c r="AB340" s="1"/>
      <c r="AC340" s="1">
        <v>1749770</v>
      </c>
      <c r="AD340" s="1"/>
      <c r="AE340" s="1">
        <v>662702</v>
      </c>
      <c r="AF340" s="1"/>
      <c r="AG340" s="1">
        <v>1712689</v>
      </c>
      <c r="AH340" s="1"/>
      <c r="AI340" s="1">
        <f>319912+629</f>
        <v>320541</v>
      </c>
      <c r="AJ340" s="1"/>
      <c r="AK340" s="17" t="s">
        <v>580</v>
      </c>
      <c r="AL340" s="17"/>
      <c r="AM340" s="17" t="s">
        <v>62</v>
      </c>
      <c r="AN340" s="17"/>
      <c r="AO340" s="1">
        <v>1953743</v>
      </c>
      <c r="AP340" s="1"/>
      <c r="AQ340" s="1">
        <v>1395414</v>
      </c>
      <c r="AR340" s="1"/>
      <c r="AS340" s="1"/>
      <c r="AT340" s="1"/>
      <c r="AU340" s="1">
        <v>0</v>
      </c>
      <c r="AV340" s="1"/>
      <c r="AW340" s="1">
        <f t="shared" si="23"/>
        <v>51153971</v>
      </c>
      <c r="AY340" s="1">
        <f>+'St of Activites - GA Rev'!AI340-'St of Activities - GA Exp'!AW340</f>
        <v>-1067120</v>
      </c>
      <c r="BA340" s="1">
        <v>40673532</v>
      </c>
      <c r="BC340" s="1">
        <f t="shared" si="22"/>
        <v>39606412</v>
      </c>
      <c r="BE340" s="1">
        <f>+'St of Net Assets - GA'!AA340-'St of Activities - GA Exp'!BC340</f>
        <v>0</v>
      </c>
    </row>
    <row r="341" spans="1:57">
      <c r="A341" s="17"/>
      <c r="B341" s="17"/>
      <c r="C341" s="17"/>
      <c r="D341" s="17"/>
      <c r="E341" s="13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7"/>
      <c r="AL341" s="17"/>
      <c r="AM341" s="17"/>
      <c r="AN341" s="17"/>
      <c r="AO341" s="1"/>
      <c r="AP341" s="1"/>
      <c r="AQ341" s="1"/>
      <c r="AR341" s="1"/>
      <c r="AS341" s="1"/>
      <c r="AT341" s="1"/>
      <c r="AU341" s="1"/>
      <c r="AV341" s="1"/>
    </row>
    <row r="342" spans="1:57">
      <c r="A342" s="17"/>
      <c r="B342" s="17"/>
      <c r="C342" s="17"/>
      <c r="D342" s="17"/>
      <c r="E342" s="13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20" t="s">
        <v>709</v>
      </c>
      <c r="AJ342" s="1"/>
      <c r="AK342" s="17"/>
      <c r="AL342" s="17"/>
      <c r="AM342" s="17"/>
      <c r="AN342" s="17"/>
      <c r="AO342" s="1"/>
      <c r="AP342" s="1"/>
      <c r="AQ342" s="1"/>
      <c r="AR342" s="1"/>
      <c r="AS342" s="1"/>
      <c r="AT342" s="1"/>
      <c r="AU342" s="1"/>
      <c r="AV342" s="1"/>
      <c r="AY342" s="18"/>
      <c r="BC342" s="20" t="s">
        <v>709</v>
      </c>
    </row>
    <row r="343" spans="1:57">
      <c r="A343" s="17"/>
      <c r="B343" s="17"/>
      <c r="C343" s="17"/>
      <c r="D343" s="17"/>
      <c r="E343" s="13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7"/>
      <c r="AL343" s="17"/>
      <c r="AM343" s="17"/>
      <c r="AN343" s="17"/>
      <c r="AO343" s="1"/>
      <c r="AP343" s="1"/>
      <c r="AQ343" s="1"/>
      <c r="AR343" s="1"/>
      <c r="AS343" s="1"/>
      <c r="AT343" s="1"/>
      <c r="AU343" s="1"/>
      <c r="AV343" s="1"/>
    </row>
    <row r="344" spans="1:57">
      <c r="A344" s="17" t="s">
        <v>612</v>
      </c>
      <c r="B344" s="17"/>
      <c r="C344" s="17" t="s">
        <v>64</v>
      </c>
      <c r="D344" s="17"/>
      <c r="E344" s="13">
        <v>50153</v>
      </c>
      <c r="G344" s="16">
        <v>4373630</v>
      </c>
      <c r="H344" s="16"/>
      <c r="I344" s="16">
        <v>1055079</v>
      </c>
      <c r="J344" s="16"/>
      <c r="K344" s="16">
        <v>72934</v>
      </c>
      <c r="L344" s="16"/>
      <c r="M344" s="16">
        <v>167687</v>
      </c>
      <c r="N344" s="16"/>
      <c r="O344" s="16">
        <v>522110</v>
      </c>
      <c r="P344" s="16"/>
      <c r="Q344" s="16">
        <v>237552</v>
      </c>
      <c r="R344" s="16"/>
      <c r="S344" s="16">
        <v>63008</v>
      </c>
      <c r="T344" s="16"/>
      <c r="U344" s="16">
        <v>748541</v>
      </c>
      <c r="V344" s="16"/>
      <c r="W344" s="16">
        <v>299814</v>
      </c>
      <c r="X344" s="16"/>
      <c r="Y344" s="16">
        <v>0</v>
      </c>
      <c r="Z344" s="16"/>
      <c r="AA344" s="16">
        <v>1000043</v>
      </c>
      <c r="AB344" s="16"/>
      <c r="AC344" s="16">
        <v>554977</v>
      </c>
      <c r="AD344" s="16"/>
      <c r="AE344" s="16">
        <v>91418</v>
      </c>
      <c r="AF344" s="16"/>
      <c r="AG344" s="16">
        <v>324249</v>
      </c>
      <c r="AH344" s="16"/>
      <c r="AI344" s="16">
        <v>2644</v>
      </c>
      <c r="AJ344" s="1"/>
      <c r="AK344" s="17" t="s">
        <v>612</v>
      </c>
      <c r="AL344" s="17"/>
      <c r="AM344" s="17" t="s">
        <v>64</v>
      </c>
      <c r="AN344" s="17"/>
      <c r="AO344" s="16">
        <v>200024</v>
      </c>
      <c r="AP344" s="16"/>
      <c r="AQ344" s="16">
        <v>0</v>
      </c>
      <c r="AR344" s="16"/>
      <c r="AS344" s="16"/>
      <c r="AT344" s="16"/>
      <c r="AU344" s="16">
        <v>0</v>
      </c>
      <c r="AV344" s="16"/>
      <c r="AW344" s="16">
        <f t="shared" si="23"/>
        <v>9713710</v>
      </c>
      <c r="AX344" s="16"/>
      <c r="AY344" s="16">
        <f>+'St of Activites - GA Rev'!AI344-'St of Activities - GA Exp'!AW344</f>
        <v>-121772</v>
      </c>
      <c r="AZ344" s="16"/>
      <c r="BA344" s="16">
        <v>3540618</v>
      </c>
      <c r="BB344" s="16"/>
      <c r="BC344" s="16">
        <f t="shared" si="22"/>
        <v>3418846</v>
      </c>
      <c r="BE344" s="1">
        <f>+'St of Net Assets - GA'!AA344-'St of Activities - GA Exp'!BC344</f>
        <v>0</v>
      </c>
    </row>
    <row r="345" spans="1:57">
      <c r="A345" s="17" t="s">
        <v>450</v>
      </c>
      <c r="B345" s="17"/>
      <c r="C345" s="17" t="s">
        <v>117</v>
      </c>
      <c r="D345" s="17"/>
      <c r="E345" s="13">
        <v>44362</v>
      </c>
      <c r="G345" s="1">
        <v>14878649</v>
      </c>
      <c r="H345" s="1"/>
      <c r="I345" s="1">
        <v>4032413</v>
      </c>
      <c r="J345" s="1"/>
      <c r="K345" s="1">
        <v>326691</v>
      </c>
      <c r="L345" s="1"/>
      <c r="M345" s="1">
        <f>6575+734196</f>
        <v>740771</v>
      </c>
      <c r="N345" s="1"/>
      <c r="O345" s="1">
        <v>1299481</v>
      </c>
      <c r="P345" s="1"/>
      <c r="Q345" s="1">
        <v>1058046</v>
      </c>
      <c r="R345" s="1"/>
      <c r="S345" s="1">
        <v>39302</v>
      </c>
      <c r="T345" s="1"/>
      <c r="U345" s="1">
        <v>2404426</v>
      </c>
      <c r="V345" s="1"/>
      <c r="W345" s="1">
        <v>747764</v>
      </c>
      <c r="X345" s="1"/>
      <c r="Y345" s="1">
        <v>205272</v>
      </c>
      <c r="Z345" s="1"/>
      <c r="AA345" s="1">
        <v>3269460</v>
      </c>
      <c r="AB345" s="1"/>
      <c r="AC345" s="1">
        <v>1017411</v>
      </c>
      <c r="AD345" s="1"/>
      <c r="AE345" s="1">
        <v>215054</v>
      </c>
      <c r="AF345" s="1"/>
      <c r="AG345" s="1">
        <v>1024177</v>
      </c>
      <c r="AH345" s="1"/>
      <c r="AI345" s="1">
        <v>449982</v>
      </c>
      <c r="AJ345" s="1"/>
      <c r="AK345" s="17" t="s">
        <v>450</v>
      </c>
      <c r="AL345" s="17"/>
      <c r="AM345" s="17" t="s">
        <v>117</v>
      </c>
      <c r="AN345" s="17"/>
      <c r="AO345" s="1">
        <v>1363461</v>
      </c>
      <c r="AP345" s="1"/>
      <c r="AQ345" s="1">
        <v>1673165</v>
      </c>
      <c r="AR345" s="1"/>
      <c r="AS345" s="1"/>
      <c r="AT345" s="1"/>
      <c r="AU345" s="1">
        <v>0</v>
      </c>
      <c r="AV345" s="1"/>
      <c r="AW345" s="1">
        <f t="shared" si="23"/>
        <v>34745525</v>
      </c>
      <c r="AY345" s="1">
        <f>+'St of Activites - GA Rev'!AI345-'St of Activities - GA Exp'!AW345</f>
        <v>-782448</v>
      </c>
      <c r="BA345" s="1">
        <v>9780534</v>
      </c>
      <c r="BC345" s="1">
        <f t="shared" si="22"/>
        <v>8998086</v>
      </c>
      <c r="BE345" s="1">
        <f>+'St of Net Assets - GA'!AA345-'St of Activities - GA Exp'!BC345</f>
        <v>0</v>
      </c>
    </row>
    <row r="346" spans="1:57">
      <c r="A346" s="17" t="s">
        <v>295</v>
      </c>
      <c r="B346" s="17"/>
      <c r="C346" s="17" t="s">
        <v>20</v>
      </c>
      <c r="D346" s="17"/>
      <c r="E346" s="13">
        <v>44370</v>
      </c>
      <c r="G346" s="1">
        <v>23384962</v>
      </c>
      <c r="H346" s="1"/>
      <c r="I346" s="1">
        <v>10956114</v>
      </c>
      <c r="J346" s="1"/>
      <c r="K346" s="1">
        <f>810145+6006175</f>
        <v>6816320</v>
      </c>
      <c r="L346" s="1"/>
      <c r="M346" s="1">
        <f>440807+127367</f>
        <v>568174</v>
      </c>
      <c r="N346" s="1"/>
      <c r="O346" s="1">
        <v>5129274</v>
      </c>
      <c r="P346" s="1"/>
      <c r="Q346" s="1">
        <v>5507605</v>
      </c>
      <c r="R346" s="1"/>
      <c r="S346" s="1">
        <v>77557</v>
      </c>
      <c r="T346" s="1"/>
      <c r="U346" s="1">
        <v>3840841</v>
      </c>
      <c r="V346" s="1"/>
      <c r="W346" s="1">
        <v>1992881</v>
      </c>
      <c r="X346" s="1"/>
      <c r="Y346" s="1">
        <v>272522</v>
      </c>
      <c r="Z346" s="1"/>
      <c r="AA346" s="1">
        <v>5980797</v>
      </c>
      <c r="AB346" s="1"/>
      <c r="AC346" s="1">
        <v>4898214</v>
      </c>
      <c r="AD346" s="1"/>
      <c r="AE346" s="1">
        <v>657577</v>
      </c>
      <c r="AF346" s="1"/>
      <c r="AG346" s="1">
        <v>1228807</v>
      </c>
      <c r="AH346" s="1"/>
      <c r="AI346" s="1">
        <v>914791</v>
      </c>
      <c r="AJ346" s="1"/>
      <c r="AK346" s="17" t="s">
        <v>295</v>
      </c>
      <c r="AL346" s="17"/>
      <c r="AM346" s="17" t="s">
        <v>20</v>
      </c>
      <c r="AN346" s="17"/>
      <c r="AO346" s="1">
        <v>1403691</v>
      </c>
      <c r="AP346" s="1"/>
      <c r="AQ346" s="1">
        <v>1405250</v>
      </c>
      <c r="AR346" s="1"/>
      <c r="AS346" s="1"/>
      <c r="AT346" s="1"/>
      <c r="AU346" s="1">
        <v>0</v>
      </c>
      <c r="AV346" s="1"/>
      <c r="AW346" s="1">
        <f t="shared" si="23"/>
        <v>75035377</v>
      </c>
      <c r="AY346" s="1">
        <f>+'St of Activites - GA Rev'!AI346-'St of Activities - GA Exp'!AW346</f>
        <v>8929508</v>
      </c>
      <c r="BA346" s="1">
        <v>36164816</v>
      </c>
      <c r="BC346" s="1">
        <f t="shared" si="22"/>
        <v>45094324</v>
      </c>
      <c r="BE346" s="1">
        <f>+'St of Net Assets - GA'!AA346-'St of Activities - GA Exp'!BC346</f>
        <v>0</v>
      </c>
    </row>
    <row r="347" spans="1:57">
      <c r="A347" s="17" t="s">
        <v>513</v>
      </c>
      <c r="B347" s="17"/>
      <c r="C347" s="17" t="s">
        <v>51</v>
      </c>
      <c r="D347" s="17"/>
      <c r="E347" s="13">
        <v>48850</v>
      </c>
      <c r="G347" s="1">
        <v>10267249</v>
      </c>
      <c r="H347" s="1"/>
      <c r="I347" s="1">
        <v>2216484</v>
      </c>
      <c r="J347" s="1"/>
      <c r="K347" s="1">
        <v>37510</v>
      </c>
      <c r="L347" s="1"/>
      <c r="M347" s="1">
        <v>225909</v>
      </c>
      <c r="N347" s="1"/>
      <c r="O347" s="1">
        <v>932826</v>
      </c>
      <c r="P347" s="1"/>
      <c r="Q347" s="1">
        <v>1833532</v>
      </c>
      <c r="R347" s="1"/>
      <c r="S347" s="1">
        <v>26969</v>
      </c>
      <c r="T347" s="1"/>
      <c r="U347" s="1">
        <v>2004551</v>
      </c>
      <c r="V347" s="1"/>
      <c r="W347" s="1">
        <v>388645</v>
      </c>
      <c r="X347" s="1"/>
      <c r="Y347" s="1">
        <v>0</v>
      </c>
      <c r="Z347" s="1"/>
      <c r="AA347" s="1">
        <v>2196627</v>
      </c>
      <c r="AB347" s="1"/>
      <c r="AC347" s="1">
        <v>960769</v>
      </c>
      <c r="AD347" s="1"/>
      <c r="AE347" s="1">
        <v>84912</v>
      </c>
      <c r="AF347" s="1"/>
      <c r="AG347" s="1">
        <v>1038830</v>
      </c>
      <c r="AH347" s="1"/>
      <c r="AI347" s="1">
        <v>20742</v>
      </c>
      <c r="AJ347" s="1"/>
      <c r="AK347" s="17" t="s">
        <v>513</v>
      </c>
      <c r="AL347" s="17"/>
      <c r="AM347" s="17" t="s">
        <v>51</v>
      </c>
      <c r="AN347" s="17"/>
      <c r="AO347" s="1">
        <v>773828</v>
      </c>
      <c r="AP347" s="1"/>
      <c r="AQ347" s="1">
        <v>249559</v>
      </c>
      <c r="AR347" s="1"/>
      <c r="AS347" s="1"/>
      <c r="AT347" s="1"/>
      <c r="AU347" s="1">
        <v>0</v>
      </c>
      <c r="AV347" s="1"/>
      <c r="AW347" s="1">
        <f t="shared" si="23"/>
        <v>23258942</v>
      </c>
      <c r="AY347" s="1">
        <f>+'St of Activites - GA Rev'!AI347-'St of Activities - GA Exp'!AW347</f>
        <v>-1286301</v>
      </c>
      <c r="BA347" s="1">
        <v>33968807</v>
      </c>
      <c r="BC347" s="1">
        <f t="shared" si="22"/>
        <v>32682506</v>
      </c>
      <c r="BE347" s="1">
        <f>+'St of Net Assets - GA'!AA347-'St of Activities - GA Exp'!BC347</f>
        <v>0</v>
      </c>
    </row>
    <row r="348" spans="1:57" ht="12" hidden="1" customHeight="1">
      <c r="A348" s="17" t="s">
        <v>783</v>
      </c>
      <c r="B348" s="17"/>
      <c r="C348" s="17" t="s">
        <v>33</v>
      </c>
      <c r="D348" s="17"/>
      <c r="E348" s="13">
        <v>47456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6"/>
      <c r="AK348" s="17" t="s">
        <v>783</v>
      </c>
      <c r="AL348" s="14"/>
      <c r="AM348" s="14" t="s">
        <v>33</v>
      </c>
      <c r="AN348" s="14"/>
      <c r="AO348" s="1"/>
      <c r="AP348" s="1"/>
      <c r="AQ348" s="1"/>
      <c r="AR348" s="1"/>
      <c r="AS348" s="1"/>
      <c r="AT348" s="1"/>
      <c r="AU348" s="1"/>
      <c r="AV348" s="1"/>
      <c r="AW348" s="1">
        <f>SUM(G348:AV348)</f>
        <v>0</v>
      </c>
      <c r="AY348" s="1">
        <f>+'St of Activites - GA Rev'!AI348-'St of Activities - GA Exp'!AW348</f>
        <v>0</v>
      </c>
      <c r="BC348" s="1">
        <f>+AY348+BA348</f>
        <v>0</v>
      </c>
      <c r="BD348" s="16"/>
      <c r="BE348" s="16">
        <f>+'St of Net Assets - GA'!AA348-'St of Activities - GA Exp'!BC348</f>
        <v>0</v>
      </c>
    </row>
    <row r="349" spans="1:57" s="16" customFormat="1" ht="12" customHeight="1">
      <c r="A349" s="14" t="s">
        <v>780</v>
      </c>
      <c r="B349" s="14"/>
      <c r="C349" s="14" t="s">
        <v>64</v>
      </c>
      <c r="D349" s="14"/>
      <c r="E349" s="13">
        <v>50229</v>
      </c>
      <c r="G349" s="1">
        <v>4522258</v>
      </c>
      <c r="H349" s="1"/>
      <c r="I349" s="1">
        <v>652380</v>
      </c>
      <c r="J349" s="1"/>
      <c r="K349" s="1">
        <v>50304</v>
      </c>
      <c r="L349" s="1"/>
      <c r="M349" s="1">
        <v>0</v>
      </c>
      <c r="N349" s="1"/>
      <c r="O349" s="1">
        <v>423201</v>
      </c>
      <c r="P349" s="1"/>
      <c r="Q349" s="1">
        <v>74670</v>
      </c>
      <c r="R349" s="1"/>
      <c r="S349" s="1">
        <v>22332</v>
      </c>
      <c r="T349" s="1"/>
      <c r="U349" s="1">
        <v>501753</v>
      </c>
      <c r="V349" s="1"/>
      <c r="W349" s="1">
        <v>309392</v>
      </c>
      <c r="X349" s="1"/>
      <c r="Y349" s="1">
        <v>0</v>
      </c>
      <c r="Z349" s="1"/>
      <c r="AA349" s="1">
        <v>683924</v>
      </c>
      <c r="AB349" s="1"/>
      <c r="AC349" s="1">
        <v>86292</v>
      </c>
      <c r="AD349" s="1"/>
      <c r="AE349" s="1">
        <v>24046</v>
      </c>
      <c r="AF349" s="1"/>
      <c r="AG349" s="1">
        <v>118846</v>
      </c>
      <c r="AH349" s="1"/>
      <c r="AI349" s="1">
        <v>0</v>
      </c>
      <c r="AJ349" s="1"/>
      <c r="AK349" s="14" t="s">
        <v>780</v>
      </c>
      <c r="AL349" s="14"/>
      <c r="AM349" s="14" t="s">
        <v>64</v>
      </c>
      <c r="AN349" s="14"/>
      <c r="AO349" s="1">
        <v>223341</v>
      </c>
      <c r="AP349" s="1"/>
      <c r="AQ349" s="1">
        <v>131428</v>
      </c>
      <c r="AR349" s="1"/>
      <c r="AS349" s="1"/>
      <c r="AT349" s="1"/>
      <c r="AU349" s="1">
        <v>0</v>
      </c>
      <c r="AV349" s="1"/>
      <c r="AW349" s="1">
        <f t="shared" ref="AW349:AW375" si="24">SUM(G349:AV349)</f>
        <v>7824167</v>
      </c>
      <c r="AX349" s="1"/>
      <c r="AY349" s="1">
        <f>+'St of Activites - GA Rev'!AI349-'St of Activities - GA Exp'!AW349</f>
        <v>-538355</v>
      </c>
      <c r="AZ349" s="1"/>
      <c r="BA349" s="1">
        <v>11031190</v>
      </c>
      <c r="BB349" s="1"/>
      <c r="BC349" s="1">
        <f t="shared" ref="BC349:BC413" si="25">+AY349+BA349</f>
        <v>10492835</v>
      </c>
      <c r="BD349" s="1"/>
      <c r="BE349" s="1">
        <f>+'St of Net Assets - GA'!AA349-'St of Activities - GA Exp'!BC349</f>
        <v>0</v>
      </c>
    </row>
    <row r="350" spans="1:57" s="1" customFormat="1">
      <c r="A350" s="12" t="s">
        <v>241</v>
      </c>
      <c r="B350" s="12"/>
      <c r="C350" s="12" t="s">
        <v>240</v>
      </c>
      <c r="D350" s="12"/>
      <c r="E350" s="12">
        <v>45484</v>
      </c>
      <c r="G350" s="1">
        <v>4961802</v>
      </c>
      <c r="I350" s="1">
        <v>1448564</v>
      </c>
      <c r="K350" s="1">
        <v>163990</v>
      </c>
      <c r="M350" s="1">
        <v>0</v>
      </c>
      <c r="O350" s="1">
        <v>368455</v>
      </c>
      <c r="Q350" s="1">
        <v>463296</v>
      </c>
      <c r="S350" s="1">
        <v>66657</v>
      </c>
      <c r="U350" s="1">
        <v>914976</v>
      </c>
      <c r="W350" s="1">
        <v>315400</v>
      </c>
      <c r="Y350" s="1">
        <v>0</v>
      </c>
      <c r="AA350" s="1">
        <v>1226150</v>
      </c>
      <c r="AC350" s="1">
        <v>704938</v>
      </c>
      <c r="AE350" s="1">
        <v>170101</v>
      </c>
      <c r="AG350" s="1">
        <v>284086</v>
      </c>
      <c r="AI350" s="1">
        <v>6427</v>
      </c>
      <c r="AK350" s="12" t="s">
        <v>241</v>
      </c>
      <c r="AL350" s="12"/>
      <c r="AM350" s="12" t="s">
        <v>240</v>
      </c>
      <c r="AN350" s="12"/>
      <c r="AO350" s="1">
        <v>440225</v>
      </c>
      <c r="AQ350" s="1">
        <v>345825</v>
      </c>
      <c r="AU350" s="1">
        <v>0</v>
      </c>
      <c r="AW350" s="1">
        <f t="shared" si="24"/>
        <v>11880892</v>
      </c>
      <c r="AY350" s="1">
        <f>+'St of Activites - GA Rev'!AI350-'St of Activities - GA Exp'!AW350</f>
        <v>-1330555</v>
      </c>
      <c r="BA350" s="1">
        <v>20562535</v>
      </c>
      <c r="BC350" s="1">
        <f t="shared" si="25"/>
        <v>19231980</v>
      </c>
      <c r="BE350" s="1">
        <f>+'St of Net Assets - GA'!AA350-'St of Activities - GA Exp'!BC350</f>
        <v>0</v>
      </c>
    </row>
    <row r="351" spans="1:57">
      <c r="A351" s="17" t="s">
        <v>482</v>
      </c>
      <c r="B351" s="17"/>
      <c r="C351" s="17" t="s">
        <v>47</v>
      </c>
      <c r="D351" s="17"/>
      <c r="E351" s="13">
        <v>44388</v>
      </c>
      <c r="G351" s="1">
        <v>40850005</v>
      </c>
      <c r="H351" s="1"/>
      <c r="I351" s="1">
        <v>9327136</v>
      </c>
      <c r="J351" s="1"/>
      <c r="K351" s="1">
        <v>596707</v>
      </c>
      <c r="L351" s="1"/>
      <c r="M351" s="1">
        <v>173193</v>
      </c>
      <c r="N351" s="1"/>
      <c r="O351" s="1">
        <v>5286398</v>
      </c>
      <c r="P351" s="1"/>
      <c r="Q351" s="1">
        <v>5524180</v>
      </c>
      <c r="R351" s="1"/>
      <c r="S351" s="1">
        <v>37768</v>
      </c>
      <c r="T351" s="1"/>
      <c r="U351" s="1">
        <v>5324016</v>
      </c>
      <c r="V351" s="1"/>
      <c r="W351" s="1">
        <v>1274255</v>
      </c>
      <c r="X351" s="1"/>
      <c r="Y351" s="1">
        <v>504809</v>
      </c>
      <c r="Z351" s="1"/>
      <c r="AA351" s="1">
        <v>8939810</v>
      </c>
      <c r="AB351" s="1"/>
      <c r="AC351" s="1">
        <v>3669112</v>
      </c>
      <c r="AD351" s="1"/>
      <c r="AE351" s="1">
        <v>430762</v>
      </c>
      <c r="AF351" s="1"/>
      <c r="AG351" s="1">
        <v>2463652</v>
      </c>
      <c r="AH351" s="1"/>
      <c r="AI351" s="1">
        <v>537853</v>
      </c>
      <c r="AJ351" s="1"/>
      <c r="AK351" s="17" t="s">
        <v>482</v>
      </c>
      <c r="AL351" s="17"/>
      <c r="AM351" s="17" t="s">
        <v>47</v>
      </c>
      <c r="AN351" s="17"/>
      <c r="AO351" s="1">
        <v>2140399</v>
      </c>
      <c r="AP351" s="1"/>
      <c r="AQ351" s="1">
        <v>5228011</v>
      </c>
      <c r="AR351" s="1"/>
      <c r="AS351" s="1"/>
      <c r="AT351" s="1"/>
      <c r="AU351" s="1">
        <v>0</v>
      </c>
      <c r="AV351" s="1"/>
      <c r="AW351" s="1">
        <f t="shared" si="24"/>
        <v>92308066</v>
      </c>
      <c r="AY351" s="1">
        <f>+'St of Activites - GA Rev'!AI351-'St of Activities - GA Exp'!AW351</f>
        <v>-9086</v>
      </c>
      <c r="BA351" s="1">
        <v>35801199</v>
      </c>
      <c r="BC351" s="1">
        <f t="shared" si="25"/>
        <v>35792113</v>
      </c>
      <c r="BE351" s="1">
        <f>+'St of Net Assets - GA'!AA351-'St of Activities - GA Exp'!BC351</f>
        <v>0</v>
      </c>
    </row>
    <row r="352" spans="1:57">
      <c r="A352" s="17" t="s">
        <v>485</v>
      </c>
      <c r="B352" s="17"/>
      <c r="C352" s="17" t="s">
        <v>484</v>
      </c>
      <c r="D352" s="17"/>
      <c r="E352" s="13">
        <v>48520</v>
      </c>
      <c r="G352" s="1">
        <v>7509924</v>
      </c>
      <c r="H352" s="1"/>
      <c r="I352" s="1">
        <v>2559767</v>
      </c>
      <c r="J352" s="1"/>
      <c r="K352" s="1">
        <v>1353128</v>
      </c>
      <c r="L352" s="1"/>
      <c r="M352" s="1">
        <f>6500+61931+1972935</f>
        <v>2041366</v>
      </c>
      <c r="N352" s="1"/>
      <c r="O352" s="1">
        <v>596512</v>
      </c>
      <c r="P352" s="1"/>
      <c r="Q352" s="1">
        <v>801395</v>
      </c>
      <c r="R352" s="1"/>
      <c r="S352" s="1">
        <v>50528</v>
      </c>
      <c r="T352" s="1"/>
      <c r="U352" s="1">
        <v>1832783</v>
      </c>
      <c r="V352" s="1"/>
      <c r="W352" s="1">
        <v>486673</v>
      </c>
      <c r="X352" s="1"/>
      <c r="Y352" s="1">
        <v>0</v>
      </c>
      <c r="Z352" s="1"/>
      <c r="AA352" s="1">
        <v>1759463</v>
      </c>
      <c r="AB352" s="1"/>
      <c r="AC352" s="1">
        <v>1582614</v>
      </c>
      <c r="AD352" s="1"/>
      <c r="AE352" s="1">
        <v>48154</v>
      </c>
      <c r="AF352" s="1"/>
      <c r="AG352" s="1">
        <v>0</v>
      </c>
      <c r="AH352" s="1"/>
      <c r="AI352" s="1">
        <v>1143178</v>
      </c>
      <c r="AJ352" s="1"/>
      <c r="AK352" s="17" t="s">
        <v>485</v>
      </c>
      <c r="AL352" s="17"/>
      <c r="AM352" s="17" t="s">
        <v>484</v>
      </c>
      <c r="AN352" s="17"/>
      <c r="AO352" s="1">
        <v>297769</v>
      </c>
      <c r="AP352" s="1"/>
      <c r="AQ352" s="1">
        <v>311482</v>
      </c>
      <c r="AR352" s="1"/>
      <c r="AS352" s="1"/>
      <c r="AT352" s="1"/>
      <c r="AU352" s="1">
        <v>160589</v>
      </c>
      <c r="AV352" s="1"/>
      <c r="AW352" s="1">
        <f t="shared" si="24"/>
        <v>22535325</v>
      </c>
      <c r="AY352" s="1">
        <f>+'St of Activites - GA Rev'!AI352-'St of Activities - GA Exp'!AW352</f>
        <v>938448</v>
      </c>
      <c r="BA352" s="1">
        <v>23379651</v>
      </c>
      <c r="BC352" s="1">
        <f t="shared" si="25"/>
        <v>24318099</v>
      </c>
      <c r="BE352" s="1">
        <f>+'St of Net Assets - GA'!AA352-'St of Activities - GA Exp'!BC352</f>
        <v>0</v>
      </c>
    </row>
    <row r="353" spans="1:57">
      <c r="A353" s="17" t="s">
        <v>416</v>
      </c>
      <c r="B353" s="17"/>
      <c r="C353" s="17" t="s">
        <v>41</v>
      </c>
      <c r="D353" s="17"/>
      <c r="E353" s="13">
        <v>45492</v>
      </c>
      <c r="G353" s="1">
        <v>43854284</v>
      </c>
      <c r="H353" s="1"/>
      <c r="I353" s="1">
        <v>12494286</v>
      </c>
      <c r="J353" s="1"/>
      <c r="K353" s="1">
        <v>2115566</v>
      </c>
      <c r="L353" s="1"/>
      <c r="M353" s="1">
        <v>242414</v>
      </c>
      <c r="N353" s="1"/>
      <c r="O353" s="1">
        <v>7009557</v>
      </c>
      <c r="P353" s="1"/>
      <c r="Q353" s="1">
        <v>5508798</v>
      </c>
      <c r="R353" s="1"/>
      <c r="S353" s="1">
        <v>604673</v>
      </c>
      <c r="T353" s="1"/>
      <c r="U353" s="1">
        <v>5803805</v>
      </c>
      <c r="V353" s="1"/>
      <c r="W353" s="1">
        <v>2179768</v>
      </c>
      <c r="X353" s="1"/>
      <c r="Y353" s="1">
        <v>678606</v>
      </c>
      <c r="Z353" s="1"/>
      <c r="AA353" s="1">
        <v>8593179</v>
      </c>
      <c r="AB353" s="1"/>
      <c r="AC353" s="1">
        <v>6380577</v>
      </c>
      <c r="AD353" s="1"/>
      <c r="AE353" s="1">
        <v>2151550</v>
      </c>
      <c r="AF353" s="1"/>
      <c r="AG353" s="1">
        <v>2272614</v>
      </c>
      <c r="AH353" s="1"/>
      <c r="AI353" s="1">
        <v>1521042</v>
      </c>
      <c r="AJ353" s="1"/>
      <c r="AK353" s="17" t="s">
        <v>416</v>
      </c>
      <c r="AL353" s="17"/>
      <c r="AM353" s="17" t="s">
        <v>41</v>
      </c>
      <c r="AN353" s="17"/>
      <c r="AO353" s="1">
        <v>1986932</v>
      </c>
      <c r="AP353" s="1"/>
      <c r="AQ353" s="1">
        <v>321316</v>
      </c>
      <c r="AR353" s="1"/>
      <c r="AS353" s="1"/>
      <c r="AT353" s="1"/>
      <c r="AU353" s="1">
        <v>0</v>
      </c>
      <c r="AV353" s="1"/>
      <c r="AW353" s="1">
        <f t="shared" si="24"/>
        <v>103718967</v>
      </c>
      <c r="AY353" s="1">
        <f>+'St of Activites - GA Rev'!AI353-'St of Activities - GA Exp'!AW353</f>
        <v>12738158</v>
      </c>
      <c r="BA353" s="1">
        <v>50412280</v>
      </c>
      <c r="BC353" s="1">
        <f t="shared" si="25"/>
        <v>63150438</v>
      </c>
      <c r="BE353" s="1">
        <f>+'St of Net Assets - GA'!AA353-'St of Activities - GA Exp'!BC353</f>
        <v>0</v>
      </c>
    </row>
    <row r="354" spans="1:57">
      <c r="A354" s="17" t="s">
        <v>488</v>
      </c>
      <c r="B354" s="17"/>
      <c r="C354" s="17" t="s">
        <v>48</v>
      </c>
      <c r="D354" s="17"/>
      <c r="E354" s="13">
        <v>48629</v>
      </c>
      <c r="G354" s="1">
        <v>6224977</v>
      </c>
      <c r="H354" s="1"/>
      <c r="I354" s="1">
        <v>1116458</v>
      </c>
      <c r="J354" s="1"/>
      <c r="K354" s="1">
        <v>130908</v>
      </c>
      <c r="L354" s="1"/>
      <c r="M354" s="1">
        <v>20225</v>
      </c>
      <c r="N354" s="1"/>
      <c r="O354" s="1">
        <v>689322</v>
      </c>
      <c r="P354" s="1"/>
      <c r="Q354" s="1">
        <v>318294</v>
      </c>
      <c r="R354" s="1"/>
      <c r="S354" s="1">
        <v>82412</v>
      </c>
      <c r="T354" s="1"/>
      <c r="U354" s="1">
        <v>841981</v>
      </c>
      <c r="V354" s="1"/>
      <c r="W354" s="1">
        <v>383045</v>
      </c>
      <c r="X354" s="1"/>
      <c r="Y354" s="1">
        <v>49766</v>
      </c>
      <c r="Z354" s="1"/>
      <c r="AA354" s="1">
        <v>1039136</v>
      </c>
      <c r="AB354" s="1"/>
      <c r="AC354" s="1">
        <v>841685</v>
      </c>
      <c r="AD354" s="1"/>
      <c r="AE354" s="1">
        <v>240901</v>
      </c>
      <c r="AF354" s="1"/>
      <c r="AG354" s="1">
        <v>0</v>
      </c>
      <c r="AH354" s="1"/>
      <c r="AI354" s="1">
        <v>439065</v>
      </c>
      <c r="AJ354" s="1"/>
      <c r="AK354" s="17" t="s">
        <v>488</v>
      </c>
      <c r="AL354" s="17"/>
      <c r="AM354" s="17" t="s">
        <v>48</v>
      </c>
      <c r="AN354" s="17"/>
      <c r="AO354" s="1">
        <v>428848</v>
      </c>
      <c r="AP354" s="1"/>
      <c r="AQ354" s="1">
        <v>1012951</v>
      </c>
      <c r="AR354" s="1"/>
      <c r="AS354" s="1"/>
      <c r="AT354" s="1"/>
      <c r="AU354" s="1">
        <v>0</v>
      </c>
      <c r="AV354" s="1"/>
      <c r="AW354" s="1">
        <f t="shared" si="24"/>
        <v>13859974</v>
      </c>
      <c r="AY354" s="1">
        <f>+'St of Activites - GA Rev'!AI354-'St of Activities - GA Exp'!AW354</f>
        <v>205204</v>
      </c>
      <c r="BA354" s="1">
        <v>15785477</v>
      </c>
      <c r="BC354" s="1">
        <f t="shared" si="25"/>
        <v>15990681</v>
      </c>
      <c r="BE354" s="1">
        <f>+'St of Net Assets - GA'!AA354-'St of Activities - GA Exp'!BC354</f>
        <v>0</v>
      </c>
    </row>
    <row r="355" spans="1:57">
      <c r="A355" s="17" t="s">
        <v>327</v>
      </c>
      <c r="B355" s="17"/>
      <c r="C355" s="17" t="s">
        <v>26</v>
      </c>
      <c r="D355" s="17"/>
      <c r="E355" s="13">
        <v>46920</v>
      </c>
      <c r="G355" s="1">
        <v>9955920</v>
      </c>
      <c r="H355" s="1"/>
      <c r="I355" s="1">
        <v>2252113</v>
      </c>
      <c r="J355" s="1"/>
      <c r="K355" s="1">
        <v>383646</v>
      </c>
      <c r="L355" s="1"/>
      <c r="M355" s="1">
        <v>1911462</v>
      </c>
      <c r="N355" s="1"/>
      <c r="O355" s="1">
        <v>1291468</v>
      </c>
      <c r="P355" s="1"/>
      <c r="Q355" s="1">
        <v>1770694</v>
      </c>
      <c r="R355" s="1"/>
      <c r="S355" s="1">
        <v>28608</v>
      </c>
      <c r="T355" s="1"/>
      <c r="U355" s="1">
        <v>2337448</v>
      </c>
      <c r="V355" s="1"/>
      <c r="W355" s="1">
        <v>1054944</v>
      </c>
      <c r="X355" s="1"/>
      <c r="Y355" s="1">
        <v>107698</v>
      </c>
      <c r="Z355" s="1"/>
      <c r="AA355" s="1">
        <v>2182328</v>
      </c>
      <c r="AB355" s="1"/>
      <c r="AC355" s="1">
        <v>2406343</v>
      </c>
      <c r="AD355" s="1"/>
      <c r="AE355" s="1">
        <v>142791</v>
      </c>
      <c r="AF355" s="1"/>
      <c r="AG355" s="1">
        <v>0</v>
      </c>
      <c r="AH355" s="1"/>
      <c r="AI355" s="1">
        <v>1075481</v>
      </c>
      <c r="AJ355" s="1"/>
      <c r="AK355" s="17" t="s">
        <v>327</v>
      </c>
      <c r="AL355" s="17"/>
      <c r="AM355" s="17" t="s">
        <v>26</v>
      </c>
      <c r="AN355" s="17"/>
      <c r="AO355" s="1">
        <v>832910</v>
      </c>
      <c r="AP355" s="1"/>
      <c r="AQ355" s="1">
        <v>1261231</v>
      </c>
      <c r="AR355" s="1"/>
      <c r="AS355" s="1"/>
      <c r="AT355" s="1"/>
      <c r="AU355" s="1">
        <v>0</v>
      </c>
      <c r="AV355" s="1"/>
      <c r="AW355" s="1">
        <f t="shared" si="24"/>
        <v>28995085</v>
      </c>
      <c r="AY355" s="1">
        <f>+'St of Activites - GA Rev'!AI355-'St of Activities - GA Exp'!AW355</f>
        <v>-171506</v>
      </c>
      <c r="BA355" s="1">
        <v>37372554</v>
      </c>
      <c r="BC355" s="1">
        <f t="shared" si="25"/>
        <v>37201048</v>
      </c>
      <c r="BE355" s="1">
        <f>+'St of Net Assets - GA'!AA355-'St of Activities - GA Exp'!BC355</f>
        <v>0</v>
      </c>
    </row>
    <row r="356" spans="1:57">
      <c r="A356" s="17" t="s">
        <v>501</v>
      </c>
      <c r="B356" s="17"/>
      <c r="C356" s="17" t="s">
        <v>50</v>
      </c>
      <c r="D356" s="17"/>
      <c r="E356" s="13">
        <v>44396</v>
      </c>
      <c r="G356" s="1">
        <v>25460573</v>
      </c>
      <c r="H356" s="1"/>
      <c r="I356" s="1">
        <v>8346559</v>
      </c>
      <c r="J356" s="1"/>
      <c r="K356" s="1">
        <v>673930</v>
      </c>
      <c r="L356" s="1"/>
      <c r="M356" s="1">
        <v>86963</v>
      </c>
      <c r="N356" s="1"/>
      <c r="O356" s="1">
        <v>4384169</v>
      </c>
      <c r="P356" s="1"/>
      <c r="Q356" s="1">
        <v>1311102</v>
      </c>
      <c r="R356" s="1"/>
      <c r="S356" s="1">
        <v>31203</v>
      </c>
      <c r="T356" s="1"/>
      <c r="U356" s="1">
        <v>2997546</v>
      </c>
      <c r="V356" s="1"/>
      <c r="W356" s="1">
        <v>860158</v>
      </c>
      <c r="X356" s="1"/>
      <c r="Y356" s="1">
        <v>291902</v>
      </c>
      <c r="Z356" s="1"/>
      <c r="AA356" s="1">
        <v>4119441</v>
      </c>
      <c r="AB356" s="1"/>
      <c r="AC356" s="1">
        <v>2675320</v>
      </c>
      <c r="AD356" s="1"/>
      <c r="AE356" s="1">
        <v>657180</v>
      </c>
      <c r="AF356" s="1"/>
      <c r="AG356" s="1">
        <v>0</v>
      </c>
      <c r="AH356" s="1"/>
      <c r="AI356" s="1">
        <v>2980636</v>
      </c>
      <c r="AJ356" s="1"/>
      <c r="AK356" s="17" t="s">
        <v>501</v>
      </c>
      <c r="AL356" s="17"/>
      <c r="AM356" s="17" t="s">
        <v>50</v>
      </c>
      <c r="AN356" s="17"/>
      <c r="AO356" s="1">
        <v>774556</v>
      </c>
      <c r="AP356" s="1"/>
      <c r="AQ356" s="1">
        <v>4631850</v>
      </c>
      <c r="AR356" s="1"/>
      <c r="AS356" s="1"/>
      <c r="AT356" s="1"/>
      <c r="AU356" s="1">
        <v>0</v>
      </c>
      <c r="AV356" s="1"/>
      <c r="AW356" s="1">
        <f t="shared" si="24"/>
        <v>60283088</v>
      </c>
      <c r="AY356" s="1">
        <f>+'St of Activites - GA Rev'!AI356-'St of Activities - GA Exp'!AW356</f>
        <v>113553</v>
      </c>
      <c r="BA356" s="1">
        <v>21741682</v>
      </c>
      <c r="BC356" s="1">
        <f t="shared" si="25"/>
        <v>21855235</v>
      </c>
      <c r="BE356" s="1">
        <f>+'St of Net Assets - GA'!AA356-'St of Activities - GA Exp'!BC356</f>
        <v>0</v>
      </c>
    </row>
    <row r="357" spans="1:57">
      <c r="A357" s="17" t="s">
        <v>232</v>
      </c>
      <c r="B357" s="17"/>
      <c r="C357" s="17" t="s">
        <v>227</v>
      </c>
      <c r="D357" s="17"/>
      <c r="E357" s="13">
        <v>44404</v>
      </c>
      <c r="G357" s="1">
        <v>29908633</v>
      </c>
      <c r="H357" s="1"/>
      <c r="I357" s="1">
        <v>9429256</v>
      </c>
      <c r="J357" s="1"/>
      <c r="K357" s="1">
        <v>63544</v>
      </c>
      <c r="L357" s="1"/>
      <c r="M357" s="1">
        <f>575442+9067699</f>
        <v>9643141</v>
      </c>
      <c r="N357" s="1"/>
      <c r="O357" s="1">
        <v>4919527</v>
      </c>
      <c r="P357" s="1"/>
      <c r="Q357" s="1">
        <v>5980662</v>
      </c>
      <c r="R357" s="1"/>
      <c r="S357" s="1">
        <v>103269</v>
      </c>
      <c r="T357" s="1"/>
      <c r="U357" s="1">
        <v>5899057</v>
      </c>
      <c r="V357" s="1"/>
      <c r="W357" s="1">
        <v>1455723</v>
      </c>
      <c r="X357" s="1"/>
      <c r="Y357" s="1">
        <v>511414</v>
      </c>
      <c r="Z357" s="1"/>
      <c r="AA357" s="1">
        <v>7712461</v>
      </c>
      <c r="AB357" s="1"/>
      <c r="AC357" s="1">
        <v>3685251</v>
      </c>
      <c r="AD357" s="1"/>
      <c r="AE357" s="1">
        <v>1963221</v>
      </c>
      <c r="AF357" s="1"/>
      <c r="AG357" s="1">
        <v>2976413</v>
      </c>
      <c r="AH357" s="1"/>
      <c r="AI357" s="1">
        <v>674904</v>
      </c>
      <c r="AJ357" s="1"/>
      <c r="AK357" s="17" t="s">
        <v>232</v>
      </c>
      <c r="AL357" s="17"/>
      <c r="AM357" s="17" t="s">
        <v>227</v>
      </c>
      <c r="AN357" s="17"/>
      <c r="AO357" s="1">
        <v>1002233</v>
      </c>
      <c r="AP357" s="1"/>
      <c r="AQ357" s="1">
        <v>2857619</v>
      </c>
      <c r="AR357" s="1"/>
      <c r="AS357" s="1"/>
      <c r="AT357" s="1"/>
      <c r="AU357" s="1">
        <v>0</v>
      </c>
      <c r="AV357" s="1"/>
      <c r="AW357" s="1">
        <f t="shared" si="24"/>
        <v>88786328</v>
      </c>
      <c r="AY357" s="1">
        <f>+'St of Activites - GA Rev'!AI357-'St of Activities - GA Exp'!AW357</f>
        <v>-1653642</v>
      </c>
      <c r="BA357" s="1">
        <v>18585479</v>
      </c>
      <c r="BC357" s="1">
        <f t="shared" si="25"/>
        <v>16931837</v>
      </c>
      <c r="BE357" s="1">
        <f>+'St of Net Assets - GA'!AA357-'St of Activities - GA Exp'!BC357</f>
        <v>0</v>
      </c>
    </row>
    <row r="358" spans="1:57">
      <c r="A358" s="17" t="s">
        <v>444</v>
      </c>
      <c r="B358" s="17"/>
      <c r="C358" s="17" t="s">
        <v>44</v>
      </c>
      <c r="D358" s="17"/>
      <c r="E358" s="13">
        <v>48173</v>
      </c>
      <c r="G358" s="1">
        <v>13633747</v>
      </c>
      <c r="H358" s="1"/>
      <c r="I358" s="1">
        <v>3116601</v>
      </c>
      <c r="J358" s="1"/>
      <c r="K358" s="1">
        <v>136971</v>
      </c>
      <c r="L358" s="1"/>
      <c r="M358" s="1">
        <v>33735</v>
      </c>
      <c r="N358" s="1"/>
      <c r="O358" s="1">
        <v>1607000</v>
      </c>
      <c r="P358" s="1"/>
      <c r="Q358" s="1">
        <v>456642</v>
      </c>
      <c r="R358" s="1"/>
      <c r="S358" s="1">
        <v>946555</v>
      </c>
      <c r="T358" s="1"/>
      <c r="U358" s="1">
        <v>2604842</v>
      </c>
      <c r="V358" s="1"/>
      <c r="W358" s="1">
        <v>641608</v>
      </c>
      <c r="X358" s="1"/>
      <c r="Y358" s="1">
        <v>416011</v>
      </c>
      <c r="Z358" s="1"/>
      <c r="AA358" s="1">
        <v>2407112</v>
      </c>
      <c r="AB358" s="1"/>
      <c r="AC358" s="1">
        <v>1400377</v>
      </c>
      <c r="AD358" s="1"/>
      <c r="AE358" s="1">
        <v>0</v>
      </c>
      <c r="AF358" s="1"/>
      <c r="AG358" s="1">
        <v>0</v>
      </c>
      <c r="AH358" s="1"/>
      <c r="AI358" s="1">
        <v>7481</v>
      </c>
      <c r="AJ358" s="1"/>
      <c r="AK358" s="17" t="s">
        <v>444</v>
      </c>
      <c r="AL358" s="17"/>
      <c r="AM358" s="17" t="s">
        <v>44</v>
      </c>
      <c r="AN358" s="17"/>
      <c r="AO358" s="1">
        <v>604107</v>
      </c>
      <c r="AP358" s="1"/>
      <c r="AQ358" s="1">
        <v>1388069</v>
      </c>
      <c r="AR358" s="1"/>
      <c r="AS358" s="1"/>
      <c r="AT358" s="1"/>
      <c r="AU358" s="1">
        <v>0</v>
      </c>
      <c r="AV358" s="1"/>
      <c r="AW358" s="1">
        <f t="shared" si="24"/>
        <v>29400858</v>
      </c>
      <c r="AY358" s="1">
        <f>+'St of Activites - GA Rev'!AI358-'St of Activities - GA Exp'!AW358</f>
        <v>4800430</v>
      </c>
      <c r="BA358" s="1">
        <v>9606585</v>
      </c>
      <c r="BC358" s="1">
        <f t="shared" si="25"/>
        <v>14407015</v>
      </c>
      <c r="BE358" s="1">
        <f>+'St of Net Assets - GA'!AA358-'St of Activities - GA Exp'!BC358</f>
        <v>0</v>
      </c>
    </row>
    <row r="359" spans="1:57">
      <c r="A359" s="17" t="s">
        <v>255</v>
      </c>
      <c r="B359" s="17"/>
      <c r="C359" s="17" t="s">
        <v>115</v>
      </c>
      <c r="D359" s="17"/>
      <c r="E359" s="13">
        <v>45500</v>
      </c>
      <c r="G359" s="1">
        <v>27929355</v>
      </c>
      <c r="H359" s="1"/>
      <c r="I359" s="1">
        <v>6769731</v>
      </c>
      <c r="J359" s="1"/>
      <c r="K359" s="1">
        <v>766937</v>
      </c>
      <c r="L359" s="1"/>
      <c r="M359" s="1">
        <f>13555+1305555</f>
        <v>1319110</v>
      </c>
      <c r="N359" s="1"/>
      <c r="O359" s="1">
        <v>2773199</v>
      </c>
      <c r="P359" s="1"/>
      <c r="Q359" s="1">
        <v>3714096</v>
      </c>
      <c r="R359" s="1"/>
      <c r="S359" s="1">
        <v>92912</v>
      </c>
      <c r="T359" s="1"/>
      <c r="U359" s="1">
        <v>3038759</v>
      </c>
      <c r="V359" s="1"/>
      <c r="W359" s="1">
        <v>1369264</v>
      </c>
      <c r="X359" s="1"/>
      <c r="Y359" s="1">
        <v>421578</v>
      </c>
      <c r="Z359" s="1"/>
      <c r="AA359" s="1">
        <v>5642878</v>
      </c>
      <c r="AB359" s="1"/>
      <c r="AC359" s="1">
        <v>5282608</v>
      </c>
      <c r="AD359" s="1"/>
      <c r="AE359" s="1">
        <v>825104</v>
      </c>
      <c r="AF359" s="1"/>
      <c r="AG359" s="1">
        <v>0</v>
      </c>
      <c r="AH359" s="1"/>
      <c r="AI359" s="1">
        <v>4648116</v>
      </c>
      <c r="AJ359" s="1"/>
      <c r="AK359" s="17" t="s">
        <v>255</v>
      </c>
      <c r="AL359" s="17"/>
      <c r="AM359" s="17" t="s">
        <v>115</v>
      </c>
      <c r="AN359" s="17"/>
      <c r="AO359" s="1">
        <v>1323368</v>
      </c>
      <c r="AP359" s="1"/>
      <c r="AQ359" s="1">
        <v>3317900</v>
      </c>
      <c r="AR359" s="1"/>
      <c r="AS359" s="1"/>
      <c r="AT359" s="1"/>
      <c r="AU359" s="1">
        <v>0</v>
      </c>
      <c r="AV359" s="1"/>
      <c r="AW359" s="1">
        <f t="shared" si="24"/>
        <v>69234915</v>
      </c>
      <c r="AY359" s="1">
        <f>+'St of Activites - GA Rev'!AI359-'St of Activities - GA Exp'!AW359</f>
        <v>5021372</v>
      </c>
      <c r="BA359" s="1">
        <v>22464455</v>
      </c>
      <c r="BC359" s="1">
        <f t="shared" si="25"/>
        <v>27485827</v>
      </c>
      <c r="BE359" s="1">
        <f>+'St of Net Assets - GA'!AA359-'St of Activities - GA Exp'!BC359</f>
        <v>0</v>
      </c>
    </row>
    <row r="360" spans="1:57" ht="12" hidden="1" customHeight="1">
      <c r="A360" s="17" t="s">
        <v>734</v>
      </c>
      <c r="B360" s="17"/>
      <c r="C360" s="17" t="s">
        <v>643</v>
      </c>
      <c r="D360" s="17"/>
      <c r="E360" s="13">
        <v>50633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7" t="s">
        <v>734</v>
      </c>
      <c r="AL360" s="17"/>
      <c r="AM360" s="17" t="s">
        <v>643</v>
      </c>
      <c r="AN360" s="17"/>
      <c r="AO360" s="1"/>
      <c r="AP360" s="1"/>
      <c r="AQ360" s="1"/>
      <c r="AR360" s="1"/>
      <c r="AS360" s="1"/>
      <c r="AT360" s="1"/>
      <c r="AU360" s="1"/>
      <c r="AV360" s="1"/>
      <c r="AW360" s="1">
        <f t="shared" si="24"/>
        <v>0</v>
      </c>
      <c r="AY360" s="1">
        <f>+'St of Activites - GA Rev'!AI360-'St of Activities - GA Exp'!AW360</f>
        <v>0</v>
      </c>
      <c r="BC360" s="1">
        <f t="shared" si="25"/>
        <v>0</v>
      </c>
      <c r="BE360" s="1">
        <f>+'St of Net Assets - GA'!AA360-'St of Activities - GA Exp'!BC360</f>
        <v>0</v>
      </c>
    </row>
    <row r="361" spans="1:57" ht="12" hidden="1" customHeight="1">
      <c r="A361" s="12" t="s">
        <v>851</v>
      </c>
      <c r="B361" s="17"/>
      <c r="C361" s="17" t="s">
        <v>542</v>
      </c>
      <c r="D361" s="17"/>
      <c r="E361" s="13">
        <v>49361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2" t="s">
        <v>851</v>
      </c>
      <c r="AL361" s="17"/>
      <c r="AM361" s="17" t="s">
        <v>542</v>
      </c>
      <c r="AN361" s="17"/>
      <c r="AO361" s="1"/>
      <c r="AP361" s="1"/>
      <c r="AQ361" s="1"/>
      <c r="AR361" s="1"/>
      <c r="AS361" s="1"/>
      <c r="AT361" s="1"/>
      <c r="AU361" s="1"/>
      <c r="AV361" s="1"/>
      <c r="AW361" s="1">
        <f t="shared" si="24"/>
        <v>0</v>
      </c>
      <c r="AY361" s="1">
        <f>+'St of Activites - GA Rev'!AI361-'St of Activities - GA Exp'!AW361</f>
        <v>0</v>
      </c>
      <c r="BC361" s="1">
        <f t="shared" si="25"/>
        <v>0</v>
      </c>
      <c r="BE361" s="1">
        <f>+'St of Net Assets - GA'!AA361-'St of Activities - GA Exp'!BC361</f>
        <v>0</v>
      </c>
    </row>
    <row r="362" spans="1:57">
      <c r="A362" s="17" t="s">
        <v>489</v>
      </c>
      <c r="B362" s="17"/>
      <c r="C362" s="17" t="s">
        <v>48</v>
      </c>
      <c r="D362" s="17"/>
      <c r="E362" s="13">
        <v>45518</v>
      </c>
      <c r="G362" s="1">
        <v>9048494</v>
      </c>
      <c r="H362" s="1"/>
      <c r="I362" s="1">
        <v>0</v>
      </c>
      <c r="J362" s="1"/>
      <c r="K362" s="1">
        <v>0</v>
      </c>
      <c r="L362" s="1"/>
      <c r="M362" s="1">
        <v>0</v>
      </c>
      <c r="N362" s="1"/>
      <c r="O362" s="1">
        <v>831246</v>
      </c>
      <c r="P362" s="1"/>
      <c r="Q362" s="1">
        <v>788855</v>
      </c>
      <c r="R362" s="1"/>
      <c r="S362" s="1">
        <v>98958</v>
      </c>
      <c r="T362" s="1"/>
      <c r="U362" s="1">
        <v>1227762</v>
      </c>
      <c r="V362" s="1"/>
      <c r="W362" s="1">
        <v>479476</v>
      </c>
      <c r="X362" s="1"/>
      <c r="Y362" s="1">
        <v>139779</v>
      </c>
      <c r="Z362" s="1"/>
      <c r="AA362" s="1">
        <v>952431</v>
      </c>
      <c r="AB362" s="1"/>
      <c r="AC362" s="1">
        <v>668798</v>
      </c>
      <c r="AD362" s="1"/>
      <c r="AE362" s="1">
        <v>376031</v>
      </c>
      <c r="AF362" s="1"/>
      <c r="AG362" s="1">
        <v>0</v>
      </c>
      <c r="AH362" s="1"/>
      <c r="AI362" s="1">
        <f>627296+10387</f>
        <v>637683</v>
      </c>
      <c r="AJ362" s="1"/>
      <c r="AK362" s="17" t="s">
        <v>489</v>
      </c>
      <c r="AL362" s="17"/>
      <c r="AM362" s="17" t="s">
        <v>48</v>
      </c>
      <c r="AN362" s="17"/>
      <c r="AO362" s="1">
        <v>529621</v>
      </c>
      <c r="AP362" s="1"/>
      <c r="AQ362" s="1">
        <v>916192</v>
      </c>
      <c r="AR362" s="1"/>
      <c r="AS362" s="1"/>
      <c r="AT362" s="1"/>
      <c r="AU362" s="1">
        <v>0</v>
      </c>
      <c r="AV362" s="1"/>
      <c r="AW362" s="1">
        <f t="shared" si="24"/>
        <v>16695326</v>
      </c>
      <c r="AY362" s="1">
        <f>+'St of Activites - GA Rev'!AI362-'St of Activities - GA Exp'!AW362</f>
        <v>1326347</v>
      </c>
      <c r="BA362" s="1">
        <v>31845353</v>
      </c>
      <c r="BC362" s="1">
        <f t="shared" si="25"/>
        <v>33171700</v>
      </c>
      <c r="BE362" s="1">
        <f>+'St of Net Assets - GA'!AA362-'St of Activities - GA Exp'!BC362</f>
        <v>0</v>
      </c>
    </row>
    <row r="363" spans="1:57">
      <c r="A363" s="17" t="s">
        <v>581</v>
      </c>
      <c r="B363" s="17"/>
      <c r="C363" s="17" t="s">
        <v>62</v>
      </c>
      <c r="D363" s="17"/>
      <c r="E363" s="13">
        <v>49890</v>
      </c>
      <c r="G363" s="1">
        <v>9647221</v>
      </c>
      <c r="H363" s="1"/>
      <c r="I363" s="1">
        <v>2768616</v>
      </c>
      <c r="J363" s="1"/>
      <c r="K363" s="1">
        <v>7570</v>
      </c>
      <c r="L363" s="1"/>
      <c r="M363" s="1">
        <v>4628</v>
      </c>
      <c r="N363" s="1"/>
      <c r="O363" s="1">
        <v>724136</v>
      </c>
      <c r="P363" s="1"/>
      <c r="Q363" s="1">
        <v>911515</v>
      </c>
      <c r="R363" s="1"/>
      <c r="S363" s="1">
        <v>91743</v>
      </c>
      <c r="T363" s="1"/>
      <c r="U363" s="1">
        <v>1679818</v>
      </c>
      <c r="V363" s="1"/>
      <c r="W363" s="1">
        <v>517910</v>
      </c>
      <c r="X363" s="1"/>
      <c r="Y363" s="1">
        <v>110494</v>
      </c>
      <c r="Z363" s="1"/>
      <c r="AA363" s="1">
        <v>1672438</v>
      </c>
      <c r="AB363" s="1"/>
      <c r="AC363" s="1">
        <v>837291</v>
      </c>
      <c r="AD363" s="1"/>
      <c r="AE363" s="1">
        <v>19205</v>
      </c>
      <c r="AF363" s="1"/>
      <c r="AG363" s="1">
        <v>868465</v>
      </c>
      <c r="AH363" s="1"/>
      <c r="AI363" s="1">
        <v>42062</v>
      </c>
      <c r="AJ363" s="1"/>
      <c r="AK363" s="17" t="s">
        <v>581</v>
      </c>
      <c r="AL363" s="17"/>
      <c r="AM363" s="17" t="s">
        <v>62</v>
      </c>
      <c r="AN363" s="17"/>
      <c r="AO363" s="1">
        <v>644921</v>
      </c>
      <c r="AP363" s="1"/>
      <c r="AQ363" s="1">
        <v>643800</v>
      </c>
      <c r="AR363" s="1"/>
      <c r="AS363" s="1"/>
      <c r="AT363" s="1"/>
      <c r="AU363" s="1">
        <v>4449</v>
      </c>
      <c r="AV363" s="1"/>
      <c r="AW363" s="1">
        <f t="shared" si="24"/>
        <v>21196282</v>
      </c>
      <c r="AY363" s="1">
        <f>+'St of Activites - GA Rev'!AI363-'St of Activities - GA Exp'!AW363</f>
        <v>-682741</v>
      </c>
      <c r="BA363" s="1">
        <v>27208992</v>
      </c>
      <c r="BC363" s="1">
        <f t="shared" si="25"/>
        <v>26526251</v>
      </c>
      <c r="BE363" s="1">
        <f>+'St of Net Assets - GA'!AA363-'St of Activities - GA Exp'!BC363</f>
        <v>0</v>
      </c>
    </row>
    <row r="364" spans="1:57">
      <c r="A364" s="17" t="s">
        <v>562</v>
      </c>
      <c r="B364" s="17"/>
      <c r="C364" s="17" t="s">
        <v>59</v>
      </c>
      <c r="D364" s="17"/>
      <c r="E364" s="13">
        <v>49627</v>
      </c>
      <c r="G364" s="1">
        <v>8722355</v>
      </c>
      <c r="H364" s="1"/>
      <c r="I364" s="1">
        <v>1360464</v>
      </c>
      <c r="J364" s="1"/>
      <c r="K364" s="1">
        <v>192738</v>
      </c>
      <c r="L364" s="1"/>
      <c r="M364" s="1">
        <v>58539</v>
      </c>
      <c r="N364" s="1"/>
      <c r="O364" s="1">
        <v>426341</v>
      </c>
      <c r="P364" s="1"/>
      <c r="Q364" s="1">
        <v>674992</v>
      </c>
      <c r="R364" s="1"/>
      <c r="S364" s="1">
        <v>86956</v>
      </c>
      <c r="T364" s="1"/>
      <c r="U364" s="1">
        <v>1094339</v>
      </c>
      <c r="V364" s="1"/>
      <c r="W364" s="1">
        <v>336391</v>
      </c>
      <c r="X364" s="1"/>
      <c r="Y364" s="1">
        <v>0</v>
      </c>
      <c r="Z364" s="1"/>
      <c r="AA364" s="1">
        <v>1350022</v>
      </c>
      <c r="AB364" s="1"/>
      <c r="AC364" s="1">
        <v>1002335</v>
      </c>
      <c r="AD364" s="1"/>
      <c r="AE364" s="1">
        <v>10745</v>
      </c>
      <c r="AF364" s="1"/>
      <c r="AG364" s="1">
        <v>0</v>
      </c>
      <c r="AH364" s="1"/>
      <c r="AI364" s="1">
        <v>680624</v>
      </c>
      <c r="AJ364" s="1"/>
      <c r="AK364" s="17" t="s">
        <v>562</v>
      </c>
      <c r="AL364" s="17"/>
      <c r="AM364" s="17" t="s">
        <v>59</v>
      </c>
      <c r="AN364" s="17"/>
      <c r="AO364" s="1">
        <v>452103</v>
      </c>
      <c r="AP364" s="1"/>
      <c r="AQ364" s="1">
        <v>137123</v>
      </c>
      <c r="AR364" s="1"/>
      <c r="AS364" s="1"/>
      <c r="AT364" s="1"/>
      <c r="AU364" s="1">
        <v>0</v>
      </c>
      <c r="AV364" s="1"/>
      <c r="AW364" s="1">
        <f t="shared" si="24"/>
        <v>16586067</v>
      </c>
      <c r="AY364" s="1">
        <f>+'St of Activites - GA Rev'!AI364-'St of Activities - GA Exp'!AW364</f>
        <v>-108635</v>
      </c>
      <c r="BA364" s="1">
        <v>25316401</v>
      </c>
      <c r="BC364" s="1">
        <f t="shared" si="25"/>
        <v>25207766</v>
      </c>
      <c r="BE364" s="1">
        <f>+'St of Net Assets - GA'!AA364-'St of Activities - GA Exp'!BC364</f>
        <v>0</v>
      </c>
    </row>
    <row r="365" spans="1:57">
      <c r="A365" s="17" t="s">
        <v>217</v>
      </c>
      <c r="B365" s="17"/>
      <c r="C365" s="17" t="s">
        <v>14</v>
      </c>
      <c r="D365" s="17"/>
      <c r="E365" s="13">
        <v>45948</v>
      </c>
      <c r="G365" s="1">
        <v>4456466</v>
      </c>
      <c r="H365" s="1"/>
      <c r="I365" s="1">
        <v>575881</v>
      </c>
      <c r="J365" s="1"/>
      <c r="K365" s="1">
        <v>206573</v>
      </c>
      <c r="L365" s="1"/>
      <c r="M365" s="1">
        <v>0</v>
      </c>
      <c r="N365" s="1"/>
      <c r="O365" s="1">
        <v>595743</v>
      </c>
      <c r="P365" s="1"/>
      <c r="Q365" s="1">
        <v>442079</v>
      </c>
      <c r="R365" s="1"/>
      <c r="S365" s="1">
        <v>42251</v>
      </c>
      <c r="T365" s="1"/>
      <c r="U365" s="1">
        <v>700942</v>
      </c>
      <c r="V365" s="1"/>
      <c r="W365" s="1">
        <v>482752</v>
      </c>
      <c r="X365" s="1"/>
      <c r="Y365" s="1">
        <v>0</v>
      </c>
      <c r="Z365" s="1"/>
      <c r="AA365" s="1">
        <v>970769</v>
      </c>
      <c r="AB365" s="1"/>
      <c r="AC365" s="1">
        <v>244386</v>
      </c>
      <c r="AD365" s="1"/>
      <c r="AE365" s="1">
        <v>66322</v>
      </c>
      <c r="AF365" s="1"/>
      <c r="AG365" s="1">
        <v>0</v>
      </c>
      <c r="AH365" s="1"/>
      <c r="AI365" s="1">
        <v>385552</v>
      </c>
      <c r="AJ365" s="1"/>
      <c r="AK365" s="17" t="s">
        <v>217</v>
      </c>
      <c r="AL365" s="17"/>
      <c r="AM365" s="17" t="s">
        <v>14</v>
      </c>
      <c r="AN365" s="17"/>
      <c r="AO365" s="1">
        <v>386259</v>
      </c>
      <c r="AP365" s="1"/>
      <c r="AQ365" s="1">
        <v>565164</v>
      </c>
      <c r="AR365" s="1"/>
      <c r="AS365" s="1"/>
      <c r="AT365" s="1"/>
      <c r="AU365" s="1">
        <v>0</v>
      </c>
      <c r="AV365" s="1"/>
      <c r="AW365" s="1">
        <f t="shared" si="24"/>
        <v>10121139</v>
      </c>
      <c r="AY365" s="1">
        <f>+'St of Activites - GA Rev'!AI365-'St of Activities - GA Exp'!AW365</f>
        <v>107680</v>
      </c>
      <c r="BA365" s="1">
        <v>4603203</v>
      </c>
      <c r="BC365" s="1">
        <f t="shared" si="25"/>
        <v>4710883</v>
      </c>
      <c r="BE365" s="1">
        <f>+'St of Net Assets - GA'!AA365-'St of Activities - GA Exp'!BC365</f>
        <v>0</v>
      </c>
    </row>
    <row r="366" spans="1:57" ht="12" hidden="1" customHeight="1">
      <c r="A366" s="17" t="s">
        <v>782</v>
      </c>
      <c r="B366" s="17"/>
      <c r="C366" s="17" t="s">
        <v>21</v>
      </c>
      <c r="D366" s="17"/>
      <c r="E366" s="13">
        <v>46672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7" t="s">
        <v>782</v>
      </c>
      <c r="AL366" s="17"/>
      <c r="AM366" s="17" t="s">
        <v>21</v>
      </c>
      <c r="AN366" s="17"/>
      <c r="AO366" s="1"/>
      <c r="AP366" s="1"/>
      <c r="AQ366" s="1"/>
      <c r="AR366" s="1"/>
      <c r="AS366" s="1"/>
      <c r="AT366" s="1"/>
      <c r="AU366" s="1"/>
      <c r="AV366" s="1"/>
      <c r="AW366" s="1">
        <f t="shared" si="24"/>
        <v>0</v>
      </c>
      <c r="AY366" s="1">
        <f>+'St of Activites - GA Rev'!AI366-'St of Activities - GA Exp'!AW366</f>
        <v>0</v>
      </c>
      <c r="BC366" s="1">
        <f t="shared" si="25"/>
        <v>0</v>
      </c>
      <c r="BE366" s="1">
        <f>+'St of Net Assets - GA'!AA366-'St of Activities - GA Exp'!BC366</f>
        <v>0</v>
      </c>
    </row>
    <row r="367" spans="1:57">
      <c r="A367" s="17" t="s">
        <v>591</v>
      </c>
      <c r="B367" s="17"/>
      <c r="C367" s="17" t="s">
        <v>63</v>
      </c>
      <c r="D367" s="17"/>
      <c r="E367" s="13">
        <v>50039</v>
      </c>
      <c r="G367" s="1">
        <v>4691607</v>
      </c>
      <c r="H367" s="1"/>
      <c r="I367" s="1">
        <v>1088007</v>
      </c>
      <c r="J367" s="1"/>
      <c r="K367" s="1">
        <v>97589</v>
      </c>
      <c r="L367" s="1"/>
      <c r="M367" s="1">
        <f>381165+155291</f>
        <v>536456</v>
      </c>
      <c r="N367" s="1"/>
      <c r="O367" s="1">
        <v>534542</v>
      </c>
      <c r="P367" s="1"/>
      <c r="Q367" s="1">
        <v>364838</v>
      </c>
      <c r="R367" s="1"/>
      <c r="S367" s="1">
        <v>42351</v>
      </c>
      <c r="T367" s="1"/>
      <c r="U367" s="1">
        <v>676713</v>
      </c>
      <c r="V367" s="1"/>
      <c r="W367" s="1">
        <v>345589</v>
      </c>
      <c r="X367" s="1"/>
      <c r="Y367" s="1">
        <v>372</v>
      </c>
      <c r="Z367" s="1"/>
      <c r="AA367" s="1">
        <v>1015955</v>
      </c>
      <c r="AB367" s="1"/>
      <c r="AC367" s="1">
        <v>419239</v>
      </c>
      <c r="AD367" s="1"/>
      <c r="AE367" s="1">
        <v>59904</v>
      </c>
      <c r="AF367" s="1"/>
      <c r="AG367" s="1">
        <v>320688</v>
      </c>
      <c r="AH367" s="1"/>
      <c r="AI367" s="1">
        <v>0</v>
      </c>
      <c r="AJ367" s="1"/>
      <c r="AK367" s="17" t="s">
        <v>591</v>
      </c>
      <c r="AL367" s="17"/>
      <c r="AM367" s="17" t="s">
        <v>63</v>
      </c>
      <c r="AN367" s="17"/>
      <c r="AO367" s="1">
        <v>421984</v>
      </c>
      <c r="AP367" s="1"/>
      <c r="AQ367" s="1">
        <v>532453</v>
      </c>
      <c r="AR367" s="1"/>
      <c r="AS367" s="1"/>
      <c r="AT367" s="1"/>
      <c r="AU367" s="1">
        <v>0</v>
      </c>
      <c r="AV367" s="1"/>
      <c r="AW367" s="1">
        <f t="shared" si="24"/>
        <v>11148287</v>
      </c>
      <c r="AY367" s="1">
        <f>+'St of Activites - GA Rev'!AI367-'St of Activities - GA Exp'!AW367</f>
        <v>-1067284</v>
      </c>
      <c r="BA367" s="1">
        <v>7776465</v>
      </c>
      <c r="BC367" s="1">
        <f t="shared" si="25"/>
        <v>6709181</v>
      </c>
      <c r="BE367" s="1">
        <f>+'St of Net Assets - GA'!AA367-'St of Activities - GA Exp'!BC367</f>
        <v>0</v>
      </c>
    </row>
    <row r="368" spans="1:57" ht="12" hidden="1" customHeight="1">
      <c r="A368" s="17" t="s">
        <v>743</v>
      </c>
      <c r="B368" s="17"/>
      <c r="C368" s="17" t="s">
        <v>653</v>
      </c>
      <c r="D368" s="17"/>
      <c r="E368" s="13">
        <v>50740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7" t="s">
        <v>743</v>
      </c>
      <c r="AL368" s="17"/>
      <c r="AM368" s="17" t="s">
        <v>653</v>
      </c>
      <c r="AN368" s="17"/>
      <c r="AO368" s="1"/>
      <c r="AP368" s="1"/>
      <c r="AQ368" s="1"/>
      <c r="AR368" s="1"/>
      <c r="AS368" s="1"/>
      <c r="AT368" s="1"/>
      <c r="AU368" s="1"/>
      <c r="AV368" s="1"/>
      <c r="AW368" s="1">
        <f t="shared" si="24"/>
        <v>0</v>
      </c>
      <c r="AY368" s="1">
        <f>+'St of Activites - GA Rev'!AI368-'St of Activities - GA Exp'!AW368</f>
        <v>0</v>
      </c>
      <c r="BC368" s="1">
        <f t="shared" si="25"/>
        <v>0</v>
      </c>
      <c r="BE368" s="1">
        <f>+'St of Net Assets - GA'!AA368-'St of Activities - GA Exp'!BC368</f>
        <v>0</v>
      </c>
    </row>
    <row r="369" spans="1:57">
      <c r="A369" s="17" t="s">
        <v>233</v>
      </c>
      <c r="B369" s="17"/>
      <c r="C369" s="17" t="s">
        <v>227</v>
      </c>
      <c r="D369" s="17"/>
      <c r="E369" s="13">
        <v>139303</v>
      </c>
      <c r="G369" s="1">
        <v>9931408</v>
      </c>
      <c r="H369" s="1"/>
      <c r="I369" s="1">
        <v>1543558</v>
      </c>
      <c r="J369" s="1"/>
      <c r="K369" s="1">
        <v>0</v>
      </c>
      <c r="L369" s="1"/>
      <c r="M369" s="1">
        <v>19607</v>
      </c>
      <c r="N369" s="1"/>
      <c r="O369" s="1">
        <v>1416028</v>
      </c>
      <c r="P369" s="1"/>
      <c r="Q369" s="1">
        <v>1070313</v>
      </c>
      <c r="R369" s="1"/>
      <c r="S369" s="1">
        <v>117724</v>
      </c>
      <c r="T369" s="1"/>
      <c r="U369" s="1">
        <v>1608110</v>
      </c>
      <c r="V369" s="1"/>
      <c r="W369" s="1">
        <v>688373</v>
      </c>
      <c r="X369" s="1"/>
      <c r="Y369" s="1">
        <v>144875</v>
      </c>
      <c r="Z369" s="1"/>
      <c r="AA369" s="1">
        <v>1772836</v>
      </c>
      <c r="AB369" s="1"/>
      <c r="AC369" s="1">
        <v>1679363</v>
      </c>
      <c r="AD369" s="1"/>
      <c r="AE369" s="1">
        <v>495795</v>
      </c>
      <c r="AF369" s="1"/>
      <c r="AG369" s="1">
        <v>875866</v>
      </c>
      <c r="AH369" s="1"/>
      <c r="AI369" s="1">
        <v>0</v>
      </c>
      <c r="AJ369" s="1"/>
      <c r="AK369" s="17" t="s">
        <v>233</v>
      </c>
      <c r="AL369" s="17"/>
      <c r="AM369" s="17" t="s">
        <v>227</v>
      </c>
      <c r="AN369" s="17"/>
      <c r="AO369" s="1">
        <v>843651</v>
      </c>
      <c r="AP369" s="1"/>
      <c r="AQ369" s="1">
        <v>1448582</v>
      </c>
      <c r="AR369" s="1"/>
      <c r="AS369" s="1"/>
      <c r="AT369" s="1"/>
      <c r="AU369" s="1">
        <v>0</v>
      </c>
      <c r="AV369" s="1"/>
      <c r="AW369" s="1">
        <f t="shared" si="24"/>
        <v>23656089</v>
      </c>
      <c r="AY369" s="1">
        <f>+'St of Activites - GA Rev'!AI369-'St of Activities - GA Exp'!AW369</f>
        <v>-1200209</v>
      </c>
      <c r="BA369" s="1">
        <v>-2638213</v>
      </c>
      <c r="BC369" s="1">
        <f t="shared" si="25"/>
        <v>-3838422</v>
      </c>
      <c r="BE369" s="1">
        <f>+'St of Net Assets - GA'!AA369-'St of Activities - GA Exp'!BC369</f>
        <v>0</v>
      </c>
    </row>
    <row r="370" spans="1:57">
      <c r="A370" s="17" t="s">
        <v>404</v>
      </c>
      <c r="B370" s="17"/>
      <c r="C370" s="17" t="s">
        <v>37</v>
      </c>
      <c r="D370" s="17"/>
      <c r="E370" s="13">
        <v>47712</v>
      </c>
      <c r="G370" s="1">
        <v>3328972</v>
      </c>
      <c r="H370" s="1"/>
      <c r="I370" s="1">
        <v>585251</v>
      </c>
      <c r="J370" s="1"/>
      <c r="K370" s="1">
        <v>152175</v>
      </c>
      <c r="L370" s="1"/>
      <c r="M370" s="1">
        <v>0</v>
      </c>
      <c r="N370" s="1"/>
      <c r="O370" s="1">
        <v>270021</v>
      </c>
      <c r="P370" s="1"/>
      <c r="Q370" s="1">
        <v>379458</v>
      </c>
      <c r="R370" s="1"/>
      <c r="S370" s="1">
        <v>61669</v>
      </c>
      <c r="T370" s="1"/>
      <c r="U370" s="1">
        <v>524960</v>
      </c>
      <c r="V370" s="1"/>
      <c r="W370" s="1">
        <v>248121</v>
      </c>
      <c r="X370" s="1"/>
      <c r="Y370" s="1">
        <v>1541</v>
      </c>
      <c r="Z370" s="1"/>
      <c r="AA370" s="1">
        <v>455231</v>
      </c>
      <c r="AB370" s="1"/>
      <c r="AC370" s="1">
        <v>358179</v>
      </c>
      <c r="AD370" s="1"/>
      <c r="AE370" s="1">
        <v>2129</v>
      </c>
      <c r="AF370" s="1"/>
      <c r="AG370" s="1">
        <v>283355</v>
      </c>
      <c r="AH370" s="1"/>
      <c r="AI370" s="1">
        <v>65150</v>
      </c>
      <c r="AJ370" s="1"/>
      <c r="AK370" s="17" t="s">
        <v>404</v>
      </c>
      <c r="AL370" s="17"/>
      <c r="AM370" s="17" t="s">
        <v>37</v>
      </c>
      <c r="AN370" s="17"/>
      <c r="AO370" s="1">
        <v>216564</v>
      </c>
      <c r="AP370" s="1"/>
      <c r="AQ370" s="1">
        <v>9207</v>
      </c>
      <c r="AR370" s="1"/>
      <c r="AS370" s="1"/>
      <c r="AT370" s="1"/>
      <c r="AU370" s="1">
        <v>0</v>
      </c>
      <c r="AV370" s="1"/>
      <c r="AW370" s="1">
        <f t="shared" si="24"/>
        <v>6941983</v>
      </c>
      <c r="AY370" s="1">
        <f>+'St of Activites - GA Rev'!AI370-'St of Activities - GA Exp'!AW370</f>
        <v>-401654</v>
      </c>
      <c r="BA370" s="1">
        <v>2605092</v>
      </c>
      <c r="BC370" s="1">
        <f t="shared" si="25"/>
        <v>2203438</v>
      </c>
      <c r="BE370" s="1">
        <f>+'St of Net Assets - GA'!AA370-'St of Activities - GA Exp'!BC370</f>
        <v>0</v>
      </c>
    </row>
    <row r="371" spans="1:57" hidden="1">
      <c r="A371" s="17" t="s">
        <v>949</v>
      </c>
      <c r="B371" s="17"/>
      <c r="C371" s="17" t="s">
        <v>643</v>
      </c>
      <c r="D371" s="17"/>
      <c r="E371" s="13">
        <v>45526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7" t="s">
        <v>949</v>
      </c>
      <c r="AL371" s="17"/>
      <c r="AM371" s="17" t="s">
        <v>643</v>
      </c>
      <c r="AN371" s="17"/>
      <c r="AO371" s="1"/>
      <c r="AP371" s="1"/>
      <c r="AQ371" s="1"/>
      <c r="AR371" s="1"/>
      <c r="AS371" s="1"/>
      <c r="AT371" s="1"/>
      <c r="AU371" s="1"/>
      <c r="AV371" s="1"/>
      <c r="AW371" s="1">
        <f t="shared" si="24"/>
        <v>0</v>
      </c>
      <c r="AY371" s="1">
        <f>+'St of Activites - GA Rev'!AI371-'St of Activities - GA Exp'!AW371</f>
        <v>0</v>
      </c>
      <c r="BC371" s="1">
        <f t="shared" si="25"/>
        <v>0</v>
      </c>
      <c r="BE371" s="1">
        <f>+'St of Net Assets - GA'!AA371-'St of Activities - GA Exp'!BC371</f>
        <v>0</v>
      </c>
    </row>
    <row r="372" spans="1:57">
      <c r="A372" s="17" t="s">
        <v>508</v>
      </c>
      <c r="B372" s="17"/>
      <c r="C372" s="17" t="s">
        <v>509</v>
      </c>
      <c r="D372" s="17"/>
      <c r="E372" s="13">
        <v>48777</v>
      </c>
      <c r="G372" s="1">
        <v>9379188</v>
      </c>
      <c r="H372" s="1"/>
      <c r="I372" s="1">
        <v>3025222</v>
      </c>
      <c r="J372" s="1"/>
      <c r="K372" s="1">
        <v>1105012</v>
      </c>
      <c r="L372" s="1"/>
      <c r="M372" s="1">
        <v>440906</v>
      </c>
      <c r="N372" s="1"/>
      <c r="O372" s="1">
        <v>746766</v>
      </c>
      <c r="P372" s="1"/>
      <c r="Q372" s="1">
        <v>687078</v>
      </c>
      <c r="R372" s="1"/>
      <c r="S372" s="1">
        <v>33184</v>
      </c>
      <c r="T372" s="1"/>
      <c r="U372" s="1">
        <v>1671227</v>
      </c>
      <c r="V372" s="1"/>
      <c r="W372" s="1">
        <v>725810</v>
      </c>
      <c r="X372" s="1"/>
      <c r="Y372" s="1">
        <v>274885</v>
      </c>
      <c r="Z372" s="1"/>
      <c r="AA372" s="1">
        <v>1823200</v>
      </c>
      <c r="AB372" s="1"/>
      <c r="AC372" s="1">
        <v>1882230</v>
      </c>
      <c r="AD372" s="1"/>
      <c r="AE372" s="1">
        <v>204105</v>
      </c>
      <c r="AF372" s="1"/>
      <c r="AG372" s="1">
        <v>1192715</v>
      </c>
      <c r="AH372" s="1"/>
      <c r="AI372" s="1">
        <v>0</v>
      </c>
      <c r="AJ372" s="1"/>
      <c r="AK372" s="17" t="s">
        <v>508</v>
      </c>
      <c r="AL372" s="17"/>
      <c r="AM372" s="17" t="s">
        <v>509</v>
      </c>
      <c r="AN372" s="17"/>
      <c r="AO372" s="1">
        <v>227684</v>
      </c>
      <c r="AP372" s="1"/>
      <c r="AQ372" s="1">
        <v>533038</v>
      </c>
      <c r="AR372" s="1"/>
      <c r="AS372" s="1"/>
      <c r="AT372" s="1"/>
      <c r="AU372" s="1">
        <v>0</v>
      </c>
      <c r="AV372" s="1"/>
      <c r="AW372" s="1">
        <f t="shared" si="24"/>
        <v>23952250</v>
      </c>
      <c r="AY372" s="1">
        <f>+'St of Activites - GA Rev'!AI372-'St of Activities - GA Exp'!AW372</f>
        <v>1767353</v>
      </c>
      <c r="BA372" s="1">
        <v>41693003</v>
      </c>
      <c r="BC372" s="1">
        <f t="shared" si="25"/>
        <v>43460356</v>
      </c>
      <c r="BE372" s="1">
        <f>+'St of Net Assets - GA'!AA372-'St of Activities - GA Exp'!BC372</f>
        <v>0</v>
      </c>
    </row>
    <row r="373" spans="1:57">
      <c r="A373" s="12" t="s">
        <v>757</v>
      </c>
      <c r="B373" s="17"/>
      <c r="C373" s="17" t="s">
        <v>78</v>
      </c>
      <c r="D373" s="17"/>
      <c r="E373" s="13">
        <v>45534</v>
      </c>
      <c r="G373" s="1">
        <v>5887195</v>
      </c>
      <c r="H373" s="1"/>
      <c r="I373" s="1">
        <v>1634002</v>
      </c>
      <c r="J373" s="1"/>
      <c r="K373" s="1">
        <v>377881</v>
      </c>
      <c r="L373" s="1"/>
      <c r="M373" s="1">
        <v>1473861</v>
      </c>
      <c r="N373" s="1"/>
      <c r="O373" s="1">
        <v>721240</v>
      </c>
      <c r="P373" s="1"/>
      <c r="Q373" s="1">
        <v>574316</v>
      </c>
      <c r="R373" s="1"/>
      <c r="S373" s="1">
        <v>63200</v>
      </c>
      <c r="T373" s="1"/>
      <c r="U373" s="1">
        <v>882759</v>
      </c>
      <c r="V373" s="1"/>
      <c r="W373" s="1">
        <v>536592</v>
      </c>
      <c r="X373" s="1"/>
      <c r="Y373" s="1">
        <v>0</v>
      </c>
      <c r="Z373" s="1"/>
      <c r="AA373" s="1">
        <v>1444300</v>
      </c>
      <c r="AB373" s="1"/>
      <c r="AC373" s="1">
        <v>842580</v>
      </c>
      <c r="AD373" s="1"/>
      <c r="AE373" s="1">
        <v>31141</v>
      </c>
      <c r="AF373" s="1"/>
      <c r="AG373" s="1">
        <v>537244</v>
      </c>
      <c r="AH373" s="1"/>
      <c r="AI373" s="1">
        <v>1332</v>
      </c>
      <c r="AJ373" s="1"/>
      <c r="AK373" s="12" t="s">
        <v>757</v>
      </c>
      <c r="AL373" s="17"/>
      <c r="AM373" s="17" t="s">
        <v>78</v>
      </c>
      <c r="AN373" s="17"/>
      <c r="AO373" s="1">
        <v>327788</v>
      </c>
      <c r="AP373" s="1"/>
      <c r="AQ373" s="1">
        <v>467483</v>
      </c>
      <c r="AR373" s="1"/>
      <c r="AS373" s="1"/>
      <c r="AT373" s="1"/>
      <c r="AU373" s="1">
        <v>0</v>
      </c>
      <c r="AV373" s="1"/>
      <c r="AW373" s="1">
        <f t="shared" si="24"/>
        <v>15802914</v>
      </c>
      <c r="AY373" s="1">
        <f>+'St of Activites - GA Rev'!AI373-'St of Activities - GA Exp'!AW373</f>
        <v>-1756814</v>
      </c>
      <c r="BA373" s="1">
        <v>29455722</v>
      </c>
      <c r="BC373" s="1">
        <f t="shared" si="25"/>
        <v>27698908</v>
      </c>
      <c r="BE373" s="1">
        <f>+'St of Net Assets - GA'!AA373-'St of Activities - GA Exp'!BC373</f>
        <v>0</v>
      </c>
    </row>
    <row r="374" spans="1:57">
      <c r="A374" s="17" t="s">
        <v>415</v>
      </c>
      <c r="B374" s="17"/>
      <c r="C374" s="17" t="s">
        <v>40</v>
      </c>
      <c r="D374" s="17"/>
      <c r="E374" s="13">
        <v>44420</v>
      </c>
      <c r="G374" s="1">
        <v>18050238</v>
      </c>
      <c r="H374" s="1"/>
      <c r="I374" s="1">
        <v>4127136</v>
      </c>
      <c r="J374" s="1"/>
      <c r="K374" s="1">
        <v>422375</v>
      </c>
      <c r="L374" s="1"/>
      <c r="M374" s="1">
        <v>0</v>
      </c>
      <c r="N374" s="1"/>
      <c r="O374" s="1">
        <v>2253804</v>
      </c>
      <c r="P374" s="1"/>
      <c r="Q374" s="1">
        <v>2351342</v>
      </c>
      <c r="R374" s="1"/>
      <c r="S374" s="1">
        <v>69338</v>
      </c>
      <c r="T374" s="1"/>
      <c r="U374" s="1">
        <v>2600858</v>
      </c>
      <c r="V374" s="1"/>
      <c r="W374" s="1">
        <v>2548377</v>
      </c>
      <c r="X374" s="1"/>
      <c r="Y374" s="1">
        <v>68404</v>
      </c>
      <c r="Z374" s="1"/>
      <c r="AA374" s="1">
        <v>3075714</v>
      </c>
      <c r="AB374" s="1"/>
      <c r="AC374" s="1">
        <v>1247815</v>
      </c>
      <c r="AD374" s="1"/>
      <c r="AE374" s="1">
        <v>143599</v>
      </c>
      <c r="AF374" s="1"/>
      <c r="AG374" s="1">
        <v>1333902</v>
      </c>
      <c r="AH374" s="1"/>
      <c r="AI374" s="1">
        <v>154022</v>
      </c>
      <c r="AJ374" s="1"/>
      <c r="AK374" s="17" t="s">
        <v>415</v>
      </c>
      <c r="AL374" s="17"/>
      <c r="AM374" s="17" t="s">
        <v>40</v>
      </c>
      <c r="AN374" s="17"/>
      <c r="AO374" s="1">
        <v>732917</v>
      </c>
      <c r="AP374" s="1"/>
      <c r="AQ374" s="1">
        <v>307884</v>
      </c>
      <c r="AR374" s="1"/>
      <c r="AS374" s="1"/>
      <c r="AT374" s="1"/>
      <c r="AU374" s="1">
        <v>0</v>
      </c>
      <c r="AV374" s="1"/>
      <c r="AW374" s="1">
        <f t="shared" si="24"/>
        <v>39487725</v>
      </c>
      <c r="AY374" s="1">
        <f>+'St of Activites - GA Rev'!AI374-'St of Activities - GA Exp'!AW374</f>
        <v>-2026172</v>
      </c>
      <c r="BA374" s="1">
        <v>18215983</v>
      </c>
      <c r="BC374" s="1">
        <f t="shared" si="25"/>
        <v>16189811</v>
      </c>
      <c r="BE374" s="1">
        <f>+'St of Net Assets - GA'!AA374-'St of Activities - GA Exp'!BC374</f>
        <v>0</v>
      </c>
    </row>
    <row r="375" spans="1:57">
      <c r="A375" s="12" t="s">
        <v>894</v>
      </c>
      <c r="B375" s="17"/>
      <c r="C375" s="17" t="s">
        <v>32</v>
      </c>
      <c r="D375" s="17"/>
      <c r="E375" s="13">
        <v>44412</v>
      </c>
      <c r="G375" s="1">
        <v>13515256</v>
      </c>
      <c r="H375" s="1"/>
      <c r="I375" s="1">
        <v>4837942</v>
      </c>
      <c r="J375" s="1"/>
      <c r="K375" s="1">
        <v>175151</v>
      </c>
      <c r="L375" s="1"/>
      <c r="M375" s="1">
        <v>5443635</v>
      </c>
      <c r="N375" s="1"/>
      <c r="O375" s="1">
        <v>2586109</v>
      </c>
      <c r="P375" s="1"/>
      <c r="Q375" s="1">
        <v>2627152</v>
      </c>
      <c r="R375" s="1"/>
      <c r="S375" s="1">
        <v>101481</v>
      </c>
      <c r="T375" s="1"/>
      <c r="U375" s="1">
        <v>2664780</v>
      </c>
      <c r="V375" s="1"/>
      <c r="W375" s="1">
        <v>713982</v>
      </c>
      <c r="X375" s="1"/>
      <c r="Y375" s="1">
        <v>140707</v>
      </c>
      <c r="Z375" s="1"/>
      <c r="AA375" s="1">
        <v>3346293</v>
      </c>
      <c r="AB375" s="1"/>
      <c r="AC375" s="1">
        <v>2516990</v>
      </c>
      <c r="AD375" s="1"/>
      <c r="AE375" s="1">
        <v>298543</v>
      </c>
      <c r="AF375" s="1"/>
      <c r="AG375" s="1">
        <v>0</v>
      </c>
      <c r="AH375" s="1"/>
      <c r="AI375" s="1">
        <v>1970843</v>
      </c>
      <c r="AJ375" s="1"/>
      <c r="AK375" s="12" t="s">
        <v>894</v>
      </c>
      <c r="AL375" s="17"/>
      <c r="AM375" s="17" t="s">
        <v>32</v>
      </c>
      <c r="AN375" s="17"/>
      <c r="AO375" s="1">
        <v>738944</v>
      </c>
      <c r="AP375" s="1"/>
      <c r="AQ375" s="1">
        <v>1677710</v>
      </c>
      <c r="AR375" s="1"/>
      <c r="AS375" s="1"/>
      <c r="AT375" s="1"/>
      <c r="AU375" s="1">
        <v>0</v>
      </c>
      <c r="AV375" s="1"/>
      <c r="AW375" s="1">
        <f t="shared" si="24"/>
        <v>43355518</v>
      </c>
      <c r="AY375" s="1">
        <f>+'St of Activites - GA Rev'!AI375-'St of Activities - GA Exp'!AW375</f>
        <v>2316299</v>
      </c>
      <c r="BA375" s="1">
        <v>66459674</v>
      </c>
      <c r="BC375" s="1">
        <f t="shared" si="25"/>
        <v>68775973</v>
      </c>
      <c r="BE375" s="1">
        <f>+'St of Net Assets - GA'!AA375-'St of Activities - GA Exp'!BC375</f>
        <v>0</v>
      </c>
    </row>
    <row r="376" spans="1:57">
      <c r="A376" s="17" t="s">
        <v>392</v>
      </c>
      <c r="B376" s="17"/>
      <c r="C376" s="17" t="s">
        <v>34</v>
      </c>
      <c r="D376" s="17"/>
      <c r="E376" s="13">
        <v>44438</v>
      </c>
      <c r="G376" s="1">
        <v>8471080</v>
      </c>
      <c r="H376" s="1"/>
      <c r="I376" s="1">
        <v>3667944</v>
      </c>
      <c r="J376" s="1"/>
      <c r="K376" s="1">
        <v>240010</v>
      </c>
      <c r="L376" s="1"/>
      <c r="M376" s="1">
        <v>1318451</v>
      </c>
      <c r="N376" s="1"/>
      <c r="O376" s="1">
        <v>1289480</v>
      </c>
      <c r="P376" s="1"/>
      <c r="Q376" s="1">
        <v>1041198</v>
      </c>
      <c r="R376" s="1"/>
      <c r="S376" s="1">
        <v>45763</v>
      </c>
      <c r="T376" s="1"/>
      <c r="U376" s="1">
        <v>1858647</v>
      </c>
      <c r="V376" s="1"/>
      <c r="W376" s="1">
        <v>637877</v>
      </c>
      <c r="X376" s="1"/>
      <c r="Y376" s="1">
        <v>0</v>
      </c>
      <c r="Z376" s="1"/>
      <c r="AA376" s="1">
        <v>1818029</v>
      </c>
      <c r="AB376" s="1"/>
      <c r="AC376" s="1">
        <v>1017339</v>
      </c>
      <c r="AD376" s="1"/>
      <c r="AE376" s="1">
        <v>377147</v>
      </c>
      <c r="AF376" s="1"/>
      <c r="AG376" s="1">
        <v>0</v>
      </c>
      <c r="AH376" s="1"/>
      <c r="AI376" s="1">
        <v>981842</v>
      </c>
      <c r="AJ376" s="1"/>
      <c r="AK376" s="17" t="s">
        <v>392</v>
      </c>
      <c r="AL376" s="17"/>
      <c r="AM376" s="17" t="s">
        <v>34</v>
      </c>
      <c r="AN376" s="17"/>
      <c r="AO376" s="1">
        <v>790435</v>
      </c>
      <c r="AP376" s="1"/>
      <c r="AQ376" s="1">
        <v>595286</v>
      </c>
      <c r="AR376" s="1"/>
      <c r="AS376" s="1"/>
      <c r="AT376" s="1"/>
      <c r="AU376" s="1">
        <v>87169</v>
      </c>
      <c r="AV376" s="1"/>
      <c r="AW376" s="1">
        <f t="shared" ref="AW376:AW408" si="26">SUM(G376:AV376)</f>
        <v>24237697</v>
      </c>
      <c r="AY376" s="1">
        <f>+'St of Activites - GA Rev'!AI376-'St of Activities - GA Exp'!AW376</f>
        <v>600346</v>
      </c>
      <c r="BA376" s="1">
        <v>11640653</v>
      </c>
      <c r="BC376" s="1">
        <f t="shared" si="25"/>
        <v>12240999</v>
      </c>
      <c r="BE376" s="1">
        <f>+'St of Net Assets - GA'!AA376-'St of Activities - GA Exp'!BC376</f>
        <v>0</v>
      </c>
    </row>
    <row r="377" spans="1:57" hidden="1">
      <c r="A377" s="12" t="s">
        <v>945</v>
      </c>
      <c r="B377" s="12"/>
      <c r="C377" s="12" t="s">
        <v>57</v>
      </c>
      <c r="D377" s="17"/>
      <c r="E377" s="13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2" t="s">
        <v>945</v>
      </c>
      <c r="AL377" s="12"/>
      <c r="AM377" s="12" t="s">
        <v>57</v>
      </c>
      <c r="AN377" s="17"/>
      <c r="AO377" s="1"/>
      <c r="AP377" s="1"/>
      <c r="AQ377" s="1"/>
      <c r="AR377" s="1"/>
      <c r="AS377" s="1"/>
      <c r="AT377" s="1"/>
      <c r="AU377" s="1"/>
      <c r="AV377" s="1"/>
      <c r="AW377" s="1">
        <f t="shared" ref="AW377" si="27">SUM(G377:AV377)</f>
        <v>0</v>
      </c>
      <c r="AY377" s="1">
        <f>+'St of Activites - GA Rev'!AI377-'St of Activities - GA Exp'!AW377</f>
        <v>0</v>
      </c>
      <c r="BC377" s="1">
        <f t="shared" ref="BC377" si="28">+AY377+BA377</f>
        <v>0</v>
      </c>
      <c r="BE377" s="1">
        <f>+'St of Net Assets - GA'!AA377-'St of Activities - GA Exp'!BC377</f>
        <v>0</v>
      </c>
    </row>
    <row r="378" spans="1:57">
      <c r="A378" s="17" t="s">
        <v>215</v>
      </c>
      <c r="B378" s="17"/>
      <c r="C378" s="17" t="s">
        <v>13</v>
      </c>
      <c r="D378" s="17"/>
      <c r="E378" s="13">
        <v>44446</v>
      </c>
      <c r="G378" s="1">
        <v>6430578</v>
      </c>
      <c r="H378" s="1"/>
      <c r="I378" s="1">
        <v>1710958</v>
      </c>
      <c r="J378" s="1"/>
      <c r="K378" s="1">
        <v>95380</v>
      </c>
      <c r="L378" s="1"/>
      <c r="M378" s="1">
        <f>156198+36026</f>
        <v>192224</v>
      </c>
      <c r="N378" s="1"/>
      <c r="O378" s="1">
        <v>358401</v>
      </c>
      <c r="P378" s="1"/>
      <c r="Q378" s="1">
        <v>1154743</v>
      </c>
      <c r="R378" s="1"/>
      <c r="S378" s="1">
        <v>72039</v>
      </c>
      <c r="T378" s="1"/>
      <c r="U378" s="1">
        <v>1290550</v>
      </c>
      <c r="V378" s="1"/>
      <c r="W378" s="1">
        <v>353053</v>
      </c>
      <c r="X378" s="1"/>
      <c r="Y378" s="1">
        <v>0</v>
      </c>
      <c r="Z378" s="1"/>
      <c r="AA378" s="1">
        <v>1263660</v>
      </c>
      <c r="AB378" s="1"/>
      <c r="AC378" s="1">
        <v>907543</v>
      </c>
      <c r="AD378" s="1"/>
      <c r="AE378" s="1">
        <v>0</v>
      </c>
      <c r="AF378" s="1"/>
      <c r="AG378" s="1">
        <v>749395</v>
      </c>
      <c r="AH378" s="1"/>
      <c r="AI378" s="1">
        <v>114304</v>
      </c>
      <c r="AJ378" s="1"/>
      <c r="AK378" s="17" t="s">
        <v>215</v>
      </c>
      <c r="AL378" s="17"/>
      <c r="AM378" s="17" t="s">
        <v>13</v>
      </c>
      <c r="AN378" s="17"/>
      <c r="AO378" s="1">
        <v>264731</v>
      </c>
      <c r="AP378" s="1"/>
      <c r="AQ378" s="1">
        <v>319442</v>
      </c>
      <c r="AR378" s="1"/>
      <c r="AS378" s="1"/>
      <c r="AT378" s="1"/>
      <c r="AU378" s="1">
        <v>0</v>
      </c>
      <c r="AV378" s="1"/>
      <c r="AW378" s="1">
        <f t="shared" si="26"/>
        <v>15277001</v>
      </c>
      <c r="AY378" s="1">
        <f>+'St of Activites - GA Rev'!AI378-'St of Activities - GA Exp'!AW378</f>
        <v>-17426</v>
      </c>
      <c r="BA378" s="1">
        <v>30437345</v>
      </c>
      <c r="BC378" s="1">
        <f t="shared" si="25"/>
        <v>30419919</v>
      </c>
      <c r="BE378" s="1">
        <f>+'St of Net Assets - GA'!AA378-'St of Activities - GA Exp'!BC378</f>
        <v>0</v>
      </c>
    </row>
    <row r="379" spans="1:57" ht="12" customHeight="1">
      <c r="A379" s="17" t="s">
        <v>727</v>
      </c>
      <c r="B379" s="17"/>
      <c r="C379" s="17" t="s">
        <v>27</v>
      </c>
      <c r="D379" s="17"/>
      <c r="E379" s="13"/>
      <c r="G379" s="1">
        <v>25710032</v>
      </c>
      <c r="H379" s="1"/>
      <c r="I379" s="1">
        <v>5675960</v>
      </c>
      <c r="J379" s="1"/>
      <c r="K379" s="1">
        <v>1315561</v>
      </c>
      <c r="L379" s="1"/>
      <c r="M379" s="1">
        <v>61856</v>
      </c>
      <c r="N379" s="1"/>
      <c r="O379" s="1">
        <v>3086251</v>
      </c>
      <c r="P379" s="1"/>
      <c r="Q379" s="1">
        <v>1848469</v>
      </c>
      <c r="R379" s="1"/>
      <c r="S379" s="1">
        <v>56280</v>
      </c>
      <c r="T379" s="1"/>
      <c r="U379" s="1">
        <v>3245307</v>
      </c>
      <c r="V379" s="1"/>
      <c r="W379" s="1">
        <v>0</v>
      </c>
      <c r="X379" s="1"/>
      <c r="Y379" s="1">
        <v>1914808</v>
      </c>
      <c r="Z379" s="1"/>
      <c r="AA379" s="1">
        <v>4874754</v>
      </c>
      <c r="AB379" s="1"/>
      <c r="AC379" s="1">
        <v>2577797</v>
      </c>
      <c r="AD379" s="1"/>
      <c r="AE379" s="1">
        <v>389872</v>
      </c>
      <c r="AF379" s="1"/>
      <c r="AG379" s="1">
        <v>1522331</v>
      </c>
      <c r="AH379" s="1"/>
      <c r="AI379" s="1">
        <f>547262+266633</f>
        <v>813895</v>
      </c>
      <c r="AJ379" s="1"/>
      <c r="AK379" s="17" t="s">
        <v>727</v>
      </c>
      <c r="AL379" s="17"/>
      <c r="AM379" s="17" t="s">
        <v>27</v>
      </c>
      <c r="AN379" s="17"/>
      <c r="AO379" s="1">
        <v>2172429</v>
      </c>
      <c r="AP379" s="1"/>
      <c r="AQ379" s="1">
        <v>4476887</v>
      </c>
      <c r="AR379" s="1"/>
      <c r="AS379" s="1"/>
      <c r="AT379" s="1"/>
      <c r="AU379" s="1">
        <v>0</v>
      </c>
      <c r="AV379" s="1"/>
      <c r="AW379" s="1">
        <f t="shared" si="26"/>
        <v>59742489</v>
      </c>
      <c r="AY379" s="1">
        <f>+'St of Activites - GA Rev'!AI379-'St of Activities - GA Exp'!AW379</f>
        <v>659696</v>
      </c>
      <c r="BA379" s="1">
        <v>39454668</v>
      </c>
      <c r="BC379" s="1">
        <f t="shared" si="25"/>
        <v>40114364</v>
      </c>
      <c r="BE379" s="1">
        <f>+'St of Net Assets - GA'!AA379-'St of Activities - GA Exp'!BC379</f>
        <v>0</v>
      </c>
    </row>
    <row r="380" spans="1:57">
      <c r="A380" s="17" t="s">
        <v>563</v>
      </c>
      <c r="B380" s="17"/>
      <c r="C380" s="17" t="s">
        <v>59</v>
      </c>
      <c r="D380" s="17"/>
      <c r="E380" s="13">
        <v>44461</v>
      </c>
      <c r="G380" s="1">
        <v>2475884</v>
      </c>
      <c r="H380" s="1"/>
      <c r="I380" s="1">
        <v>695206</v>
      </c>
      <c r="J380" s="1"/>
      <c r="K380" s="1">
        <v>1649</v>
      </c>
      <c r="L380" s="1"/>
      <c r="M380" s="1">
        <v>86495</v>
      </c>
      <c r="N380" s="1"/>
      <c r="O380" s="1">
        <v>176897</v>
      </c>
      <c r="P380" s="1"/>
      <c r="Q380" s="1">
        <v>283549</v>
      </c>
      <c r="R380" s="1"/>
      <c r="S380" s="1">
        <v>12751</v>
      </c>
      <c r="T380" s="1"/>
      <c r="U380" s="1">
        <v>543532</v>
      </c>
      <c r="V380" s="1"/>
      <c r="W380" s="1">
        <v>188419</v>
      </c>
      <c r="X380" s="1"/>
      <c r="Y380" s="1">
        <v>0</v>
      </c>
      <c r="Z380" s="1"/>
      <c r="AA380" s="1">
        <v>470195</v>
      </c>
      <c r="AB380" s="1"/>
      <c r="AC380" s="1">
        <v>95523</v>
      </c>
      <c r="AD380" s="1"/>
      <c r="AE380" s="1">
        <v>57662</v>
      </c>
      <c r="AF380" s="1"/>
      <c r="AG380" s="1">
        <v>231598</v>
      </c>
      <c r="AH380" s="1"/>
      <c r="AI380" s="1">
        <v>0</v>
      </c>
      <c r="AJ380" s="1"/>
      <c r="AK380" s="17" t="s">
        <v>563</v>
      </c>
      <c r="AL380" s="17"/>
      <c r="AM380" s="17" t="s">
        <v>59</v>
      </c>
      <c r="AN380" s="17"/>
      <c r="AO380" s="1">
        <v>106679</v>
      </c>
      <c r="AP380" s="1"/>
      <c r="AQ380" s="1">
        <v>183397</v>
      </c>
      <c r="AR380" s="1"/>
      <c r="AS380" s="1"/>
      <c r="AT380" s="1"/>
      <c r="AU380" s="1">
        <v>0</v>
      </c>
      <c r="AV380" s="1"/>
      <c r="AW380" s="1">
        <f t="shared" si="26"/>
        <v>5609436</v>
      </c>
      <c r="AY380" s="1">
        <f>+'St of Activites - GA Rev'!AI380-'St of Activities - GA Exp'!AW380</f>
        <v>1009656</v>
      </c>
      <c r="BA380" s="1">
        <v>20234838</v>
      </c>
      <c r="BC380" s="1">
        <f t="shared" si="25"/>
        <v>21244494</v>
      </c>
      <c r="BE380" s="1">
        <f>+'St of Net Assets - GA'!AA380-'St of Activities - GA Exp'!BC380</f>
        <v>0</v>
      </c>
    </row>
    <row r="381" spans="1:57">
      <c r="A381" s="17" t="s">
        <v>218</v>
      </c>
      <c r="B381" s="17"/>
      <c r="C381" s="17" t="s">
        <v>14</v>
      </c>
      <c r="D381" s="17"/>
      <c r="E381" s="13">
        <v>45955</v>
      </c>
      <c r="G381" s="1">
        <v>4356061</v>
      </c>
      <c r="H381" s="1"/>
      <c r="I381" s="1">
        <v>394555</v>
      </c>
      <c r="J381" s="1"/>
      <c r="K381" s="1">
        <v>155145</v>
      </c>
      <c r="L381" s="1"/>
      <c r="M381" s="1">
        <v>0</v>
      </c>
      <c r="N381" s="1"/>
      <c r="O381" s="1">
        <v>491996</v>
      </c>
      <c r="P381" s="1"/>
      <c r="Q381" s="1">
        <v>459945</v>
      </c>
      <c r="R381" s="1"/>
      <c r="S381" s="1">
        <v>24469</v>
      </c>
      <c r="T381" s="1"/>
      <c r="U381" s="1">
        <v>839314</v>
      </c>
      <c r="V381" s="1"/>
      <c r="W381" s="1">
        <v>280131</v>
      </c>
      <c r="X381" s="1"/>
      <c r="Y381" s="1">
        <v>0</v>
      </c>
      <c r="Z381" s="1"/>
      <c r="AA381" s="1">
        <v>925517</v>
      </c>
      <c r="AB381" s="1"/>
      <c r="AC381" s="1">
        <v>156897</v>
      </c>
      <c r="AD381" s="1"/>
      <c r="AE381" s="1">
        <v>65743</v>
      </c>
      <c r="AF381" s="1"/>
      <c r="AG381" s="1">
        <v>0</v>
      </c>
      <c r="AH381" s="1"/>
      <c r="AI381" s="1">
        <v>359141</v>
      </c>
      <c r="AJ381" s="1"/>
      <c r="AK381" s="17" t="s">
        <v>218</v>
      </c>
      <c r="AL381" s="17"/>
      <c r="AM381" s="17" t="s">
        <v>14</v>
      </c>
      <c r="AN381" s="17"/>
      <c r="AO381" s="1">
        <v>517303</v>
      </c>
      <c r="AP381" s="1"/>
      <c r="AQ381" s="1">
        <v>330299</v>
      </c>
      <c r="AR381" s="1"/>
      <c r="AS381" s="1"/>
      <c r="AT381" s="1"/>
      <c r="AU381" s="1">
        <v>0</v>
      </c>
      <c r="AV381" s="1"/>
      <c r="AW381" s="1">
        <f t="shared" si="26"/>
        <v>9356516</v>
      </c>
      <c r="AY381" s="1">
        <f>+'St of Activites - GA Rev'!AI381-'St of Activities - GA Exp'!AW381</f>
        <v>998412</v>
      </c>
      <c r="BA381" s="1">
        <v>13539484</v>
      </c>
      <c r="BC381" s="1">
        <f t="shared" si="25"/>
        <v>14537896</v>
      </c>
      <c r="BE381" s="1">
        <f>+'St of Net Assets - GA'!AA381-'St of Activities - GA Exp'!BC381</f>
        <v>0</v>
      </c>
    </row>
    <row r="382" spans="1:57" ht="12" hidden="1" customHeight="1">
      <c r="A382" s="17" t="s">
        <v>879</v>
      </c>
      <c r="B382" s="17"/>
      <c r="C382" s="17" t="s">
        <v>14</v>
      </c>
      <c r="D382" s="17"/>
      <c r="E382" s="13">
        <v>45963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7" t="s">
        <v>879</v>
      </c>
      <c r="AL382" s="12"/>
      <c r="AM382" s="12" t="s">
        <v>14</v>
      </c>
      <c r="AN382" s="12"/>
      <c r="AO382" s="1"/>
      <c r="AP382" s="1"/>
      <c r="AQ382" s="1"/>
      <c r="AR382" s="1"/>
      <c r="AS382" s="1"/>
      <c r="AT382" s="1"/>
      <c r="AU382" s="1"/>
      <c r="AV382" s="1"/>
      <c r="AW382" s="1">
        <f t="shared" si="26"/>
        <v>0</v>
      </c>
      <c r="AY382" s="1">
        <f>+'St of Activites - GA Rev'!AI382-'St of Activities - GA Exp'!AW382</f>
        <v>0</v>
      </c>
      <c r="BC382" s="1">
        <f t="shared" si="25"/>
        <v>0</v>
      </c>
      <c r="BE382" s="1">
        <f>+'St of Net Assets - GA'!AA382-'St of Activities - GA Exp'!BC382</f>
        <v>0</v>
      </c>
    </row>
    <row r="383" spans="1:57" ht="12" customHeight="1">
      <c r="A383" s="17" t="s">
        <v>502</v>
      </c>
      <c r="B383" s="17"/>
      <c r="C383" s="17" t="s">
        <v>50</v>
      </c>
      <c r="D383" s="17"/>
      <c r="E383" s="13">
        <v>48710</v>
      </c>
      <c r="G383" s="1">
        <v>4802967</v>
      </c>
      <c r="H383" s="1"/>
      <c r="I383" s="1">
        <v>1436107</v>
      </c>
      <c r="J383" s="1"/>
      <c r="K383" s="1">
        <v>0</v>
      </c>
      <c r="L383" s="1"/>
      <c r="M383" s="1">
        <v>249328</v>
      </c>
      <c r="N383" s="1"/>
      <c r="O383" s="1">
        <v>490380</v>
      </c>
      <c r="P383" s="1"/>
      <c r="Q383" s="1">
        <v>742239</v>
      </c>
      <c r="R383" s="1"/>
      <c r="S383" s="1">
        <v>67482</v>
      </c>
      <c r="T383" s="1"/>
      <c r="U383" s="1">
        <v>868707</v>
      </c>
      <c r="V383" s="1"/>
      <c r="W383" s="1">
        <v>281813</v>
      </c>
      <c r="X383" s="1"/>
      <c r="Y383" s="1">
        <v>90394</v>
      </c>
      <c r="Z383" s="1"/>
      <c r="AA383" s="1">
        <v>1367635</v>
      </c>
      <c r="AB383" s="1"/>
      <c r="AC383" s="1">
        <v>485461</v>
      </c>
      <c r="AD383" s="1"/>
      <c r="AE383" s="1">
        <v>178259</v>
      </c>
      <c r="AF383" s="1"/>
      <c r="AG383" s="1">
        <v>475775</v>
      </c>
      <c r="AH383" s="1"/>
      <c r="AI383" s="1">
        <v>549</v>
      </c>
      <c r="AJ383" s="1"/>
      <c r="AK383" s="17" t="s">
        <v>502</v>
      </c>
      <c r="AL383" s="17"/>
      <c r="AM383" s="17" t="s">
        <v>50</v>
      </c>
      <c r="AN383" s="17"/>
      <c r="AO383" s="1">
        <v>448488</v>
      </c>
      <c r="AP383" s="1"/>
      <c r="AQ383" s="1">
        <v>183660</v>
      </c>
      <c r="AR383" s="1"/>
      <c r="AS383" s="1"/>
      <c r="AT383" s="1"/>
      <c r="AU383" s="1">
        <v>0</v>
      </c>
      <c r="AV383" s="1"/>
      <c r="AW383" s="1">
        <f t="shared" si="26"/>
        <v>12169244</v>
      </c>
      <c r="AY383" s="1">
        <f>+'St of Activites - GA Rev'!AI383-'St of Activities - GA Exp'!AW383</f>
        <v>276890</v>
      </c>
      <c r="BA383" s="1">
        <v>27817307</v>
      </c>
      <c r="BC383" s="1">
        <f t="shared" si="25"/>
        <v>28094197</v>
      </c>
      <c r="BE383" s="1">
        <f>+'St of Net Assets - GA'!AA383-'St of Activities - GA Exp'!BC383</f>
        <v>0</v>
      </c>
    </row>
    <row r="384" spans="1:57" hidden="1">
      <c r="A384" s="12" t="s">
        <v>889</v>
      </c>
      <c r="B384" s="17"/>
      <c r="C384" s="17" t="s">
        <v>524</v>
      </c>
      <c r="D384" s="17"/>
      <c r="E384" s="13">
        <v>44479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2" t="s">
        <v>889</v>
      </c>
      <c r="AL384" s="17"/>
      <c r="AM384" s="17" t="s">
        <v>524</v>
      </c>
      <c r="AN384" s="17"/>
      <c r="AO384" s="1"/>
      <c r="AP384" s="1"/>
      <c r="AQ384" s="1"/>
      <c r="AR384" s="1"/>
      <c r="AS384" s="1"/>
      <c r="AT384" s="1"/>
      <c r="AU384" s="1"/>
      <c r="AV384" s="1"/>
      <c r="AW384" s="1">
        <f t="shared" si="26"/>
        <v>0</v>
      </c>
      <c r="AY384" s="1">
        <f>+'St of Activites - GA Rev'!AI384-'St of Activities - GA Exp'!AW384</f>
        <v>0</v>
      </c>
      <c r="BC384" s="1">
        <f t="shared" si="25"/>
        <v>0</v>
      </c>
      <c r="BE384" s="1">
        <f>+'St of Net Assets - GA'!AA384-'St of Activities - GA Exp'!BC384</f>
        <v>0</v>
      </c>
    </row>
    <row r="385" spans="1:57">
      <c r="A385" s="17" t="s">
        <v>405</v>
      </c>
      <c r="B385" s="17"/>
      <c r="C385" s="17" t="s">
        <v>37</v>
      </c>
      <c r="D385" s="17"/>
      <c r="E385" s="13">
        <v>47720</v>
      </c>
      <c r="G385" s="1">
        <v>5475496</v>
      </c>
      <c r="H385" s="1"/>
      <c r="I385" s="1">
        <v>1020643</v>
      </c>
      <c r="J385" s="1"/>
      <c r="K385" s="1">
        <v>360515</v>
      </c>
      <c r="L385" s="1"/>
      <c r="M385" s="1">
        <f>19880+12954</f>
        <v>32834</v>
      </c>
      <c r="N385" s="1"/>
      <c r="O385" s="1">
        <v>290754</v>
      </c>
      <c r="P385" s="1"/>
      <c r="Q385" s="1">
        <v>618053</v>
      </c>
      <c r="R385" s="1"/>
      <c r="S385" s="1">
        <v>18485</v>
      </c>
      <c r="T385" s="1"/>
      <c r="U385" s="1">
        <v>736746</v>
      </c>
      <c r="V385" s="1"/>
      <c r="W385" s="1">
        <v>244464</v>
      </c>
      <c r="X385" s="1"/>
      <c r="Y385" s="1">
        <v>10014</v>
      </c>
      <c r="Z385" s="1"/>
      <c r="AA385" s="1">
        <v>912623</v>
      </c>
      <c r="AB385" s="1"/>
      <c r="AC385" s="1">
        <v>519221</v>
      </c>
      <c r="AD385" s="1"/>
      <c r="AE385" s="1">
        <v>0</v>
      </c>
      <c r="AF385" s="1"/>
      <c r="AG385" s="1">
        <v>389811</v>
      </c>
      <c r="AH385" s="1"/>
      <c r="AI385" s="1">
        <v>3696</v>
      </c>
      <c r="AJ385" s="1"/>
      <c r="AK385" s="17" t="s">
        <v>405</v>
      </c>
      <c r="AL385" s="17"/>
      <c r="AM385" s="17" t="s">
        <v>37</v>
      </c>
      <c r="AN385" s="17"/>
      <c r="AO385" s="1">
        <v>428893</v>
      </c>
      <c r="AP385" s="1"/>
      <c r="AQ385" s="1">
        <v>132793</v>
      </c>
      <c r="AR385" s="1"/>
      <c r="AS385" s="1"/>
      <c r="AT385" s="1"/>
      <c r="AU385" s="1">
        <v>0</v>
      </c>
      <c r="AV385" s="1"/>
      <c r="AW385" s="1">
        <f t="shared" si="26"/>
        <v>11195041</v>
      </c>
      <c r="AY385" s="1">
        <f>+'St of Activites - GA Rev'!AI385-'St of Activities - GA Exp'!AW385</f>
        <v>-416774</v>
      </c>
      <c r="BA385" s="1">
        <v>13927294</v>
      </c>
      <c r="BC385" s="1">
        <f t="shared" si="25"/>
        <v>13510520</v>
      </c>
      <c r="BE385" s="1">
        <f>+'St of Net Assets - GA'!AA385-'St of Activities - GA Exp'!BC385</f>
        <v>0</v>
      </c>
    </row>
    <row r="386" spans="1:57">
      <c r="A386" s="17" t="s">
        <v>234</v>
      </c>
      <c r="B386" s="17"/>
      <c r="C386" s="17" t="s">
        <v>227</v>
      </c>
      <c r="D386" s="17"/>
      <c r="E386" s="13">
        <v>46136</v>
      </c>
      <c r="G386" s="1">
        <v>3452882</v>
      </c>
      <c r="H386" s="1"/>
      <c r="I386" s="1">
        <v>533464</v>
      </c>
      <c r="J386" s="1"/>
      <c r="K386" s="1">
        <v>0</v>
      </c>
      <c r="L386" s="1"/>
      <c r="M386" s="1">
        <v>60020</v>
      </c>
      <c r="N386" s="1"/>
      <c r="O386" s="1">
        <v>297261</v>
      </c>
      <c r="P386" s="1"/>
      <c r="Q386" s="1">
        <v>262623</v>
      </c>
      <c r="R386" s="1"/>
      <c r="S386" s="1">
        <v>49295</v>
      </c>
      <c r="T386" s="1"/>
      <c r="U386" s="1">
        <v>934778</v>
      </c>
      <c r="V386" s="1"/>
      <c r="W386" s="1">
        <v>194781</v>
      </c>
      <c r="X386" s="1"/>
      <c r="Y386" s="1">
        <v>46306</v>
      </c>
      <c r="Z386" s="1"/>
      <c r="AA386" s="1">
        <v>883922</v>
      </c>
      <c r="AB386" s="1"/>
      <c r="AC386" s="1">
        <v>405438</v>
      </c>
      <c r="AD386" s="1"/>
      <c r="AE386" s="1">
        <v>1851</v>
      </c>
      <c r="AF386" s="1"/>
      <c r="AG386" s="1">
        <v>458638</v>
      </c>
      <c r="AH386" s="1"/>
      <c r="AI386" s="1">
        <v>0</v>
      </c>
      <c r="AJ386" s="1"/>
      <c r="AK386" s="17" t="s">
        <v>234</v>
      </c>
      <c r="AL386" s="17"/>
      <c r="AM386" s="17" t="s">
        <v>227</v>
      </c>
      <c r="AN386" s="17"/>
      <c r="AO386" s="1">
        <v>160068</v>
      </c>
      <c r="AP386" s="1"/>
      <c r="AQ386" s="1">
        <v>276217</v>
      </c>
      <c r="AR386" s="1"/>
      <c r="AS386" s="1"/>
      <c r="AT386" s="1"/>
      <c r="AU386" s="1">
        <v>0</v>
      </c>
      <c r="AV386" s="1"/>
      <c r="AW386" s="1">
        <f t="shared" si="26"/>
        <v>8017544</v>
      </c>
      <c r="AY386" s="1">
        <f>+'St of Activites - GA Rev'!AI386-'St of Activities - GA Exp'!AW386</f>
        <v>-69132</v>
      </c>
      <c r="BA386" s="1">
        <v>13711222</v>
      </c>
      <c r="BC386" s="1">
        <f t="shared" si="25"/>
        <v>13642090</v>
      </c>
      <c r="BE386" s="1">
        <f>+'St of Net Assets - GA'!AA386-'St of Activities - GA Exp'!BC386</f>
        <v>0</v>
      </c>
    </row>
    <row r="387" spans="1:57">
      <c r="A387" s="17" t="s">
        <v>622</v>
      </c>
      <c r="B387" s="17"/>
      <c r="C387" s="17" t="s">
        <v>65</v>
      </c>
      <c r="D387" s="17"/>
      <c r="E387" s="13">
        <v>44487</v>
      </c>
      <c r="G387" s="1">
        <v>11858845</v>
      </c>
      <c r="H387" s="1"/>
      <c r="I387" s="1">
        <v>2844884</v>
      </c>
      <c r="J387" s="1"/>
      <c r="K387" s="1">
        <v>126608</v>
      </c>
      <c r="L387" s="1"/>
      <c r="M387" s="1">
        <v>330000</v>
      </c>
      <c r="N387" s="1"/>
      <c r="O387" s="1">
        <v>1388878</v>
      </c>
      <c r="P387" s="1"/>
      <c r="Q387" s="1">
        <v>1035536</v>
      </c>
      <c r="R387" s="1"/>
      <c r="S387" s="1">
        <v>57651</v>
      </c>
      <c r="T387" s="1"/>
      <c r="U387" s="1">
        <v>2146660</v>
      </c>
      <c r="V387" s="1"/>
      <c r="W387" s="1">
        <v>831105</v>
      </c>
      <c r="X387" s="1"/>
      <c r="Y387" s="1">
        <v>0</v>
      </c>
      <c r="Z387" s="1"/>
      <c r="AA387" s="1">
        <v>2707535</v>
      </c>
      <c r="AB387" s="1"/>
      <c r="AC387" s="1">
        <v>860904</v>
      </c>
      <c r="AD387" s="1"/>
      <c r="AE387" s="1">
        <v>0</v>
      </c>
      <c r="AF387" s="1"/>
      <c r="AG387" s="1">
        <v>828885</v>
      </c>
      <c r="AH387" s="1"/>
      <c r="AI387" s="1">
        <v>423546</v>
      </c>
      <c r="AJ387" s="1"/>
      <c r="AK387" s="17" t="s">
        <v>622</v>
      </c>
      <c r="AL387" s="17"/>
      <c r="AM387" s="17" t="s">
        <v>65</v>
      </c>
      <c r="AN387" s="17"/>
      <c r="AO387" s="1">
        <v>1014360</v>
      </c>
      <c r="AP387" s="1"/>
      <c r="AQ387" s="1">
        <v>240150</v>
      </c>
      <c r="AR387" s="1"/>
      <c r="AS387" s="1"/>
      <c r="AT387" s="1"/>
      <c r="AU387" s="1">
        <v>0</v>
      </c>
      <c r="AV387" s="1"/>
      <c r="AW387" s="1">
        <f t="shared" si="26"/>
        <v>26695547</v>
      </c>
      <c r="AY387" s="1">
        <f>+'St of Activites - GA Rev'!AI387-'St of Activities - GA Exp'!AW387</f>
        <v>528149</v>
      </c>
      <c r="BA387" s="1">
        <v>15478142</v>
      </c>
      <c r="BC387" s="1">
        <f t="shared" si="25"/>
        <v>16006291</v>
      </c>
      <c r="BE387" s="1">
        <f>+'St of Net Assets - GA'!AA387-'St of Activities - GA Exp'!BC387</f>
        <v>-6291</v>
      </c>
    </row>
    <row r="388" spans="1:57">
      <c r="A388" s="17" t="s">
        <v>256</v>
      </c>
      <c r="B388" s="17"/>
      <c r="C388" s="17" t="s">
        <v>115</v>
      </c>
      <c r="D388" s="17"/>
      <c r="E388" s="13">
        <v>45559</v>
      </c>
      <c r="G388" s="1">
        <v>14053781</v>
      </c>
      <c r="H388" s="1"/>
      <c r="I388" s="1">
        <v>2974368</v>
      </c>
      <c r="J388" s="1"/>
      <c r="K388" s="1">
        <v>0</v>
      </c>
      <c r="L388" s="1"/>
      <c r="M388" s="1">
        <v>25860</v>
      </c>
      <c r="N388" s="1"/>
      <c r="O388" s="1">
        <v>1346120</v>
      </c>
      <c r="P388" s="1"/>
      <c r="Q388" s="1">
        <v>1205993</v>
      </c>
      <c r="R388" s="1"/>
      <c r="S388" s="1">
        <v>102669</v>
      </c>
      <c r="T388" s="1"/>
      <c r="U388" s="1">
        <v>1670693</v>
      </c>
      <c r="V388" s="1"/>
      <c r="W388" s="1">
        <v>882736</v>
      </c>
      <c r="X388" s="1"/>
      <c r="Y388" s="1">
        <v>0</v>
      </c>
      <c r="Z388" s="1"/>
      <c r="AA388" s="1">
        <v>3228183</v>
      </c>
      <c r="AB388" s="1"/>
      <c r="AC388" s="1">
        <v>2027504</v>
      </c>
      <c r="AD388" s="1"/>
      <c r="AE388" s="1">
        <v>339850</v>
      </c>
      <c r="AF388" s="1"/>
      <c r="AG388" s="1">
        <v>962661</v>
      </c>
      <c r="AH388" s="1"/>
      <c r="AI388" s="1">
        <f>11250+16526</f>
        <v>27776</v>
      </c>
      <c r="AJ388" s="1"/>
      <c r="AK388" s="17" t="s">
        <v>256</v>
      </c>
      <c r="AL388" s="17"/>
      <c r="AM388" s="17" t="s">
        <v>115</v>
      </c>
      <c r="AN388" s="17"/>
      <c r="AO388" s="1">
        <v>703085</v>
      </c>
      <c r="AP388" s="1"/>
      <c r="AQ388" s="1">
        <v>1690</v>
      </c>
      <c r="AR388" s="1"/>
      <c r="AS388" s="1"/>
      <c r="AT388" s="1"/>
      <c r="AU388" s="1">
        <v>0</v>
      </c>
      <c r="AV388" s="1"/>
      <c r="AW388" s="1">
        <f t="shared" si="26"/>
        <v>29552969</v>
      </c>
      <c r="AY388" s="1">
        <f>+'St of Activites - GA Rev'!AI388-'St of Activities - GA Exp'!AW388</f>
        <v>1950880</v>
      </c>
      <c r="BA388" s="1">
        <v>33387439</v>
      </c>
      <c r="BC388" s="1">
        <f t="shared" si="25"/>
        <v>35338319</v>
      </c>
      <c r="BE388" s="1">
        <f>+'St of Net Assets - GA'!AA388-'St of Activities - GA Exp'!BC388</f>
        <v>0</v>
      </c>
    </row>
    <row r="389" spans="1:57" ht="12" hidden="1" customHeight="1">
      <c r="A389" s="12" t="s">
        <v>888</v>
      </c>
      <c r="B389" s="17"/>
      <c r="C389" s="17" t="s">
        <v>60</v>
      </c>
      <c r="D389" s="17"/>
      <c r="E389" s="13">
        <v>49718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2" t="s">
        <v>888</v>
      </c>
      <c r="AL389" s="17"/>
      <c r="AM389" s="17" t="s">
        <v>60</v>
      </c>
      <c r="AN389" s="17"/>
      <c r="AO389" s="1"/>
      <c r="AP389" s="1"/>
      <c r="AQ389" s="1"/>
      <c r="AR389" s="1"/>
      <c r="AS389" s="1"/>
      <c r="AT389" s="1"/>
      <c r="AU389" s="1"/>
      <c r="AV389" s="1"/>
      <c r="AW389" s="1">
        <f t="shared" si="26"/>
        <v>0</v>
      </c>
      <c r="AY389" s="1">
        <f>+'St of Activites - GA Rev'!AI389-'St of Activities - GA Exp'!AW389</f>
        <v>0</v>
      </c>
      <c r="BC389" s="1">
        <f t="shared" si="25"/>
        <v>0</v>
      </c>
      <c r="BE389" s="1">
        <f>+'St of Net Assets - GA'!AA389-'St of Activities - GA Exp'!BC389</f>
        <v>0</v>
      </c>
    </row>
    <row r="390" spans="1:57">
      <c r="A390" s="17" t="s">
        <v>431</v>
      </c>
      <c r="B390" s="17"/>
      <c r="C390" s="17" t="s">
        <v>42</v>
      </c>
      <c r="D390" s="17"/>
      <c r="E390" s="13">
        <v>44453</v>
      </c>
      <c r="G390" s="1">
        <v>28912330</v>
      </c>
      <c r="H390" s="1"/>
      <c r="I390" s="1">
        <v>8652532</v>
      </c>
      <c r="J390" s="1"/>
      <c r="K390" s="1">
        <v>476722</v>
      </c>
      <c r="L390" s="1"/>
      <c r="M390" s="1">
        <v>538181</v>
      </c>
      <c r="N390" s="1"/>
      <c r="O390" s="1">
        <v>3141826</v>
      </c>
      <c r="P390" s="1"/>
      <c r="Q390" s="1">
        <v>4521869</v>
      </c>
      <c r="R390" s="1"/>
      <c r="S390" s="1">
        <v>209247</v>
      </c>
      <c r="T390" s="1"/>
      <c r="U390" s="1">
        <v>3512967</v>
      </c>
      <c r="V390" s="1"/>
      <c r="W390" s="1">
        <v>1145723</v>
      </c>
      <c r="X390" s="1"/>
      <c r="Y390" s="1">
        <v>669134</v>
      </c>
      <c r="Z390" s="1"/>
      <c r="AA390" s="1">
        <v>5638865</v>
      </c>
      <c r="AB390" s="1"/>
      <c r="AC390" s="1">
        <v>2354922</v>
      </c>
      <c r="AD390" s="1"/>
      <c r="AE390" s="1">
        <v>847739</v>
      </c>
      <c r="AF390" s="1"/>
      <c r="AG390" s="1">
        <v>2247871</v>
      </c>
      <c r="AH390" s="1"/>
      <c r="AI390" s="1">
        <v>593413</v>
      </c>
      <c r="AJ390" s="16"/>
      <c r="AK390" s="17" t="s">
        <v>431</v>
      </c>
      <c r="AL390" s="17"/>
      <c r="AM390" s="17" t="s">
        <v>42</v>
      </c>
      <c r="AN390" s="17"/>
      <c r="AO390" s="1">
        <v>960411</v>
      </c>
      <c r="AP390" s="1"/>
      <c r="AQ390" s="1">
        <v>2997107</v>
      </c>
      <c r="AR390" s="1"/>
      <c r="AS390" s="1"/>
      <c r="AT390" s="1"/>
      <c r="AU390" s="1">
        <v>0</v>
      </c>
      <c r="AV390" s="1"/>
      <c r="AW390" s="1">
        <f t="shared" si="26"/>
        <v>67420859</v>
      </c>
      <c r="AY390" s="1">
        <f>+'St of Activites - GA Rev'!AI390-'St of Activities - GA Exp'!AW390</f>
        <v>8875422</v>
      </c>
      <c r="BA390" s="1">
        <v>100519785</v>
      </c>
      <c r="BC390" s="1">
        <f t="shared" si="25"/>
        <v>109395207</v>
      </c>
      <c r="BE390" s="1">
        <f>+'St of Net Assets - GA'!AA390-'St of Activities - GA Exp'!BC390</f>
        <v>0</v>
      </c>
    </row>
    <row r="391" spans="1:57">
      <c r="A391" s="17" t="s">
        <v>355</v>
      </c>
      <c r="B391" s="17"/>
      <c r="C391" s="17" t="s">
        <v>30</v>
      </c>
      <c r="D391" s="17"/>
      <c r="E391" s="13">
        <v>47217</v>
      </c>
      <c r="G391" s="1">
        <v>4006748</v>
      </c>
      <c r="H391" s="1"/>
      <c r="I391" s="1">
        <v>971784</v>
      </c>
      <c r="J391" s="1"/>
      <c r="K391" s="1">
        <v>54072</v>
      </c>
      <c r="L391" s="1"/>
      <c r="M391" s="1">
        <v>4125</v>
      </c>
      <c r="N391" s="1"/>
      <c r="O391" s="1">
        <v>382738</v>
      </c>
      <c r="P391" s="1"/>
      <c r="Q391" s="1">
        <v>162965</v>
      </c>
      <c r="R391" s="1"/>
      <c r="S391" s="1">
        <v>85795</v>
      </c>
      <c r="T391" s="1"/>
      <c r="U391" s="1">
        <v>551591</v>
      </c>
      <c r="V391" s="1"/>
      <c r="W391" s="1">
        <v>301578</v>
      </c>
      <c r="X391" s="1"/>
      <c r="Y391" s="1">
        <v>0</v>
      </c>
      <c r="Z391" s="1"/>
      <c r="AA391" s="1">
        <v>772030</v>
      </c>
      <c r="AB391" s="1"/>
      <c r="AC391" s="1">
        <v>616485</v>
      </c>
      <c r="AD391" s="1"/>
      <c r="AE391" s="1">
        <v>95123</v>
      </c>
      <c r="AF391" s="1"/>
      <c r="AG391" s="1">
        <v>0</v>
      </c>
      <c r="AH391" s="1"/>
      <c r="AI391" s="1">
        <v>356777</v>
      </c>
      <c r="AJ391" s="1"/>
      <c r="AK391" s="17" t="s">
        <v>355</v>
      </c>
      <c r="AL391" s="17"/>
      <c r="AM391" s="17" t="s">
        <v>30</v>
      </c>
      <c r="AN391" s="17"/>
      <c r="AO391" s="1">
        <v>328426</v>
      </c>
      <c r="AP391" s="1"/>
      <c r="AQ391" s="1">
        <v>0</v>
      </c>
      <c r="AR391" s="1"/>
      <c r="AS391" s="1"/>
      <c r="AT391" s="1"/>
      <c r="AU391" s="1">
        <v>0</v>
      </c>
      <c r="AV391" s="1"/>
      <c r="AW391" s="1">
        <f t="shared" si="26"/>
        <v>8690237</v>
      </c>
      <c r="AY391" s="1">
        <f>+'St of Activites - GA Rev'!AI391-'St of Activities - GA Exp'!AW391</f>
        <v>-64506</v>
      </c>
      <c r="BA391" s="1">
        <v>4147947</v>
      </c>
      <c r="BC391" s="1">
        <f t="shared" si="25"/>
        <v>4083441</v>
      </c>
      <c r="BE391" s="1">
        <f>+'St of Net Assets - GA'!AA391-'St of Activities - GA Exp'!BC391</f>
        <v>0</v>
      </c>
    </row>
    <row r="392" spans="1:57">
      <c r="A392" s="17" t="s">
        <v>623</v>
      </c>
      <c r="B392" s="17"/>
      <c r="C392" s="17" t="s">
        <v>65</v>
      </c>
      <c r="D392" s="17"/>
      <c r="E392" s="13">
        <v>45542</v>
      </c>
      <c r="G392" s="1">
        <v>5408192</v>
      </c>
      <c r="H392" s="1"/>
      <c r="I392" s="1">
        <v>1166006</v>
      </c>
      <c r="J392" s="1"/>
      <c r="K392" s="1">
        <v>108613</v>
      </c>
      <c r="L392" s="1"/>
      <c r="M392" s="1">
        <f>1234+425126</f>
        <v>426360</v>
      </c>
      <c r="N392" s="1"/>
      <c r="O392" s="1">
        <v>382939</v>
      </c>
      <c r="P392" s="1"/>
      <c r="Q392" s="1">
        <v>990525</v>
      </c>
      <c r="R392" s="1"/>
      <c r="S392" s="1">
        <v>0</v>
      </c>
      <c r="T392" s="1"/>
      <c r="U392" s="1">
        <v>1112808</v>
      </c>
      <c r="V392" s="1"/>
      <c r="W392" s="1">
        <v>336793</v>
      </c>
      <c r="X392" s="1"/>
      <c r="Y392" s="1">
        <v>0</v>
      </c>
      <c r="Z392" s="1"/>
      <c r="AA392" s="1">
        <v>1592535</v>
      </c>
      <c r="AB392" s="1"/>
      <c r="AC392" s="1">
        <v>580956</v>
      </c>
      <c r="AD392" s="1"/>
      <c r="AE392" s="1">
        <v>0</v>
      </c>
      <c r="AF392" s="1"/>
      <c r="AG392" s="1">
        <v>580630</v>
      </c>
      <c r="AH392" s="1"/>
      <c r="AI392" s="1">
        <v>30264</v>
      </c>
      <c r="AJ392" s="1"/>
      <c r="AK392" s="17" t="s">
        <v>623</v>
      </c>
      <c r="AL392" s="17"/>
      <c r="AM392" s="17" t="s">
        <v>65</v>
      </c>
      <c r="AN392" s="17"/>
      <c r="AO392" s="1">
        <v>393337</v>
      </c>
      <c r="AP392" s="1"/>
      <c r="AQ392" s="1">
        <v>173602</v>
      </c>
      <c r="AR392" s="1"/>
      <c r="AS392" s="1"/>
      <c r="AT392" s="1"/>
      <c r="AU392" s="1">
        <v>0</v>
      </c>
      <c r="AV392" s="1"/>
      <c r="AW392" s="1">
        <f t="shared" si="26"/>
        <v>13283560</v>
      </c>
      <c r="AY392" s="1">
        <f>+'St of Activites - GA Rev'!AI392-'St of Activities - GA Exp'!AW392</f>
        <v>-736975</v>
      </c>
      <c r="BA392" s="1">
        <v>13739383</v>
      </c>
      <c r="BC392" s="1">
        <f t="shared" si="25"/>
        <v>13002408</v>
      </c>
      <c r="BE392" s="1">
        <f>+'St of Net Assets - GA'!AA392-'St of Activities - GA Exp'!BC392</f>
        <v>0</v>
      </c>
    </row>
    <row r="393" spans="1:57" ht="12" customHeight="1">
      <c r="A393" s="17" t="s">
        <v>614</v>
      </c>
      <c r="B393" s="17"/>
      <c r="C393" s="17" t="s">
        <v>64</v>
      </c>
      <c r="D393" s="17"/>
      <c r="E393" s="13">
        <v>45567</v>
      </c>
      <c r="G393" s="1">
        <v>6444632</v>
      </c>
      <c r="H393" s="1"/>
      <c r="I393" s="1">
        <v>1724161</v>
      </c>
      <c r="J393" s="1"/>
      <c r="K393" s="1">
        <v>174708</v>
      </c>
      <c r="L393" s="1"/>
      <c r="M393" s="1">
        <f>1000+19936</f>
        <v>20936</v>
      </c>
      <c r="N393" s="1"/>
      <c r="O393" s="1">
        <v>605418</v>
      </c>
      <c r="P393" s="1"/>
      <c r="Q393" s="1">
        <v>501423</v>
      </c>
      <c r="R393" s="1"/>
      <c r="S393" s="1">
        <v>90647</v>
      </c>
      <c r="T393" s="1"/>
      <c r="U393" s="1">
        <v>1087042</v>
      </c>
      <c r="V393" s="1"/>
      <c r="W393" s="1">
        <v>286885</v>
      </c>
      <c r="X393" s="1"/>
      <c r="Y393" s="1">
        <v>0</v>
      </c>
      <c r="Z393" s="1"/>
      <c r="AA393" s="1">
        <v>1258322</v>
      </c>
      <c r="AB393" s="1"/>
      <c r="AC393" s="1">
        <v>719859</v>
      </c>
      <c r="AD393" s="1"/>
      <c r="AE393" s="1">
        <v>312558</v>
      </c>
      <c r="AF393" s="1"/>
      <c r="AG393" s="1">
        <v>497979</v>
      </c>
      <c r="AH393" s="1"/>
      <c r="AI393" s="1">
        <v>99855</v>
      </c>
      <c r="AJ393" s="1"/>
      <c r="AK393" s="17" t="s">
        <v>614</v>
      </c>
      <c r="AL393" s="17"/>
      <c r="AM393" s="17" t="s">
        <v>64</v>
      </c>
      <c r="AN393" s="17"/>
      <c r="AO393" s="1">
        <v>373339</v>
      </c>
      <c r="AP393" s="1"/>
      <c r="AQ393" s="1">
        <v>185281</v>
      </c>
      <c r="AR393" s="1"/>
      <c r="AS393" s="1"/>
      <c r="AT393" s="1"/>
      <c r="AU393" s="1">
        <v>0</v>
      </c>
      <c r="AV393" s="1"/>
      <c r="AW393" s="1">
        <f t="shared" si="26"/>
        <v>14383045</v>
      </c>
      <c r="AY393" s="1">
        <f>+'St of Activites - GA Rev'!AI393-'St of Activities - GA Exp'!AW393</f>
        <v>-624017</v>
      </c>
      <c r="BA393" s="1">
        <v>19553740</v>
      </c>
      <c r="BC393" s="1">
        <f t="shared" si="25"/>
        <v>18929723</v>
      </c>
      <c r="BE393" s="1">
        <f>+'St of Net Assets - GA'!AA393-'St of Activities - GA Exp'!BC393</f>
        <v>0</v>
      </c>
    </row>
    <row r="394" spans="1:57" hidden="1">
      <c r="A394" s="12" t="s">
        <v>946</v>
      </c>
      <c r="B394" s="17"/>
      <c r="C394" s="17" t="s">
        <v>48</v>
      </c>
      <c r="D394" s="17"/>
      <c r="E394" s="13">
        <v>48637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2" t="s">
        <v>946</v>
      </c>
      <c r="AL394" s="17"/>
      <c r="AM394" s="17" t="s">
        <v>48</v>
      </c>
      <c r="AN394" s="17"/>
      <c r="AO394" s="1"/>
      <c r="AP394" s="1"/>
      <c r="AQ394" s="1"/>
      <c r="AR394" s="1"/>
      <c r="AS394" s="1"/>
      <c r="AT394" s="1"/>
      <c r="AU394" s="1"/>
      <c r="AV394" s="1"/>
      <c r="AW394" s="1">
        <f t="shared" si="26"/>
        <v>0</v>
      </c>
      <c r="AY394" s="1">
        <f>+'St of Activites - GA Rev'!AI394-'St of Activities - GA Exp'!AW394</f>
        <v>0</v>
      </c>
      <c r="BC394" s="1">
        <f t="shared" si="25"/>
        <v>0</v>
      </c>
      <c r="BE394" s="1">
        <f>+'St of Net Assets - GA'!AA394-'St of Activities - GA Exp'!BC394</f>
        <v>0</v>
      </c>
    </row>
    <row r="395" spans="1:57" ht="12" customHeight="1">
      <c r="A395" s="17" t="s">
        <v>723</v>
      </c>
      <c r="B395" s="17"/>
      <c r="C395" s="17" t="s">
        <v>64</v>
      </c>
      <c r="D395" s="17"/>
      <c r="E395" s="13"/>
      <c r="G395" s="1">
        <v>12611438</v>
      </c>
      <c r="H395" s="1"/>
      <c r="I395" s="1">
        <v>3831966</v>
      </c>
      <c r="J395" s="1"/>
      <c r="K395" s="1">
        <v>93422</v>
      </c>
      <c r="L395" s="1"/>
      <c r="M395" s="1">
        <v>1091921</v>
      </c>
      <c r="N395" s="1"/>
      <c r="O395" s="1">
        <v>1322380</v>
      </c>
      <c r="P395" s="1"/>
      <c r="Q395" s="1">
        <v>1051297</v>
      </c>
      <c r="R395" s="1"/>
      <c r="S395" s="1">
        <v>47355</v>
      </c>
      <c r="T395" s="1"/>
      <c r="U395" s="1">
        <v>2527337</v>
      </c>
      <c r="V395" s="1"/>
      <c r="W395" s="1">
        <v>694757</v>
      </c>
      <c r="X395" s="1"/>
      <c r="Y395" s="1">
        <v>343891</v>
      </c>
      <c r="Z395" s="1"/>
      <c r="AA395" s="1">
        <v>2499811</v>
      </c>
      <c r="AB395" s="1"/>
      <c r="AC395" s="1">
        <v>899725</v>
      </c>
      <c r="AD395" s="1"/>
      <c r="AE395" s="1">
        <v>244676</v>
      </c>
      <c r="AF395" s="1"/>
      <c r="AG395" s="1">
        <v>1201922</v>
      </c>
      <c r="AH395" s="1"/>
      <c r="AI395" s="1">
        <v>164217</v>
      </c>
      <c r="AJ395" s="1"/>
      <c r="AK395" s="17" t="s">
        <v>723</v>
      </c>
      <c r="AL395" s="17"/>
      <c r="AM395" s="17" t="s">
        <v>64</v>
      </c>
      <c r="AN395" s="17"/>
      <c r="AO395" s="1">
        <v>486505</v>
      </c>
      <c r="AP395" s="1"/>
      <c r="AQ395" s="1">
        <v>1172580</v>
      </c>
      <c r="AR395" s="1"/>
      <c r="AS395" s="1"/>
      <c r="AT395" s="1"/>
      <c r="AU395" s="1">
        <v>0</v>
      </c>
      <c r="AV395" s="1"/>
      <c r="AW395" s="1">
        <f t="shared" si="26"/>
        <v>30285200</v>
      </c>
      <c r="AY395" s="1">
        <f>+'St of Activites - GA Rev'!AI395-'St of Activities - GA Exp'!AW395</f>
        <v>-183706</v>
      </c>
      <c r="BA395" s="1">
        <v>48115146</v>
      </c>
      <c r="BC395" s="1">
        <f t="shared" si="25"/>
        <v>47931440</v>
      </c>
      <c r="BE395" s="1">
        <f>+'St of Net Assets - GA'!AA395-'St of Activities - GA Exp'!BC395</f>
        <v>0</v>
      </c>
    </row>
    <row r="396" spans="1:57">
      <c r="A396" s="17" t="s">
        <v>518</v>
      </c>
      <c r="B396" s="17"/>
      <c r="C396" s="17" t="s">
        <v>52</v>
      </c>
      <c r="D396" s="17"/>
      <c r="E396" s="13">
        <v>48900</v>
      </c>
      <c r="G396" s="1">
        <v>4653494</v>
      </c>
      <c r="H396" s="1"/>
      <c r="I396" s="1">
        <v>903446</v>
      </c>
      <c r="J396" s="1"/>
      <c r="K396" s="1">
        <v>292152</v>
      </c>
      <c r="L396" s="1"/>
      <c r="M396" s="1">
        <v>0</v>
      </c>
      <c r="N396" s="1"/>
      <c r="O396" s="1">
        <v>355017</v>
      </c>
      <c r="P396" s="1"/>
      <c r="Q396" s="1">
        <v>377894</v>
      </c>
      <c r="R396" s="1"/>
      <c r="S396" s="1">
        <v>59141</v>
      </c>
      <c r="T396" s="1"/>
      <c r="U396" s="1">
        <v>1224337</v>
      </c>
      <c r="V396" s="1"/>
      <c r="W396" s="1">
        <v>435814</v>
      </c>
      <c r="X396" s="1"/>
      <c r="Y396" s="1">
        <v>16041</v>
      </c>
      <c r="Z396" s="1"/>
      <c r="AA396" s="1">
        <v>841896</v>
      </c>
      <c r="AB396" s="1"/>
      <c r="AC396" s="1">
        <v>936939</v>
      </c>
      <c r="AD396" s="1"/>
      <c r="AE396" s="1">
        <v>5985</v>
      </c>
      <c r="AF396" s="1"/>
      <c r="AG396" s="1">
        <v>490802</v>
      </c>
      <c r="AH396" s="1"/>
      <c r="AI396" s="1">
        <v>3691</v>
      </c>
      <c r="AJ396" s="1"/>
      <c r="AK396" s="17" t="s">
        <v>518</v>
      </c>
      <c r="AL396" s="17"/>
      <c r="AM396" s="17" t="s">
        <v>52</v>
      </c>
      <c r="AN396" s="17"/>
      <c r="AO396" s="1">
        <v>199450</v>
      </c>
      <c r="AP396" s="1"/>
      <c r="AQ396" s="1">
        <v>11032</v>
      </c>
      <c r="AR396" s="1"/>
      <c r="AS396" s="1"/>
      <c r="AT396" s="1"/>
      <c r="AU396" s="1">
        <v>0</v>
      </c>
      <c r="AV396" s="1"/>
      <c r="AW396" s="1">
        <f t="shared" si="26"/>
        <v>10807131</v>
      </c>
      <c r="AY396" s="1">
        <f>+'St of Activites - GA Rev'!AI396-'St of Activities - GA Exp'!AW396</f>
        <v>71018</v>
      </c>
      <c r="BA396" s="1">
        <v>6160637</v>
      </c>
      <c r="BC396" s="1">
        <f t="shared" si="25"/>
        <v>6231655</v>
      </c>
      <c r="BE396" s="1">
        <f>+'St of Net Assets - GA'!AA396-'St of Activities - GA Exp'!BC396</f>
        <v>0</v>
      </c>
    </row>
    <row r="397" spans="1:57">
      <c r="A397" s="17" t="s">
        <v>592</v>
      </c>
      <c r="B397" s="17"/>
      <c r="C397" s="17" t="s">
        <v>63</v>
      </c>
      <c r="D397" s="17"/>
      <c r="E397" s="13">
        <v>50047</v>
      </c>
      <c r="G397" s="1">
        <v>19759581</v>
      </c>
      <c r="H397" s="1"/>
      <c r="I397" s="1">
        <v>4915780</v>
      </c>
      <c r="J397" s="1"/>
      <c r="K397" s="1">
        <v>341787</v>
      </c>
      <c r="L397" s="1"/>
      <c r="M397" s="1">
        <v>1025787</v>
      </c>
      <c r="N397" s="1"/>
      <c r="O397" s="1">
        <v>3999333</v>
      </c>
      <c r="P397" s="1"/>
      <c r="Q397" s="1">
        <v>1282605</v>
      </c>
      <c r="R397" s="1"/>
      <c r="S397" s="1">
        <v>101028</v>
      </c>
      <c r="T397" s="1"/>
      <c r="U397" s="1">
        <v>2844324</v>
      </c>
      <c r="V397" s="1"/>
      <c r="W397" s="1">
        <v>1150873</v>
      </c>
      <c r="X397" s="1"/>
      <c r="Y397" s="1">
        <v>290555</v>
      </c>
      <c r="Z397" s="1"/>
      <c r="AA397" s="1">
        <v>4039193</v>
      </c>
      <c r="AB397" s="1"/>
      <c r="AC397" s="1">
        <v>3514662</v>
      </c>
      <c r="AD397" s="1"/>
      <c r="AE397" s="1">
        <v>217259</v>
      </c>
      <c r="AF397" s="1"/>
      <c r="AG397" s="1">
        <v>1520020</v>
      </c>
      <c r="AH397" s="1"/>
      <c r="AI397" s="1">
        <v>491588</v>
      </c>
      <c r="AJ397" s="1"/>
      <c r="AK397" s="17" t="s">
        <v>592</v>
      </c>
      <c r="AL397" s="17"/>
      <c r="AM397" s="17" t="s">
        <v>63</v>
      </c>
      <c r="AN397" s="17"/>
      <c r="AO397" s="1">
        <v>1578580</v>
      </c>
      <c r="AP397" s="1"/>
      <c r="AQ397" s="1">
        <v>1943665</v>
      </c>
      <c r="AR397" s="1"/>
      <c r="AS397" s="1"/>
      <c r="AT397" s="1"/>
      <c r="AU397" s="1">
        <v>0</v>
      </c>
      <c r="AV397" s="1"/>
      <c r="AW397" s="1">
        <f t="shared" si="26"/>
        <v>49016620</v>
      </c>
      <c r="AY397" s="1">
        <f>+'St of Activites - GA Rev'!AI397-'St of Activities - GA Exp'!AW397</f>
        <v>-4164351</v>
      </c>
      <c r="BA397" s="1">
        <v>14318739</v>
      </c>
      <c r="BC397" s="1">
        <f t="shared" si="25"/>
        <v>10154388</v>
      </c>
      <c r="BE397" s="1">
        <f>+'St of Net Assets - GA'!AA397-'St of Activities - GA Exp'!BC397</f>
        <v>0</v>
      </c>
    </row>
    <row r="398" spans="1:57">
      <c r="A398" s="17" t="s">
        <v>648</v>
      </c>
      <c r="B398" s="17"/>
      <c r="C398" s="17" t="s">
        <v>72</v>
      </c>
      <c r="D398" s="17"/>
      <c r="E398" s="13">
        <v>50708</v>
      </c>
      <c r="G398" s="1">
        <v>2574882</v>
      </c>
      <c r="H398" s="1"/>
      <c r="I398" s="1">
        <v>1874507</v>
      </c>
      <c r="J398" s="1"/>
      <c r="K398" s="1">
        <v>0</v>
      </c>
      <c r="L398" s="1"/>
      <c r="M398" s="1">
        <v>754725</v>
      </c>
      <c r="N398" s="1"/>
      <c r="O398" s="1">
        <v>237845</v>
      </c>
      <c r="P398" s="1"/>
      <c r="Q398" s="1">
        <v>457475</v>
      </c>
      <c r="R398" s="1"/>
      <c r="S398" s="1">
        <v>176878</v>
      </c>
      <c r="T398" s="1"/>
      <c r="U398" s="1">
        <v>630178</v>
      </c>
      <c r="V398" s="1"/>
      <c r="W398" s="1">
        <v>312047</v>
      </c>
      <c r="X398" s="1"/>
      <c r="Y398" s="1">
        <v>0</v>
      </c>
      <c r="Z398" s="1"/>
      <c r="AA398" s="1">
        <v>667029</v>
      </c>
      <c r="AB398" s="1"/>
      <c r="AC398" s="1">
        <v>341836</v>
      </c>
      <c r="AD398" s="1"/>
      <c r="AE398" s="1">
        <v>0</v>
      </c>
      <c r="AF398" s="1"/>
      <c r="AG398" s="1">
        <v>270855</v>
      </c>
      <c r="AH398" s="1"/>
      <c r="AI398" s="1">
        <v>274670</v>
      </c>
      <c r="AJ398" s="1"/>
      <c r="AK398" s="17" t="s">
        <v>648</v>
      </c>
      <c r="AL398" s="17"/>
      <c r="AM398" s="17" t="s">
        <v>72</v>
      </c>
      <c r="AN398" s="17"/>
      <c r="AO398" s="1">
        <v>0</v>
      </c>
      <c r="AP398" s="1"/>
      <c r="AQ398" s="1">
        <v>314070</v>
      </c>
      <c r="AR398" s="1"/>
      <c r="AS398" s="1"/>
      <c r="AT398" s="1"/>
      <c r="AU398" s="1">
        <v>0</v>
      </c>
      <c r="AV398" s="1"/>
      <c r="AW398" s="1">
        <f t="shared" si="26"/>
        <v>8886997</v>
      </c>
      <c r="AY398" s="1">
        <f>+'St of Activites - GA Rev'!AI398-'St of Activities - GA Exp'!AW398</f>
        <v>12173462</v>
      </c>
      <c r="BA398" s="1">
        <v>1870731</v>
      </c>
      <c r="BC398" s="1">
        <f t="shared" si="25"/>
        <v>14044193</v>
      </c>
      <c r="BE398" s="1">
        <f>+'St of Net Assets - GA'!AA398-'St of Activities - GA Exp'!BC398</f>
        <v>0</v>
      </c>
    </row>
    <row r="399" spans="1:57" ht="12" hidden="1" customHeight="1">
      <c r="A399" s="17" t="s">
        <v>887</v>
      </c>
      <c r="B399" s="17"/>
      <c r="C399" s="17" t="s">
        <v>53</v>
      </c>
      <c r="D399" s="17"/>
      <c r="E399" s="13">
        <v>48967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7" t="s">
        <v>887</v>
      </c>
      <c r="AL399" s="17"/>
      <c r="AM399" s="17" t="s">
        <v>53</v>
      </c>
      <c r="AN399" s="17"/>
      <c r="AO399" s="1"/>
      <c r="AP399" s="1"/>
      <c r="AQ399" s="1"/>
      <c r="AR399" s="1"/>
      <c r="AS399" s="1"/>
      <c r="AT399" s="1"/>
      <c r="AU399" s="1"/>
      <c r="AV399" s="1"/>
      <c r="AW399" s="1">
        <f t="shared" si="26"/>
        <v>0</v>
      </c>
      <c r="AY399" s="1">
        <f>+'St of Activites - GA Rev'!AI399-'St of Activities - GA Exp'!AW399</f>
        <v>0</v>
      </c>
      <c r="BC399" s="1">
        <f t="shared" si="25"/>
        <v>0</v>
      </c>
      <c r="BE399" s="1">
        <f>+'St of Net Assets - GA'!AA399-'St of Activities - GA Exp'!BC399</f>
        <v>0</v>
      </c>
    </row>
    <row r="400" spans="1:57">
      <c r="A400" s="17" t="s">
        <v>582</v>
      </c>
      <c r="B400" s="17"/>
      <c r="C400" s="17" t="s">
        <v>62</v>
      </c>
      <c r="D400" s="17"/>
      <c r="E400" s="13">
        <v>44503</v>
      </c>
      <c r="G400" s="1">
        <v>20131134</v>
      </c>
      <c r="H400" s="1"/>
      <c r="I400" s="1">
        <v>3319207</v>
      </c>
      <c r="J400" s="1"/>
      <c r="K400" s="1">
        <v>1691545</v>
      </c>
      <c r="L400" s="1"/>
      <c r="M400" s="1">
        <f>52442+123646</f>
        <v>176088</v>
      </c>
      <c r="N400" s="1"/>
      <c r="O400" s="1">
        <v>2775728</v>
      </c>
      <c r="P400" s="1"/>
      <c r="Q400" s="1">
        <v>2597410</v>
      </c>
      <c r="R400" s="1"/>
      <c r="S400" s="1">
        <v>24595</v>
      </c>
      <c r="T400" s="1"/>
      <c r="U400" s="1">
        <v>3415563</v>
      </c>
      <c r="V400" s="1"/>
      <c r="W400" s="1">
        <v>992897</v>
      </c>
      <c r="X400" s="1"/>
      <c r="Y400" s="1">
        <v>29839</v>
      </c>
      <c r="Z400" s="1"/>
      <c r="AA400" s="1">
        <v>3905920</v>
      </c>
      <c r="AB400" s="1"/>
      <c r="AC400" s="1">
        <v>2756169</v>
      </c>
      <c r="AD400" s="1"/>
      <c r="AE400" s="1">
        <v>313001</v>
      </c>
      <c r="AF400" s="1"/>
      <c r="AG400" s="1">
        <v>1585609</v>
      </c>
      <c r="AH400" s="1"/>
      <c r="AI400" s="1">
        <v>257378</v>
      </c>
      <c r="AJ400" s="1"/>
      <c r="AK400" s="17" t="s">
        <v>582</v>
      </c>
      <c r="AL400" s="17"/>
      <c r="AM400" s="17" t="s">
        <v>62</v>
      </c>
      <c r="AN400" s="17"/>
      <c r="AO400" s="1">
        <v>1252333</v>
      </c>
      <c r="AP400" s="1"/>
      <c r="AQ400" s="1">
        <v>603210</v>
      </c>
      <c r="AR400" s="1"/>
      <c r="AS400" s="1"/>
      <c r="AT400" s="1"/>
      <c r="AU400" s="1">
        <v>0</v>
      </c>
      <c r="AV400" s="1"/>
      <c r="AW400" s="1">
        <f t="shared" si="26"/>
        <v>45827626</v>
      </c>
      <c r="AY400" s="1">
        <f>+'St of Activites - GA Rev'!AI400-'St of Activities - GA Exp'!AW400</f>
        <v>467756</v>
      </c>
      <c r="BA400" s="1">
        <v>3338732</v>
      </c>
      <c r="BC400" s="1">
        <f t="shared" si="25"/>
        <v>3806488</v>
      </c>
      <c r="BE400" s="1">
        <f>+'St of Net Assets - GA'!AA400-'St of Activities - GA Exp'!BC400</f>
        <v>0</v>
      </c>
    </row>
    <row r="401" spans="1:57" hidden="1">
      <c r="A401" s="17" t="s">
        <v>886</v>
      </c>
      <c r="B401" s="17"/>
      <c r="C401" s="17" t="s">
        <v>643</v>
      </c>
      <c r="D401" s="17"/>
      <c r="E401" s="13">
        <v>50641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7" t="s">
        <v>886</v>
      </c>
      <c r="AL401" s="17"/>
      <c r="AM401" s="17" t="s">
        <v>643</v>
      </c>
      <c r="AN401" s="17"/>
      <c r="AO401" s="1"/>
      <c r="AP401" s="1"/>
      <c r="AQ401" s="1"/>
      <c r="AR401" s="1"/>
      <c r="AS401" s="1"/>
      <c r="AT401" s="1"/>
      <c r="AU401" s="1"/>
      <c r="AV401" s="1"/>
      <c r="AW401" s="1">
        <f t="shared" si="26"/>
        <v>0</v>
      </c>
      <c r="AY401" s="1">
        <f>+'St of Activites - GA Rev'!AI401-'St of Activities - GA Exp'!AW401</f>
        <v>0</v>
      </c>
      <c r="BC401" s="1">
        <f t="shared" si="25"/>
        <v>0</v>
      </c>
      <c r="BE401" s="1">
        <f>+'St of Net Assets - GA'!AA401-'St of Activities - GA Exp'!BC401</f>
        <v>0</v>
      </c>
    </row>
    <row r="402" spans="1:57" ht="12" customHeight="1">
      <c r="A402" s="17" t="s">
        <v>369</v>
      </c>
      <c r="B402" s="17"/>
      <c r="C402" s="17" t="s">
        <v>32</v>
      </c>
      <c r="D402" s="17"/>
      <c r="E402" s="13">
        <v>44511</v>
      </c>
      <c r="G402" s="1">
        <v>5569815</v>
      </c>
      <c r="H402" s="1"/>
      <c r="I402" s="1">
        <v>2576594</v>
      </c>
      <c r="J402" s="1"/>
      <c r="K402" s="1">
        <v>50031</v>
      </c>
      <c r="L402" s="1"/>
      <c r="M402" s="1">
        <f>6392+35302</f>
        <v>41694</v>
      </c>
      <c r="N402" s="1"/>
      <c r="O402" s="1">
        <v>1153164</v>
      </c>
      <c r="P402" s="1"/>
      <c r="Q402" s="1">
        <v>1564501</v>
      </c>
      <c r="R402" s="1"/>
      <c r="S402" s="1">
        <v>53558</v>
      </c>
      <c r="T402" s="1"/>
      <c r="U402" s="1">
        <v>921736</v>
      </c>
      <c r="V402" s="1"/>
      <c r="W402" s="1">
        <v>375609</v>
      </c>
      <c r="X402" s="1"/>
      <c r="Y402" s="1">
        <v>11545</v>
      </c>
      <c r="Z402" s="1"/>
      <c r="AA402" s="1">
        <v>2183119</v>
      </c>
      <c r="AB402" s="1"/>
      <c r="AC402" s="1">
        <v>278438</v>
      </c>
      <c r="AD402" s="1"/>
      <c r="AE402" s="1">
        <v>53159</v>
      </c>
      <c r="AF402" s="1"/>
      <c r="AG402" s="1">
        <v>0</v>
      </c>
      <c r="AH402" s="1"/>
      <c r="AI402" s="1">
        <v>920646</v>
      </c>
      <c r="AJ402" s="1"/>
      <c r="AK402" s="17" t="s">
        <v>369</v>
      </c>
      <c r="AL402" s="17"/>
      <c r="AM402" s="17" t="s">
        <v>32</v>
      </c>
      <c r="AN402" s="17"/>
      <c r="AO402" s="1">
        <v>359512</v>
      </c>
      <c r="AP402" s="1"/>
      <c r="AQ402" s="1">
        <v>437887</v>
      </c>
      <c r="AR402" s="1"/>
      <c r="AS402" s="1"/>
      <c r="AT402" s="1"/>
      <c r="AU402" s="1">
        <v>0</v>
      </c>
      <c r="AV402" s="1"/>
      <c r="AW402" s="1">
        <f t="shared" si="26"/>
        <v>16551008</v>
      </c>
      <c r="AY402" s="1">
        <f>+'St of Activites - GA Rev'!AI402-'St of Activities - GA Exp'!AW402</f>
        <v>8050996</v>
      </c>
      <c r="BA402" s="1">
        <v>29251983</v>
      </c>
      <c r="BC402" s="1">
        <f t="shared" si="25"/>
        <v>37302979</v>
      </c>
      <c r="BE402" s="1">
        <f>+'St of Net Assets - GA'!AA402-'St of Activities - GA Exp'!BC402</f>
        <v>0</v>
      </c>
    </row>
    <row r="403" spans="1:57">
      <c r="A403" s="17" t="s">
        <v>432</v>
      </c>
      <c r="B403" s="17"/>
      <c r="C403" s="17" t="s">
        <v>42</v>
      </c>
      <c r="D403" s="17"/>
      <c r="E403" s="13">
        <v>48025</v>
      </c>
      <c r="G403" s="1">
        <v>6286649</v>
      </c>
      <c r="H403" s="1"/>
      <c r="I403" s="1">
        <v>3150999</v>
      </c>
      <c r="J403" s="1"/>
      <c r="K403" s="1">
        <v>300679</v>
      </c>
      <c r="L403" s="1"/>
      <c r="M403" s="1">
        <v>218427</v>
      </c>
      <c r="N403" s="1"/>
      <c r="O403" s="1">
        <v>1461609</v>
      </c>
      <c r="P403" s="1"/>
      <c r="Q403" s="1">
        <v>242439</v>
      </c>
      <c r="R403" s="1"/>
      <c r="S403" s="1">
        <v>46616</v>
      </c>
      <c r="T403" s="1"/>
      <c r="U403" s="1">
        <v>1391696</v>
      </c>
      <c r="V403" s="1"/>
      <c r="W403" s="1">
        <v>477180</v>
      </c>
      <c r="X403" s="1"/>
      <c r="Y403" s="1">
        <v>0</v>
      </c>
      <c r="Z403" s="1"/>
      <c r="AA403" s="1">
        <v>1685161</v>
      </c>
      <c r="AB403" s="1"/>
      <c r="AC403" s="1">
        <v>1524229</v>
      </c>
      <c r="AD403" s="1"/>
      <c r="AE403" s="1">
        <v>508580</v>
      </c>
      <c r="AF403" s="1"/>
      <c r="AG403" s="1">
        <v>797479</v>
      </c>
      <c r="AH403" s="1"/>
      <c r="AI403" s="1">
        <v>0</v>
      </c>
      <c r="AJ403" s="1"/>
      <c r="AK403" s="17" t="s">
        <v>432</v>
      </c>
      <c r="AL403" s="17"/>
      <c r="AM403" s="17" t="s">
        <v>42</v>
      </c>
      <c r="AN403" s="17"/>
      <c r="AO403" s="1">
        <v>777921</v>
      </c>
      <c r="AP403" s="1"/>
      <c r="AQ403" s="1">
        <v>442969</v>
      </c>
      <c r="AR403" s="1"/>
      <c r="AS403" s="1"/>
      <c r="AT403" s="1"/>
      <c r="AU403" s="1">
        <v>0</v>
      </c>
      <c r="AV403" s="1"/>
      <c r="AW403" s="1">
        <f t="shared" si="26"/>
        <v>19312633</v>
      </c>
      <c r="AY403" s="1">
        <f>+'St of Activites - GA Rev'!AI403-'St of Activities - GA Exp'!AW403</f>
        <v>-619367</v>
      </c>
      <c r="BA403" s="1">
        <v>25611195</v>
      </c>
      <c r="BC403" s="1">
        <f t="shared" si="25"/>
        <v>24991828</v>
      </c>
      <c r="BE403" s="1">
        <f>+'St of Net Assets - GA'!AA403-'St of Activities - GA Exp'!BC403</f>
        <v>0</v>
      </c>
    </row>
    <row r="404" spans="1:57" ht="12" customHeight="1">
      <c r="A404" s="17" t="s">
        <v>296</v>
      </c>
      <c r="B404" s="17"/>
      <c r="C404" s="17" t="s">
        <v>20</v>
      </c>
      <c r="D404" s="17"/>
      <c r="E404" s="13">
        <v>44529</v>
      </c>
      <c r="G404" s="1">
        <v>24376479</v>
      </c>
      <c r="H404" s="1"/>
      <c r="I404" s="1">
        <v>7480054</v>
      </c>
      <c r="J404" s="1"/>
      <c r="K404" s="1">
        <v>494788</v>
      </c>
      <c r="L404" s="1"/>
      <c r="M404" s="1">
        <f>22162+345290</f>
        <v>367452</v>
      </c>
      <c r="N404" s="1"/>
      <c r="O404" s="1">
        <v>5004703</v>
      </c>
      <c r="P404" s="1"/>
      <c r="Q404" s="1">
        <v>1490183</v>
      </c>
      <c r="R404" s="1"/>
      <c r="S404" s="1">
        <v>300183</v>
      </c>
      <c r="T404" s="1"/>
      <c r="U404" s="1">
        <v>3819462</v>
      </c>
      <c r="V404" s="1"/>
      <c r="W404" s="1">
        <v>1167420</v>
      </c>
      <c r="X404" s="1"/>
      <c r="Y404" s="1">
        <v>141522</v>
      </c>
      <c r="Z404" s="1"/>
      <c r="AA404" s="1">
        <v>4610770</v>
      </c>
      <c r="AB404" s="1"/>
      <c r="AC404" s="1">
        <v>2384724</v>
      </c>
      <c r="AD404" s="1"/>
      <c r="AE404" s="1">
        <v>852905</v>
      </c>
      <c r="AF404" s="1"/>
      <c r="AG404" s="1">
        <v>1544266</v>
      </c>
      <c r="AH404" s="1"/>
      <c r="AI404" s="1">
        <v>442191</v>
      </c>
      <c r="AJ404" s="1"/>
      <c r="AK404" s="17" t="s">
        <v>296</v>
      </c>
      <c r="AL404" s="17"/>
      <c r="AM404" s="17" t="s">
        <v>20</v>
      </c>
      <c r="AN404" s="17"/>
      <c r="AO404" s="1">
        <v>1482207</v>
      </c>
      <c r="AP404" s="1"/>
      <c r="AQ404" s="1">
        <v>19565</v>
      </c>
      <c r="AR404" s="1"/>
      <c r="AS404" s="1"/>
      <c r="AT404" s="1"/>
      <c r="AU404" s="1">
        <v>0</v>
      </c>
      <c r="AV404" s="1"/>
      <c r="AW404" s="1">
        <f t="shared" si="26"/>
        <v>55978874</v>
      </c>
      <c r="AY404" s="1">
        <f>+'St of Activites - GA Rev'!AI404-'St of Activities - GA Exp'!AW404</f>
        <v>-1304784</v>
      </c>
      <c r="BA404" s="1">
        <v>23207758</v>
      </c>
      <c r="BC404" s="1">
        <f t="shared" si="25"/>
        <v>21902974</v>
      </c>
      <c r="BE404" s="1">
        <f>+'St of Net Assets - GA'!AA404-'St of Activities - GA Exp'!BC404</f>
        <v>0</v>
      </c>
    </row>
    <row r="405" spans="1:57" s="16" customFormat="1">
      <c r="A405" s="14" t="s">
        <v>445</v>
      </c>
      <c r="B405" s="14"/>
      <c r="C405" s="14" t="s">
        <v>44</v>
      </c>
      <c r="D405" s="14"/>
      <c r="E405" s="14">
        <v>44537</v>
      </c>
      <c r="G405" s="1">
        <v>14715532</v>
      </c>
      <c r="H405" s="1"/>
      <c r="I405" s="1">
        <v>4614251</v>
      </c>
      <c r="J405" s="1"/>
      <c r="K405" s="1">
        <v>296883</v>
      </c>
      <c r="L405" s="1"/>
      <c r="M405" s="1">
        <v>1255761</v>
      </c>
      <c r="N405" s="1"/>
      <c r="O405" s="1">
        <v>1789256</v>
      </c>
      <c r="P405" s="1"/>
      <c r="Q405" s="1">
        <v>3039915</v>
      </c>
      <c r="R405" s="1"/>
      <c r="S405" s="1">
        <v>85439</v>
      </c>
      <c r="T405" s="1"/>
      <c r="U405" s="1">
        <v>2225696</v>
      </c>
      <c r="V405" s="1"/>
      <c r="W405" s="1">
        <v>789869</v>
      </c>
      <c r="X405" s="1"/>
      <c r="Y405" s="1">
        <v>306856</v>
      </c>
      <c r="Z405" s="1"/>
      <c r="AA405" s="1">
        <v>3120377</v>
      </c>
      <c r="AB405" s="1"/>
      <c r="AC405" s="1">
        <v>2589963</v>
      </c>
      <c r="AD405" s="1"/>
      <c r="AE405" s="1">
        <v>66050</v>
      </c>
      <c r="AF405" s="1"/>
      <c r="AG405" s="1">
        <v>1106927</v>
      </c>
      <c r="AH405" s="1"/>
      <c r="AI405" s="1">
        <v>443542</v>
      </c>
      <c r="AJ405" s="1"/>
      <c r="AK405" s="14" t="s">
        <v>445</v>
      </c>
      <c r="AL405" s="14"/>
      <c r="AM405" s="14" t="s">
        <v>44</v>
      </c>
      <c r="AN405" s="14"/>
      <c r="AO405" s="1">
        <v>821490</v>
      </c>
      <c r="AP405" s="1"/>
      <c r="AQ405" s="1">
        <v>296713</v>
      </c>
      <c r="AR405" s="1"/>
      <c r="AS405" s="1"/>
      <c r="AT405" s="1"/>
      <c r="AU405" s="1">
        <v>0</v>
      </c>
      <c r="AV405" s="1"/>
      <c r="AW405" s="1">
        <f t="shared" si="26"/>
        <v>37564520</v>
      </c>
      <c r="AX405" s="1"/>
      <c r="AY405" s="1">
        <f>+'St of Activites - GA Rev'!AI405-'St of Activities - GA Exp'!AW405</f>
        <v>-1849639</v>
      </c>
      <c r="AZ405" s="1"/>
      <c r="BA405" s="1">
        <v>14433216</v>
      </c>
      <c r="BB405" s="1"/>
      <c r="BC405" s="1">
        <f t="shared" si="25"/>
        <v>12583577</v>
      </c>
      <c r="BE405" s="16">
        <f>+'St of Net Assets - GA'!AA405-'St of Activities - GA Exp'!BC405</f>
        <v>0</v>
      </c>
    </row>
    <row r="406" spans="1:57">
      <c r="A406" s="17" t="s">
        <v>297</v>
      </c>
      <c r="B406" s="17"/>
      <c r="C406" s="17" t="s">
        <v>20</v>
      </c>
      <c r="D406" s="17"/>
      <c r="E406" s="13">
        <v>44545</v>
      </c>
      <c r="G406" s="1">
        <v>21810291</v>
      </c>
      <c r="H406" s="1"/>
      <c r="I406" s="1">
        <v>4401022</v>
      </c>
      <c r="J406" s="1"/>
      <c r="K406" s="1">
        <v>210031</v>
      </c>
      <c r="L406" s="1"/>
      <c r="M406" s="1">
        <v>1914412</v>
      </c>
      <c r="N406" s="1"/>
      <c r="O406" s="1">
        <v>2598723</v>
      </c>
      <c r="P406" s="1"/>
      <c r="Q406" s="1">
        <v>1944788</v>
      </c>
      <c r="R406" s="1"/>
      <c r="S406" s="1">
        <v>37330</v>
      </c>
      <c r="T406" s="1"/>
      <c r="U406" s="1">
        <v>3466191</v>
      </c>
      <c r="V406" s="1"/>
      <c r="W406" s="1">
        <v>1137626</v>
      </c>
      <c r="X406" s="1"/>
      <c r="Y406" s="1">
        <v>314186</v>
      </c>
      <c r="Z406" s="1"/>
      <c r="AA406" s="1">
        <v>3323518</v>
      </c>
      <c r="AB406" s="1"/>
      <c r="AC406" s="1">
        <v>3303329</v>
      </c>
      <c r="AD406" s="1"/>
      <c r="AE406" s="1">
        <v>503859</v>
      </c>
      <c r="AF406" s="1"/>
      <c r="AG406" s="1">
        <v>1336266</v>
      </c>
      <c r="AH406" s="1"/>
      <c r="AI406" s="1">
        <v>832087</v>
      </c>
      <c r="AJ406" s="1"/>
      <c r="AK406" s="17" t="s">
        <v>297</v>
      </c>
      <c r="AL406" s="17"/>
      <c r="AM406" s="17" t="s">
        <v>20</v>
      </c>
      <c r="AN406" s="17"/>
      <c r="AO406" s="1">
        <v>1009845</v>
      </c>
      <c r="AP406" s="1"/>
      <c r="AQ406" s="1">
        <v>1266086</v>
      </c>
      <c r="AR406" s="1"/>
      <c r="AS406" s="1"/>
      <c r="AT406" s="1"/>
      <c r="AU406" s="1">
        <v>0</v>
      </c>
      <c r="AV406" s="1"/>
      <c r="AW406" s="1">
        <f t="shared" si="26"/>
        <v>49409590</v>
      </c>
      <c r="AY406" s="1">
        <f>+'St of Activites - GA Rev'!AI406-'St of Activities - GA Exp'!AW406</f>
        <v>2409392</v>
      </c>
      <c r="BA406" s="1">
        <v>16938556</v>
      </c>
      <c r="BC406" s="1">
        <f t="shared" si="25"/>
        <v>19347948</v>
      </c>
      <c r="BE406" s="1">
        <f>+'St of Net Assets - GA'!AA406-'St of Activities - GA Exp'!BC406</f>
        <v>0</v>
      </c>
    </row>
    <row r="407" spans="1:57">
      <c r="A407" s="17" t="s">
        <v>627</v>
      </c>
      <c r="B407" s="17"/>
      <c r="C407" s="17" t="s">
        <v>66</v>
      </c>
      <c r="D407" s="17"/>
      <c r="E407" s="13">
        <v>50336</v>
      </c>
      <c r="G407" s="1">
        <v>6582961</v>
      </c>
      <c r="H407" s="1"/>
      <c r="I407" s="1">
        <v>1588355</v>
      </c>
      <c r="J407" s="1"/>
      <c r="K407" s="1">
        <v>912433</v>
      </c>
      <c r="L407" s="1"/>
      <c r="M407" s="1">
        <v>0</v>
      </c>
      <c r="N407" s="1"/>
      <c r="O407" s="1">
        <v>634461</v>
      </c>
      <c r="P407" s="1"/>
      <c r="Q407" s="1">
        <v>985232</v>
      </c>
      <c r="R407" s="1"/>
      <c r="S407" s="1">
        <v>28710</v>
      </c>
      <c r="T407" s="1"/>
      <c r="U407" s="1">
        <v>1092277</v>
      </c>
      <c r="V407" s="1"/>
      <c r="W407" s="1">
        <v>479622</v>
      </c>
      <c r="X407" s="1"/>
      <c r="Y407" s="1">
        <v>0</v>
      </c>
      <c r="Z407" s="1"/>
      <c r="AA407" s="1">
        <v>3327404</v>
      </c>
      <c r="AB407" s="1"/>
      <c r="AC407" s="1">
        <v>1080282</v>
      </c>
      <c r="AD407" s="1"/>
      <c r="AE407" s="1">
        <v>14195</v>
      </c>
      <c r="AF407" s="1"/>
      <c r="AG407" s="1">
        <v>0</v>
      </c>
      <c r="AH407" s="1"/>
      <c r="AI407" s="1">
        <v>691152</v>
      </c>
      <c r="AJ407" s="1"/>
      <c r="AK407" s="17" t="s">
        <v>627</v>
      </c>
      <c r="AL407" s="17"/>
      <c r="AM407" s="17" t="s">
        <v>66</v>
      </c>
      <c r="AN407" s="17"/>
      <c r="AO407" s="1">
        <v>434052</v>
      </c>
      <c r="AP407" s="1"/>
      <c r="AQ407" s="1">
        <v>518734</v>
      </c>
      <c r="AR407" s="1"/>
      <c r="AS407" s="1"/>
      <c r="AT407" s="1"/>
      <c r="AU407" s="1">
        <v>0</v>
      </c>
      <c r="AV407" s="1"/>
      <c r="AW407" s="1">
        <f t="shared" si="26"/>
        <v>18369870</v>
      </c>
      <c r="AY407" s="1">
        <f>+'St of Activites - GA Rev'!AI407-'St of Activities - GA Exp'!AW407</f>
        <v>-1050584</v>
      </c>
      <c r="BA407" s="1">
        <v>39289700</v>
      </c>
      <c r="BC407" s="1">
        <f t="shared" si="25"/>
        <v>38239116</v>
      </c>
      <c r="BE407" s="1">
        <f>+'St of Net Assets - GA'!AA407-'St of Activities - GA Exp'!BC407</f>
        <v>0</v>
      </c>
    </row>
    <row r="408" spans="1:57">
      <c r="A408" s="17" t="s">
        <v>247</v>
      </c>
      <c r="B408" s="17"/>
      <c r="C408" s="17" t="s">
        <v>17</v>
      </c>
      <c r="D408" s="17"/>
      <c r="E408" s="13">
        <v>46250</v>
      </c>
      <c r="G408" s="1">
        <v>14373676</v>
      </c>
      <c r="H408" s="1"/>
      <c r="I408" s="1">
        <v>3440715</v>
      </c>
      <c r="J408" s="1"/>
      <c r="K408" s="1">
        <v>897504</v>
      </c>
      <c r="L408" s="1"/>
      <c r="M408" s="1">
        <f>1861+22993+12516</f>
        <v>37370</v>
      </c>
      <c r="N408" s="1"/>
      <c r="O408" s="1">
        <v>1791418</v>
      </c>
      <c r="P408" s="1"/>
      <c r="Q408" s="1">
        <v>1840369</v>
      </c>
      <c r="R408" s="1"/>
      <c r="S408" s="1">
        <v>63446</v>
      </c>
      <c r="T408" s="1"/>
      <c r="U408" s="1">
        <v>2784636</v>
      </c>
      <c r="V408" s="1"/>
      <c r="W408" s="1">
        <v>717685</v>
      </c>
      <c r="X408" s="1"/>
      <c r="Y408" s="1">
        <v>0</v>
      </c>
      <c r="Z408" s="1"/>
      <c r="AA408" s="1">
        <v>2712816</v>
      </c>
      <c r="AB408" s="1"/>
      <c r="AC408" s="1">
        <v>1997238</v>
      </c>
      <c r="AD408" s="1"/>
      <c r="AE408" s="1">
        <v>63500</v>
      </c>
      <c r="AF408" s="1"/>
      <c r="AG408" s="1">
        <v>0</v>
      </c>
      <c r="AH408" s="1"/>
      <c r="AI408" s="1">
        <v>1391725</v>
      </c>
      <c r="AJ408" s="1"/>
      <c r="AK408" s="17" t="s">
        <v>247</v>
      </c>
      <c r="AL408" s="17"/>
      <c r="AM408" s="17" t="s">
        <v>17</v>
      </c>
      <c r="AN408" s="17"/>
      <c r="AO408" s="1">
        <v>1016291</v>
      </c>
      <c r="AP408" s="1"/>
      <c r="AQ408" s="1">
        <v>216066</v>
      </c>
      <c r="AR408" s="1"/>
      <c r="AS408" s="1"/>
      <c r="AT408" s="1"/>
      <c r="AU408" s="1">
        <v>0</v>
      </c>
      <c r="AV408" s="1"/>
      <c r="AW408" s="1">
        <f t="shared" si="26"/>
        <v>33344455</v>
      </c>
      <c r="AY408" s="1">
        <f>+'St of Activites - GA Rev'!AI408-'St of Activities - GA Exp'!AW408</f>
        <v>713995</v>
      </c>
      <c r="BA408" s="1">
        <v>22338213</v>
      </c>
      <c r="BC408" s="1">
        <f t="shared" si="25"/>
        <v>23052208</v>
      </c>
      <c r="BE408" s="1">
        <f>+'St of Net Assets - GA'!AA408-'St of Activities - GA Exp'!BC408</f>
        <v>0</v>
      </c>
    </row>
    <row r="409" spans="1:57" hidden="1">
      <c r="A409" s="17" t="s">
        <v>882</v>
      </c>
      <c r="B409" s="17"/>
      <c r="C409" s="17" t="s">
        <v>22</v>
      </c>
      <c r="D409" s="17"/>
      <c r="E409" s="13">
        <v>46722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7" t="s">
        <v>882</v>
      </c>
      <c r="AL409" s="17"/>
      <c r="AM409" s="17" t="s">
        <v>22</v>
      </c>
      <c r="AN409" s="17"/>
      <c r="AO409" s="1"/>
      <c r="AP409" s="1"/>
      <c r="AQ409" s="1"/>
      <c r="AR409" s="1"/>
      <c r="AS409" s="1"/>
      <c r="AT409" s="1"/>
      <c r="AU409" s="1"/>
      <c r="AV409" s="1"/>
      <c r="AW409" s="1">
        <f t="shared" ref="AW409:AW413" si="29">SUM(G409:AV409)</f>
        <v>0</v>
      </c>
      <c r="AY409" s="1">
        <f>+'St of Activites - GA Rev'!AI409-'St of Activities - GA Exp'!AW409</f>
        <v>0</v>
      </c>
      <c r="BC409" s="1">
        <f t="shared" si="25"/>
        <v>0</v>
      </c>
      <c r="BE409" s="1">
        <f>+'St of Net Assets - GA'!AA409-'St of Activities - GA Exp'!BC409</f>
        <v>0</v>
      </c>
    </row>
    <row r="410" spans="1:57" ht="12" customHeight="1">
      <c r="A410" s="17" t="s">
        <v>503</v>
      </c>
      <c r="B410" s="17"/>
      <c r="C410" s="17" t="s">
        <v>50</v>
      </c>
      <c r="D410" s="17"/>
      <c r="E410" s="13">
        <v>48728</v>
      </c>
      <c r="G410" s="1">
        <v>25046618</v>
      </c>
      <c r="H410" s="1"/>
      <c r="I410" s="1">
        <v>10753394</v>
      </c>
      <c r="J410" s="1"/>
      <c r="K410" s="1">
        <v>304889</v>
      </c>
      <c r="L410" s="1"/>
      <c r="M410" s="1">
        <v>5746</v>
      </c>
      <c r="N410" s="1"/>
      <c r="O410" s="1">
        <v>3788554</v>
      </c>
      <c r="P410" s="1"/>
      <c r="Q410" s="1">
        <v>579745</v>
      </c>
      <c r="R410" s="1"/>
      <c r="S410" s="1">
        <v>57288</v>
      </c>
      <c r="T410" s="1"/>
      <c r="U410" s="1">
        <v>3157665</v>
      </c>
      <c r="V410" s="1"/>
      <c r="W410" s="1">
        <v>934903</v>
      </c>
      <c r="X410" s="1"/>
      <c r="Y410" s="1">
        <v>422918</v>
      </c>
      <c r="Z410" s="1"/>
      <c r="AA410" s="1">
        <v>3618889</v>
      </c>
      <c r="AB410" s="1"/>
      <c r="AC410" s="1">
        <v>2229190</v>
      </c>
      <c r="AD410" s="1"/>
      <c r="AE410" s="1">
        <v>348882</v>
      </c>
      <c r="AF410" s="1"/>
      <c r="AG410" s="1">
        <v>0</v>
      </c>
      <c r="AH410" s="1"/>
      <c r="AI410" s="1">
        <v>3597326</v>
      </c>
      <c r="AJ410" s="1"/>
      <c r="AK410" s="17" t="s">
        <v>503</v>
      </c>
      <c r="AL410" s="17"/>
      <c r="AM410" s="17" t="s">
        <v>50</v>
      </c>
      <c r="AN410" s="17"/>
      <c r="AO410" s="1">
        <v>1082359</v>
      </c>
      <c r="AP410" s="1"/>
      <c r="AQ410" s="1">
        <v>27737</v>
      </c>
      <c r="AR410" s="1"/>
      <c r="AS410" s="1"/>
      <c r="AT410" s="1"/>
      <c r="AU410" s="1">
        <v>0</v>
      </c>
      <c r="AV410" s="1"/>
      <c r="AW410" s="1">
        <f t="shared" si="29"/>
        <v>55956103</v>
      </c>
      <c r="AY410" s="1">
        <f>+'St of Activites - GA Rev'!AI410-'St of Activities - GA Exp'!AW410</f>
        <v>-103905</v>
      </c>
      <c r="BA410" s="1">
        <v>10035368</v>
      </c>
      <c r="BC410" s="1">
        <f>+AY410+BA410</f>
        <v>9931463</v>
      </c>
      <c r="BE410" s="1">
        <f>+'St of Net Assets - GA'!AA410-'St of Activities - GA Exp'!BC410</f>
        <v>0</v>
      </c>
    </row>
    <row r="411" spans="1:57">
      <c r="A411" s="17" t="s">
        <v>510</v>
      </c>
      <c r="B411" s="17"/>
      <c r="C411" s="17" t="s">
        <v>78</v>
      </c>
      <c r="D411" s="17"/>
      <c r="E411" s="13">
        <v>48819</v>
      </c>
      <c r="G411" s="1">
        <v>3449024</v>
      </c>
      <c r="H411" s="1"/>
      <c r="I411" s="1">
        <v>1507754</v>
      </c>
      <c r="J411" s="1"/>
      <c r="K411" s="1">
        <v>238474</v>
      </c>
      <c r="L411" s="1"/>
      <c r="M411" s="1">
        <v>1172569</v>
      </c>
      <c r="N411" s="1"/>
      <c r="O411" s="1">
        <v>347284</v>
      </c>
      <c r="P411" s="1"/>
      <c r="Q411" s="1">
        <v>766055</v>
      </c>
      <c r="R411" s="1"/>
      <c r="S411" s="1">
        <v>29187</v>
      </c>
      <c r="T411" s="1"/>
      <c r="U411" s="1">
        <v>984147</v>
      </c>
      <c r="V411" s="1"/>
      <c r="W411" s="1">
        <v>495404</v>
      </c>
      <c r="X411" s="1"/>
      <c r="Y411" s="1">
        <v>0</v>
      </c>
      <c r="Z411" s="1"/>
      <c r="AA411" s="1">
        <v>682818</v>
      </c>
      <c r="AB411" s="1"/>
      <c r="AC411" s="1">
        <v>738957</v>
      </c>
      <c r="AD411" s="1"/>
      <c r="AE411" s="1">
        <v>5941</v>
      </c>
      <c r="AF411" s="1"/>
      <c r="AG411" s="1">
        <v>322773</v>
      </c>
      <c r="AH411" s="1"/>
      <c r="AI411" s="1">
        <v>2282</v>
      </c>
      <c r="AJ411" s="1"/>
      <c r="AK411" s="17" t="s">
        <v>510</v>
      </c>
      <c r="AL411" s="17"/>
      <c r="AM411" s="17" t="s">
        <v>78</v>
      </c>
      <c r="AN411" s="17"/>
      <c r="AO411" s="1">
        <v>31548</v>
      </c>
      <c r="AP411" s="1"/>
      <c r="AQ411" s="1">
        <v>670712</v>
      </c>
      <c r="AR411" s="1"/>
      <c r="AS411" s="1"/>
      <c r="AT411" s="1"/>
      <c r="AU411" s="1">
        <v>0</v>
      </c>
      <c r="AV411" s="1"/>
      <c r="AW411" s="1">
        <f t="shared" si="29"/>
        <v>11444929</v>
      </c>
      <c r="AY411" s="1">
        <f>+'St of Activites - GA Rev'!AI411-'St of Activities - GA Exp'!AW411</f>
        <v>6769336</v>
      </c>
      <c r="BA411" s="1">
        <v>22662374</v>
      </c>
      <c r="BC411" s="1">
        <f t="shared" si="25"/>
        <v>29431710</v>
      </c>
      <c r="BE411" s="1">
        <f>+'St of Net Assets - GA'!AA411-'St of Activities - GA Exp'!BC411</f>
        <v>0</v>
      </c>
    </row>
    <row r="412" spans="1:57">
      <c r="A412" s="17" t="s">
        <v>433</v>
      </c>
      <c r="B412" s="17"/>
      <c r="C412" s="17" t="s">
        <v>50</v>
      </c>
      <c r="D412" s="17"/>
      <c r="E412" s="13">
        <v>48033</v>
      </c>
      <c r="G412" s="1">
        <v>9593314</v>
      </c>
      <c r="H412" s="1"/>
      <c r="I412" s="1">
        <v>2947451</v>
      </c>
      <c r="J412" s="1"/>
      <c r="K412" s="1">
        <v>228989</v>
      </c>
      <c r="L412" s="1"/>
      <c r="M412" s="1">
        <v>522589</v>
      </c>
      <c r="N412" s="1"/>
      <c r="O412" s="1">
        <v>1794232</v>
      </c>
      <c r="P412" s="1"/>
      <c r="Q412" s="1">
        <v>664911</v>
      </c>
      <c r="R412" s="1"/>
      <c r="S412" s="1">
        <v>30200</v>
      </c>
      <c r="T412" s="1"/>
      <c r="U412" s="1">
        <v>1796213</v>
      </c>
      <c r="V412" s="1"/>
      <c r="W412" s="1">
        <v>405434</v>
      </c>
      <c r="X412" s="1"/>
      <c r="Y412" s="1">
        <v>249163</v>
      </c>
      <c r="Z412" s="1"/>
      <c r="AA412" s="1">
        <v>1979232</v>
      </c>
      <c r="AB412" s="1"/>
      <c r="AC412" s="1">
        <v>1137338</v>
      </c>
      <c r="AD412" s="1"/>
      <c r="AE412" s="1">
        <v>67705</v>
      </c>
      <c r="AF412" s="1"/>
      <c r="AG412" s="1">
        <v>0</v>
      </c>
      <c r="AH412" s="1"/>
      <c r="AI412" s="1">
        <v>1032524</v>
      </c>
      <c r="AJ412" s="1"/>
      <c r="AK412" s="17" t="s">
        <v>433</v>
      </c>
      <c r="AL412" s="17"/>
      <c r="AM412" s="17" t="s">
        <v>50</v>
      </c>
      <c r="AN412" s="17"/>
      <c r="AO412" s="1">
        <v>792853</v>
      </c>
      <c r="AP412" s="1"/>
      <c r="AQ412" s="1">
        <v>327905</v>
      </c>
      <c r="AR412" s="1"/>
      <c r="AS412" s="1"/>
      <c r="AT412" s="1"/>
      <c r="AU412" s="1">
        <v>0</v>
      </c>
      <c r="AV412" s="1"/>
      <c r="AW412" s="1">
        <f t="shared" si="29"/>
        <v>23570053</v>
      </c>
      <c r="AY412" s="1">
        <f>+'St of Activites - GA Rev'!AI412-'St of Activities - GA Exp'!AW412</f>
        <v>-599170</v>
      </c>
      <c r="BA412" s="1">
        <v>10144911</v>
      </c>
      <c r="BC412" s="1">
        <f>+AY412+BA412</f>
        <v>9545741</v>
      </c>
      <c r="BE412" s="1">
        <f>+'St of Net Assets - GA'!AA412-'St of Activities - GA Exp'!BC412</f>
        <v>0</v>
      </c>
    </row>
    <row r="413" spans="1:57">
      <c r="A413" s="17" t="s">
        <v>433</v>
      </c>
      <c r="B413" s="17"/>
      <c r="C413" s="17" t="s">
        <v>42</v>
      </c>
      <c r="D413" s="17"/>
      <c r="E413" s="13">
        <v>48736</v>
      </c>
      <c r="G413" s="1">
        <v>5484269</v>
      </c>
      <c r="H413" s="1"/>
      <c r="I413" s="1">
        <v>1058759</v>
      </c>
      <c r="J413" s="1"/>
      <c r="K413" s="1">
        <v>164903</v>
      </c>
      <c r="L413" s="1"/>
      <c r="M413" s="1">
        <v>130315</v>
      </c>
      <c r="N413" s="1"/>
      <c r="O413" s="1">
        <v>583203</v>
      </c>
      <c r="P413" s="1"/>
      <c r="Q413" s="1">
        <v>471237</v>
      </c>
      <c r="R413" s="1"/>
      <c r="S413" s="1">
        <v>49700</v>
      </c>
      <c r="T413" s="1"/>
      <c r="U413" s="1">
        <v>995554</v>
      </c>
      <c r="V413" s="1"/>
      <c r="W413" s="1">
        <v>404385</v>
      </c>
      <c r="X413" s="1"/>
      <c r="Y413" s="1">
        <v>0</v>
      </c>
      <c r="Z413" s="1"/>
      <c r="AA413" s="1">
        <v>961329</v>
      </c>
      <c r="AB413" s="1"/>
      <c r="AC413" s="1">
        <v>1438397</v>
      </c>
      <c r="AD413" s="1"/>
      <c r="AE413" s="1">
        <v>131257</v>
      </c>
      <c r="AF413" s="1"/>
      <c r="AG413" s="1">
        <v>411870</v>
      </c>
      <c r="AH413" s="1"/>
      <c r="AI413" s="1">
        <v>4022</v>
      </c>
      <c r="AJ413" s="1"/>
      <c r="AK413" s="17" t="s">
        <v>433</v>
      </c>
      <c r="AL413" s="17"/>
      <c r="AM413" s="17" t="s">
        <v>42</v>
      </c>
      <c r="AN413" s="17"/>
      <c r="AO413" s="1">
        <v>270780</v>
      </c>
      <c r="AP413" s="1"/>
      <c r="AQ413" s="1">
        <v>294126</v>
      </c>
      <c r="AR413" s="1"/>
      <c r="AS413" s="1"/>
      <c r="AT413" s="1"/>
      <c r="AU413" s="1">
        <v>0</v>
      </c>
      <c r="AV413" s="1"/>
      <c r="AW413" s="1">
        <f t="shared" si="29"/>
        <v>12854106</v>
      </c>
      <c r="AY413" s="1">
        <f>+'St of Activites - GA Rev'!AI413-'St of Activities - GA Exp'!AW413</f>
        <v>3268221</v>
      </c>
      <c r="BA413" s="1">
        <v>6540218</v>
      </c>
      <c r="BC413" s="1">
        <f t="shared" si="25"/>
        <v>9808439</v>
      </c>
      <c r="BE413" s="1">
        <f>+'St of Net Assets - GA'!AA413-'St of Activities - GA Exp'!BC413</f>
        <v>0</v>
      </c>
    </row>
    <row r="414" spans="1:57">
      <c r="A414" s="17" t="s">
        <v>370</v>
      </c>
      <c r="B414" s="17"/>
      <c r="C414" s="17" t="s">
        <v>32</v>
      </c>
      <c r="D414" s="17"/>
      <c r="E414" s="13">
        <v>47365</v>
      </c>
      <c r="G414" s="1">
        <v>40454648</v>
      </c>
      <c r="H414" s="1"/>
      <c r="I414" s="1">
        <v>10779380</v>
      </c>
      <c r="J414" s="1"/>
      <c r="K414" s="1">
        <v>77609</v>
      </c>
      <c r="L414" s="1"/>
      <c r="M414" s="1">
        <v>1355411</v>
      </c>
      <c r="N414" s="1"/>
      <c r="O414" s="1">
        <v>5873565</v>
      </c>
      <c r="P414" s="1"/>
      <c r="Q414" s="1">
        <v>6186203</v>
      </c>
      <c r="R414" s="1"/>
      <c r="S414" s="1">
        <v>156491</v>
      </c>
      <c r="T414" s="1"/>
      <c r="U414" s="1">
        <v>5694892</v>
      </c>
      <c r="V414" s="1"/>
      <c r="W414" s="1">
        <v>1593892</v>
      </c>
      <c r="X414" s="1"/>
      <c r="Y414" s="1">
        <v>584132</v>
      </c>
      <c r="Z414" s="1"/>
      <c r="AA414" s="1">
        <v>7790427</v>
      </c>
      <c r="AB414" s="1"/>
      <c r="AC414" s="1">
        <v>5090086</v>
      </c>
      <c r="AD414" s="1"/>
      <c r="AE414" s="1">
        <v>1983030</v>
      </c>
      <c r="AF414" s="1"/>
      <c r="AG414" s="1">
        <v>0</v>
      </c>
      <c r="AH414" s="1"/>
      <c r="AI414" s="1">
        <v>6740121</v>
      </c>
      <c r="AJ414" s="1"/>
      <c r="AK414" s="17" t="s">
        <v>370</v>
      </c>
      <c r="AL414" s="17"/>
      <c r="AM414" s="17" t="s">
        <v>32</v>
      </c>
      <c r="AN414" s="17"/>
      <c r="AO414" s="1">
        <v>1862876</v>
      </c>
      <c r="AP414" s="1"/>
      <c r="AQ414" s="1">
        <v>915785</v>
      </c>
      <c r="AR414" s="1"/>
      <c r="AS414" s="1"/>
      <c r="AT414" s="1"/>
      <c r="AU414" s="1">
        <v>0</v>
      </c>
      <c r="AV414" s="1"/>
      <c r="AW414" s="1">
        <f t="shared" ref="AW414:AW420" si="30">SUM(G414:AV414)</f>
        <v>97138548</v>
      </c>
      <c r="AY414" s="1">
        <f>+'St of Activites - GA Rev'!AI414-'St of Activities - GA Exp'!AW414</f>
        <v>2059187</v>
      </c>
      <c r="BA414" s="1">
        <v>29154522</v>
      </c>
      <c r="BC414" s="1">
        <f t="shared" ref="BC414:BC430" si="31">+AY414+BA414</f>
        <v>31213709</v>
      </c>
      <c r="BE414" s="1">
        <f>+'St of Net Assets - GA'!AA414-'St of Activities - GA Exp'!BC414</f>
        <v>0</v>
      </c>
    </row>
    <row r="415" spans="1:57">
      <c r="A415" s="17" t="s">
        <v>370</v>
      </c>
      <c r="B415" s="17"/>
      <c r="C415" s="17" t="s">
        <v>59</v>
      </c>
      <c r="D415" s="17"/>
      <c r="E415" s="13">
        <v>49635</v>
      </c>
      <c r="G415" s="1">
        <v>8663112</v>
      </c>
      <c r="H415" s="1"/>
      <c r="I415" s="1">
        <v>1561659</v>
      </c>
      <c r="J415" s="1"/>
      <c r="K415" s="1">
        <v>84086</v>
      </c>
      <c r="L415" s="1"/>
      <c r="M415" s="1">
        <v>516268</v>
      </c>
      <c r="N415" s="1"/>
      <c r="O415" s="1">
        <v>678723</v>
      </c>
      <c r="P415" s="1"/>
      <c r="Q415" s="1">
        <v>1200543</v>
      </c>
      <c r="R415" s="1"/>
      <c r="S415" s="1">
        <v>89885</v>
      </c>
      <c r="T415" s="1"/>
      <c r="U415" s="1">
        <v>1022137</v>
      </c>
      <c r="V415" s="1"/>
      <c r="W415" s="1">
        <v>325925</v>
      </c>
      <c r="X415" s="1"/>
      <c r="Y415" s="1">
        <v>0</v>
      </c>
      <c r="Z415" s="1"/>
      <c r="AA415" s="1">
        <v>1950724</v>
      </c>
      <c r="AB415" s="1"/>
      <c r="AC415" s="1">
        <v>1860322</v>
      </c>
      <c r="AD415" s="1"/>
      <c r="AE415" s="1">
        <v>84624</v>
      </c>
      <c r="AF415" s="1"/>
      <c r="AG415" s="1">
        <v>0</v>
      </c>
      <c r="AH415" s="1"/>
      <c r="AI415" s="1">
        <v>822942</v>
      </c>
      <c r="AJ415" s="1"/>
      <c r="AK415" s="17" t="s">
        <v>370</v>
      </c>
      <c r="AL415" s="17"/>
      <c r="AM415" s="17" t="s">
        <v>59</v>
      </c>
      <c r="AN415" s="17"/>
      <c r="AO415" s="1">
        <v>343317</v>
      </c>
      <c r="AP415" s="1"/>
      <c r="AQ415" s="1">
        <v>212969</v>
      </c>
      <c r="AR415" s="1"/>
      <c r="AS415" s="1"/>
      <c r="AT415" s="1"/>
      <c r="AU415" s="1">
        <v>0</v>
      </c>
      <c r="AV415" s="1"/>
      <c r="AW415" s="1">
        <f t="shared" si="30"/>
        <v>19417236</v>
      </c>
      <c r="AY415" s="1">
        <f>+'St of Activites - GA Rev'!AI415-'St of Activities - GA Exp'!AW415</f>
        <v>-1384838</v>
      </c>
      <c r="BA415" s="1">
        <v>25558828</v>
      </c>
      <c r="BC415" s="1">
        <f t="shared" si="31"/>
        <v>24173990</v>
      </c>
      <c r="BE415" s="1">
        <f>+'St of Net Assets - GA'!AA415-'St of Activities - GA Exp'!BC415</f>
        <v>0</v>
      </c>
    </row>
    <row r="416" spans="1:57">
      <c r="A416" s="17" t="s">
        <v>370</v>
      </c>
      <c r="B416" s="17"/>
      <c r="C416" s="17" t="s">
        <v>62</v>
      </c>
      <c r="D416" s="17"/>
      <c r="E416" s="13">
        <v>49908</v>
      </c>
      <c r="G416" s="1">
        <v>9493963</v>
      </c>
      <c r="H416" s="1"/>
      <c r="I416" s="1">
        <v>2279807</v>
      </c>
      <c r="J416" s="1"/>
      <c r="K416" s="1">
        <v>211200</v>
      </c>
      <c r="L416" s="1"/>
      <c r="M416" s="1">
        <v>107578</v>
      </c>
      <c r="N416" s="1"/>
      <c r="O416" s="1">
        <v>864604</v>
      </c>
      <c r="P416" s="1"/>
      <c r="Q416" s="1">
        <v>151031</v>
      </c>
      <c r="R416" s="1"/>
      <c r="S416" s="1">
        <v>97137</v>
      </c>
      <c r="T416" s="1"/>
      <c r="U416" s="1">
        <v>1696928</v>
      </c>
      <c r="V416" s="1"/>
      <c r="W416" s="1">
        <v>437742</v>
      </c>
      <c r="X416" s="1"/>
      <c r="Y416" s="1">
        <v>0</v>
      </c>
      <c r="Z416" s="1"/>
      <c r="AA416" s="1">
        <v>1723778</v>
      </c>
      <c r="AB416" s="1"/>
      <c r="AC416" s="1">
        <v>930660</v>
      </c>
      <c r="AD416" s="1"/>
      <c r="AE416" s="1">
        <v>318699</v>
      </c>
      <c r="AF416" s="1"/>
      <c r="AG416" s="1">
        <v>748660</v>
      </c>
      <c r="AH416" s="1"/>
      <c r="AI416" s="1">
        <v>154006</v>
      </c>
      <c r="AJ416" s="1"/>
      <c r="AK416" s="17" t="s">
        <v>370</v>
      </c>
      <c r="AL416" s="17"/>
      <c r="AM416" s="17" t="s">
        <v>62</v>
      </c>
      <c r="AN416" s="17"/>
      <c r="AO416" s="1">
        <v>424098</v>
      </c>
      <c r="AP416" s="1"/>
      <c r="AQ416" s="1">
        <v>1005277</v>
      </c>
      <c r="AR416" s="1"/>
      <c r="AS416" s="1"/>
      <c r="AT416" s="1"/>
      <c r="AU416" s="1">
        <v>0</v>
      </c>
      <c r="AV416" s="1"/>
      <c r="AW416" s="1">
        <f t="shared" si="30"/>
        <v>20645168</v>
      </c>
      <c r="AY416" s="1">
        <f>+'St of Activites - GA Rev'!AI416-'St of Activities - GA Exp'!AW416</f>
        <v>30238918</v>
      </c>
      <c r="BA416" s="1">
        <v>888409</v>
      </c>
      <c r="BC416" s="1">
        <f t="shared" si="31"/>
        <v>31127327</v>
      </c>
      <c r="BE416" s="1">
        <f>+'St of Net Assets - GA'!AA416-'St of Activities - GA Exp'!BC416</f>
        <v>0</v>
      </c>
    </row>
    <row r="417" spans="1:57">
      <c r="A417" s="17" t="s">
        <v>248</v>
      </c>
      <c r="B417" s="17"/>
      <c r="C417" s="17" t="s">
        <v>17</v>
      </c>
      <c r="D417" s="17"/>
      <c r="E417" s="13">
        <v>46268</v>
      </c>
      <c r="G417" s="1">
        <v>8031705</v>
      </c>
      <c r="H417" s="1"/>
      <c r="I417" s="1">
        <v>2144940</v>
      </c>
      <c r="J417" s="1"/>
      <c r="K417" s="1">
        <v>0</v>
      </c>
      <c r="L417" s="1"/>
      <c r="M417" s="1">
        <v>6498</v>
      </c>
      <c r="N417" s="1"/>
      <c r="O417" s="1">
        <v>686251</v>
      </c>
      <c r="P417" s="1"/>
      <c r="Q417" s="1">
        <v>705592</v>
      </c>
      <c r="R417" s="1"/>
      <c r="S417" s="1">
        <v>74653</v>
      </c>
      <c r="T417" s="1"/>
      <c r="U417" s="1">
        <v>1182232</v>
      </c>
      <c r="V417" s="1"/>
      <c r="W417" s="1">
        <v>416399</v>
      </c>
      <c r="X417" s="1"/>
      <c r="Y417" s="1">
        <v>0</v>
      </c>
      <c r="Z417" s="1"/>
      <c r="AA417" s="1">
        <v>1441030</v>
      </c>
      <c r="AB417" s="1"/>
      <c r="AC417" s="1">
        <v>1077698</v>
      </c>
      <c r="AD417" s="1"/>
      <c r="AE417" s="1">
        <v>229426</v>
      </c>
      <c r="AF417" s="1"/>
      <c r="AG417" s="1">
        <v>580699</v>
      </c>
      <c r="AH417" s="1"/>
      <c r="AI417" s="1">
        <f>4373+37974</f>
        <v>42347</v>
      </c>
      <c r="AJ417" s="1"/>
      <c r="AK417" s="17" t="s">
        <v>248</v>
      </c>
      <c r="AL417" s="17"/>
      <c r="AM417" s="17" t="s">
        <v>17</v>
      </c>
      <c r="AN417" s="17"/>
      <c r="AO417" s="1">
        <v>442182</v>
      </c>
      <c r="AP417" s="1"/>
      <c r="AQ417" s="1">
        <v>187821</v>
      </c>
      <c r="AR417" s="1"/>
      <c r="AS417" s="1"/>
      <c r="AT417" s="1"/>
      <c r="AU417" s="1">
        <v>0</v>
      </c>
      <c r="AV417" s="1"/>
      <c r="AW417" s="1">
        <f t="shared" si="30"/>
        <v>17249473</v>
      </c>
      <c r="AY417" s="1">
        <f>+'St of Activites - GA Rev'!AI417-'St of Activities - GA Exp'!AW417</f>
        <v>290527</v>
      </c>
      <c r="BA417" s="1">
        <v>7996843</v>
      </c>
      <c r="BC417" s="1">
        <f t="shared" si="31"/>
        <v>8287370</v>
      </c>
      <c r="BE417" s="1">
        <f>+'St of Net Assets - GA'!AA417-'St of Activities - GA Exp'!BC417</f>
        <v>2630</v>
      </c>
    </row>
    <row r="418" spans="1:57" hidden="1">
      <c r="A418" s="17" t="s">
        <v>947</v>
      </c>
      <c r="B418" s="17"/>
      <c r="C418" s="17" t="s">
        <v>71</v>
      </c>
      <c r="D418" s="17"/>
      <c r="E418" s="13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7" t="s">
        <v>947</v>
      </c>
      <c r="AL418" s="17"/>
      <c r="AM418" s="17" t="s">
        <v>71</v>
      </c>
      <c r="AN418" s="17"/>
      <c r="AO418" s="1"/>
      <c r="AP418" s="1"/>
      <c r="AQ418" s="1"/>
      <c r="AR418" s="1"/>
      <c r="AS418" s="1"/>
      <c r="AT418" s="1"/>
      <c r="AU418" s="1"/>
      <c r="AV418" s="1"/>
      <c r="AW418" s="1">
        <f t="shared" ref="AW418" si="32">SUM(G418:AV418)</f>
        <v>0</v>
      </c>
      <c r="AY418" s="1">
        <f>+'St of Activites - GA Rev'!AI418-'St of Activities - GA Exp'!AW418</f>
        <v>0</v>
      </c>
      <c r="BC418" s="1">
        <f t="shared" ref="BC418" si="33">+AY418+BA418</f>
        <v>0</v>
      </c>
      <c r="BE418" s="1">
        <f>+'St of Net Assets - GA'!AA418-'St of Activities - GA Exp'!BC418</f>
        <v>0</v>
      </c>
    </row>
    <row r="419" spans="1:57">
      <c r="A419" s="17" t="s">
        <v>649</v>
      </c>
      <c r="B419" s="17"/>
      <c r="C419" s="17" t="s">
        <v>72</v>
      </c>
      <c r="D419" s="17"/>
      <c r="E419" s="13">
        <v>50716</v>
      </c>
      <c r="G419" s="1">
        <v>4893445</v>
      </c>
      <c r="H419" s="1"/>
      <c r="I419" s="1">
        <v>1492098</v>
      </c>
      <c r="J419" s="1"/>
      <c r="K419" s="1">
        <v>173993</v>
      </c>
      <c r="L419" s="1"/>
      <c r="M419" s="1">
        <v>0</v>
      </c>
      <c r="N419" s="1"/>
      <c r="O419" s="1">
        <v>392405</v>
      </c>
      <c r="P419" s="1"/>
      <c r="Q419" s="1">
        <v>526988</v>
      </c>
      <c r="R419" s="1"/>
      <c r="S419" s="1">
        <v>14644</v>
      </c>
      <c r="T419" s="1"/>
      <c r="U419" s="1">
        <v>811255</v>
      </c>
      <c r="V419" s="1"/>
      <c r="W419" s="1">
        <v>356384</v>
      </c>
      <c r="X419" s="1"/>
      <c r="Y419" s="1">
        <v>642</v>
      </c>
      <c r="Z419" s="1"/>
      <c r="AA419" s="1">
        <v>994832</v>
      </c>
      <c r="AB419" s="1"/>
      <c r="AC419" s="1">
        <v>422849</v>
      </c>
      <c r="AD419" s="1"/>
      <c r="AE419" s="1">
        <v>22266</v>
      </c>
      <c r="AF419" s="1"/>
      <c r="AG419" s="1">
        <v>0</v>
      </c>
      <c r="AH419" s="1"/>
      <c r="AI419" s="1">
        <v>433467</v>
      </c>
      <c r="AJ419" s="1"/>
      <c r="AK419" s="17" t="s">
        <v>649</v>
      </c>
      <c r="AL419" s="17"/>
      <c r="AM419" s="17" t="s">
        <v>72</v>
      </c>
      <c r="AN419" s="17"/>
      <c r="AO419" s="1">
        <v>414990</v>
      </c>
      <c r="AP419" s="1"/>
      <c r="AQ419" s="1">
        <v>49889</v>
      </c>
      <c r="AR419" s="1"/>
      <c r="AS419" s="1"/>
      <c r="AT419" s="1"/>
      <c r="AU419" s="1">
        <v>0</v>
      </c>
      <c r="AV419" s="1"/>
      <c r="AW419" s="1">
        <f t="shared" si="30"/>
        <v>11000147</v>
      </c>
      <c r="AY419" s="1">
        <f>+'St of Activites - GA Rev'!AI419-'St of Activities - GA Exp'!AW419</f>
        <v>804147</v>
      </c>
      <c r="BA419" s="1">
        <v>5663271</v>
      </c>
      <c r="BC419" s="1">
        <f t="shared" si="31"/>
        <v>6467418</v>
      </c>
      <c r="BE419" s="1">
        <f>+'St of Net Assets - GA'!AA419-'St of Activities - GA Exp'!BC419</f>
        <v>0</v>
      </c>
    </row>
    <row r="420" spans="1:57">
      <c r="A420" s="17" t="s">
        <v>593</v>
      </c>
      <c r="B420" s="17"/>
      <c r="C420" s="17" t="s">
        <v>63</v>
      </c>
      <c r="D420" s="17"/>
      <c r="E420" s="13">
        <v>44552</v>
      </c>
      <c r="G420" s="1">
        <v>10750218</v>
      </c>
      <c r="H420" s="1"/>
      <c r="I420" s="1">
        <v>2104045</v>
      </c>
      <c r="J420" s="1"/>
      <c r="K420" s="1">
        <v>816198</v>
      </c>
      <c r="L420" s="1"/>
      <c r="M420" s="1">
        <f>1692+278036</f>
        <v>279728</v>
      </c>
      <c r="N420" s="1"/>
      <c r="O420" s="1">
        <v>824072</v>
      </c>
      <c r="P420" s="1"/>
      <c r="Q420" s="1">
        <v>1162866</v>
      </c>
      <c r="R420" s="1"/>
      <c r="S420" s="1">
        <v>30634</v>
      </c>
      <c r="T420" s="1"/>
      <c r="U420" s="1">
        <v>1665850</v>
      </c>
      <c r="V420" s="1"/>
      <c r="W420" s="1">
        <v>573719</v>
      </c>
      <c r="X420" s="1"/>
      <c r="Y420" s="1">
        <v>314132</v>
      </c>
      <c r="Z420" s="1"/>
      <c r="AA420" s="1">
        <v>1935597</v>
      </c>
      <c r="AB420" s="1"/>
      <c r="AC420" s="1">
        <v>1625865</v>
      </c>
      <c r="AD420" s="1"/>
      <c r="AE420" s="1">
        <v>78009</v>
      </c>
      <c r="AF420" s="1"/>
      <c r="AG420" s="1">
        <v>872285</v>
      </c>
      <c r="AH420" s="1"/>
      <c r="AI420" s="1">
        <v>2980</v>
      </c>
      <c r="AJ420" s="1"/>
      <c r="AK420" s="17" t="s">
        <v>593</v>
      </c>
      <c r="AL420" s="17"/>
      <c r="AM420" s="17" t="s">
        <v>63</v>
      </c>
      <c r="AN420" s="17"/>
      <c r="AO420" s="1">
        <v>527622</v>
      </c>
      <c r="AP420" s="1"/>
      <c r="AQ420" s="1">
        <v>5706</v>
      </c>
      <c r="AR420" s="1"/>
      <c r="AS420" s="1"/>
      <c r="AT420" s="1"/>
      <c r="AU420" s="1">
        <v>0</v>
      </c>
      <c r="AV420" s="1"/>
      <c r="AW420" s="1">
        <f t="shared" si="30"/>
        <v>23569526</v>
      </c>
      <c r="AY420" s="1">
        <f>+'St of Activites - GA Rev'!AI420-'St of Activities - GA Exp'!AW420</f>
        <v>202488</v>
      </c>
      <c r="BA420" s="1">
        <v>11003656</v>
      </c>
      <c r="BC420" s="1">
        <f t="shared" si="31"/>
        <v>11206144</v>
      </c>
      <c r="BE420" s="1">
        <f>+'St of Net Assets - GA'!AA420-'St of Activities - GA Exp'!BC420</f>
        <v>0</v>
      </c>
    </row>
    <row r="421" spans="1:57">
      <c r="A421" s="17" t="s">
        <v>406</v>
      </c>
      <c r="B421" s="17"/>
      <c r="C421" s="17" t="s">
        <v>37</v>
      </c>
      <c r="D421" s="17"/>
      <c r="E421" s="13">
        <v>44560</v>
      </c>
      <c r="G421" s="1">
        <v>11297843</v>
      </c>
      <c r="H421" s="1"/>
      <c r="I421" s="1">
        <v>3785954</v>
      </c>
      <c r="J421" s="1"/>
      <c r="K421" s="1">
        <v>147642</v>
      </c>
      <c r="L421" s="1"/>
      <c r="M421" s="1">
        <f>60898+2298+1327276</f>
        <v>1390472</v>
      </c>
      <c r="N421" s="1"/>
      <c r="O421" s="1">
        <v>1000484</v>
      </c>
      <c r="P421" s="1"/>
      <c r="Q421" s="1">
        <v>2131920</v>
      </c>
      <c r="R421" s="1"/>
      <c r="S421" s="1">
        <v>201969</v>
      </c>
      <c r="T421" s="1"/>
      <c r="U421" s="1">
        <v>2057622</v>
      </c>
      <c r="V421" s="1"/>
      <c r="W421" s="1">
        <v>516550</v>
      </c>
      <c r="X421" s="1"/>
      <c r="Y421" s="1">
        <v>163090</v>
      </c>
      <c r="Z421" s="1"/>
      <c r="AA421" s="1">
        <v>2505718</v>
      </c>
      <c r="AB421" s="1"/>
      <c r="AC421" s="1">
        <v>836158</v>
      </c>
      <c r="AD421" s="1"/>
      <c r="AE421" s="1">
        <v>134301</v>
      </c>
      <c r="AF421" s="1"/>
      <c r="AG421" s="1">
        <v>1144032</v>
      </c>
      <c r="AH421" s="1"/>
      <c r="AI421" s="1">
        <v>570703</v>
      </c>
      <c r="AJ421" s="1"/>
      <c r="AK421" s="17" t="s">
        <v>406</v>
      </c>
      <c r="AL421" s="17"/>
      <c r="AM421" s="17" t="s">
        <v>37</v>
      </c>
      <c r="AN421" s="17"/>
      <c r="AO421" s="1">
        <v>637192</v>
      </c>
      <c r="AP421" s="1"/>
      <c r="AQ421" s="1">
        <v>562403</v>
      </c>
      <c r="AR421" s="1"/>
      <c r="AS421" s="1"/>
      <c r="AT421" s="1"/>
      <c r="AU421" s="1">
        <v>0</v>
      </c>
      <c r="AV421" s="1"/>
      <c r="AW421" s="1">
        <f t="shared" ref="AW421:AW430" si="34">SUM(G421:AV421)</f>
        <v>29084053</v>
      </c>
      <c r="AY421" s="1">
        <f>+'St of Activites - GA Rev'!AI421-'St of Activities - GA Exp'!AW421</f>
        <v>-1324112</v>
      </c>
      <c r="BA421" s="1">
        <v>26123918</v>
      </c>
      <c r="BC421" s="1">
        <f t="shared" si="31"/>
        <v>24799806</v>
      </c>
      <c r="BE421" s="1">
        <f>+'St of Net Assets - GA'!AA421-'St of Activities - GA Exp'!BC421</f>
        <v>0</v>
      </c>
    </row>
    <row r="422" spans="1:57">
      <c r="A422" s="17" t="s">
        <v>764</v>
      </c>
      <c r="B422" s="17"/>
      <c r="C422" s="17" t="s">
        <v>32</v>
      </c>
      <c r="D422" s="17"/>
      <c r="E422" s="13">
        <v>44578</v>
      </c>
      <c r="G422" s="1">
        <v>13593644</v>
      </c>
      <c r="H422" s="1"/>
      <c r="I422" s="1">
        <v>3508667</v>
      </c>
      <c r="J422" s="1"/>
      <c r="K422" s="1">
        <v>3117</v>
      </c>
      <c r="L422" s="1"/>
      <c r="M422" s="1">
        <v>728260</v>
      </c>
      <c r="N422" s="1"/>
      <c r="O422" s="1">
        <v>1968591</v>
      </c>
      <c r="P422" s="1"/>
      <c r="Q422" s="1">
        <v>1496399</v>
      </c>
      <c r="R422" s="1"/>
      <c r="S422" s="1">
        <v>35644</v>
      </c>
      <c r="T422" s="1"/>
      <c r="U422" s="1">
        <v>1905080</v>
      </c>
      <c r="V422" s="1"/>
      <c r="W422" s="1">
        <v>549043</v>
      </c>
      <c r="X422" s="1"/>
      <c r="Y422" s="1">
        <v>0</v>
      </c>
      <c r="Z422" s="1"/>
      <c r="AA422" s="1">
        <v>2589419</v>
      </c>
      <c r="AB422" s="1"/>
      <c r="AC422" s="1">
        <v>749877</v>
      </c>
      <c r="AD422" s="1"/>
      <c r="AE422" s="1">
        <v>592223</v>
      </c>
      <c r="AF422" s="1"/>
      <c r="AG422" s="1">
        <v>0</v>
      </c>
      <c r="AH422" s="1"/>
      <c r="AI422" s="1">
        <v>1582231</v>
      </c>
      <c r="AJ422" s="1"/>
      <c r="AK422" s="17" t="s">
        <v>764</v>
      </c>
      <c r="AL422" s="17"/>
      <c r="AM422" s="17" t="s">
        <v>32</v>
      </c>
      <c r="AN422" s="17"/>
      <c r="AO422" s="1">
        <v>642150</v>
      </c>
      <c r="AP422" s="1"/>
      <c r="AQ422" s="1">
        <v>272976</v>
      </c>
      <c r="AR422" s="1"/>
      <c r="AS422" s="1"/>
      <c r="AT422" s="1"/>
      <c r="AU422" s="1">
        <v>0</v>
      </c>
      <c r="AV422" s="1"/>
      <c r="AW422" s="1">
        <f t="shared" si="34"/>
        <v>30217321</v>
      </c>
      <c r="AY422" s="1">
        <f>+'St of Activites - GA Rev'!AI422-'St of Activities - GA Exp'!AW422</f>
        <v>-1862035</v>
      </c>
      <c r="BA422" s="1">
        <v>8421570</v>
      </c>
      <c r="BC422" s="1">
        <f t="shared" si="31"/>
        <v>6559535</v>
      </c>
      <c r="BE422" s="1">
        <f>+'St of Net Assets - GA'!AA422-'St of Activities - GA Exp'!BC422</f>
        <v>0</v>
      </c>
    </row>
    <row r="423" spans="1:57" hidden="1">
      <c r="A423" s="17" t="s">
        <v>948</v>
      </c>
      <c r="B423" s="17"/>
      <c r="C423" s="17" t="s">
        <v>38</v>
      </c>
      <c r="D423" s="17"/>
      <c r="E423" s="13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7" t="s">
        <v>948</v>
      </c>
      <c r="AL423" s="17"/>
      <c r="AM423" s="17" t="s">
        <v>38</v>
      </c>
      <c r="AN423" s="17"/>
      <c r="AO423" s="1"/>
      <c r="AP423" s="1"/>
      <c r="AQ423" s="1"/>
      <c r="AR423" s="1"/>
      <c r="AS423" s="1"/>
      <c r="AT423" s="1"/>
      <c r="AU423" s="1"/>
      <c r="AV423" s="1"/>
      <c r="AW423" s="1">
        <f t="shared" ref="AW423" si="35">SUM(G423:AV423)</f>
        <v>0</v>
      </c>
      <c r="AY423" s="1">
        <f>+'St of Activites - GA Rev'!AI423-'St of Activities - GA Exp'!AW423</f>
        <v>0</v>
      </c>
      <c r="BC423" s="1">
        <f t="shared" ref="BC423" si="36">+AY423+BA423</f>
        <v>0</v>
      </c>
      <c r="BE423" s="1">
        <f>+'St of Net Assets - GA'!AA423-'St of Activities - GA Exp'!BC423</f>
        <v>0</v>
      </c>
    </row>
    <row r="424" spans="1:57">
      <c r="A424" s="17" t="s">
        <v>371</v>
      </c>
      <c r="B424" s="17"/>
      <c r="C424" s="17" t="s">
        <v>32</v>
      </c>
      <c r="D424" s="17"/>
      <c r="E424" s="13">
        <v>47373</v>
      </c>
      <c r="G424" s="1">
        <v>34774092</v>
      </c>
      <c r="H424" s="1"/>
      <c r="I424" s="1">
        <v>8334521</v>
      </c>
      <c r="J424" s="1"/>
      <c r="K424" s="1">
        <v>101</v>
      </c>
      <c r="L424" s="1"/>
      <c r="M424" s="1">
        <v>291436</v>
      </c>
      <c r="N424" s="1"/>
      <c r="O424" s="1">
        <v>4999928</v>
      </c>
      <c r="P424" s="1"/>
      <c r="Q424" s="1">
        <v>7100492</v>
      </c>
      <c r="R424" s="1"/>
      <c r="S424" s="1">
        <v>163458</v>
      </c>
      <c r="T424" s="1"/>
      <c r="U424" s="1">
        <v>5328461</v>
      </c>
      <c r="V424" s="1"/>
      <c r="W424" s="1">
        <v>1281511</v>
      </c>
      <c r="X424" s="1"/>
      <c r="Y424" s="1">
        <v>284383</v>
      </c>
      <c r="Z424" s="1"/>
      <c r="AA424" s="1">
        <v>6988413</v>
      </c>
      <c r="AB424" s="1"/>
      <c r="AC424" s="1">
        <v>2894554</v>
      </c>
      <c r="AD424" s="1"/>
      <c r="AE424" s="1">
        <v>541132</v>
      </c>
      <c r="AF424" s="1"/>
      <c r="AG424" s="1">
        <v>0</v>
      </c>
      <c r="AH424" s="1"/>
      <c r="AI424" s="1">
        <v>4428200</v>
      </c>
      <c r="AJ424" s="1"/>
      <c r="AK424" s="17" t="s">
        <v>371</v>
      </c>
      <c r="AL424" s="17"/>
      <c r="AM424" s="17" t="s">
        <v>32</v>
      </c>
      <c r="AN424" s="17"/>
      <c r="AO424" s="1">
        <v>2099337</v>
      </c>
      <c r="AP424" s="1"/>
      <c r="AQ424" s="1">
        <v>1956139</v>
      </c>
      <c r="AR424" s="1"/>
      <c r="AS424" s="1"/>
      <c r="AT424" s="1"/>
      <c r="AU424" s="1">
        <v>0</v>
      </c>
      <c r="AV424" s="1"/>
      <c r="AW424" s="1">
        <f t="shared" si="34"/>
        <v>81466158</v>
      </c>
      <c r="AY424" s="1">
        <f>+'St of Activites - GA Rev'!AI424-'St of Activities - GA Exp'!AW424</f>
        <v>1751657</v>
      </c>
      <c r="BA424" s="1">
        <v>35934798</v>
      </c>
      <c r="BC424" s="1">
        <f t="shared" si="31"/>
        <v>37686455</v>
      </c>
      <c r="BE424" s="1">
        <f>+'St of Net Assets - GA'!AA424-'St of Activities - GA Exp'!BC424</f>
        <v>0</v>
      </c>
    </row>
    <row r="425" spans="1:57">
      <c r="A425" s="17" t="s">
        <v>504</v>
      </c>
      <c r="B425" s="17"/>
      <c r="C425" s="17" t="s">
        <v>50</v>
      </c>
      <c r="D425" s="17"/>
      <c r="E425" s="13">
        <v>44586</v>
      </c>
      <c r="G425" s="1">
        <v>12692796</v>
      </c>
      <c r="H425" s="1"/>
      <c r="I425" s="1">
        <v>2696206</v>
      </c>
      <c r="J425" s="1"/>
      <c r="K425" s="1">
        <v>0</v>
      </c>
      <c r="L425" s="1"/>
      <c r="M425" s="1">
        <v>223929</v>
      </c>
      <c r="N425" s="1"/>
      <c r="O425" s="1">
        <v>1455033</v>
      </c>
      <c r="P425" s="1"/>
      <c r="Q425" s="1">
        <v>501180</v>
      </c>
      <c r="R425" s="1"/>
      <c r="S425" s="1">
        <v>20540</v>
      </c>
      <c r="T425" s="1"/>
      <c r="U425" s="1">
        <v>1879073</v>
      </c>
      <c r="V425" s="1"/>
      <c r="W425" s="1">
        <v>677275</v>
      </c>
      <c r="X425" s="1"/>
      <c r="Y425" s="1">
        <v>9694</v>
      </c>
      <c r="Z425" s="1"/>
      <c r="AA425" s="1">
        <v>2175640</v>
      </c>
      <c r="AB425" s="1"/>
      <c r="AC425" s="1">
        <v>206159</v>
      </c>
      <c r="AD425" s="1"/>
      <c r="AE425" s="1">
        <v>611942</v>
      </c>
      <c r="AF425" s="1"/>
      <c r="AG425" s="1">
        <v>341737</v>
      </c>
      <c r="AH425" s="1"/>
      <c r="AI425" s="1">
        <f>266726+48017</f>
        <v>314743</v>
      </c>
      <c r="AJ425" s="1"/>
      <c r="AK425" s="17" t="s">
        <v>504</v>
      </c>
      <c r="AL425" s="17"/>
      <c r="AM425" s="17" t="s">
        <v>50</v>
      </c>
      <c r="AN425" s="17"/>
      <c r="AO425" s="1">
        <v>1026470</v>
      </c>
      <c r="AP425" s="1"/>
      <c r="AQ425" s="1">
        <v>806630</v>
      </c>
      <c r="AR425" s="1"/>
      <c r="AS425" s="1"/>
      <c r="AT425" s="1"/>
      <c r="AU425" s="1">
        <v>0</v>
      </c>
      <c r="AV425" s="1"/>
      <c r="AW425" s="1">
        <f t="shared" si="34"/>
        <v>25639047</v>
      </c>
      <c r="AY425" s="1">
        <f>+'St of Activites - GA Rev'!AI425-'St of Activities - GA Exp'!AW425</f>
        <v>-937850</v>
      </c>
      <c r="BA425" s="1">
        <v>4627646</v>
      </c>
      <c r="BC425" s="1">
        <f t="shared" si="31"/>
        <v>3689796</v>
      </c>
      <c r="BE425" s="1">
        <f>+'St of Net Assets - GA'!AA425-'St of Activities - GA Exp'!BC425</f>
        <v>0</v>
      </c>
    </row>
    <row r="426" spans="1:57">
      <c r="A426" s="17"/>
      <c r="B426" s="17"/>
      <c r="C426" s="17"/>
      <c r="D426" s="17"/>
      <c r="E426" s="13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7"/>
      <c r="AL426" s="17"/>
      <c r="AM426" s="17"/>
      <c r="AN426" s="17"/>
      <c r="AO426" s="1"/>
      <c r="AP426" s="1"/>
      <c r="AQ426" s="1"/>
      <c r="AR426" s="1"/>
      <c r="AS426" s="1"/>
      <c r="AT426" s="1"/>
      <c r="AU426" s="1"/>
      <c r="AV426" s="1"/>
    </row>
    <row r="427" spans="1:57">
      <c r="A427" s="17"/>
      <c r="B427" s="17"/>
      <c r="C427" s="17"/>
      <c r="D427" s="17"/>
      <c r="E427" s="13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20" t="s">
        <v>709</v>
      </c>
      <c r="AJ427" s="1"/>
      <c r="AK427" s="17"/>
      <c r="AL427" s="17"/>
      <c r="AM427" s="17"/>
      <c r="AN427" s="17"/>
      <c r="AO427" s="1"/>
      <c r="AP427" s="1"/>
      <c r="AQ427" s="1"/>
      <c r="AR427" s="1"/>
      <c r="AS427" s="1"/>
      <c r="AT427" s="1"/>
      <c r="AU427" s="1"/>
      <c r="AV427" s="1"/>
      <c r="AY427" s="18"/>
      <c r="BC427" s="20" t="s">
        <v>709</v>
      </c>
    </row>
    <row r="428" spans="1:57">
      <c r="A428" s="17"/>
      <c r="B428" s="17"/>
      <c r="C428" s="17"/>
      <c r="D428" s="17"/>
      <c r="E428" s="13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7"/>
      <c r="AL428" s="17"/>
      <c r="AM428" s="17"/>
      <c r="AN428" s="17"/>
      <c r="AO428" s="1"/>
      <c r="AP428" s="1"/>
      <c r="AQ428" s="1"/>
      <c r="AR428" s="1"/>
      <c r="AS428" s="1"/>
      <c r="AT428" s="1"/>
      <c r="AU428" s="1"/>
      <c r="AV428" s="1"/>
    </row>
    <row r="429" spans="1:57" s="16" customFormat="1">
      <c r="A429" s="14" t="s">
        <v>446</v>
      </c>
      <c r="B429" s="14"/>
      <c r="C429" s="14" t="s">
        <v>44</v>
      </c>
      <c r="D429" s="14"/>
      <c r="E429" s="13">
        <v>44594</v>
      </c>
      <c r="G429" s="16">
        <v>6973664</v>
      </c>
      <c r="I429" s="16">
        <v>1119592</v>
      </c>
      <c r="K429" s="16">
        <v>100788</v>
      </c>
      <c r="M429" s="16">
        <v>225689</v>
      </c>
      <c r="O429" s="16">
        <v>1054473</v>
      </c>
      <c r="Q429" s="16">
        <v>435109</v>
      </c>
      <c r="S429" s="16">
        <v>60984</v>
      </c>
      <c r="U429" s="16">
        <v>1427305</v>
      </c>
      <c r="W429" s="16">
        <v>376599</v>
      </c>
      <c r="Y429" s="16">
        <v>195177</v>
      </c>
      <c r="AA429" s="16">
        <v>1418018</v>
      </c>
      <c r="AC429" s="16">
        <v>512284</v>
      </c>
      <c r="AE429" s="16">
        <v>46481</v>
      </c>
      <c r="AG429" s="16">
        <v>0</v>
      </c>
      <c r="AI429" s="16">
        <v>389898</v>
      </c>
      <c r="AJ429" s="1"/>
      <c r="AK429" s="14" t="s">
        <v>446</v>
      </c>
      <c r="AL429" s="14"/>
      <c r="AM429" s="14" t="s">
        <v>44</v>
      </c>
      <c r="AN429" s="14"/>
      <c r="AO429" s="16">
        <v>286893</v>
      </c>
      <c r="AQ429" s="16">
        <v>32364</v>
      </c>
      <c r="AU429" s="16">
        <v>0</v>
      </c>
      <c r="AW429" s="16">
        <f t="shared" si="34"/>
        <v>14655318</v>
      </c>
      <c r="AY429" s="16">
        <f>+'St of Activites - GA Rev'!AI429-'St of Activities - GA Exp'!AW429</f>
        <v>-220696</v>
      </c>
      <c r="BA429" s="16">
        <v>5021265</v>
      </c>
      <c r="BC429" s="16">
        <f t="shared" si="31"/>
        <v>4800569</v>
      </c>
      <c r="BD429" s="1"/>
      <c r="BE429" s="1">
        <f>+'St of Net Assets - GA'!AA429-'St of Activities - GA Exp'!BC429</f>
        <v>0</v>
      </c>
    </row>
    <row r="430" spans="1:57" ht="12" hidden="1" customHeight="1">
      <c r="A430" s="12" t="s">
        <v>735</v>
      </c>
      <c r="B430" s="17"/>
      <c r="C430" s="17" t="s">
        <v>60</v>
      </c>
      <c r="D430" s="17"/>
      <c r="E430" s="13">
        <v>49726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2" t="s">
        <v>735</v>
      </c>
      <c r="AL430" s="17"/>
      <c r="AM430" s="17" t="s">
        <v>60</v>
      </c>
      <c r="AN430" s="17"/>
      <c r="AO430" s="1"/>
      <c r="AP430" s="1"/>
      <c r="AQ430" s="1"/>
      <c r="AR430" s="1"/>
      <c r="AS430" s="1"/>
      <c r="AT430" s="1"/>
      <c r="AU430" s="1"/>
      <c r="AV430" s="1"/>
      <c r="AW430" s="1">
        <f t="shared" si="34"/>
        <v>0</v>
      </c>
      <c r="AY430" s="1">
        <f>+'St of Activites - GA Rev'!AI430-'St of Activities - GA Exp'!AW430</f>
        <v>0</v>
      </c>
      <c r="BC430" s="1">
        <f t="shared" si="31"/>
        <v>0</v>
      </c>
      <c r="BE430" s="1">
        <f>+'St of Net Assets - GA'!AA430-'St of Activities - GA Exp'!BC430</f>
        <v>0</v>
      </c>
    </row>
    <row r="431" spans="1:57">
      <c r="A431" s="17" t="s">
        <v>313</v>
      </c>
      <c r="B431" s="17"/>
      <c r="C431" s="17" t="s">
        <v>23</v>
      </c>
      <c r="D431" s="17"/>
      <c r="E431" s="13">
        <v>46763</v>
      </c>
      <c r="G431" s="1">
        <v>77514603</v>
      </c>
      <c r="H431" s="1"/>
      <c r="I431" s="1">
        <v>17094917</v>
      </c>
      <c r="J431" s="1"/>
      <c r="K431" s="1">
        <v>907406</v>
      </c>
      <c r="L431" s="1"/>
      <c r="M431" s="1">
        <v>0</v>
      </c>
      <c r="N431" s="1"/>
      <c r="O431" s="1">
        <v>6469777</v>
      </c>
      <c r="P431" s="1"/>
      <c r="Q431" s="1">
        <v>8444707</v>
      </c>
      <c r="R431" s="1"/>
      <c r="S431" s="1">
        <v>394642</v>
      </c>
      <c r="T431" s="1"/>
      <c r="U431" s="1">
        <v>8328364</v>
      </c>
      <c r="V431" s="1"/>
      <c r="W431" s="1">
        <v>0</v>
      </c>
      <c r="X431" s="1"/>
      <c r="Y431" s="1">
        <v>3983948</v>
      </c>
      <c r="Z431" s="1"/>
      <c r="AA431" s="1">
        <v>15642735</v>
      </c>
      <c r="AB431" s="1"/>
      <c r="AC431" s="1">
        <v>7916609</v>
      </c>
      <c r="AD431" s="1"/>
      <c r="AE431" s="1">
        <v>2641064</v>
      </c>
      <c r="AF431" s="1"/>
      <c r="AG431" s="1">
        <v>6625352</v>
      </c>
      <c r="AH431" s="1"/>
      <c r="AI431" s="1">
        <f>553538+18961460</f>
        <v>19514998</v>
      </c>
      <c r="AJ431" s="16"/>
      <c r="AK431" s="17" t="s">
        <v>313</v>
      </c>
      <c r="AL431" s="17"/>
      <c r="AM431" s="17" t="s">
        <v>23</v>
      </c>
      <c r="AN431" s="17"/>
      <c r="AO431" s="1">
        <v>4764973</v>
      </c>
      <c r="AP431" s="1"/>
      <c r="AQ431" s="1">
        <v>0</v>
      </c>
      <c r="AR431" s="1"/>
      <c r="AS431" s="1"/>
      <c r="AT431" s="1"/>
      <c r="AU431" s="1">
        <v>0</v>
      </c>
      <c r="AV431" s="1"/>
      <c r="AW431" s="1">
        <f t="shared" ref="AW431:AW494" si="37">SUM(G431:AV431)</f>
        <v>180244095</v>
      </c>
      <c r="AY431" s="1">
        <f>+'St of Activites - GA Rev'!AI431-'St of Activities - GA Exp'!AW431</f>
        <v>1881484</v>
      </c>
      <c r="BA431" s="1">
        <v>47845048</v>
      </c>
      <c r="BC431" s="1">
        <f t="shared" ref="BC431:BC494" si="38">+AY431+BA431</f>
        <v>49726532</v>
      </c>
      <c r="BD431" s="16"/>
      <c r="BE431" s="16">
        <f>+'St of Net Assets - GA'!AA431-'St of Activities - GA Exp'!BC431</f>
        <v>0</v>
      </c>
    </row>
    <row r="432" spans="1:57" s="1" customFormat="1">
      <c r="A432" s="12" t="s">
        <v>298</v>
      </c>
      <c r="B432" s="12"/>
      <c r="C432" s="12" t="s">
        <v>20</v>
      </c>
      <c r="D432" s="12"/>
      <c r="E432" s="12">
        <v>46573</v>
      </c>
      <c r="G432" s="1">
        <v>17733487</v>
      </c>
      <c r="I432" s="1">
        <v>4934160</v>
      </c>
      <c r="K432" s="1">
        <v>309457</v>
      </c>
      <c r="M432" s="1">
        <v>59157</v>
      </c>
      <c r="O432" s="1">
        <v>1752195</v>
      </c>
      <c r="Q432" s="1">
        <v>1815824</v>
      </c>
      <c r="S432" s="1">
        <v>166398</v>
      </c>
      <c r="U432" s="1">
        <v>2709927</v>
      </c>
      <c r="W432" s="1">
        <v>936517</v>
      </c>
      <c r="Y432" s="1">
        <v>3928</v>
      </c>
      <c r="AA432" s="1">
        <v>3242717</v>
      </c>
      <c r="AC432" s="1">
        <v>2003474</v>
      </c>
      <c r="AE432" s="1">
        <v>498015</v>
      </c>
      <c r="AG432" s="1">
        <v>1293080</v>
      </c>
      <c r="AI432" s="1">
        <v>12953</v>
      </c>
      <c r="AK432" s="12" t="s">
        <v>298</v>
      </c>
      <c r="AL432" s="12"/>
      <c r="AM432" s="12" t="s">
        <v>20</v>
      </c>
      <c r="AN432" s="12"/>
      <c r="AO432" s="1">
        <v>1525349</v>
      </c>
      <c r="AQ432" s="1">
        <v>1491960</v>
      </c>
      <c r="AU432" s="1">
        <v>0</v>
      </c>
      <c r="AW432" s="1">
        <f t="shared" si="37"/>
        <v>40488598</v>
      </c>
      <c r="AY432" s="1">
        <f>+'St of Activites - GA Rev'!AI432-'St of Activities - GA Exp'!AW432</f>
        <v>316587</v>
      </c>
      <c r="BA432" s="1">
        <v>26202329</v>
      </c>
      <c r="BC432" s="1">
        <f t="shared" si="38"/>
        <v>26518916</v>
      </c>
      <c r="BE432" s="1">
        <f>+'St of Net Assets - GA'!AA432-'St of Activities - GA Exp'!BC432</f>
        <v>0</v>
      </c>
    </row>
    <row r="433" spans="1:57">
      <c r="A433" s="17" t="s">
        <v>546</v>
      </c>
      <c r="B433" s="17"/>
      <c r="C433" s="17" t="s">
        <v>112</v>
      </c>
      <c r="D433" s="17"/>
      <c r="E433" s="13">
        <v>49478</v>
      </c>
      <c r="G433" s="1">
        <v>7149236</v>
      </c>
      <c r="H433" s="1"/>
      <c r="I433" s="1">
        <v>1374199</v>
      </c>
      <c r="J433" s="1"/>
      <c r="K433" s="1">
        <v>201590</v>
      </c>
      <c r="L433" s="1"/>
      <c r="M433" s="1">
        <v>452470</v>
      </c>
      <c r="N433" s="1"/>
      <c r="O433" s="1">
        <v>961943</v>
      </c>
      <c r="P433" s="1"/>
      <c r="Q433" s="1">
        <v>964297</v>
      </c>
      <c r="R433" s="1"/>
      <c r="S433" s="1">
        <v>39548</v>
      </c>
      <c r="T433" s="1"/>
      <c r="U433" s="1">
        <v>1358406</v>
      </c>
      <c r="V433" s="1"/>
      <c r="W433" s="1">
        <v>579674</v>
      </c>
      <c r="X433" s="1"/>
      <c r="Y433" s="1">
        <v>0</v>
      </c>
      <c r="Z433" s="1"/>
      <c r="AA433" s="1">
        <v>1866474</v>
      </c>
      <c r="AB433" s="1"/>
      <c r="AC433" s="1">
        <v>874585</v>
      </c>
      <c r="AD433" s="1"/>
      <c r="AE433" s="1">
        <v>40956</v>
      </c>
      <c r="AF433" s="1"/>
      <c r="AG433" s="1">
        <v>753139</v>
      </c>
      <c r="AH433" s="1"/>
      <c r="AI433" s="1">
        <f>11248+76461</f>
        <v>87709</v>
      </c>
      <c r="AJ433" s="1"/>
      <c r="AK433" s="17" t="s">
        <v>546</v>
      </c>
      <c r="AL433" s="17"/>
      <c r="AM433" s="17" t="s">
        <v>112</v>
      </c>
      <c r="AN433" s="17"/>
      <c r="AO433" s="1">
        <v>808683</v>
      </c>
      <c r="AP433" s="1"/>
      <c r="AQ433" s="1">
        <v>759669</v>
      </c>
      <c r="AR433" s="1"/>
      <c r="AS433" s="1"/>
      <c r="AT433" s="1"/>
      <c r="AU433" s="1">
        <v>0</v>
      </c>
      <c r="AV433" s="1"/>
      <c r="AW433" s="1">
        <f t="shared" si="37"/>
        <v>18272578</v>
      </c>
      <c r="AY433" s="1">
        <f>+'St of Activites - GA Rev'!AI433-'St of Activities - GA Exp'!AW433</f>
        <v>-147013</v>
      </c>
      <c r="BA433" s="1">
        <v>14970138</v>
      </c>
      <c r="BC433" s="1">
        <f t="shared" si="38"/>
        <v>14823125</v>
      </c>
      <c r="BE433" s="1">
        <f>+'St of Net Assets - GA'!AA433-'St of Activities - GA Exp'!BC433</f>
        <v>0</v>
      </c>
    </row>
    <row r="434" spans="1:57">
      <c r="A434" s="17" t="s">
        <v>299</v>
      </c>
      <c r="B434" s="17"/>
      <c r="C434" s="17" t="s">
        <v>20</v>
      </c>
      <c r="D434" s="17"/>
      <c r="E434" s="13">
        <v>46581</v>
      </c>
      <c r="G434" s="1">
        <v>19466209</v>
      </c>
      <c r="H434" s="1"/>
      <c r="I434" s="1">
        <v>6583687</v>
      </c>
      <c r="J434" s="1"/>
      <c r="K434" s="1">
        <v>286099</v>
      </c>
      <c r="L434" s="1"/>
      <c r="M434" s="1">
        <v>0</v>
      </c>
      <c r="N434" s="1"/>
      <c r="O434" s="1">
        <v>3769072</v>
      </c>
      <c r="P434" s="1"/>
      <c r="Q434" s="1">
        <v>4210809</v>
      </c>
      <c r="R434" s="1"/>
      <c r="S434" s="1">
        <v>82545</v>
      </c>
      <c r="T434" s="1"/>
      <c r="U434" s="1">
        <v>3163324</v>
      </c>
      <c r="V434" s="1"/>
      <c r="W434" s="1">
        <v>1266752</v>
      </c>
      <c r="X434" s="1"/>
      <c r="Y434" s="1">
        <v>579625</v>
      </c>
      <c r="Z434" s="1"/>
      <c r="AA434" s="1">
        <v>5384475</v>
      </c>
      <c r="AB434" s="1"/>
      <c r="AC434" s="1">
        <v>3885576</v>
      </c>
      <c r="AD434" s="1"/>
      <c r="AE434" s="1">
        <v>1358741</v>
      </c>
      <c r="AF434" s="1"/>
      <c r="AG434" s="1">
        <v>654881</v>
      </c>
      <c r="AH434" s="1"/>
      <c r="AI434" s="1">
        <f>590397+2314252</f>
        <v>2904649</v>
      </c>
      <c r="AJ434" s="1"/>
      <c r="AK434" s="17" t="s">
        <v>299</v>
      </c>
      <c r="AL434" s="17"/>
      <c r="AM434" s="17" t="s">
        <v>20</v>
      </c>
      <c r="AN434" s="17"/>
      <c r="AO434" s="1">
        <v>1838362</v>
      </c>
      <c r="AP434" s="1"/>
      <c r="AQ434" s="1">
        <v>1263512</v>
      </c>
      <c r="AR434" s="1"/>
      <c r="AS434" s="1"/>
      <c r="AT434" s="1"/>
      <c r="AU434" s="1">
        <v>0</v>
      </c>
      <c r="AV434" s="1"/>
      <c r="AW434" s="1">
        <f t="shared" si="37"/>
        <v>56698318</v>
      </c>
      <c r="AY434" s="1">
        <f>+'St of Activites - GA Rev'!AI434-'St of Activities - GA Exp'!AW434</f>
        <v>-670408</v>
      </c>
      <c r="BA434" s="1">
        <v>62090283</v>
      </c>
      <c r="BC434" s="1">
        <f t="shared" si="38"/>
        <v>61419875</v>
      </c>
      <c r="BE434" s="1">
        <f>+'St of Net Assets - GA'!AA434-'St of Activities - GA Exp'!BC434</f>
        <v>0</v>
      </c>
    </row>
    <row r="435" spans="1:57" ht="12" customHeight="1">
      <c r="A435" s="17" t="s">
        <v>451</v>
      </c>
      <c r="B435" s="17"/>
      <c r="C435" s="17" t="s">
        <v>117</v>
      </c>
      <c r="D435" s="17"/>
      <c r="E435" s="13">
        <v>44602</v>
      </c>
      <c r="G435" s="1">
        <v>17122656</v>
      </c>
      <c r="H435" s="1"/>
      <c r="I435" s="1">
        <v>4894705</v>
      </c>
      <c r="J435" s="1"/>
      <c r="K435" s="1">
        <v>2765894</v>
      </c>
      <c r="L435" s="1"/>
      <c r="M435" s="1">
        <f>847176+244942</f>
        <v>1092118</v>
      </c>
      <c r="N435" s="1"/>
      <c r="O435" s="1">
        <v>1703855</v>
      </c>
      <c r="P435" s="1"/>
      <c r="Q435" s="1">
        <v>2862778</v>
      </c>
      <c r="R435" s="1"/>
      <c r="S435" s="1">
        <v>42522</v>
      </c>
      <c r="T435" s="1"/>
      <c r="U435" s="1">
        <v>2926897</v>
      </c>
      <c r="V435" s="1"/>
      <c r="W435" s="1">
        <v>917198</v>
      </c>
      <c r="X435" s="1"/>
      <c r="Y435" s="1">
        <v>436543</v>
      </c>
      <c r="Z435" s="1"/>
      <c r="AA435" s="1">
        <v>4704953</v>
      </c>
      <c r="AB435" s="1"/>
      <c r="AC435" s="1">
        <v>1743198</v>
      </c>
      <c r="AD435" s="1"/>
      <c r="AE435" s="1">
        <v>0</v>
      </c>
      <c r="AF435" s="1"/>
      <c r="AG435" s="1">
        <v>1682640</v>
      </c>
      <c r="AH435" s="1"/>
      <c r="AI435" s="1">
        <v>215284</v>
      </c>
      <c r="AJ435" s="1"/>
      <c r="AK435" s="17" t="s">
        <v>451</v>
      </c>
      <c r="AL435" s="17"/>
      <c r="AM435" s="17" t="s">
        <v>117</v>
      </c>
      <c r="AN435" s="17"/>
      <c r="AO435" s="1">
        <v>1051525</v>
      </c>
      <c r="AP435" s="1"/>
      <c r="AQ435" s="1">
        <v>1914876</v>
      </c>
      <c r="AR435" s="1"/>
      <c r="AS435" s="1"/>
      <c r="AT435" s="1"/>
      <c r="AU435" s="1">
        <v>0</v>
      </c>
      <c r="AV435" s="1"/>
      <c r="AW435" s="1">
        <f t="shared" si="37"/>
        <v>46077642</v>
      </c>
      <c r="AY435" s="1">
        <f>+'St of Activites - GA Rev'!AI435-'St of Activities - GA Exp'!AW435</f>
        <v>3007463</v>
      </c>
      <c r="BA435" s="1">
        <v>19104981</v>
      </c>
      <c r="BC435" s="1">
        <f t="shared" si="38"/>
        <v>22112444</v>
      </c>
      <c r="BE435" s="1">
        <f>+'St of Net Assets - GA'!AA435-'St of Activities - GA Exp'!BC435</f>
        <v>0</v>
      </c>
    </row>
    <row r="436" spans="1:57">
      <c r="A436" s="17" t="s">
        <v>641</v>
      </c>
      <c r="B436" s="17"/>
      <c r="C436" s="17" t="s">
        <v>71</v>
      </c>
      <c r="D436" s="17"/>
      <c r="E436" s="13">
        <v>44610</v>
      </c>
      <c r="G436" s="1">
        <v>8217510</v>
      </c>
      <c r="H436" s="1"/>
      <c r="I436" s="1">
        <v>1223073</v>
      </c>
      <c r="J436" s="1"/>
      <c r="K436" s="1">
        <v>247144</v>
      </c>
      <c r="L436" s="1"/>
      <c r="M436" s="1">
        <f>55878+1228584</f>
        <v>1284462</v>
      </c>
      <c r="N436" s="1"/>
      <c r="O436" s="1">
        <v>812821</v>
      </c>
      <c r="P436" s="1"/>
      <c r="Q436" s="1">
        <v>914293</v>
      </c>
      <c r="R436" s="1"/>
      <c r="S436" s="1">
        <v>103740</v>
      </c>
      <c r="T436" s="1"/>
      <c r="U436" s="1">
        <v>1435465</v>
      </c>
      <c r="V436" s="1"/>
      <c r="W436" s="1">
        <v>473170</v>
      </c>
      <c r="X436" s="1"/>
      <c r="Y436" s="1">
        <v>6159</v>
      </c>
      <c r="Z436" s="1"/>
      <c r="AA436" s="1">
        <v>1317440</v>
      </c>
      <c r="AB436" s="1"/>
      <c r="AC436" s="1">
        <v>541538</v>
      </c>
      <c r="AD436" s="1"/>
      <c r="AE436" s="1">
        <v>38907</v>
      </c>
      <c r="AF436" s="1"/>
      <c r="AG436" s="1">
        <v>681226</v>
      </c>
      <c r="AH436" s="1"/>
      <c r="AI436" s="1">
        <v>26</v>
      </c>
      <c r="AJ436" s="1"/>
      <c r="AK436" s="17" t="s">
        <v>641</v>
      </c>
      <c r="AL436" s="17"/>
      <c r="AM436" s="17" t="s">
        <v>71</v>
      </c>
      <c r="AN436" s="17"/>
      <c r="AO436" s="1">
        <v>451302</v>
      </c>
      <c r="AP436" s="1"/>
      <c r="AQ436" s="1">
        <v>1040211</v>
      </c>
      <c r="AR436" s="1"/>
      <c r="AS436" s="1"/>
      <c r="AT436" s="1"/>
      <c r="AU436" s="1">
        <v>0</v>
      </c>
      <c r="AV436" s="1"/>
      <c r="AW436" s="1">
        <f t="shared" si="37"/>
        <v>18788487</v>
      </c>
      <c r="AY436" s="1">
        <v>18753914</v>
      </c>
      <c r="BA436" s="1">
        <v>2062460</v>
      </c>
      <c r="BC436" s="1">
        <f t="shared" si="38"/>
        <v>20816374</v>
      </c>
      <c r="BE436" s="1">
        <f>+'St of Net Assets - GA'!AA436-'St of Activities - GA Exp'!BC436</f>
        <v>0</v>
      </c>
    </row>
    <row r="437" spans="1:57">
      <c r="A437" s="17" t="s">
        <v>583</v>
      </c>
      <c r="B437" s="17"/>
      <c r="C437" s="17" t="s">
        <v>62</v>
      </c>
      <c r="D437" s="17"/>
      <c r="E437" s="13">
        <v>49916</v>
      </c>
      <c r="G437" s="1">
        <v>3663072</v>
      </c>
      <c r="H437" s="1"/>
      <c r="I437" s="1">
        <v>780080</v>
      </c>
      <c r="J437" s="1"/>
      <c r="K437" s="1">
        <v>140141</v>
      </c>
      <c r="L437" s="1"/>
      <c r="M437" s="1">
        <v>900382</v>
      </c>
      <c r="N437" s="1"/>
      <c r="O437" s="1">
        <v>373969</v>
      </c>
      <c r="P437" s="1"/>
      <c r="Q437" s="1">
        <v>213386</v>
      </c>
      <c r="R437" s="1"/>
      <c r="S437" s="1">
        <v>23074</v>
      </c>
      <c r="T437" s="1"/>
      <c r="U437" s="1">
        <v>738395</v>
      </c>
      <c r="V437" s="1"/>
      <c r="W437" s="1">
        <v>287037</v>
      </c>
      <c r="X437" s="1"/>
      <c r="Y437" s="1">
        <v>11981</v>
      </c>
      <c r="Z437" s="1"/>
      <c r="AA437" s="1">
        <v>904668</v>
      </c>
      <c r="AB437" s="1"/>
      <c r="AC437" s="1">
        <v>609550</v>
      </c>
      <c r="AD437" s="1"/>
      <c r="AE437" s="1">
        <v>34978</v>
      </c>
      <c r="AF437" s="1"/>
      <c r="AG437" s="1">
        <v>374305</v>
      </c>
      <c r="AH437" s="1"/>
      <c r="AI437" s="1">
        <v>22689</v>
      </c>
      <c r="AJ437" s="1"/>
      <c r="AK437" s="17" t="s">
        <v>583</v>
      </c>
      <c r="AL437" s="17"/>
      <c r="AM437" s="17" t="s">
        <v>62</v>
      </c>
      <c r="AN437" s="17"/>
      <c r="AO437" s="1">
        <v>477040</v>
      </c>
      <c r="AP437" s="1"/>
      <c r="AQ437" s="1">
        <v>398801</v>
      </c>
      <c r="AR437" s="1"/>
      <c r="AS437" s="1"/>
      <c r="AT437" s="1"/>
      <c r="AU437" s="1">
        <v>0</v>
      </c>
      <c r="AV437" s="1"/>
      <c r="AW437" s="1">
        <f t="shared" si="37"/>
        <v>9953548</v>
      </c>
      <c r="AY437" s="1">
        <v>-574090</v>
      </c>
      <c r="BA437" s="1">
        <v>20188025</v>
      </c>
      <c r="BC437" s="1">
        <f t="shared" si="38"/>
        <v>19613935</v>
      </c>
      <c r="BE437" s="1">
        <f>+'St of Net Assets - GA'!AA437-'St of Activities - GA Exp'!BC437</f>
        <v>0</v>
      </c>
    </row>
    <row r="438" spans="1:57">
      <c r="A438" s="17" t="s">
        <v>650</v>
      </c>
      <c r="B438" s="17"/>
      <c r="C438" s="17" t="s">
        <v>72</v>
      </c>
      <c r="D438" s="17"/>
      <c r="E438" s="13">
        <v>50724</v>
      </c>
      <c r="G438" s="1">
        <v>7381957</v>
      </c>
      <c r="H438" s="1"/>
      <c r="I438" s="1">
        <v>2476706</v>
      </c>
      <c r="J438" s="1"/>
      <c r="K438" s="1">
        <v>39028</v>
      </c>
      <c r="L438" s="1"/>
      <c r="M438" s="1">
        <v>0</v>
      </c>
      <c r="N438" s="1"/>
      <c r="O438" s="1">
        <v>625461</v>
      </c>
      <c r="P438" s="1"/>
      <c r="Q438" s="1">
        <v>322231</v>
      </c>
      <c r="R438" s="1"/>
      <c r="S438" s="1">
        <v>52553</v>
      </c>
      <c r="T438" s="1"/>
      <c r="U438" s="1">
        <v>991147</v>
      </c>
      <c r="V438" s="1"/>
      <c r="W438" s="1">
        <v>398192</v>
      </c>
      <c r="X438" s="1"/>
      <c r="Y438" s="1">
        <v>4709</v>
      </c>
      <c r="Z438" s="1"/>
      <c r="AA438" s="1">
        <v>1001506</v>
      </c>
      <c r="AB438" s="1"/>
      <c r="AC438" s="1">
        <v>962838</v>
      </c>
      <c r="AD438" s="1"/>
      <c r="AE438" s="1">
        <v>0</v>
      </c>
      <c r="AF438" s="1"/>
      <c r="AG438" s="1">
        <v>0</v>
      </c>
      <c r="AH438" s="1"/>
      <c r="AI438" s="1">
        <v>664072</v>
      </c>
      <c r="AJ438" s="1"/>
      <c r="AK438" s="17" t="s">
        <v>650</v>
      </c>
      <c r="AL438" s="17"/>
      <c r="AM438" s="17" t="s">
        <v>72</v>
      </c>
      <c r="AN438" s="17"/>
      <c r="AO438" s="1">
        <v>419027</v>
      </c>
      <c r="AP438" s="1"/>
      <c r="AQ438" s="1">
        <v>888356</v>
      </c>
      <c r="AR438" s="1"/>
      <c r="AS438" s="1"/>
      <c r="AT438" s="1"/>
      <c r="AU438" s="1">
        <v>0</v>
      </c>
      <c r="AV438" s="1"/>
      <c r="AW438" s="1">
        <f t="shared" si="37"/>
        <v>16227783</v>
      </c>
      <c r="AY438" s="1">
        <v>21058641</v>
      </c>
      <c r="BA438" s="1">
        <v>5746161</v>
      </c>
      <c r="BC438" s="1">
        <f t="shared" si="38"/>
        <v>26804802</v>
      </c>
      <c r="BE438" s="1">
        <f>+'St of Net Assets - GA'!AA438-'St of Activities - GA Exp'!BC438</f>
        <v>0</v>
      </c>
    </row>
    <row r="439" spans="1:57">
      <c r="A439" s="17" t="s">
        <v>452</v>
      </c>
      <c r="B439" s="17"/>
      <c r="C439" s="17" t="s">
        <v>117</v>
      </c>
      <c r="D439" s="17"/>
      <c r="E439" s="13">
        <v>48215</v>
      </c>
      <c r="G439" s="1">
        <v>9472899</v>
      </c>
      <c r="H439" s="1"/>
      <c r="I439" s="1">
        <v>0</v>
      </c>
      <c r="J439" s="1"/>
      <c r="K439" s="1">
        <v>0</v>
      </c>
      <c r="L439" s="1"/>
      <c r="M439" s="1">
        <v>0</v>
      </c>
      <c r="N439" s="1"/>
      <c r="O439" s="1">
        <v>769321</v>
      </c>
      <c r="P439" s="1"/>
      <c r="Q439" s="1">
        <v>599849</v>
      </c>
      <c r="R439" s="1"/>
      <c r="S439" s="1">
        <v>26009</v>
      </c>
      <c r="T439" s="1"/>
      <c r="U439" s="1">
        <v>991860</v>
      </c>
      <c r="V439" s="1"/>
      <c r="W439" s="1">
        <v>502386</v>
      </c>
      <c r="X439" s="1"/>
      <c r="Y439" s="1">
        <v>0</v>
      </c>
      <c r="Z439" s="1"/>
      <c r="AA439" s="1">
        <v>1509689</v>
      </c>
      <c r="AB439" s="1"/>
      <c r="AC439" s="1">
        <v>42013</v>
      </c>
      <c r="AD439" s="1"/>
      <c r="AE439" s="1">
        <v>47250</v>
      </c>
      <c r="AF439" s="1"/>
      <c r="AG439" s="1">
        <v>0</v>
      </c>
      <c r="AH439" s="1"/>
      <c r="AI439" s="1">
        <v>312994</v>
      </c>
      <c r="AJ439" s="1"/>
      <c r="AK439" s="17" t="s">
        <v>452</v>
      </c>
      <c r="AL439" s="17"/>
      <c r="AM439" s="17" t="s">
        <v>117</v>
      </c>
      <c r="AN439" s="17"/>
      <c r="AO439" s="1">
        <v>848585</v>
      </c>
      <c r="AP439" s="1"/>
      <c r="AQ439" s="1">
        <v>208889</v>
      </c>
      <c r="AR439" s="1"/>
      <c r="AS439" s="1"/>
      <c r="AT439" s="1"/>
      <c r="AU439" s="1">
        <v>0</v>
      </c>
      <c r="AV439" s="1"/>
      <c r="AW439" s="1">
        <f t="shared" si="37"/>
        <v>15331744</v>
      </c>
      <c r="AY439" s="1">
        <v>-860787</v>
      </c>
      <c r="BA439" s="1">
        <v>7104142</v>
      </c>
      <c r="BC439" s="1">
        <f t="shared" si="38"/>
        <v>6243355</v>
      </c>
      <c r="BE439" s="1">
        <f>+'St of Net Assets - GA'!AA439-'St of Activities - GA Exp'!BC439</f>
        <v>0</v>
      </c>
    </row>
    <row r="440" spans="1:57" ht="12" hidden="1" customHeight="1">
      <c r="A440" s="12" t="s">
        <v>885</v>
      </c>
      <c r="B440" s="17"/>
      <c r="C440" s="17" t="s">
        <v>542</v>
      </c>
      <c r="D440" s="17"/>
      <c r="E440" s="13">
        <v>49379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2" t="s">
        <v>885</v>
      </c>
      <c r="AL440" s="17"/>
      <c r="AM440" s="17" t="s">
        <v>542</v>
      </c>
      <c r="AN440" s="17"/>
      <c r="AO440" s="1"/>
      <c r="AP440" s="1"/>
      <c r="AQ440" s="1"/>
      <c r="AR440" s="1"/>
      <c r="AS440" s="1"/>
      <c r="AT440" s="1"/>
      <c r="AU440" s="1"/>
      <c r="AV440" s="1"/>
      <c r="AW440" s="1">
        <f t="shared" si="37"/>
        <v>0</v>
      </c>
      <c r="AY440" s="1">
        <v>0</v>
      </c>
      <c r="BC440" s="1">
        <f t="shared" si="38"/>
        <v>0</v>
      </c>
      <c r="BE440" s="1">
        <f>+'St of Net Assets - GA'!AA440-'St of Activities - GA Exp'!BC440</f>
        <v>0</v>
      </c>
    </row>
    <row r="441" spans="1:57" ht="12" hidden="1" customHeight="1">
      <c r="A441" s="12" t="s">
        <v>884</v>
      </c>
      <c r="B441" s="17"/>
      <c r="C441" s="17" t="s">
        <v>542</v>
      </c>
      <c r="D441" s="17"/>
      <c r="E441" s="13">
        <v>49387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2" t="s">
        <v>884</v>
      </c>
      <c r="AL441" s="17"/>
      <c r="AM441" s="17" t="s">
        <v>542</v>
      </c>
      <c r="AN441" s="17"/>
      <c r="AO441" s="1"/>
      <c r="AP441" s="1"/>
      <c r="AQ441" s="1"/>
      <c r="AR441" s="1"/>
      <c r="AS441" s="1"/>
      <c r="AT441" s="1"/>
      <c r="AU441" s="1"/>
      <c r="AV441" s="1"/>
      <c r="AW441" s="1">
        <f t="shared" si="37"/>
        <v>0</v>
      </c>
      <c r="AY441" s="1">
        <v>0</v>
      </c>
      <c r="BC441" s="1">
        <f t="shared" si="38"/>
        <v>0</v>
      </c>
      <c r="BE441" s="1">
        <f>+'St of Net Assets - GA'!AA441-'St of Activities - GA Exp'!BC441</f>
        <v>0</v>
      </c>
    </row>
    <row r="442" spans="1:57">
      <c r="A442" s="17" t="s">
        <v>417</v>
      </c>
      <c r="B442" s="17"/>
      <c r="C442" s="17" t="s">
        <v>41</v>
      </c>
      <c r="D442" s="17"/>
      <c r="E442" s="13">
        <v>44628</v>
      </c>
      <c r="G442" s="1">
        <v>16138052</v>
      </c>
      <c r="H442" s="1"/>
      <c r="I442" s="1">
        <v>5120823</v>
      </c>
      <c r="J442" s="1"/>
      <c r="K442" s="1">
        <v>488561</v>
      </c>
      <c r="L442" s="1"/>
      <c r="M442" s="1">
        <v>3073849</v>
      </c>
      <c r="N442" s="1"/>
      <c r="O442" s="1">
        <v>2098188</v>
      </c>
      <c r="P442" s="1"/>
      <c r="Q442" s="1">
        <v>3176390</v>
      </c>
      <c r="R442" s="1"/>
      <c r="S442" s="1">
        <v>113660</v>
      </c>
      <c r="T442" s="1"/>
      <c r="U442" s="1">
        <v>3493484</v>
      </c>
      <c r="V442" s="1"/>
      <c r="W442" s="1">
        <v>682375</v>
      </c>
      <c r="X442" s="1"/>
      <c r="Y442" s="1">
        <v>59988</v>
      </c>
      <c r="Z442" s="1"/>
      <c r="AA442" s="1">
        <v>5219715</v>
      </c>
      <c r="AB442" s="1"/>
      <c r="AC442" s="1">
        <v>1392038</v>
      </c>
      <c r="AD442" s="1"/>
      <c r="AE442" s="1">
        <v>384342</v>
      </c>
      <c r="AF442" s="1"/>
      <c r="AG442" s="1">
        <v>0</v>
      </c>
      <c r="AH442" s="1"/>
      <c r="AI442" s="1">
        <v>1859959</v>
      </c>
      <c r="AJ442" s="1"/>
      <c r="AK442" s="17" t="s">
        <v>417</v>
      </c>
      <c r="AL442" s="17"/>
      <c r="AM442" s="17" t="s">
        <v>41</v>
      </c>
      <c r="AN442" s="17"/>
      <c r="AO442" s="1">
        <v>587186</v>
      </c>
      <c r="AP442" s="1"/>
      <c r="AQ442" s="1">
        <v>1415159</v>
      </c>
      <c r="AR442" s="1"/>
      <c r="AS442" s="1"/>
      <c r="AT442" s="1"/>
      <c r="AU442" s="1">
        <v>0</v>
      </c>
      <c r="AV442" s="1"/>
      <c r="AW442" s="1">
        <f t="shared" si="37"/>
        <v>45303769</v>
      </c>
      <c r="AY442" s="1">
        <v>-3525476</v>
      </c>
      <c r="BA442" s="1">
        <v>72052578</v>
      </c>
      <c r="BC442" s="1">
        <f t="shared" si="38"/>
        <v>68527102</v>
      </c>
      <c r="BE442" s="1">
        <f>+'St of Net Assets - GA'!AA442-'St of Activities - GA Exp'!BC442</f>
        <v>0</v>
      </c>
    </row>
    <row r="443" spans="1:57" ht="12" hidden="1" customHeight="1">
      <c r="A443" s="17" t="s">
        <v>852</v>
      </c>
      <c r="B443" s="17"/>
      <c r="C443" s="17" t="s">
        <v>41</v>
      </c>
      <c r="D443" s="17"/>
      <c r="E443" s="13">
        <v>47894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7" t="s">
        <v>852</v>
      </c>
      <c r="AL443" s="17"/>
      <c r="AM443" s="17" t="s">
        <v>41</v>
      </c>
      <c r="AN443" s="17"/>
      <c r="AO443" s="1"/>
      <c r="AP443" s="1"/>
      <c r="AQ443" s="1"/>
      <c r="AR443" s="1"/>
      <c r="AS443" s="1"/>
      <c r="AT443" s="1"/>
      <c r="AU443" s="1"/>
      <c r="AV443" s="1"/>
      <c r="AW443" s="1">
        <f t="shared" si="37"/>
        <v>0</v>
      </c>
      <c r="AY443" s="1">
        <v>0</v>
      </c>
      <c r="BC443" s="1">
        <f t="shared" si="38"/>
        <v>0</v>
      </c>
      <c r="BE443" s="1">
        <f>+'St of Net Assets - GA'!AA443-'St of Activities - GA Exp'!BC443</f>
        <v>0</v>
      </c>
    </row>
    <row r="444" spans="1:57" ht="12" customHeight="1">
      <c r="A444" s="17" t="s">
        <v>552</v>
      </c>
      <c r="B444" s="17"/>
      <c r="C444" s="17" t="s">
        <v>58</v>
      </c>
      <c r="D444" s="17"/>
      <c r="E444" s="13">
        <v>49510</v>
      </c>
      <c r="G444" s="1">
        <v>5281047</v>
      </c>
      <c r="H444" s="1"/>
      <c r="I444" s="1">
        <v>1588261</v>
      </c>
      <c r="J444" s="1"/>
      <c r="K444" s="1">
        <v>2950</v>
      </c>
      <c r="L444" s="1"/>
      <c r="M444" s="1">
        <v>835821</v>
      </c>
      <c r="N444" s="1"/>
      <c r="O444" s="1">
        <v>359378</v>
      </c>
      <c r="P444" s="1"/>
      <c r="Q444" s="1">
        <v>265238</v>
      </c>
      <c r="R444" s="1"/>
      <c r="S444" s="1">
        <v>96575</v>
      </c>
      <c r="T444" s="1"/>
      <c r="U444" s="1">
        <v>671972</v>
      </c>
      <c r="V444" s="1"/>
      <c r="W444" s="1">
        <v>292210</v>
      </c>
      <c r="X444" s="1"/>
      <c r="Y444" s="1">
        <v>0</v>
      </c>
      <c r="Z444" s="1"/>
      <c r="AA444" s="1">
        <v>1090691</v>
      </c>
      <c r="AB444" s="1"/>
      <c r="AC444" s="1">
        <v>622839</v>
      </c>
      <c r="AD444" s="1"/>
      <c r="AE444" s="1">
        <v>0</v>
      </c>
      <c r="AF444" s="1"/>
      <c r="AG444" s="1">
        <v>0</v>
      </c>
      <c r="AH444" s="1"/>
      <c r="AI444" s="1">
        <v>312325</v>
      </c>
      <c r="AJ444" s="1"/>
      <c r="AK444" s="17" t="s">
        <v>552</v>
      </c>
      <c r="AL444" s="17"/>
      <c r="AM444" s="17" t="s">
        <v>58</v>
      </c>
      <c r="AN444" s="17"/>
      <c r="AO444" s="1">
        <v>332435</v>
      </c>
      <c r="AP444" s="1"/>
      <c r="AQ444" s="1">
        <v>75244</v>
      </c>
      <c r="AR444" s="1"/>
      <c r="AS444" s="1"/>
      <c r="AT444" s="1"/>
      <c r="AU444" s="1">
        <v>0</v>
      </c>
      <c r="AV444" s="1"/>
      <c r="AW444" s="1">
        <f t="shared" si="37"/>
        <v>11826986</v>
      </c>
      <c r="AY444" s="1">
        <v>-334763</v>
      </c>
      <c r="BA444" s="1">
        <v>21220657</v>
      </c>
      <c r="BC444" s="1">
        <f t="shared" si="38"/>
        <v>20885894</v>
      </c>
      <c r="BE444" s="1">
        <f>+'St of Net Assets - GA'!AA444-'St of Activities - GA Exp'!BC444</f>
        <v>0</v>
      </c>
    </row>
    <row r="445" spans="1:57" ht="12" hidden="1" customHeight="1">
      <c r="A445" s="17" t="s">
        <v>853</v>
      </c>
      <c r="B445" s="17"/>
      <c r="C445" s="17" t="s">
        <v>542</v>
      </c>
      <c r="D445" s="17"/>
      <c r="E445" s="13">
        <v>49395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7" t="s">
        <v>853</v>
      </c>
      <c r="AL445" s="17"/>
      <c r="AM445" s="17" t="s">
        <v>542</v>
      </c>
      <c r="AN445" s="17"/>
      <c r="AO445" s="1"/>
      <c r="AP445" s="1"/>
      <c r="AQ445" s="1"/>
      <c r="AR445" s="1"/>
      <c r="AS445" s="1"/>
      <c r="AT445" s="1"/>
      <c r="AU445" s="1"/>
      <c r="AV445" s="1"/>
      <c r="AW445" s="1">
        <f t="shared" si="37"/>
        <v>0</v>
      </c>
      <c r="AY445" s="1">
        <v>0</v>
      </c>
      <c r="BC445" s="1">
        <f t="shared" si="38"/>
        <v>0</v>
      </c>
      <c r="BE445" s="1">
        <f>+'St of Net Assets - GA'!AA445-'St of Activities - GA Exp'!BC445</f>
        <v>0</v>
      </c>
    </row>
    <row r="446" spans="1:57" ht="12" hidden="1" customHeight="1">
      <c r="A446" s="17" t="s">
        <v>854</v>
      </c>
      <c r="B446" s="17"/>
      <c r="C446" s="17" t="s">
        <v>486</v>
      </c>
      <c r="D446" s="17"/>
      <c r="E446" s="13">
        <v>48579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7" t="s">
        <v>854</v>
      </c>
      <c r="AL446" s="17"/>
      <c r="AM446" s="17" t="s">
        <v>486</v>
      </c>
      <c r="AN446" s="17"/>
      <c r="AO446" s="1"/>
      <c r="AP446" s="1"/>
      <c r="AQ446" s="1"/>
      <c r="AR446" s="1"/>
      <c r="AS446" s="1"/>
      <c r="AT446" s="1"/>
      <c r="AU446" s="1"/>
      <c r="AV446" s="1"/>
      <c r="AW446" s="1">
        <f t="shared" si="37"/>
        <v>0</v>
      </c>
      <c r="AY446" s="1">
        <v>0</v>
      </c>
      <c r="BC446" s="1">
        <f t="shared" si="38"/>
        <v>0</v>
      </c>
      <c r="BE446" s="1">
        <f>+'St of Net Assets - GA'!AA446-'St of Activities - GA Exp'!BC446</f>
        <v>0</v>
      </c>
    </row>
    <row r="447" spans="1:57">
      <c r="A447" s="17" t="s">
        <v>300</v>
      </c>
      <c r="B447" s="17"/>
      <c r="C447" s="17" t="s">
        <v>20</v>
      </c>
      <c r="D447" s="17"/>
      <c r="E447" s="13">
        <v>44636</v>
      </c>
      <c r="G447" s="1">
        <v>62418985</v>
      </c>
      <c r="H447" s="1"/>
      <c r="I447" s="1">
        <v>19472687</v>
      </c>
      <c r="J447" s="1"/>
      <c r="K447" s="1">
        <v>3972138</v>
      </c>
      <c r="L447" s="1"/>
      <c r="M447" s="1">
        <f>328442+261513</f>
        <v>589955</v>
      </c>
      <c r="N447" s="1"/>
      <c r="O447" s="1">
        <v>10083339</v>
      </c>
      <c r="P447" s="1"/>
      <c r="Q447" s="1">
        <v>7686455</v>
      </c>
      <c r="R447" s="1"/>
      <c r="S447" s="1">
        <v>700338</v>
      </c>
      <c r="T447" s="1"/>
      <c r="U447" s="1">
        <v>11639671</v>
      </c>
      <c r="V447" s="1"/>
      <c r="W447" s="1">
        <v>3092635</v>
      </c>
      <c r="X447" s="1"/>
      <c r="Y447" s="1">
        <v>1177944</v>
      </c>
      <c r="Z447" s="1"/>
      <c r="AA447" s="1">
        <v>11605621</v>
      </c>
      <c r="AB447" s="1"/>
      <c r="AC447" s="1">
        <v>6225520</v>
      </c>
      <c r="AD447" s="1"/>
      <c r="AE447" s="1">
        <v>2422046</v>
      </c>
      <c r="AF447" s="1"/>
      <c r="AG447" s="1">
        <v>4266459</v>
      </c>
      <c r="AH447" s="1"/>
      <c r="AI447" s="1">
        <f>3337261+80390+1293868</f>
        <v>4711519</v>
      </c>
      <c r="AJ447" s="1"/>
      <c r="AK447" s="17" t="s">
        <v>300</v>
      </c>
      <c r="AL447" s="17"/>
      <c r="AM447" s="17" t="s">
        <v>20</v>
      </c>
      <c r="AN447" s="17"/>
      <c r="AO447" s="1">
        <v>2807131</v>
      </c>
      <c r="AP447" s="1"/>
      <c r="AQ447" s="1">
        <v>1873221</v>
      </c>
      <c r="AR447" s="1"/>
      <c r="AS447" s="1"/>
      <c r="AT447" s="1"/>
      <c r="AU447" s="1">
        <v>0</v>
      </c>
      <c r="AV447" s="1"/>
      <c r="AW447" s="1">
        <f t="shared" si="37"/>
        <v>154745664</v>
      </c>
      <c r="AY447" s="1">
        <v>2271413</v>
      </c>
      <c r="BA447" s="1">
        <v>30437697</v>
      </c>
      <c r="BC447" s="1">
        <f t="shared" si="38"/>
        <v>32709110</v>
      </c>
      <c r="BE447" s="1">
        <f>+'St of Net Assets - GA'!AA447-'St of Activities - GA Exp'!BC447</f>
        <v>0</v>
      </c>
    </row>
    <row r="448" spans="1:57">
      <c r="A448" s="17" t="s">
        <v>393</v>
      </c>
      <c r="B448" s="17"/>
      <c r="C448" s="17" t="s">
        <v>34</v>
      </c>
      <c r="D448" s="17"/>
      <c r="E448" s="13">
        <v>47597</v>
      </c>
      <c r="G448" s="1">
        <v>4989226</v>
      </c>
      <c r="H448" s="1"/>
      <c r="I448" s="1">
        <v>1386507</v>
      </c>
      <c r="J448" s="1"/>
      <c r="K448" s="1">
        <v>68322</v>
      </c>
      <c r="L448" s="1"/>
      <c r="M448" s="1">
        <f>771+382925</f>
        <v>383696</v>
      </c>
      <c r="N448" s="1"/>
      <c r="O448" s="1">
        <v>518235</v>
      </c>
      <c r="P448" s="1"/>
      <c r="Q448" s="1">
        <v>666067</v>
      </c>
      <c r="R448" s="1"/>
      <c r="S448" s="1">
        <v>31837</v>
      </c>
      <c r="T448" s="1"/>
      <c r="U448" s="1">
        <v>1034322</v>
      </c>
      <c r="V448" s="1"/>
      <c r="W448" s="1">
        <v>366339</v>
      </c>
      <c r="X448" s="1"/>
      <c r="Y448" s="1">
        <v>136377</v>
      </c>
      <c r="Z448" s="1"/>
      <c r="AA448" s="1">
        <v>901783</v>
      </c>
      <c r="AB448" s="1"/>
      <c r="AC448" s="1">
        <v>554345</v>
      </c>
      <c r="AD448" s="1"/>
      <c r="AE448" s="1">
        <v>239252</v>
      </c>
      <c r="AF448" s="1"/>
      <c r="AG448" s="1">
        <v>0</v>
      </c>
      <c r="AH448" s="1"/>
      <c r="AI448" s="1">
        <v>467342</v>
      </c>
      <c r="AJ448" s="1"/>
      <c r="AK448" s="17" t="s">
        <v>393</v>
      </c>
      <c r="AL448" s="17"/>
      <c r="AM448" s="17" t="s">
        <v>34</v>
      </c>
      <c r="AN448" s="17"/>
      <c r="AO448" s="1">
        <v>465916</v>
      </c>
      <c r="AP448" s="1"/>
      <c r="AQ448" s="1">
        <v>168732</v>
      </c>
      <c r="AR448" s="1"/>
      <c r="AS448" s="1"/>
      <c r="AT448" s="1"/>
      <c r="AU448" s="1">
        <v>41969</v>
      </c>
      <c r="AV448" s="1"/>
      <c r="AW448" s="1">
        <f t="shared" si="37"/>
        <v>12420267</v>
      </c>
      <c r="AY448" s="1">
        <v>-294945</v>
      </c>
      <c r="BA448" s="1">
        <v>11802902</v>
      </c>
      <c r="BC448" s="1">
        <f t="shared" si="38"/>
        <v>11507957</v>
      </c>
      <c r="BE448" s="1">
        <f>+'St of Net Assets - GA'!AA448-'St of Activities - GA Exp'!BC448</f>
        <v>0</v>
      </c>
    </row>
    <row r="449" spans="1:57" ht="12" hidden="1" customHeight="1">
      <c r="A449" s="17" t="s">
        <v>855</v>
      </c>
      <c r="B449" s="17"/>
      <c r="C449" s="17" t="s">
        <v>523</v>
      </c>
      <c r="D449" s="17"/>
      <c r="E449" s="13">
        <v>45575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7" t="s">
        <v>855</v>
      </c>
      <c r="AL449" s="17"/>
      <c r="AM449" s="17" t="s">
        <v>523</v>
      </c>
      <c r="AN449" s="17"/>
      <c r="AO449" s="1"/>
      <c r="AP449" s="1"/>
      <c r="AQ449" s="1"/>
      <c r="AR449" s="1"/>
      <c r="AS449" s="1"/>
      <c r="AT449" s="1"/>
      <c r="AU449" s="1"/>
      <c r="AV449" s="1"/>
      <c r="AW449" s="1">
        <f t="shared" si="37"/>
        <v>0</v>
      </c>
      <c r="AY449" s="1">
        <v>0</v>
      </c>
      <c r="BC449" s="1">
        <f t="shared" si="38"/>
        <v>0</v>
      </c>
      <c r="BE449" s="1">
        <f>+'St of Net Assets - GA'!AA449-'St of Activities - GA Exp'!BC449</f>
        <v>0</v>
      </c>
    </row>
    <row r="450" spans="1:57">
      <c r="A450" s="17" t="s">
        <v>318</v>
      </c>
      <c r="B450" s="17"/>
      <c r="C450" s="17" t="s">
        <v>24</v>
      </c>
      <c r="D450" s="17"/>
      <c r="E450" s="13">
        <v>46813</v>
      </c>
      <c r="G450" s="1">
        <v>10702476</v>
      </c>
      <c r="H450" s="1"/>
      <c r="I450" s="1">
        <v>3866760</v>
      </c>
      <c r="J450" s="1"/>
      <c r="K450" s="1">
        <v>138557</v>
      </c>
      <c r="L450" s="1"/>
      <c r="M450" s="1">
        <v>477440</v>
      </c>
      <c r="N450" s="1"/>
      <c r="O450" s="1">
        <v>1711218</v>
      </c>
      <c r="P450" s="1"/>
      <c r="Q450" s="1">
        <v>1379954</v>
      </c>
      <c r="R450" s="1"/>
      <c r="S450" s="1">
        <v>35883</v>
      </c>
      <c r="T450" s="1"/>
      <c r="U450" s="1">
        <v>1622711</v>
      </c>
      <c r="V450" s="1"/>
      <c r="W450" s="1">
        <v>531586</v>
      </c>
      <c r="X450" s="1"/>
      <c r="Y450" s="1">
        <v>874</v>
      </c>
      <c r="Z450" s="1"/>
      <c r="AA450" s="1">
        <v>1999219</v>
      </c>
      <c r="AB450" s="1"/>
      <c r="AC450" s="1">
        <v>942446</v>
      </c>
      <c r="AD450" s="1"/>
      <c r="AE450" s="1">
        <v>132167</v>
      </c>
      <c r="AF450" s="1"/>
      <c r="AG450" s="1">
        <v>902934</v>
      </c>
      <c r="AH450" s="1"/>
      <c r="AI450" s="1">
        <v>55389</v>
      </c>
      <c r="AJ450" s="1"/>
      <c r="AK450" s="17" t="s">
        <v>318</v>
      </c>
      <c r="AL450" s="17"/>
      <c r="AM450" s="17" t="s">
        <v>24</v>
      </c>
      <c r="AN450" s="17"/>
      <c r="AO450" s="1">
        <v>719445</v>
      </c>
      <c r="AP450" s="1"/>
      <c r="AQ450" s="1">
        <v>143615</v>
      </c>
      <c r="AR450" s="1"/>
      <c r="AS450" s="1"/>
      <c r="AT450" s="1"/>
      <c r="AU450" s="1">
        <v>0</v>
      </c>
      <c r="AV450" s="1"/>
      <c r="AW450" s="1">
        <f t="shared" si="37"/>
        <v>25362674</v>
      </c>
      <c r="AY450" s="1">
        <v>1536872</v>
      </c>
      <c r="BA450" s="1">
        <v>13498128</v>
      </c>
      <c r="BC450" s="1">
        <f t="shared" si="38"/>
        <v>15035000</v>
      </c>
      <c r="BE450" s="1">
        <f>+'St of Net Assets - GA'!AA450-'St of Activities - GA Exp'!BC450</f>
        <v>0</v>
      </c>
    </row>
    <row r="451" spans="1:57" hidden="1">
      <c r="A451" s="17" t="s">
        <v>856</v>
      </c>
      <c r="B451" s="17"/>
      <c r="C451" s="17" t="s">
        <v>10</v>
      </c>
      <c r="D451" s="17"/>
      <c r="E451" s="13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7" t="s">
        <v>856</v>
      </c>
      <c r="AL451" s="17"/>
      <c r="AM451" s="17" t="s">
        <v>10</v>
      </c>
      <c r="AN451" s="17"/>
      <c r="AO451" s="1"/>
      <c r="AP451" s="1"/>
      <c r="AQ451" s="1"/>
      <c r="AR451" s="1"/>
      <c r="AS451" s="1"/>
      <c r="AT451" s="1"/>
      <c r="AU451" s="1"/>
      <c r="AV451" s="1"/>
      <c r="AW451" s="1">
        <f t="shared" si="37"/>
        <v>0</v>
      </c>
      <c r="AY451" s="1">
        <v>0</v>
      </c>
      <c r="BC451" s="1">
        <f t="shared" si="38"/>
        <v>0</v>
      </c>
      <c r="BE451" s="1">
        <f>+'St of Net Assets - GA'!AA451-'St of Activities - GA Exp'!BC451</f>
        <v>0</v>
      </c>
    </row>
    <row r="452" spans="1:57" ht="12" customHeight="1">
      <c r="A452" s="17" t="s">
        <v>205</v>
      </c>
      <c r="B452" s="17"/>
      <c r="C452" s="17" t="s">
        <v>41</v>
      </c>
      <c r="D452" s="17"/>
      <c r="E452" s="13">
        <v>47902</v>
      </c>
      <c r="G452" s="1">
        <v>14254974</v>
      </c>
      <c r="H452" s="1"/>
      <c r="I452" s="1">
        <v>494104</v>
      </c>
      <c r="J452" s="1"/>
      <c r="K452" s="1">
        <v>158137</v>
      </c>
      <c r="L452" s="1"/>
      <c r="M452" s="1">
        <v>1478616</v>
      </c>
      <c r="N452" s="1"/>
      <c r="O452" s="1">
        <v>1409441</v>
      </c>
      <c r="P452" s="1"/>
      <c r="Q452" s="1">
        <v>1392661</v>
      </c>
      <c r="R452" s="1"/>
      <c r="S452" s="1">
        <v>93238</v>
      </c>
      <c r="T452" s="1"/>
      <c r="U452" s="1">
        <v>1751420</v>
      </c>
      <c r="V452" s="1"/>
      <c r="W452" s="1">
        <v>747605</v>
      </c>
      <c r="X452" s="1"/>
      <c r="Y452" s="1">
        <v>200165</v>
      </c>
      <c r="Z452" s="1"/>
      <c r="AA452" s="1">
        <v>4287297</v>
      </c>
      <c r="AB452" s="1"/>
      <c r="AC452" s="1">
        <v>1276118</v>
      </c>
      <c r="AD452" s="1"/>
      <c r="AE452" s="1">
        <v>24042</v>
      </c>
      <c r="AF452" s="1"/>
      <c r="AG452" s="1">
        <v>934833</v>
      </c>
      <c r="AH452" s="1"/>
      <c r="AI452" s="1">
        <f>198389+183728</f>
        <v>382117</v>
      </c>
      <c r="AJ452" s="1"/>
      <c r="AK452" s="17" t="s">
        <v>205</v>
      </c>
      <c r="AL452" s="17"/>
      <c r="AM452" s="17" t="s">
        <v>41</v>
      </c>
      <c r="AN452" s="17"/>
      <c r="AO452" s="1">
        <v>1324495</v>
      </c>
      <c r="AP452" s="1"/>
      <c r="AQ452" s="1">
        <v>61448</v>
      </c>
      <c r="AR452" s="1"/>
      <c r="AS452" s="1"/>
      <c r="AT452" s="1"/>
      <c r="AU452" s="1">
        <v>0</v>
      </c>
      <c r="AV452" s="1"/>
      <c r="AW452" s="1">
        <f t="shared" si="37"/>
        <v>30270711</v>
      </c>
      <c r="AY452" s="1">
        <v>-498084</v>
      </c>
      <c r="BA452" s="1">
        <v>78815739</v>
      </c>
      <c r="BC452" s="1">
        <f t="shared" si="38"/>
        <v>78317655</v>
      </c>
      <c r="BE452" s="1">
        <f>+'St of Net Assets - GA'!AA452-'St of Activities - GA Exp'!BC452</f>
        <v>0</v>
      </c>
    </row>
    <row r="453" spans="1:57">
      <c r="A453" s="17" t="s">
        <v>205</v>
      </c>
      <c r="B453" s="17"/>
      <c r="C453" s="17" t="s">
        <v>62</v>
      </c>
      <c r="D453" s="17"/>
      <c r="E453" s="13">
        <v>49924</v>
      </c>
      <c r="G453" s="1">
        <v>21667245</v>
      </c>
      <c r="H453" s="1"/>
      <c r="I453" s="1">
        <v>5074754</v>
      </c>
      <c r="J453" s="1"/>
      <c r="K453" s="1">
        <v>3121771</v>
      </c>
      <c r="L453" s="1"/>
      <c r="M453" s="1">
        <f>11746+200811+54878</f>
        <v>267435</v>
      </c>
      <c r="N453" s="1"/>
      <c r="O453" s="1">
        <v>3810383</v>
      </c>
      <c r="P453" s="1"/>
      <c r="Q453" s="1">
        <v>2006057</v>
      </c>
      <c r="R453" s="1"/>
      <c r="S453" s="1">
        <v>126917</v>
      </c>
      <c r="T453" s="1"/>
      <c r="U453" s="1">
        <v>3699724</v>
      </c>
      <c r="V453" s="1"/>
      <c r="W453" s="1">
        <v>993616</v>
      </c>
      <c r="X453" s="1"/>
      <c r="Y453" s="1">
        <v>228242</v>
      </c>
      <c r="Z453" s="1"/>
      <c r="AA453" s="1">
        <v>4437961</v>
      </c>
      <c r="AB453" s="1"/>
      <c r="AC453" s="1">
        <v>2519904</v>
      </c>
      <c r="AD453" s="1"/>
      <c r="AE453" s="1">
        <v>565489</v>
      </c>
      <c r="AF453" s="1"/>
      <c r="AG453" s="1">
        <v>1674170</v>
      </c>
      <c r="AH453" s="1"/>
      <c r="AI453" s="1">
        <v>387759</v>
      </c>
      <c r="AJ453" s="1"/>
      <c r="AK453" s="17" t="s">
        <v>205</v>
      </c>
      <c r="AL453" s="17"/>
      <c r="AM453" s="17" t="s">
        <v>62</v>
      </c>
      <c r="AN453" s="17"/>
      <c r="AO453" s="1">
        <v>1180722</v>
      </c>
      <c r="AP453" s="1"/>
      <c r="AQ453" s="1">
        <v>5746</v>
      </c>
      <c r="AR453" s="1"/>
      <c r="AS453" s="1"/>
      <c r="AT453" s="1"/>
      <c r="AU453" s="1">
        <v>0</v>
      </c>
      <c r="AV453" s="1"/>
      <c r="AW453" s="1">
        <f>SUM(G453:AV453)</f>
        <v>51767895</v>
      </c>
      <c r="AY453" s="1">
        <v>-4905792</v>
      </c>
      <c r="BA453" s="1">
        <v>46017441</v>
      </c>
      <c r="BC453" s="1">
        <f t="shared" si="38"/>
        <v>41111649</v>
      </c>
      <c r="BE453" s="1">
        <f>+'St of Net Assets - GA'!AA453-'St of Activities - GA Exp'!BC453</f>
        <v>0</v>
      </c>
    </row>
    <row r="454" spans="1:57">
      <c r="A454" s="17" t="s">
        <v>651</v>
      </c>
      <c r="B454" s="17"/>
      <c r="C454" s="17" t="s">
        <v>72</v>
      </c>
      <c r="D454" s="17"/>
      <c r="E454" s="13">
        <v>45583</v>
      </c>
      <c r="G454" s="1">
        <v>23997557</v>
      </c>
      <c r="H454" s="1"/>
      <c r="I454" s="1">
        <v>5139362</v>
      </c>
      <c r="J454" s="1"/>
      <c r="K454" s="1">
        <v>134069</v>
      </c>
      <c r="L454" s="1"/>
      <c r="M454" s="1">
        <v>0</v>
      </c>
      <c r="N454" s="1"/>
      <c r="O454" s="1">
        <v>2846253</v>
      </c>
      <c r="P454" s="1"/>
      <c r="Q454" s="1">
        <v>966809</v>
      </c>
      <c r="R454" s="1"/>
      <c r="S454" s="1">
        <v>31980</v>
      </c>
      <c r="T454" s="1"/>
      <c r="U454" s="1">
        <v>3067377</v>
      </c>
      <c r="V454" s="1"/>
      <c r="W454" s="1">
        <v>1030548</v>
      </c>
      <c r="X454" s="1"/>
      <c r="Y454" s="1">
        <v>210843</v>
      </c>
      <c r="Z454" s="1"/>
      <c r="AA454" s="1">
        <v>4602830</v>
      </c>
      <c r="AB454" s="1"/>
      <c r="AC454" s="1">
        <v>1576393</v>
      </c>
      <c r="AD454" s="1"/>
      <c r="AE454" s="1">
        <v>645229</v>
      </c>
      <c r="AF454" s="1"/>
      <c r="AG454" s="1">
        <v>1707614</v>
      </c>
      <c r="AH454" s="1"/>
      <c r="AI454" s="1">
        <v>329019</v>
      </c>
      <c r="AJ454" s="1"/>
      <c r="AK454" s="17" t="s">
        <v>651</v>
      </c>
      <c r="AL454" s="17"/>
      <c r="AM454" s="17" t="s">
        <v>72</v>
      </c>
      <c r="AN454" s="17"/>
      <c r="AO454" s="1">
        <v>1673552</v>
      </c>
      <c r="AP454" s="1"/>
      <c r="AQ454" s="1">
        <v>1535446</v>
      </c>
      <c r="AR454" s="1"/>
      <c r="AS454" s="1"/>
      <c r="AT454" s="1"/>
      <c r="AU454" s="1">
        <v>0</v>
      </c>
      <c r="AV454" s="1"/>
      <c r="AW454" s="1">
        <f t="shared" si="37"/>
        <v>49494881</v>
      </c>
      <c r="AY454" s="1">
        <v>-120059</v>
      </c>
      <c r="BA454" s="1">
        <v>16837280</v>
      </c>
      <c r="BC454" s="1">
        <f t="shared" si="38"/>
        <v>16717221</v>
      </c>
      <c r="BE454" s="1">
        <f>+'St of Net Assets - GA'!AA454-'St of Activities - GA Exp'!BC454</f>
        <v>0</v>
      </c>
    </row>
    <row r="455" spans="1:57">
      <c r="A455" s="17" t="s">
        <v>345</v>
      </c>
      <c r="B455" s="17"/>
      <c r="C455" s="17" t="s">
        <v>28</v>
      </c>
      <c r="D455" s="17"/>
      <c r="E455" s="13">
        <v>47076</v>
      </c>
      <c r="G455" s="1">
        <v>2471180</v>
      </c>
      <c r="H455" s="1"/>
      <c r="I455" s="1">
        <v>274581</v>
      </c>
      <c r="J455" s="1"/>
      <c r="K455" s="1">
        <v>219965</v>
      </c>
      <c r="L455" s="1"/>
      <c r="M455" s="1">
        <v>23976</v>
      </c>
      <c r="N455" s="1"/>
      <c r="O455" s="1">
        <v>175448</v>
      </c>
      <c r="P455" s="1"/>
      <c r="Q455" s="1">
        <v>127395</v>
      </c>
      <c r="R455" s="1"/>
      <c r="S455" s="1">
        <v>19500</v>
      </c>
      <c r="T455" s="1"/>
      <c r="U455" s="1">
        <v>494135</v>
      </c>
      <c r="V455" s="1"/>
      <c r="W455" s="1">
        <v>201156</v>
      </c>
      <c r="X455" s="1"/>
      <c r="Y455" s="1">
        <v>1227</v>
      </c>
      <c r="Z455" s="1"/>
      <c r="AA455" s="1">
        <v>427125</v>
      </c>
      <c r="AB455" s="1"/>
      <c r="AC455" s="1">
        <v>247581</v>
      </c>
      <c r="AD455" s="1"/>
      <c r="AE455" s="1">
        <v>86779</v>
      </c>
      <c r="AF455" s="1"/>
      <c r="AG455" s="1">
        <v>0</v>
      </c>
      <c r="AH455" s="1"/>
      <c r="AI455" s="1">
        <v>255925</v>
      </c>
      <c r="AJ455" s="1"/>
      <c r="AK455" s="17" t="s">
        <v>345</v>
      </c>
      <c r="AL455" s="17"/>
      <c r="AM455" s="17" t="s">
        <v>28</v>
      </c>
      <c r="AN455" s="17"/>
      <c r="AO455" s="1">
        <v>376402</v>
      </c>
      <c r="AP455" s="1"/>
      <c r="AQ455" s="1">
        <v>243260</v>
      </c>
      <c r="AR455" s="1"/>
      <c r="AS455" s="1"/>
      <c r="AT455" s="1"/>
      <c r="AU455" s="1">
        <v>803636</v>
      </c>
      <c r="AV455" s="1"/>
      <c r="AW455" s="1">
        <f t="shared" si="37"/>
        <v>6449271</v>
      </c>
      <c r="AY455" s="1">
        <v>8662096</v>
      </c>
      <c r="BA455" s="1">
        <v>5406782</v>
      </c>
      <c r="BC455" s="1">
        <f t="shared" si="38"/>
        <v>14068878</v>
      </c>
      <c r="BE455" s="1">
        <f>+'St of Net Assets - GA'!AA455-'St of Activities - GA Exp'!BC455</f>
        <v>0</v>
      </c>
    </row>
    <row r="456" spans="1:57">
      <c r="A456" s="17" t="s">
        <v>326</v>
      </c>
      <c r="B456" s="17"/>
      <c r="C456" s="17" t="s">
        <v>25</v>
      </c>
      <c r="D456" s="17"/>
      <c r="E456" s="13">
        <v>46896</v>
      </c>
      <c r="G456" s="1">
        <v>55599841</v>
      </c>
      <c r="H456" s="1"/>
      <c r="I456" s="1">
        <v>8960949</v>
      </c>
      <c r="J456" s="1"/>
      <c r="K456" s="1">
        <v>1114525</v>
      </c>
      <c r="L456" s="1"/>
      <c r="M456" s="1">
        <v>3055912</v>
      </c>
      <c r="N456" s="1"/>
      <c r="O456" s="1">
        <v>5150296</v>
      </c>
      <c r="P456" s="1"/>
      <c r="Q456" s="1">
        <v>7571863</v>
      </c>
      <c r="R456" s="1"/>
      <c r="S456" s="1">
        <v>575199</v>
      </c>
      <c r="T456" s="1"/>
      <c r="U456" s="1">
        <v>8822490</v>
      </c>
      <c r="V456" s="1"/>
      <c r="W456" s="1">
        <v>1744987</v>
      </c>
      <c r="X456" s="1"/>
      <c r="Y456" s="1">
        <v>578191</v>
      </c>
      <c r="Z456" s="1"/>
      <c r="AA456" s="1">
        <v>9740418</v>
      </c>
      <c r="AB456" s="1"/>
      <c r="AC456" s="1">
        <v>5966014</v>
      </c>
      <c r="AD456" s="1"/>
      <c r="AE456" s="1">
        <v>171148</v>
      </c>
      <c r="AF456" s="1"/>
      <c r="AG456" s="1">
        <v>4379685</v>
      </c>
      <c r="AH456" s="1"/>
      <c r="AI456" s="1">
        <v>73232</v>
      </c>
      <c r="AJ456" s="1"/>
      <c r="AK456" s="17" t="s">
        <v>326</v>
      </c>
      <c r="AL456" s="17"/>
      <c r="AM456" s="17" t="s">
        <v>25</v>
      </c>
      <c r="AN456" s="17"/>
      <c r="AO456" s="1">
        <v>3135454</v>
      </c>
      <c r="AP456" s="1"/>
      <c r="AQ456" s="1">
        <v>8540803</v>
      </c>
      <c r="AR456" s="1"/>
      <c r="AS456" s="1"/>
      <c r="AT456" s="1"/>
      <c r="AU456" s="1">
        <v>0</v>
      </c>
      <c r="AV456" s="1"/>
      <c r="AW456" s="1">
        <f t="shared" si="37"/>
        <v>125181007</v>
      </c>
      <c r="AY456" s="1">
        <v>-9948316</v>
      </c>
      <c r="BA456" s="1">
        <v>82318413</v>
      </c>
      <c r="BC456" s="1">
        <f t="shared" si="38"/>
        <v>72370097</v>
      </c>
      <c r="BE456" s="1">
        <f>+'St of Net Assets - GA'!AA456-'St of Activities - GA Exp'!BC456</f>
        <v>0</v>
      </c>
    </row>
    <row r="457" spans="1:57">
      <c r="A457" s="17" t="s">
        <v>346</v>
      </c>
      <c r="B457" s="17"/>
      <c r="C457" s="17" t="s">
        <v>28</v>
      </c>
      <c r="D457" s="17"/>
      <c r="E457" s="13">
        <v>47084</v>
      </c>
      <c r="G457" s="1">
        <v>6767625</v>
      </c>
      <c r="H457" s="1"/>
      <c r="I457" s="1">
        <v>1603428</v>
      </c>
      <c r="J457" s="1"/>
      <c r="K457" s="1">
        <v>147896</v>
      </c>
      <c r="L457" s="1"/>
      <c r="M457" s="1">
        <v>0</v>
      </c>
      <c r="N457" s="1"/>
      <c r="O457" s="1">
        <v>702728</v>
      </c>
      <c r="P457" s="1"/>
      <c r="Q457" s="1">
        <v>705426</v>
      </c>
      <c r="R457" s="1"/>
      <c r="S457" s="1">
        <v>41225</v>
      </c>
      <c r="T457" s="1"/>
      <c r="U457" s="1">
        <v>963119</v>
      </c>
      <c r="V457" s="1"/>
      <c r="W457" s="1">
        <v>360800</v>
      </c>
      <c r="X457" s="1"/>
      <c r="Y457" s="1">
        <v>44389</v>
      </c>
      <c r="Z457" s="1"/>
      <c r="AA457" s="1">
        <v>1449186</v>
      </c>
      <c r="AB457" s="1"/>
      <c r="AC457" s="1">
        <v>880919</v>
      </c>
      <c r="AD457" s="1"/>
      <c r="AE457" s="1">
        <v>115167</v>
      </c>
      <c r="AF457" s="1"/>
      <c r="AG457" s="1">
        <v>0</v>
      </c>
      <c r="AH457" s="1"/>
      <c r="AI457" s="1">
        <v>588767</v>
      </c>
      <c r="AJ457" s="1"/>
      <c r="AK457" s="12" t="s">
        <v>346</v>
      </c>
      <c r="AL457" s="12"/>
      <c r="AM457" s="12" t="s">
        <v>28</v>
      </c>
      <c r="AN457" s="12"/>
      <c r="AO457" s="1">
        <v>673833</v>
      </c>
      <c r="AP457" s="1"/>
      <c r="AQ457" s="1">
        <v>817906</v>
      </c>
      <c r="AR457" s="1"/>
      <c r="AS457" s="1"/>
      <c r="AT457" s="1"/>
      <c r="AU457" s="1">
        <v>0</v>
      </c>
      <c r="AV457" s="1"/>
      <c r="AW457" s="1">
        <f t="shared" si="37"/>
        <v>15862414</v>
      </c>
      <c r="AY457" s="1">
        <v>-934110</v>
      </c>
      <c r="BA457" s="1">
        <v>29152910</v>
      </c>
      <c r="BC457" s="1">
        <f t="shared" si="38"/>
        <v>28218800</v>
      </c>
      <c r="BE457" s="1">
        <f>+'St of Net Assets - GA'!AA457-'St of Activities - GA Exp'!BC457</f>
        <v>0</v>
      </c>
    </row>
    <row r="458" spans="1:57">
      <c r="A458" s="17" t="s">
        <v>490</v>
      </c>
      <c r="B458" s="17"/>
      <c r="C458" s="17" t="s">
        <v>48</v>
      </c>
      <c r="D458" s="17"/>
      <c r="E458" s="13">
        <v>44644</v>
      </c>
      <c r="G458" s="1">
        <v>20847397</v>
      </c>
      <c r="H458" s="1"/>
      <c r="I458" s="1">
        <v>0</v>
      </c>
      <c r="J458" s="1"/>
      <c r="K458" s="1">
        <v>0</v>
      </c>
      <c r="L458" s="1"/>
      <c r="M458" s="1">
        <v>0</v>
      </c>
      <c r="N458" s="1"/>
      <c r="O458" s="1">
        <v>1526170</v>
      </c>
      <c r="P458" s="1"/>
      <c r="Q458" s="1">
        <v>2064970</v>
      </c>
      <c r="R458" s="1"/>
      <c r="S458" s="1">
        <v>29714</v>
      </c>
      <c r="T458" s="1"/>
      <c r="U458" s="1">
        <v>2377327</v>
      </c>
      <c r="V458" s="1"/>
      <c r="W458" s="1">
        <v>400031</v>
      </c>
      <c r="X458" s="1"/>
      <c r="Y458" s="1">
        <v>26713</v>
      </c>
      <c r="Z458" s="1"/>
      <c r="AA458" s="1">
        <v>2883562</v>
      </c>
      <c r="AB458" s="1"/>
      <c r="AC458" s="1">
        <v>1432056</v>
      </c>
      <c r="AD458" s="1"/>
      <c r="AE458" s="1">
        <v>314184</v>
      </c>
      <c r="AF458" s="1"/>
      <c r="AG458" s="1">
        <v>1762234</v>
      </c>
      <c r="AH458" s="1"/>
      <c r="AI458" s="1">
        <v>148034</v>
      </c>
      <c r="AJ458" s="1"/>
      <c r="AK458" s="17" t="s">
        <v>490</v>
      </c>
      <c r="AL458" s="17"/>
      <c r="AM458" s="17" t="s">
        <v>48</v>
      </c>
      <c r="AN458" s="17"/>
      <c r="AO458" s="1">
        <v>845301</v>
      </c>
      <c r="AP458" s="1"/>
      <c r="AQ458" s="1">
        <v>493693</v>
      </c>
      <c r="AR458" s="1"/>
      <c r="AS458" s="1"/>
      <c r="AT458" s="1"/>
      <c r="AU458" s="1">
        <v>0</v>
      </c>
      <c r="AV458" s="1"/>
      <c r="AW458" s="1">
        <f t="shared" si="37"/>
        <v>35151386</v>
      </c>
      <c r="AY458" s="1">
        <v>823653</v>
      </c>
      <c r="BA458" s="1">
        <v>29432017</v>
      </c>
      <c r="BC458" s="1">
        <f t="shared" si="38"/>
        <v>30255670</v>
      </c>
      <c r="BE458" s="1">
        <f>+'St of Net Assets - GA'!AA458-'St of Activities - GA Exp'!BC458</f>
        <v>0</v>
      </c>
    </row>
    <row r="459" spans="1:57" ht="12" hidden="1" customHeight="1">
      <c r="A459" s="17" t="s">
        <v>857</v>
      </c>
      <c r="B459" s="17"/>
      <c r="C459" s="17" t="s">
        <v>27</v>
      </c>
      <c r="D459" s="17"/>
      <c r="E459" s="13">
        <v>46995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7" t="s">
        <v>857</v>
      </c>
      <c r="AL459" s="17"/>
      <c r="AM459" s="17" t="s">
        <v>27</v>
      </c>
      <c r="AN459" s="17"/>
      <c r="AO459" s="1"/>
      <c r="AP459" s="1"/>
      <c r="AQ459" s="1"/>
      <c r="AR459" s="1"/>
      <c r="AS459" s="1"/>
      <c r="AT459" s="1"/>
      <c r="AU459" s="1"/>
      <c r="AV459" s="1"/>
      <c r="AW459" s="1">
        <f t="shared" si="37"/>
        <v>0</v>
      </c>
      <c r="AY459" s="1">
        <v>0</v>
      </c>
      <c r="BC459" s="1">
        <f t="shared" si="38"/>
        <v>0</v>
      </c>
      <c r="BE459" s="1">
        <f>+'St of Net Assets - GA'!AA459-'St of Activities - GA Exp'!BC459</f>
        <v>0</v>
      </c>
    </row>
    <row r="460" spans="1:57">
      <c r="A460" s="17" t="s">
        <v>338</v>
      </c>
      <c r="B460" s="17"/>
      <c r="C460" s="17" t="s">
        <v>62</v>
      </c>
      <c r="D460" s="17"/>
      <c r="E460" s="13">
        <v>49932</v>
      </c>
      <c r="G460" s="1">
        <v>28537425</v>
      </c>
      <c r="H460" s="1"/>
      <c r="I460" s="1">
        <v>5975291</v>
      </c>
      <c r="J460" s="1"/>
      <c r="K460" s="1">
        <v>1805387</v>
      </c>
      <c r="L460" s="1"/>
      <c r="M460" s="1">
        <f>2641+278749</f>
        <v>281390</v>
      </c>
      <c r="N460" s="1"/>
      <c r="O460" s="1">
        <v>3329140</v>
      </c>
      <c r="P460" s="1"/>
      <c r="Q460" s="1">
        <v>3898748</v>
      </c>
      <c r="R460" s="1"/>
      <c r="S460" s="1">
        <v>64225</v>
      </c>
      <c r="T460" s="1"/>
      <c r="U460" s="1">
        <v>4027291</v>
      </c>
      <c r="V460" s="1"/>
      <c r="W460" s="1">
        <v>947700</v>
      </c>
      <c r="X460" s="1"/>
      <c r="Y460" s="1">
        <v>179816</v>
      </c>
      <c r="Z460" s="1"/>
      <c r="AA460" s="1">
        <v>5498202</v>
      </c>
      <c r="AB460" s="1"/>
      <c r="AC460" s="1">
        <v>2633984</v>
      </c>
      <c r="AD460" s="1"/>
      <c r="AE460" s="1">
        <v>208828</v>
      </c>
      <c r="AF460" s="1"/>
      <c r="AG460" s="1">
        <v>2723073</v>
      </c>
      <c r="AH460" s="1"/>
      <c r="AI460" s="1">
        <v>431780</v>
      </c>
      <c r="AJ460" s="1"/>
      <c r="AK460" s="17" t="s">
        <v>338</v>
      </c>
      <c r="AL460" s="17"/>
      <c r="AM460" s="17" t="s">
        <v>62</v>
      </c>
      <c r="AN460" s="17"/>
      <c r="AO460" s="1">
        <v>1207203</v>
      </c>
      <c r="AP460" s="1"/>
      <c r="AQ460" s="1">
        <v>2565104</v>
      </c>
      <c r="AR460" s="1"/>
      <c r="AS460" s="1"/>
      <c r="AT460" s="1"/>
      <c r="AU460" s="1">
        <v>0</v>
      </c>
      <c r="AV460" s="1"/>
      <c r="AW460" s="1">
        <f t="shared" si="37"/>
        <v>64314587</v>
      </c>
      <c r="AY460" s="1">
        <v>-5128887</v>
      </c>
      <c r="BA460" s="1">
        <v>19935728</v>
      </c>
      <c r="BC460" s="1">
        <f t="shared" si="38"/>
        <v>14806841</v>
      </c>
      <c r="BE460" s="1">
        <f>+'St of Net Assets - GA'!AA460-'St of Activities - GA Exp'!BC460</f>
        <v>0</v>
      </c>
    </row>
    <row r="461" spans="1:57">
      <c r="A461" s="17" t="s">
        <v>475</v>
      </c>
      <c r="B461" s="17"/>
      <c r="C461" s="17" t="s">
        <v>46</v>
      </c>
      <c r="D461" s="17"/>
      <c r="E461" s="13">
        <v>48421</v>
      </c>
      <c r="G461" s="1">
        <v>7219921</v>
      </c>
      <c r="H461" s="1"/>
      <c r="I461" s="1">
        <v>1013896</v>
      </c>
      <c r="J461" s="1"/>
      <c r="K461" s="1">
        <v>157191</v>
      </c>
      <c r="L461" s="1"/>
      <c r="M461" s="1">
        <v>27677</v>
      </c>
      <c r="N461" s="1"/>
      <c r="O461" s="1">
        <v>447852</v>
      </c>
      <c r="P461" s="1"/>
      <c r="Q461" s="1">
        <v>298730</v>
      </c>
      <c r="R461" s="1"/>
      <c r="S461" s="1">
        <v>103252</v>
      </c>
      <c r="T461" s="1"/>
      <c r="U461" s="1">
        <v>1144005</v>
      </c>
      <c r="V461" s="1"/>
      <c r="W461" s="1">
        <v>310239</v>
      </c>
      <c r="X461" s="1"/>
      <c r="Y461" s="1">
        <v>0</v>
      </c>
      <c r="Z461" s="1"/>
      <c r="AA461" s="1">
        <v>1037375</v>
      </c>
      <c r="AB461" s="1"/>
      <c r="AC461" s="1">
        <v>504293</v>
      </c>
      <c r="AD461" s="1"/>
      <c r="AE461" s="1">
        <v>0</v>
      </c>
      <c r="AF461" s="1"/>
      <c r="AG461" s="1">
        <v>0</v>
      </c>
      <c r="AH461" s="1"/>
      <c r="AI461" s="1">
        <v>554875</v>
      </c>
      <c r="AJ461" s="1"/>
      <c r="AK461" s="17" t="s">
        <v>475</v>
      </c>
      <c r="AL461" s="17"/>
      <c r="AM461" s="17" t="s">
        <v>46</v>
      </c>
      <c r="AN461" s="17"/>
      <c r="AO461" s="1">
        <v>500873</v>
      </c>
      <c r="AP461" s="1"/>
      <c r="AQ461" s="1">
        <v>104490</v>
      </c>
      <c r="AR461" s="1"/>
      <c r="AS461" s="1"/>
      <c r="AT461" s="1"/>
      <c r="AU461" s="1">
        <v>0</v>
      </c>
      <c r="AV461" s="1"/>
      <c r="AW461" s="1">
        <f t="shared" si="37"/>
        <v>13424669</v>
      </c>
      <c r="AY461" s="1">
        <v>224594</v>
      </c>
      <c r="BA461" s="1">
        <v>10220747</v>
      </c>
      <c r="BC461" s="1">
        <f t="shared" si="38"/>
        <v>10445341</v>
      </c>
      <c r="BE461" s="1">
        <f>+'St of Net Assets - GA'!AA461-'St of Activities - GA Exp'!BC461</f>
        <v>0</v>
      </c>
    </row>
    <row r="462" spans="1:57">
      <c r="A462" s="17" t="s">
        <v>547</v>
      </c>
      <c r="B462" s="17"/>
      <c r="C462" s="17" t="s">
        <v>112</v>
      </c>
      <c r="D462" s="17"/>
      <c r="E462" s="13">
        <v>49460</v>
      </c>
      <c r="G462" s="1">
        <v>3771623</v>
      </c>
      <c r="H462" s="1"/>
      <c r="I462" s="1">
        <v>987847</v>
      </c>
      <c r="J462" s="1"/>
      <c r="K462" s="1">
        <v>232965</v>
      </c>
      <c r="L462" s="1"/>
      <c r="M462" s="1">
        <v>530962</v>
      </c>
      <c r="N462" s="1"/>
      <c r="O462" s="1">
        <v>456602</v>
      </c>
      <c r="P462" s="1"/>
      <c r="Q462" s="1">
        <v>558980</v>
      </c>
      <c r="R462" s="1"/>
      <c r="S462" s="1">
        <v>21170</v>
      </c>
      <c r="T462" s="1"/>
      <c r="U462" s="1">
        <v>756021</v>
      </c>
      <c r="V462" s="1"/>
      <c r="W462" s="1">
        <v>242663</v>
      </c>
      <c r="X462" s="1"/>
      <c r="Y462" s="1">
        <v>9507</v>
      </c>
      <c r="Z462" s="1"/>
      <c r="AA462" s="1">
        <v>1124358</v>
      </c>
      <c r="AB462" s="1"/>
      <c r="AC462" s="1">
        <v>502478</v>
      </c>
      <c r="AD462" s="1"/>
      <c r="AE462" s="1">
        <v>62897</v>
      </c>
      <c r="AF462" s="1"/>
      <c r="AG462" s="1">
        <v>530407</v>
      </c>
      <c r="AH462" s="1"/>
      <c r="AI462" s="1">
        <v>5823</v>
      </c>
      <c r="AJ462" s="1"/>
      <c r="AK462" s="17" t="s">
        <v>547</v>
      </c>
      <c r="AL462" s="17"/>
      <c r="AM462" s="17" t="s">
        <v>112</v>
      </c>
      <c r="AN462" s="17"/>
      <c r="AO462" s="1">
        <v>398296</v>
      </c>
      <c r="AP462" s="1"/>
      <c r="AQ462" s="1">
        <v>128011</v>
      </c>
      <c r="AR462" s="1"/>
      <c r="AS462" s="1"/>
      <c r="AT462" s="1"/>
      <c r="AU462" s="1">
        <v>0</v>
      </c>
      <c r="AV462" s="1"/>
      <c r="AW462" s="1">
        <f t="shared" si="37"/>
        <v>10320610</v>
      </c>
      <c r="AY462" s="1">
        <v>339546</v>
      </c>
      <c r="BA462" s="1">
        <v>21569792</v>
      </c>
      <c r="BC462" s="1">
        <f t="shared" si="38"/>
        <v>21909338</v>
      </c>
      <c r="BE462" s="1">
        <f>+'St of Net Assets - GA'!AA462-'St of Activities - GA Exp'!BC462</f>
        <v>0</v>
      </c>
    </row>
    <row r="463" spans="1:57" ht="12" customHeight="1">
      <c r="A463" s="17" t="s">
        <v>909</v>
      </c>
      <c r="B463" s="17"/>
      <c r="C463" s="17" t="s">
        <v>45</v>
      </c>
      <c r="D463" s="17"/>
      <c r="E463" s="13">
        <v>48348</v>
      </c>
      <c r="G463" s="1">
        <v>11110403</v>
      </c>
      <c r="H463" s="1"/>
      <c r="I463" s="1">
        <v>1669656</v>
      </c>
      <c r="J463" s="1"/>
      <c r="K463" s="1">
        <v>195683</v>
      </c>
      <c r="L463" s="1"/>
      <c r="M463" s="1">
        <f>106579+11473</f>
        <v>118052</v>
      </c>
      <c r="N463" s="1"/>
      <c r="O463" s="1">
        <v>1550174</v>
      </c>
      <c r="P463" s="1"/>
      <c r="Q463" s="1">
        <v>539999</v>
      </c>
      <c r="R463" s="1"/>
      <c r="S463" s="1">
        <v>30476</v>
      </c>
      <c r="T463" s="1"/>
      <c r="U463" s="1">
        <v>1635939</v>
      </c>
      <c r="V463" s="1"/>
      <c r="W463" s="1">
        <v>549066</v>
      </c>
      <c r="X463" s="1"/>
      <c r="Y463" s="1">
        <v>374</v>
      </c>
      <c r="Z463" s="1"/>
      <c r="AA463" s="1">
        <v>2011756</v>
      </c>
      <c r="AB463" s="1"/>
      <c r="AC463" s="1">
        <v>928564</v>
      </c>
      <c r="AD463" s="1"/>
      <c r="AE463" s="1">
        <v>0</v>
      </c>
      <c r="AF463" s="1"/>
      <c r="AG463" s="1">
        <v>834735</v>
      </c>
      <c r="AH463" s="1"/>
      <c r="AI463" s="1">
        <v>250492</v>
      </c>
      <c r="AJ463" s="1"/>
      <c r="AK463" s="17" t="s">
        <v>909</v>
      </c>
      <c r="AL463" s="17"/>
      <c r="AM463" s="17" t="s">
        <v>45</v>
      </c>
      <c r="AN463" s="17"/>
      <c r="AO463" s="1">
        <v>878796</v>
      </c>
      <c r="AP463" s="1"/>
      <c r="AQ463" s="1">
        <v>238822</v>
      </c>
      <c r="AR463" s="1"/>
      <c r="AS463" s="1"/>
      <c r="AT463" s="1"/>
      <c r="AU463" s="1">
        <v>0</v>
      </c>
      <c r="AV463" s="1"/>
      <c r="AW463" s="1">
        <f t="shared" si="37"/>
        <v>22542987</v>
      </c>
      <c r="AY463" s="1">
        <v>329369</v>
      </c>
      <c r="BA463" s="1">
        <v>2746334</v>
      </c>
      <c r="BC463" s="1">
        <f t="shared" si="38"/>
        <v>3075703</v>
      </c>
      <c r="BE463" s="1">
        <f>+'St of Net Assets - GA'!AA463-'St of Activities - GA Exp'!BC463</f>
        <v>0</v>
      </c>
    </row>
    <row r="464" spans="1:57">
      <c r="A464" s="17" t="s">
        <v>522</v>
      </c>
      <c r="B464" s="17"/>
      <c r="C464" s="17" t="s">
        <v>53</v>
      </c>
      <c r="D464" s="17"/>
      <c r="E464" s="13">
        <v>44651</v>
      </c>
      <c r="G464" s="1">
        <v>9284295</v>
      </c>
      <c r="H464" s="1"/>
      <c r="I464" s="1">
        <v>2221024</v>
      </c>
      <c r="J464" s="1"/>
      <c r="K464" s="1">
        <v>166190</v>
      </c>
      <c r="L464" s="1"/>
      <c r="M464" s="1">
        <v>872589</v>
      </c>
      <c r="N464" s="1"/>
      <c r="O464" s="1">
        <v>2022713</v>
      </c>
      <c r="P464" s="1"/>
      <c r="Q464" s="1">
        <v>419972</v>
      </c>
      <c r="R464" s="1"/>
      <c r="S464" s="1">
        <v>19185</v>
      </c>
      <c r="T464" s="1"/>
      <c r="U464" s="1">
        <v>1430217</v>
      </c>
      <c r="V464" s="1"/>
      <c r="W464" s="1">
        <v>704568</v>
      </c>
      <c r="X464" s="1"/>
      <c r="Y464" s="1">
        <v>0</v>
      </c>
      <c r="Z464" s="1"/>
      <c r="AA464" s="1">
        <v>2445236</v>
      </c>
      <c r="AB464" s="1"/>
      <c r="AC464" s="1">
        <v>1063958</v>
      </c>
      <c r="AD464" s="1"/>
      <c r="AE464" s="1">
        <v>150098</v>
      </c>
      <c r="AF464" s="1"/>
      <c r="AG464" s="1">
        <v>723166</v>
      </c>
      <c r="AH464" s="1"/>
      <c r="AI464" s="1">
        <v>186220</v>
      </c>
      <c r="AJ464" s="1"/>
      <c r="AK464" s="17" t="s">
        <v>522</v>
      </c>
      <c r="AL464" s="17"/>
      <c r="AM464" s="17" t="s">
        <v>53</v>
      </c>
      <c r="AN464" s="17"/>
      <c r="AO464" s="1">
        <v>617987</v>
      </c>
      <c r="AP464" s="1"/>
      <c r="AQ464" s="1">
        <v>701226</v>
      </c>
      <c r="AR464" s="1"/>
      <c r="AS464" s="1"/>
      <c r="AT464" s="1"/>
      <c r="AU464" s="1">
        <v>0</v>
      </c>
      <c r="AV464" s="1"/>
      <c r="AW464" s="1">
        <f t="shared" si="37"/>
        <v>23028644</v>
      </c>
      <c r="AY464" s="1">
        <v>2165150</v>
      </c>
      <c r="BA464" s="1">
        <v>11533700</v>
      </c>
      <c r="BC464" s="1">
        <f t="shared" si="38"/>
        <v>13698850</v>
      </c>
      <c r="BE464" s="1">
        <f>+'St of Net Assets - GA'!AA464-'St of Activities - GA Exp'!BC464</f>
        <v>0</v>
      </c>
    </row>
    <row r="465" spans="1:57" ht="12" customHeight="1">
      <c r="A465" s="17" t="s">
        <v>564</v>
      </c>
      <c r="B465" s="17"/>
      <c r="C465" s="17" t="s">
        <v>59</v>
      </c>
      <c r="D465" s="17"/>
      <c r="E465" s="13">
        <v>44669</v>
      </c>
      <c r="G465" s="1">
        <v>13753627</v>
      </c>
      <c r="H465" s="1"/>
      <c r="I465" s="1">
        <v>5879260</v>
      </c>
      <c r="J465" s="1"/>
      <c r="K465" s="1">
        <v>480887</v>
      </c>
      <c r="L465" s="1"/>
      <c r="M465" s="1">
        <f>1164825+29000</f>
        <v>1193825</v>
      </c>
      <c r="N465" s="1"/>
      <c r="O465" s="1">
        <v>1430317</v>
      </c>
      <c r="P465" s="1"/>
      <c r="Q465" s="1">
        <v>2372062</v>
      </c>
      <c r="R465" s="1"/>
      <c r="S465" s="1">
        <v>30589</v>
      </c>
      <c r="T465" s="1"/>
      <c r="U465" s="1">
        <v>1776063</v>
      </c>
      <c r="V465" s="1"/>
      <c r="W465" s="1">
        <v>669614</v>
      </c>
      <c r="X465" s="1"/>
      <c r="Y465" s="1">
        <v>82268</v>
      </c>
      <c r="Z465" s="1"/>
      <c r="AA465" s="1">
        <v>3114874</v>
      </c>
      <c r="AB465" s="1"/>
      <c r="AC465" s="1">
        <v>595484</v>
      </c>
      <c r="AD465" s="1"/>
      <c r="AE465" s="1">
        <v>62866</v>
      </c>
      <c r="AF465" s="1"/>
      <c r="AG465" s="1">
        <v>1241298</v>
      </c>
      <c r="AH465" s="1"/>
      <c r="AI465" s="1">
        <v>220403</v>
      </c>
      <c r="AJ465" s="1"/>
      <c r="AK465" s="17" t="s">
        <v>564</v>
      </c>
      <c r="AL465" s="17"/>
      <c r="AM465" s="17" t="s">
        <v>59</v>
      </c>
      <c r="AN465" s="17"/>
      <c r="AO465" s="1">
        <v>477581</v>
      </c>
      <c r="AP465" s="1"/>
      <c r="AQ465" s="1">
        <v>637143</v>
      </c>
      <c r="AR465" s="1"/>
      <c r="AS465" s="1"/>
      <c r="AT465" s="1"/>
      <c r="AU465" s="1">
        <v>0</v>
      </c>
      <c r="AV465" s="1"/>
      <c r="AW465" s="1">
        <f t="shared" si="37"/>
        <v>34018161</v>
      </c>
      <c r="AY465" s="1">
        <v>-489630</v>
      </c>
      <c r="BA465" s="1">
        <v>51517374</v>
      </c>
      <c r="BC465" s="1">
        <f t="shared" si="38"/>
        <v>51027744</v>
      </c>
      <c r="BE465" s="1">
        <f>+'St of Net Assets - GA'!AA465-'St of Activities - GA Exp'!BC465</f>
        <v>0</v>
      </c>
    </row>
    <row r="466" spans="1:57" ht="12" hidden="1" customHeight="1">
      <c r="A466" s="17" t="s">
        <v>858</v>
      </c>
      <c r="B466" s="17"/>
      <c r="C466" s="17" t="s">
        <v>57</v>
      </c>
      <c r="D466" s="17"/>
      <c r="E466" s="13">
        <v>49288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7" t="s">
        <v>858</v>
      </c>
      <c r="AL466" s="17"/>
      <c r="AM466" s="17" t="s">
        <v>57</v>
      </c>
      <c r="AN466" s="17"/>
      <c r="AO466" s="1"/>
      <c r="AP466" s="1"/>
      <c r="AQ466" s="1"/>
      <c r="AR466" s="1"/>
      <c r="AS466" s="1"/>
      <c r="AT466" s="1"/>
      <c r="AU466" s="1"/>
      <c r="AV466" s="1"/>
      <c r="AW466" s="1">
        <f t="shared" si="37"/>
        <v>0</v>
      </c>
      <c r="AY466" s="1">
        <v>0</v>
      </c>
      <c r="BC466" s="1">
        <f t="shared" si="38"/>
        <v>0</v>
      </c>
      <c r="BE466" s="1">
        <f>+'St of Net Assets - GA'!AA466-'St of Activities - GA Exp'!BC466</f>
        <v>0</v>
      </c>
    </row>
    <row r="467" spans="1:57">
      <c r="A467" s="17" t="s">
        <v>372</v>
      </c>
      <c r="B467" s="17"/>
      <c r="C467" s="17" t="s">
        <v>32</v>
      </c>
      <c r="D467" s="17"/>
      <c r="E467" s="13">
        <v>44677</v>
      </c>
      <c r="G467" s="1">
        <v>32335550</v>
      </c>
      <c r="H467" s="1"/>
      <c r="I467" s="1">
        <v>8834821</v>
      </c>
      <c r="J467" s="1"/>
      <c r="K467" s="1">
        <v>0</v>
      </c>
      <c r="L467" s="1"/>
      <c r="M467" s="1">
        <v>3935201</v>
      </c>
      <c r="N467" s="1"/>
      <c r="O467" s="1">
        <v>5176839</v>
      </c>
      <c r="P467" s="1"/>
      <c r="Q467" s="1">
        <v>7268709</v>
      </c>
      <c r="R467" s="1"/>
      <c r="S467" s="1">
        <v>417868</v>
      </c>
      <c r="T467" s="1"/>
      <c r="U467" s="1">
        <v>7747880</v>
      </c>
      <c r="V467" s="1"/>
      <c r="W467" s="1">
        <v>2433305</v>
      </c>
      <c r="X467" s="1"/>
      <c r="Y467" s="1">
        <v>363532</v>
      </c>
      <c r="Z467" s="1"/>
      <c r="AA467" s="1">
        <v>8100618</v>
      </c>
      <c r="AB467" s="1"/>
      <c r="AC467" s="1">
        <v>4943041</v>
      </c>
      <c r="AD467" s="1"/>
      <c r="AE467" s="1">
        <v>934365</v>
      </c>
      <c r="AF467" s="1"/>
      <c r="AG467" s="1">
        <v>2585402</v>
      </c>
      <c r="AH467" s="1"/>
      <c r="AI467" s="1">
        <v>2746516</v>
      </c>
      <c r="AJ467" s="1"/>
      <c r="AK467" s="17" t="s">
        <v>372</v>
      </c>
      <c r="AL467" s="17"/>
      <c r="AM467" s="17" t="s">
        <v>32</v>
      </c>
      <c r="AN467" s="17"/>
      <c r="AO467" s="1">
        <v>1650476</v>
      </c>
      <c r="AP467" s="1"/>
      <c r="AQ467" s="1">
        <v>3592012</v>
      </c>
      <c r="AR467" s="1"/>
      <c r="AS467" s="1"/>
      <c r="AT467" s="1"/>
      <c r="AU467" s="1">
        <v>0</v>
      </c>
      <c r="AV467" s="1"/>
      <c r="AW467" s="1">
        <f t="shared" si="37"/>
        <v>93066135</v>
      </c>
      <c r="AY467" s="1">
        <v>-8596398</v>
      </c>
      <c r="BA467" s="1">
        <v>55062199</v>
      </c>
      <c r="BC467" s="1">
        <f t="shared" si="38"/>
        <v>46465801</v>
      </c>
      <c r="BE467" s="1">
        <f>+'St of Net Assets - GA'!AA467-'St of Activities - GA Exp'!BC467</f>
        <v>0</v>
      </c>
    </row>
    <row r="468" spans="1:57">
      <c r="A468" s="17" t="s">
        <v>213</v>
      </c>
      <c r="B468" s="17"/>
      <c r="C468" s="17" t="s">
        <v>12</v>
      </c>
      <c r="D468" s="17"/>
      <c r="E468" s="13">
        <v>45880</v>
      </c>
      <c r="G468" s="1">
        <v>5818539</v>
      </c>
      <c r="H468" s="1"/>
      <c r="I468" s="1">
        <v>1346948</v>
      </c>
      <c r="J468" s="1"/>
      <c r="K468" s="1">
        <v>220244</v>
      </c>
      <c r="L468" s="1"/>
      <c r="M468" s="1">
        <v>607588</v>
      </c>
      <c r="N468" s="1"/>
      <c r="O468" s="1">
        <v>701424</v>
      </c>
      <c r="P468" s="1"/>
      <c r="Q468" s="1">
        <v>235752</v>
      </c>
      <c r="R468" s="1"/>
      <c r="S468" s="1">
        <v>24021</v>
      </c>
      <c r="T468" s="1"/>
      <c r="U468" s="1">
        <v>1054651</v>
      </c>
      <c r="V468" s="1"/>
      <c r="W468" s="1">
        <v>296630</v>
      </c>
      <c r="X468" s="1"/>
      <c r="Y468" s="1">
        <v>68391</v>
      </c>
      <c r="Z468" s="1"/>
      <c r="AA468" s="1">
        <v>1192325</v>
      </c>
      <c r="AB468" s="1"/>
      <c r="AC468" s="1">
        <v>1011257</v>
      </c>
      <c r="AD468" s="1"/>
      <c r="AE468" s="1">
        <v>75201</v>
      </c>
      <c r="AF468" s="1"/>
      <c r="AG468" s="1">
        <v>645143</v>
      </c>
      <c r="AH468" s="1"/>
      <c r="AI468" s="1">
        <v>31114</v>
      </c>
      <c r="AJ468" s="1"/>
      <c r="AK468" s="17" t="s">
        <v>213</v>
      </c>
      <c r="AL468" s="17"/>
      <c r="AM468" s="17" t="s">
        <v>12</v>
      </c>
      <c r="AN468" s="17"/>
      <c r="AO468" s="1">
        <v>432678</v>
      </c>
      <c r="AP468" s="1"/>
      <c r="AQ468" s="1">
        <v>333104</v>
      </c>
      <c r="AR468" s="1"/>
      <c r="AS468" s="1"/>
      <c r="AT468" s="1"/>
      <c r="AU468" s="1">
        <v>0</v>
      </c>
      <c r="AV468" s="1"/>
      <c r="AW468" s="1">
        <f t="shared" si="37"/>
        <v>14095010</v>
      </c>
      <c r="AY468" s="1">
        <v>-171519</v>
      </c>
      <c r="BA468" s="1">
        <v>23801796</v>
      </c>
      <c r="BC468" s="1">
        <f t="shared" si="38"/>
        <v>23630277</v>
      </c>
      <c r="BE468" s="1">
        <f>+'St of Net Assets - GA'!AA468-'St of Activities - GA Exp'!BC468</f>
        <v>0</v>
      </c>
    </row>
    <row r="469" spans="1:57">
      <c r="A469" s="17" t="s">
        <v>765</v>
      </c>
      <c r="B469" s="17"/>
      <c r="C469" s="17" t="s">
        <v>56</v>
      </c>
      <c r="D469" s="17"/>
      <c r="E469" s="13"/>
      <c r="G469" s="1">
        <v>12113567</v>
      </c>
      <c r="H469" s="1"/>
      <c r="I469" s="1">
        <v>4590734</v>
      </c>
      <c r="J469" s="1"/>
      <c r="K469" s="1">
        <v>362680</v>
      </c>
      <c r="L469" s="1"/>
      <c r="M469" s="1">
        <f>78754+1374783</f>
        <v>1453537</v>
      </c>
      <c r="N469" s="1"/>
      <c r="O469" s="1">
        <v>1577845</v>
      </c>
      <c r="P469" s="1"/>
      <c r="Q469" s="1">
        <v>965682</v>
      </c>
      <c r="R469" s="1"/>
      <c r="S469" s="1">
        <v>42232</v>
      </c>
      <c r="T469" s="1"/>
      <c r="U469" s="1">
        <v>2407654</v>
      </c>
      <c r="V469" s="1"/>
      <c r="W469" s="1">
        <v>683966</v>
      </c>
      <c r="X469" s="1"/>
      <c r="Y469" s="1">
        <v>259881</v>
      </c>
      <c r="Z469" s="1"/>
      <c r="AA469" s="1">
        <v>2929725</v>
      </c>
      <c r="AB469" s="1"/>
      <c r="AC469" s="1">
        <v>1303303</v>
      </c>
      <c r="AD469" s="1"/>
      <c r="AE469" s="1">
        <v>1085460</v>
      </c>
      <c r="AF469" s="1"/>
      <c r="AG469" s="1">
        <v>1528193</v>
      </c>
      <c r="AH469" s="1"/>
      <c r="AI469" s="1">
        <v>82928</v>
      </c>
      <c r="AJ469" s="1"/>
      <c r="AK469" s="17" t="s">
        <v>765</v>
      </c>
      <c r="AL469" s="17"/>
      <c r="AM469" s="17" t="s">
        <v>56</v>
      </c>
      <c r="AN469" s="17"/>
      <c r="AO469" s="1">
        <v>1184413</v>
      </c>
      <c r="AP469" s="1"/>
      <c r="AQ469" s="1">
        <v>956890</v>
      </c>
      <c r="AR469" s="1"/>
      <c r="AS469" s="1"/>
      <c r="AT469" s="1"/>
      <c r="AU469" s="1">
        <v>0</v>
      </c>
      <c r="AV469" s="1"/>
      <c r="AW469" s="1">
        <f t="shared" si="37"/>
        <v>33528690</v>
      </c>
      <c r="AY469" s="1">
        <v>1429201</v>
      </c>
      <c r="BA469" s="1">
        <v>19519919</v>
      </c>
      <c r="BC469" s="1">
        <f t="shared" si="38"/>
        <v>20949120</v>
      </c>
      <c r="BE469" s="1">
        <f>+'St of Net Assets - GA'!AA469-'St of Activities - GA Exp'!BC469</f>
        <v>0</v>
      </c>
    </row>
    <row r="470" spans="1:57">
      <c r="A470" s="17" t="s">
        <v>373</v>
      </c>
      <c r="B470" s="17"/>
      <c r="C470" s="17" t="s">
        <v>32</v>
      </c>
      <c r="D470" s="17"/>
      <c r="E470" s="13">
        <v>44693</v>
      </c>
      <c r="G470" s="1">
        <v>6348941</v>
      </c>
      <c r="H470" s="1"/>
      <c r="I470" s="1">
        <v>1830673</v>
      </c>
      <c r="J470" s="1"/>
      <c r="K470" s="1">
        <v>93119</v>
      </c>
      <c r="L470" s="1"/>
      <c r="M470" s="1">
        <v>451573</v>
      </c>
      <c r="N470" s="1"/>
      <c r="O470" s="1">
        <v>899462</v>
      </c>
      <c r="P470" s="1"/>
      <c r="Q470" s="1">
        <v>787280</v>
      </c>
      <c r="R470" s="1"/>
      <c r="S470" s="1">
        <v>49120</v>
      </c>
      <c r="T470" s="1"/>
      <c r="U470" s="1">
        <v>1222363</v>
      </c>
      <c r="V470" s="1"/>
      <c r="W470" s="1">
        <v>386658</v>
      </c>
      <c r="X470" s="1"/>
      <c r="Y470" s="1">
        <v>21745</v>
      </c>
      <c r="Z470" s="1"/>
      <c r="AA470" s="1">
        <v>1199062</v>
      </c>
      <c r="AB470" s="1"/>
      <c r="AC470" s="1">
        <v>231153</v>
      </c>
      <c r="AD470" s="1"/>
      <c r="AE470" s="1">
        <v>260668</v>
      </c>
      <c r="AF470" s="1"/>
      <c r="AG470" s="1">
        <v>0</v>
      </c>
      <c r="AH470" s="1"/>
      <c r="AI470" s="1">
        <v>1365289</v>
      </c>
      <c r="AJ470" s="1"/>
      <c r="AK470" s="17" t="s">
        <v>373</v>
      </c>
      <c r="AL470" s="17"/>
      <c r="AM470" s="17" t="s">
        <v>32</v>
      </c>
      <c r="AN470" s="17"/>
      <c r="AO470" s="1">
        <v>593485</v>
      </c>
      <c r="AP470" s="1"/>
      <c r="AQ470" s="1">
        <v>18116</v>
      </c>
      <c r="AR470" s="1"/>
      <c r="AS470" s="1"/>
      <c r="AT470" s="1"/>
      <c r="AU470" s="1">
        <v>0</v>
      </c>
      <c r="AV470" s="1"/>
      <c r="AW470" s="1">
        <f t="shared" si="37"/>
        <v>15758707</v>
      </c>
      <c r="AY470" s="1">
        <v>798649</v>
      </c>
      <c r="BA470" s="1">
        <v>3668251</v>
      </c>
      <c r="BC470" s="1">
        <f t="shared" si="38"/>
        <v>4466900</v>
      </c>
      <c r="BE470" s="1">
        <f>+'St of Net Assets - GA'!AA470-'St of Activities - GA Exp'!BC470</f>
        <v>0</v>
      </c>
    </row>
    <row r="471" spans="1:57">
      <c r="A471" s="17" t="s">
        <v>594</v>
      </c>
      <c r="B471" s="17"/>
      <c r="C471" s="17" t="s">
        <v>63</v>
      </c>
      <c r="D471" s="17"/>
      <c r="E471" s="13">
        <v>50054</v>
      </c>
      <c r="G471" s="1">
        <v>15078494</v>
      </c>
      <c r="H471" s="1"/>
      <c r="I471" s="1">
        <v>1454904</v>
      </c>
      <c r="J471" s="1"/>
      <c r="K471" s="1">
        <v>446763</v>
      </c>
      <c r="L471" s="1"/>
      <c r="M471" s="1">
        <f>1447523+961433</f>
        <v>2408956</v>
      </c>
      <c r="N471" s="1"/>
      <c r="O471" s="1">
        <v>1548753</v>
      </c>
      <c r="P471" s="1"/>
      <c r="Q471" s="1">
        <v>1262055</v>
      </c>
      <c r="R471" s="1"/>
      <c r="S471" s="1">
        <v>367650</v>
      </c>
      <c r="T471" s="1"/>
      <c r="U471" s="1">
        <v>2451911</v>
      </c>
      <c r="V471" s="1"/>
      <c r="W471" s="1">
        <v>1029634</v>
      </c>
      <c r="X471" s="1"/>
      <c r="Y471" s="1">
        <v>62303</v>
      </c>
      <c r="Z471" s="1"/>
      <c r="AA471" s="1">
        <v>3895831</v>
      </c>
      <c r="AB471" s="1"/>
      <c r="AC471" s="1">
        <v>2233841</v>
      </c>
      <c r="AD471" s="1"/>
      <c r="AE471" s="1">
        <v>275299</v>
      </c>
      <c r="AF471" s="1"/>
      <c r="AG471" s="1">
        <v>883003</v>
      </c>
      <c r="AH471" s="1"/>
      <c r="AI471" s="1">
        <v>281501</v>
      </c>
      <c r="AJ471" s="1"/>
      <c r="AK471" s="17" t="s">
        <v>594</v>
      </c>
      <c r="AL471" s="17"/>
      <c r="AM471" s="17" t="s">
        <v>63</v>
      </c>
      <c r="AN471" s="17"/>
      <c r="AO471" s="1">
        <v>1179508</v>
      </c>
      <c r="AP471" s="1"/>
      <c r="AQ471" s="1">
        <v>424356</v>
      </c>
      <c r="AR471" s="1"/>
      <c r="AS471" s="1"/>
      <c r="AT471" s="1"/>
      <c r="AU471" s="1">
        <v>0</v>
      </c>
      <c r="AV471" s="1"/>
      <c r="AW471" s="1">
        <f t="shared" si="37"/>
        <v>35284762</v>
      </c>
      <c r="AY471" s="1">
        <v>705402</v>
      </c>
      <c r="BA471" s="1">
        <v>23593400</v>
      </c>
      <c r="BC471" s="1">
        <f t="shared" si="38"/>
        <v>24298802</v>
      </c>
      <c r="BE471" s="1">
        <f>+'St of Net Assets - GA'!AA471-'St of Activities - GA Exp'!BC471</f>
        <v>0</v>
      </c>
    </row>
    <row r="472" spans="1:57">
      <c r="A472" s="17" t="s">
        <v>339</v>
      </c>
      <c r="B472" s="17"/>
      <c r="C472" s="17" t="s">
        <v>27</v>
      </c>
      <c r="D472" s="17"/>
      <c r="E472" s="13">
        <v>47001</v>
      </c>
      <c r="G472" s="1">
        <v>28946685</v>
      </c>
      <c r="H472" s="1"/>
      <c r="I472" s="1">
        <v>6468234</v>
      </c>
      <c r="J472" s="1"/>
      <c r="K472" s="1">
        <v>117573</v>
      </c>
      <c r="L472" s="1"/>
      <c r="M472" s="1">
        <f>500+1485414</f>
        <v>1485914</v>
      </c>
      <c r="N472" s="1"/>
      <c r="O472" s="1">
        <v>3357801</v>
      </c>
      <c r="P472" s="1"/>
      <c r="Q472" s="1">
        <v>3015049</v>
      </c>
      <c r="R472" s="1"/>
      <c r="S472" s="1">
        <v>56366</v>
      </c>
      <c r="T472" s="1"/>
      <c r="U472" s="1">
        <v>5476967</v>
      </c>
      <c r="V472" s="1"/>
      <c r="W472" s="1">
        <v>899141</v>
      </c>
      <c r="X472" s="1"/>
      <c r="Y472" s="1">
        <v>506439</v>
      </c>
      <c r="Z472" s="1"/>
      <c r="AA472" s="1">
        <v>5735990</v>
      </c>
      <c r="AB472" s="1"/>
      <c r="AC472" s="1">
        <v>2301282</v>
      </c>
      <c r="AD472" s="1"/>
      <c r="AE472" s="1">
        <v>998972</v>
      </c>
      <c r="AF472" s="1"/>
      <c r="AG472" s="1">
        <v>2271407</v>
      </c>
      <c r="AH472" s="1"/>
      <c r="AI472" s="1">
        <v>309984</v>
      </c>
      <c r="AJ472" s="1"/>
      <c r="AK472" s="17" t="s">
        <v>339</v>
      </c>
      <c r="AL472" s="17"/>
      <c r="AM472" s="17" t="s">
        <v>27</v>
      </c>
      <c r="AN472" s="17"/>
      <c r="AO472" s="1">
        <v>1116310</v>
      </c>
      <c r="AP472" s="1"/>
      <c r="AQ472" s="1">
        <v>5899888</v>
      </c>
      <c r="AR472" s="1"/>
      <c r="AS472" s="1"/>
      <c r="AT472" s="1"/>
      <c r="AU472" s="1">
        <v>2665570</v>
      </c>
      <c r="AV472" s="1"/>
      <c r="AW472" s="1">
        <f t="shared" si="37"/>
        <v>71629572</v>
      </c>
      <c r="AY472" s="1">
        <v>3387886</v>
      </c>
      <c r="BA472" s="1">
        <v>73464270</v>
      </c>
      <c r="BC472" s="1">
        <f t="shared" si="38"/>
        <v>76852156</v>
      </c>
      <c r="BE472" s="1">
        <f>+'St of Net Assets - GA'!AA472-'St of Activities - GA Exp'!BC472</f>
        <v>0</v>
      </c>
    </row>
    <row r="473" spans="1:57" ht="12" customHeight="1">
      <c r="A473" s="17" t="s">
        <v>301</v>
      </c>
      <c r="B473" s="17"/>
      <c r="C473" s="17" t="s">
        <v>20</v>
      </c>
      <c r="D473" s="17"/>
      <c r="E473" s="13">
        <v>46599</v>
      </c>
      <c r="G473" s="1">
        <v>4859958</v>
      </c>
      <c r="H473" s="1"/>
      <c r="I473" s="1">
        <v>2221043</v>
      </c>
      <c r="J473" s="1"/>
      <c r="K473" s="1">
        <v>46874</v>
      </c>
      <c r="L473" s="1"/>
      <c r="M473" s="1">
        <v>0</v>
      </c>
      <c r="N473" s="1"/>
      <c r="O473" s="1">
        <v>742698</v>
      </c>
      <c r="P473" s="1"/>
      <c r="Q473" s="1">
        <v>305363</v>
      </c>
      <c r="R473" s="1"/>
      <c r="S473" s="1">
        <v>269308</v>
      </c>
      <c r="T473" s="1"/>
      <c r="U473" s="1">
        <v>961731</v>
      </c>
      <c r="V473" s="1"/>
      <c r="W473" s="1">
        <v>445042</v>
      </c>
      <c r="X473" s="1"/>
      <c r="Y473" s="1">
        <v>103704</v>
      </c>
      <c r="Z473" s="1"/>
      <c r="AA473" s="1">
        <v>1052857</v>
      </c>
      <c r="AB473" s="1"/>
      <c r="AC473" s="1">
        <v>933180</v>
      </c>
      <c r="AD473" s="1"/>
      <c r="AE473" s="1">
        <v>265186</v>
      </c>
      <c r="AF473" s="1"/>
      <c r="AG473" s="1">
        <v>362337</v>
      </c>
      <c r="AH473" s="1"/>
      <c r="AI473" s="1">
        <f>18758+124734+112873+5002</f>
        <v>261367</v>
      </c>
      <c r="AJ473" s="1"/>
      <c r="AK473" s="17" t="s">
        <v>301</v>
      </c>
      <c r="AL473" s="17"/>
      <c r="AM473" s="17" t="s">
        <v>20</v>
      </c>
      <c r="AN473" s="17"/>
      <c r="AO473" s="1">
        <v>205638</v>
      </c>
      <c r="AP473" s="1"/>
      <c r="AQ473" s="1">
        <v>62071</v>
      </c>
      <c r="AR473" s="1"/>
      <c r="AS473" s="1"/>
      <c r="AT473" s="1"/>
      <c r="AU473" s="1">
        <v>0</v>
      </c>
      <c r="AV473" s="1"/>
      <c r="AW473" s="1">
        <f t="shared" si="37"/>
        <v>13098357</v>
      </c>
      <c r="AY473" s="1">
        <v>656311</v>
      </c>
      <c r="BA473" s="1">
        <v>2131693</v>
      </c>
      <c r="BC473" s="1">
        <f t="shared" si="38"/>
        <v>2788004</v>
      </c>
      <c r="BE473" s="1">
        <f>+'St of Net Assets - GA'!AA473-'St of Activities - GA Exp'!BC473</f>
        <v>0</v>
      </c>
    </row>
    <row r="474" spans="1:57">
      <c r="A474" s="17" t="s">
        <v>476</v>
      </c>
      <c r="B474" s="17"/>
      <c r="C474" s="17" t="s">
        <v>46</v>
      </c>
      <c r="D474" s="17"/>
      <c r="E474" s="13">
        <v>48439</v>
      </c>
      <c r="G474" s="1">
        <v>3265267</v>
      </c>
      <c r="H474" s="1"/>
      <c r="I474" s="1">
        <v>681881</v>
      </c>
      <c r="J474" s="1"/>
      <c r="K474" s="1">
        <v>199721</v>
      </c>
      <c r="L474" s="1"/>
      <c r="M474" s="1">
        <f>39240+1376837</f>
        <v>1416077</v>
      </c>
      <c r="N474" s="1"/>
      <c r="O474" s="1">
        <v>350111</v>
      </c>
      <c r="P474" s="1"/>
      <c r="Q474" s="1">
        <v>289455</v>
      </c>
      <c r="R474" s="1"/>
      <c r="S474" s="1">
        <v>37331</v>
      </c>
      <c r="T474" s="1"/>
      <c r="U474" s="1">
        <v>689507</v>
      </c>
      <c r="V474" s="1"/>
      <c r="W474" s="1">
        <v>231160</v>
      </c>
      <c r="X474" s="1"/>
      <c r="Y474" s="1">
        <v>637</v>
      </c>
      <c r="Z474" s="1"/>
      <c r="AA474" s="1">
        <v>615268</v>
      </c>
      <c r="AB474" s="1"/>
      <c r="AC474" s="1">
        <v>440419</v>
      </c>
      <c r="AD474" s="1"/>
      <c r="AE474" s="1">
        <v>35148</v>
      </c>
      <c r="AF474" s="1"/>
      <c r="AG474" s="1">
        <v>279381</v>
      </c>
      <c r="AH474" s="1"/>
      <c r="AI474" s="1">
        <v>0</v>
      </c>
      <c r="AJ474" s="1"/>
      <c r="AK474" s="17" t="s">
        <v>476</v>
      </c>
      <c r="AL474" s="17"/>
      <c r="AM474" s="17" t="s">
        <v>46</v>
      </c>
      <c r="AN474" s="17"/>
      <c r="AO474" s="1">
        <v>293006</v>
      </c>
      <c r="AP474" s="1"/>
      <c r="AQ474" s="1">
        <v>17400</v>
      </c>
      <c r="AR474" s="1"/>
      <c r="AS474" s="1"/>
      <c r="AT474" s="1"/>
      <c r="AU474" s="1">
        <v>0</v>
      </c>
      <c r="AV474" s="1"/>
      <c r="AW474" s="1">
        <f t="shared" si="37"/>
        <v>8841769</v>
      </c>
      <c r="AY474" s="1">
        <v>-225149</v>
      </c>
      <c r="BA474" s="1">
        <v>4385440</v>
      </c>
      <c r="BC474" s="1">
        <f t="shared" si="38"/>
        <v>4160291</v>
      </c>
      <c r="BE474" s="1">
        <f>+'St of Net Assets - GA'!AA474-'St of Activities - GA Exp'!BC474</f>
        <v>0</v>
      </c>
    </row>
    <row r="475" spans="1:57" ht="12" customHeight="1">
      <c r="A475" s="12" t="s">
        <v>386</v>
      </c>
      <c r="B475" s="17"/>
      <c r="C475" s="17" t="s">
        <v>383</v>
      </c>
      <c r="D475" s="17"/>
      <c r="E475" s="13">
        <v>47506</v>
      </c>
      <c r="G475" s="1">
        <v>2491597</v>
      </c>
      <c r="H475" s="1"/>
      <c r="I475" s="1">
        <v>379213</v>
      </c>
      <c r="J475" s="1"/>
      <c r="K475" s="1">
        <v>164452</v>
      </c>
      <c r="L475" s="1"/>
      <c r="M475" s="1">
        <v>75214</v>
      </c>
      <c r="N475" s="1"/>
      <c r="O475" s="1">
        <v>230718</v>
      </c>
      <c r="P475" s="1"/>
      <c r="Q475" s="1">
        <v>217578</v>
      </c>
      <c r="R475" s="1"/>
      <c r="S475" s="1">
        <v>23438</v>
      </c>
      <c r="T475" s="1"/>
      <c r="U475" s="1">
        <v>602811</v>
      </c>
      <c r="V475" s="1"/>
      <c r="W475" s="1">
        <v>222454</v>
      </c>
      <c r="X475" s="1"/>
      <c r="Y475" s="1">
        <v>0</v>
      </c>
      <c r="Z475" s="1"/>
      <c r="AA475" s="1">
        <v>489866</v>
      </c>
      <c r="AB475" s="1"/>
      <c r="AC475" s="1">
        <v>385688</v>
      </c>
      <c r="AD475" s="1"/>
      <c r="AE475" s="1">
        <v>59693</v>
      </c>
      <c r="AF475" s="1"/>
      <c r="AG475" s="1">
        <v>301560</v>
      </c>
      <c r="AH475" s="1"/>
      <c r="AI475" s="1">
        <f>1292+6696</f>
        <v>7988</v>
      </c>
      <c r="AJ475" s="1"/>
      <c r="AK475" s="12" t="s">
        <v>386</v>
      </c>
      <c r="AL475" s="17"/>
      <c r="AM475" s="17" t="s">
        <v>383</v>
      </c>
      <c r="AN475" s="17"/>
      <c r="AO475" s="1">
        <v>203168</v>
      </c>
      <c r="AP475" s="1"/>
      <c r="AQ475" s="1">
        <v>66799</v>
      </c>
      <c r="AR475" s="1"/>
      <c r="AS475" s="1"/>
      <c r="AT475" s="1"/>
      <c r="AU475" s="1">
        <v>2879</v>
      </c>
      <c r="AV475" s="1"/>
      <c r="AW475" s="1">
        <f t="shared" si="37"/>
        <v>5925116</v>
      </c>
      <c r="AY475" s="1">
        <v>-15748</v>
      </c>
      <c r="BA475" s="1">
        <v>1974173</v>
      </c>
      <c r="BC475" s="1">
        <f t="shared" si="38"/>
        <v>1958425</v>
      </c>
      <c r="BE475" s="1">
        <f>+'St of Net Assets - GA'!AA475-'St of Activities - GA Exp'!BC475</f>
        <v>0</v>
      </c>
    </row>
    <row r="476" spans="1:57">
      <c r="A476" s="17" t="s">
        <v>273</v>
      </c>
      <c r="B476" s="17"/>
      <c r="C476" s="17" t="s">
        <v>19</v>
      </c>
      <c r="D476" s="17"/>
      <c r="E476" s="13">
        <v>46474</v>
      </c>
      <c r="G476" s="1">
        <v>6552634</v>
      </c>
      <c r="H476" s="1"/>
      <c r="I476" s="1">
        <v>1199440</v>
      </c>
      <c r="J476" s="1"/>
      <c r="K476" s="1">
        <v>260735</v>
      </c>
      <c r="L476" s="1"/>
      <c r="M476" s="1">
        <v>68556</v>
      </c>
      <c r="N476" s="1"/>
      <c r="O476" s="1">
        <v>548179</v>
      </c>
      <c r="P476" s="1"/>
      <c r="Q476" s="1">
        <v>633272</v>
      </c>
      <c r="R476" s="1"/>
      <c r="S476" s="1">
        <v>44496</v>
      </c>
      <c r="T476" s="1"/>
      <c r="U476" s="1">
        <v>850532</v>
      </c>
      <c r="V476" s="1"/>
      <c r="W476" s="1">
        <v>329110</v>
      </c>
      <c r="X476" s="1"/>
      <c r="Y476" s="1">
        <v>10675</v>
      </c>
      <c r="Z476" s="1"/>
      <c r="AA476" s="1">
        <v>1322724</v>
      </c>
      <c r="AB476" s="1"/>
      <c r="AC476" s="1">
        <v>867537</v>
      </c>
      <c r="AD476" s="1"/>
      <c r="AE476" s="1">
        <v>2689</v>
      </c>
      <c r="AF476" s="1"/>
      <c r="AG476" s="1">
        <v>561928</v>
      </c>
      <c r="AH476" s="1"/>
      <c r="AI476" s="1">
        <v>215</v>
      </c>
      <c r="AJ476" s="1"/>
      <c r="AK476" s="17" t="s">
        <v>273</v>
      </c>
      <c r="AL476" s="17"/>
      <c r="AM476" s="17" t="s">
        <v>19</v>
      </c>
      <c r="AN476" s="17"/>
      <c r="AO476" s="1">
        <v>468872</v>
      </c>
      <c r="AP476" s="1"/>
      <c r="AQ476" s="1">
        <v>145966</v>
      </c>
      <c r="AR476" s="1"/>
      <c r="AS476" s="1"/>
      <c r="AT476" s="1"/>
      <c r="AU476" s="1">
        <v>0</v>
      </c>
      <c r="AV476" s="1"/>
      <c r="AW476" s="1">
        <f t="shared" si="37"/>
        <v>13867560</v>
      </c>
      <c r="AY476" s="1">
        <v>-672452</v>
      </c>
      <c r="BA476" s="1">
        <v>16942156</v>
      </c>
      <c r="BC476" s="1">
        <f t="shared" si="38"/>
        <v>16269704</v>
      </c>
      <c r="BE476" s="1">
        <f>+'St of Net Assets - GA'!AA476-'St of Activities - GA Exp'!BC476</f>
        <v>0</v>
      </c>
    </row>
    <row r="477" spans="1:57">
      <c r="A477" s="17" t="s">
        <v>766</v>
      </c>
      <c r="B477" s="17"/>
      <c r="C477" s="17" t="s">
        <v>77</v>
      </c>
      <c r="D477" s="17"/>
      <c r="E477" s="13">
        <v>46078</v>
      </c>
      <c r="G477" s="1">
        <v>5456997</v>
      </c>
      <c r="H477" s="1"/>
      <c r="I477" s="1">
        <v>1401706</v>
      </c>
      <c r="J477" s="1"/>
      <c r="K477" s="1">
        <v>501485</v>
      </c>
      <c r="L477" s="1"/>
      <c r="M477" s="1">
        <v>151289</v>
      </c>
      <c r="N477" s="1"/>
      <c r="O477" s="1">
        <v>463269</v>
      </c>
      <c r="P477" s="1"/>
      <c r="Q477" s="1">
        <v>886919</v>
      </c>
      <c r="R477" s="1"/>
      <c r="S477" s="1">
        <v>128238</v>
      </c>
      <c r="T477" s="1"/>
      <c r="U477" s="1">
        <v>891224</v>
      </c>
      <c r="V477" s="1"/>
      <c r="W477" s="1">
        <v>353780</v>
      </c>
      <c r="X477" s="1"/>
      <c r="Y477" s="1">
        <v>0</v>
      </c>
      <c r="Z477" s="1"/>
      <c r="AA477" s="1">
        <v>1126070</v>
      </c>
      <c r="AB477" s="1"/>
      <c r="AC477" s="1">
        <v>648223</v>
      </c>
      <c r="AD477" s="1"/>
      <c r="AE477" s="1">
        <v>85217</v>
      </c>
      <c r="AF477" s="1"/>
      <c r="AG477" s="1">
        <v>605019</v>
      </c>
      <c r="AH477" s="1"/>
      <c r="AI477" s="1">
        <v>39853</v>
      </c>
      <c r="AJ477" s="1"/>
      <c r="AK477" s="17" t="s">
        <v>766</v>
      </c>
      <c r="AL477" s="17"/>
      <c r="AM477" s="17" t="s">
        <v>77</v>
      </c>
      <c r="AN477" s="17"/>
      <c r="AO477" s="1">
        <v>292807</v>
      </c>
      <c r="AP477" s="1"/>
      <c r="AQ477" s="1">
        <v>239307</v>
      </c>
      <c r="AR477" s="1"/>
      <c r="AS477" s="1"/>
      <c r="AT477" s="1"/>
      <c r="AU477" s="1">
        <v>30339</v>
      </c>
      <c r="AV477" s="1"/>
      <c r="AW477" s="1">
        <f t="shared" si="37"/>
        <v>13301742</v>
      </c>
      <c r="AY477" s="1">
        <v>-901861</v>
      </c>
      <c r="BA477" s="1">
        <v>30506420</v>
      </c>
      <c r="BC477" s="1">
        <f t="shared" si="38"/>
        <v>29604559</v>
      </c>
      <c r="BE477" s="1">
        <f>+'St of Net Assets - GA'!AA477-'St of Activities - GA Exp'!BC477</f>
        <v>0</v>
      </c>
    </row>
    <row r="478" spans="1:57">
      <c r="A478" s="17" t="s">
        <v>642</v>
      </c>
      <c r="B478" s="17"/>
      <c r="C478" s="17" t="s">
        <v>71</v>
      </c>
      <c r="D478" s="17"/>
      <c r="E478" s="13">
        <v>45591</v>
      </c>
      <c r="G478" s="1">
        <v>5216664</v>
      </c>
      <c r="H478" s="1"/>
      <c r="I478" s="1">
        <v>1072175</v>
      </c>
      <c r="J478" s="1"/>
      <c r="K478" s="1">
        <v>77819</v>
      </c>
      <c r="L478" s="1"/>
      <c r="M478" s="1">
        <v>6707</v>
      </c>
      <c r="N478" s="1"/>
      <c r="O478" s="1">
        <v>466544</v>
      </c>
      <c r="P478" s="1"/>
      <c r="Q478" s="1">
        <v>642618</v>
      </c>
      <c r="R478" s="1"/>
      <c r="S478" s="1">
        <v>34174</v>
      </c>
      <c r="T478" s="1"/>
      <c r="U478" s="1">
        <v>796752</v>
      </c>
      <c r="V478" s="1"/>
      <c r="W478" s="1">
        <v>316233</v>
      </c>
      <c r="X478" s="1"/>
      <c r="Y478" s="1">
        <v>0</v>
      </c>
      <c r="Z478" s="1"/>
      <c r="AA478" s="1">
        <v>951045</v>
      </c>
      <c r="AB478" s="1"/>
      <c r="AC478" s="1">
        <v>352700</v>
      </c>
      <c r="AD478" s="1"/>
      <c r="AE478" s="1">
        <v>0</v>
      </c>
      <c r="AF478" s="1"/>
      <c r="AG478" s="1">
        <v>493965</v>
      </c>
      <c r="AH478" s="1"/>
      <c r="AI478" s="1">
        <v>0</v>
      </c>
      <c r="AJ478" s="1"/>
      <c r="AK478" s="17" t="s">
        <v>642</v>
      </c>
      <c r="AL478" s="17"/>
      <c r="AM478" s="17" t="s">
        <v>71</v>
      </c>
      <c r="AN478" s="17"/>
      <c r="AO478" s="1">
        <v>186993</v>
      </c>
      <c r="AP478" s="1"/>
      <c r="AQ478" s="1">
        <v>469823</v>
      </c>
      <c r="AR478" s="1"/>
      <c r="AS478" s="1"/>
      <c r="AT478" s="1"/>
      <c r="AU478" s="1">
        <v>0</v>
      </c>
      <c r="AV478" s="1"/>
      <c r="AW478" s="1">
        <f t="shared" si="37"/>
        <v>11084212</v>
      </c>
      <c r="AY478" s="1">
        <v>-111018</v>
      </c>
      <c r="BA478" s="1">
        <v>23174502</v>
      </c>
      <c r="BC478" s="1">
        <f t="shared" si="38"/>
        <v>23063484</v>
      </c>
      <c r="BE478" s="1">
        <f>+'St of Net Assets - GA'!AA478-'St of Activities - GA Exp'!BC478</f>
        <v>0</v>
      </c>
    </row>
    <row r="479" spans="1:57">
      <c r="A479" s="17" t="s">
        <v>477</v>
      </c>
      <c r="B479" s="17"/>
      <c r="C479" s="17" t="s">
        <v>46</v>
      </c>
      <c r="D479" s="17"/>
      <c r="E479" s="13">
        <v>48447</v>
      </c>
      <c r="G479" s="1">
        <v>10323686</v>
      </c>
      <c r="H479" s="1"/>
      <c r="I479" s="1">
        <v>1628475</v>
      </c>
      <c r="J479" s="1"/>
      <c r="K479" s="1">
        <v>205794</v>
      </c>
      <c r="L479" s="1"/>
      <c r="M479" s="1">
        <v>0</v>
      </c>
      <c r="N479" s="1"/>
      <c r="O479" s="1">
        <v>487454</v>
      </c>
      <c r="P479" s="1"/>
      <c r="Q479" s="1">
        <v>945857</v>
      </c>
      <c r="R479" s="1"/>
      <c r="S479" s="1">
        <v>15855</v>
      </c>
      <c r="T479" s="1"/>
      <c r="U479" s="1">
        <v>1580319</v>
      </c>
      <c r="V479" s="1"/>
      <c r="W479" s="1">
        <v>482957</v>
      </c>
      <c r="X479" s="1"/>
      <c r="Y479" s="1">
        <v>34189</v>
      </c>
      <c r="Z479" s="1"/>
      <c r="AA479" s="1">
        <v>1346995</v>
      </c>
      <c r="AB479" s="1"/>
      <c r="AC479" s="1">
        <v>1101094</v>
      </c>
      <c r="AD479" s="1"/>
      <c r="AE479" s="1">
        <v>81999</v>
      </c>
      <c r="AF479" s="1"/>
      <c r="AG479" s="1">
        <v>0</v>
      </c>
      <c r="AH479" s="1"/>
      <c r="AI479" s="1">
        <v>975261</v>
      </c>
      <c r="AJ479" s="1"/>
      <c r="AK479" s="17" t="s">
        <v>477</v>
      </c>
      <c r="AL479" s="17"/>
      <c r="AM479" s="17" t="s">
        <v>46</v>
      </c>
      <c r="AN479" s="17"/>
      <c r="AO479" s="1">
        <v>554606</v>
      </c>
      <c r="AP479" s="1"/>
      <c r="AQ479" s="1">
        <v>678302</v>
      </c>
      <c r="AR479" s="1"/>
      <c r="AS479" s="1"/>
      <c r="AT479" s="1"/>
      <c r="AU479" s="1">
        <v>0</v>
      </c>
      <c r="AV479" s="1"/>
      <c r="AW479" s="1">
        <f t="shared" si="37"/>
        <v>20442843</v>
      </c>
      <c r="AY479" s="1">
        <v>-469682</v>
      </c>
      <c r="BA479" s="1">
        <v>29850322</v>
      </c>
      <c r="BC479" s="1">
        <f t="shared" si="38"/>
        <v>29380640</v>
      </c>
      <c r="BE479" s="1">
        <f>+'St of Net Assets - GA'!AA479-'St of Activities - GA Exp'!BC479</f>
        <v>0</v>
      </c>
    </row>
    <row r="480" spans="1:57">
      <c r="A480" s="17" t="s">
        <v>274</v>
      </c>
      <c r="B480" s="17"/>
      <c r="C480" s="17" t="s">
        <v>19</v>
      </c>
      <c r="D480" s="17"/>
      <c r="E480" s="13">
        <v>46482</v>
      </c>
      <c r="G480" s="1">
        <v>9458010</v>
      </c>
      <c r="H480" s="1"/>
      <c r="I480" s="1">
        <v>2688211</v>
      </c>
      <c r="J480" s="1"/>
      <c r="K480" s="1">
        <v>390091</v>
      </c>
      <c r="L480" s="1"/>
      <c r="M480" s="1">
        <v>100</v>
      </c>
      <c r="N480" s="1"/>
      <c r="O480" s="1">
        <v>781131</v>
      </c>
      <c r="P480" s="1"/>
      <c r="Q480" s="1">
        <v>1208922</v>
      </c>
      <c r="R480" s="1"/>
      <c r="S480" s="1">
        <v>81846</v>
      </c>
      <c r="T480" s="1"/>
      <c r="U480" s="1">
        <v>1664525</v>
      </c>
      <c r="V480" s="1"/>
      <c r="W480" s="1">
        <v>576362</v>
      </c>
      <c r="X480" s="1"/>
      <c r="Y480" s="1">
        <v>0</v>
      </c>
      <c r="Z480" s="1"/>
      <c r="AA480" s="1">
        <v>2101744</v>
      </c>
      <c r="AB480" s="1"/>
      <c r="AC480" s="1">
        <v>1737679</v>
      </c>
      <c r="AD480" s="1"/>
      <c r="AE480" s="1">
        <v>549413</v>
      </c>
      <c r="AF480" s="1"/>
      <c r="AG480" s="1">
        <v>1010274</v>
      </c>
      <c r="AH480" s="1"/>
      <c r="AI480" s="1">
        <v>20811</v>
      </c>
      <c r="AJ480" s="1"/>
      <c r="AK480" s="17" t="s">
        <v>274</v>
      </c>
      <c r="AL480" s="17"/>
      <c r="AM480" s="17" t="s">
        <v>19</v>
      </c>
      <c r="AN480" s="17"/>
      <c r="AO480" s="1">
        <v>433005</v>
      </c>
      <c r="AP480" s="1"/>
      <c r="AQ480" s="1">
        <v>70765</v>
      </c>
      <c r="AR480" s="1"/>
      <c r="AS480" s="1"/>
      <c r="AT480" s="1"/>
      <c r="AU480" s="1">
        <v>0</v>
      </c>
      <c r="AV480" s="1"/>
      <c r="AW480" s="1">
        <f t="shared" si="37"/>
        <v>22772889</v>
      </c>
      <c r="AY480" s="1">
        <v>838121</v>
      </c>
      <c r="BA480" s="1">
        <v>10243350</v>
      </c>
      <c r="BC480" s="1">
        <f t="shared" si="38"/>
        <v>11081471</v>
      </c>
      <c r="BE480" s="1">
        <f>+'St of Net Assets - GA'!AA480-'St of Activities - GA Exp'!BC480</f>
        <v>0</v>
      </c>
    </row>
    <row r="481" spans="1:57" hidden="1">
      <c r="A481" s="12" t="s">
        <v>932</v>
      </c>
      <c r="B481" s="17"/>
      <c r="C481" s="17" t="s">
        <v>383</v>
      </c>
      <c r="D481" s="17"/>
      <c r="E481" s="13">
        <v>47514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2" t="s">
        <v>932</v>
      </c>
      <c r="AL481" s="17"/>
      <c r="AM481" s="17" t="s">
        <v>383</v>
      </c>
      <c r="AN481" s="17"/>
      <c r="AO481" s="1"/>
      <c r="AP481" s="1"/>
      <c r="AQ481" s="1"/>
      <c r="AR481" s="1"/>
      <c r="AS481" s="1"/>
      <c r="AT481" s="1"/>
      <c r="AU481" s="1"/>
      <c r="AV481" s="1"/>
      <c r="AW481" s="1">
        <f t="shared" si="37"/>
        <v>0</v>
      </c>
      <c r="AY481" s="1">
        <v>0</v>
      </c>
      <c r="BC481" s="1">
        <f t="shared" si="38"/>
        <v>0</v>
      </c>
      <c r="BE481" s="1">
        <f>+'St of Net Assets - GA'!AA481-'St of Activities - GA Exp'!BC481</f>
        <v>0</v>
      </c>
    </row>
    <row r="482" spans="1:57">
      <c r="A482" s="17" t="s">
        <v>435</v>
      </c>
      <c r="B482" s="17"/>
      <c r="C482" s="17" t="s">
        <v>41</v>
      </c>
      <c r="D482" s="17"/>
      <c r="E482" s="13"/>
      <c r="G482" s="1">
        <v>20738259</v>
      </c>
      <c r="H482" s="1"/>
      <c r="I482" s="1">
        <v>3669125</v>
      </c>
      <c r="J482" s="1"/>
      <c r="K482" s="1">
        <v>0</v>
      </c>
      <c r="L482" s="1"/>
      <c r="M482" s="1">
        <v>716321</v>
      </c>
      <c r="N482" s="1"/>
      <c r="O482" s="1">
        <v>2233269</v>
      </c>
      <c r="P482" s="1"/>
      <c r="Q482" s="1">
        <v>1902590</v>
      </c>
      <c r="R482" s="1"/>
      <c r="S482" s="1">
        <v>24361</v>
      </c>
      <c r="T482" s="1"/>
      <c r="U482" s="1">
        <v>4476551</v>
      </c>
      <c r="V482" s="1"/>
      <c r="W482" s="1">
        <v>853242</v>
      </c>
      <c r="X482" s="1"/>
      <c r="Y482" s="1">
        <v>131565</v>
      </c>
      <c r="Z482" s="1"/>
      <c r="AA482" s="1">
        <v>5164140</v>
      </c>
      <c r="AB482" s="1"/>
      <c r="AC482" s="1">
        <v>5088471</v>
      </c>
      <c r="AD482" s="1"/>
      <c r="AE482" s="1">
        <v>51090</v>
      </c>
      <c r="AF482" s="1"/>
      <c r="AG482" s="1">
        <v>1635347</v>
      </c>
      <c r="AH482" s="1"/>
      <c r="AI482" s="1">
        <f>101058+262152</f>
        <v>363210</v>
      </c>
      <c r="AJ482" s="1"/>
      <c r="AK482" s="17" t="s">
        <v>435</v>
      </c>
      <c r="AL482" s="17"/>
      <c r="AM482" s="17" t="s">
        <v>41</v>
      </c>
      <c r="AN482" s="17"/>
      <c r="AO482" s="1">
        <v>849861</v>
      </c>
      <c r="AP482" s="1"/>
      <c r="AQ482" s="1">
        <v>161390</v>
      </c>
      <c r="AR482" s="1"/>
      <c r="AS482" s="1"/>
      <c r="AT482" s="1"/>
      <c r="AU482" s="1">
        <v>0</v>
      </c>
      <c r="AV482" s="1"/>
      <c r="AW482" s="1">
        <f t="shared" si="37"/>
        <v>48058792</v>
      </c>
      <c r="AY482" s="1">
        <v>-554</v>
      </c>
      <c r="BA482" s="1">
        <v>16651826</v>
      </c>
      <c r="BC482" s="1">
        <f t="shared" si="38"/>
        <v>16651272</v>
      </c>
      <c r="BE482" s="1">
        <f>+'St of Net Assets - GA'!AA482-'St of Activities - GA Exp'!BC482</f>
        <v>0</v>
      </c>
    </row>
    <row r="483" spans="1:57">
      <c r="A483" s="17" t="s">
        <v>435</v>
      </c>
      <c r="B483" s="17"/>
      <c r="C483" s="17" t="s">
        <v>43</v>
      </c>
      <c r="D483" s="17"/>
      <c r="E483" s="13">
        <v>48090</v>
      </c>
      <c r="G483" s="1">
        <v>3681840</v>
      </c>
      <c r="H483" s="1"/>
      <c r="I483" s="1">
        <v>1040045</v>
      </c>
      <c r="J483" s="1"/>
      <c r="K483" s="1">
        <v>128679</v>
      </c>
      <c r="L483" s="1"/>
      <c r="M483" s="1">
        <v>0</v>
      </c>
      <c r="N483" s="1"/>
      <c r="O483" s="1">
        <v>156537</v>
      </c>
      <c r="P483" s="1"/>
      <c r="Q483" s="1">
        <v>329089</v>
      </c>
      <c r="R483" s="1"/>
      <c r="S483" s="1">
        <v>17985</v>
      </c>
      <c r="T483" s="1"/>
      <c r="U483" s="1">
        <v>435578</v>
      </c>
      <c r="V483" s="1"/>
      <c r="W483" s="1">
        <v>261263</v>
      </c>
      <c r="X483" s="1"/>
      <c r="Y483" s="1">
        <v>15865</v>
      </c>
      <c r="Z483" s="1"/>
      <c r="AA483" s="1">
        <v>851936</v>
      </c>
      <c r="AB483" s="1"/>
      <c r="AC483" s="1">
        <v>433981</v>
      </c>
      <c r="AD483" s="1"/>
      <c r="AE483" s="1">
        <v>132144</v>
      </c>
      <c r="AF483" s="1"/>
      <c r="AG483" s="1">
        <v>398801</v>
      </c>
      <c r="AH483" s="1"/>
      <c r="AI483" s="1">
        <v>2962</v>
      </c>
      <c r="AJ483" s="1"/>
      <c r="AK483" s="17" t="s">
        <v>435</v>
      </c>
      <c r="AL483" s="17"/>
      <c r="AM483" s="17" t="s">
        <v>43</v>
      </c>
      <c r="AN483" s="17"/>
      <c r="AO483" s="1">
        <v>234405</v>
      </c>
      <c r="AP483" s="1"/>
      <c r="AQ483" s="1">
        <v>121525</v>
      </c>
      <c r="AR483" s="1"/>
      <c r="AS483" s="1"/>
      <c r="AT483" s="1"/>
      <c r="AU483" s="1">
        <v>0</v>
      </c>
      <c r="AV483" s="1"/>
      <c r="AW483" s="1">
        <f t="shared" si="37"/>
        <v>8242635</v>
      </c>
      <c r="AY483" s="1">
        <v>-309944</v>
      </c>
      <c r="BA483" s="1">
        <v>10185677</v>
      </c>
      <c r="BC483" s="1">
        <f t="shared" si="38"/>
        <v>9875733</v>
      </c>
      <c r="BE483" s="1">
        <f>+'St of Net Assets - GA'!AA483-'St of Activities - GA Exp'!BC483</f>
        <v>0</v>
      </c>
    </row>
    <row r="484" spans="1:57">
      <c r="A484" s="17" t="s">
        <v>424</v>
      </c>
      <c r="B484" s="17"/>
      <c r="C484" s="17" t="s">
        <v>420</v>
      </c>
      <c r="D484" s="17"/>
      <c r="E484" s="13">
        <v>47944</v>
      </c>
      <c r="G484" s="1">
        <v>10996865</v>
      </c>
      <c r="H484" s="1"/>
      <c r="I484" s="1">
        <v>3056774</v>
      </c>
      <c r="J484" s="1"/>
      <c r="K484" s="1">
        <v>360065</v>
      </c>
      <c r="L484" s="1"/>
      <c r="M484" s="1">
        <v>0</v>
      </c>
      <c r="N484" s="1"/>
      <c r="O484" s="1">
        <v>694015</v>
      </c>
      <c r="P484" s="1"/>
      <c r="Q484" s="1">
        <v>565192</v>
      </c>
      <c r="R484" s="1"/>
      <c r="S484" s="1">
        <v>221986</v>
      </c>
      <c r="T484" s="1"/>
      <c r="U484" s="1">
        <v>1535052</v>
      </c>
      <c r="V484" s="1"/>
      <c r="W484" s="1">
        <v>361305</v>
      </c>
      <c r="X484" s="1"/>
      <c r="Y484" s="1">
        <v>0</v>
      </c>
      <c r="Z484" s="1"/>
      <c r="AA484" s="1">
        <v>2824970</v>
      </c>
      <c r="AB484" s="1"/>
      <c r="AC484" s="1">
        <v>1434295</v>
      </c>
      <c r="AD484" s="1"/>
      <c r="AE484" s="1">
        <v>111045</v>
      </c>
      <c r="AF484" s="1"/>
      <c r="AG484" s="1">
        <v>1321112</v>
      </c>
      <c r="AH484" s="1"/>
      <c r="AI484" s="1">
        <v>124725</v>
      </c>
      <c r="AJ484" s="1"/>
      <c r="AK484" s="17" t="s">
        <v>424</v>
      </c>
      <c r="AL484" s="17"/>
      <c r="AM484" s="17" t="s">
        <v>420</v>
      </c>
      <c r="AN484" s="17"/>
      <c r="AO484" s="1">
        <v>576615</v>
      </c>
      <c r="AP484" s="1"/>
      <c r="AQ484" s="1">
        <v>0</v>
      </c>
      <c r="AR484" s="1"/>
      <c r="AS484" s="1"/>
      <c r="AT484" s="1"/>
      <c r="AU484" s="1">
        <v>0</v>
      </c>
      <c r="AV484" s="1"/>
      <c r="AW484" s="1">
        <f t="shared" si="37"/>
        <v>24184016</v>
      </c>
      <c r="AY484" s="1">
        <v>-3723014</v>
      </c>
      <c r="BA484" s="1">
        <v>47043079</v>
      </c>
      <c r="BC484" s="1">
        <f t="shared" si="38"/>
        <v>43320065</v>
      </c>
      <c r="BE484" s="1">
        <f>+'St of Net Assets - GA'!AA484-'St of Activities - GA Exp'!BC484</f>
        <v>0</v>
      </c>
    </row>
    <row r="485" spans="1:57" ht="12" customHeight="1">
      <c r="A485" s="12" t="s">
        <v>302</v>
      </c>
      <c r="B485" s="17"/>
      <c r="C485" s="17" t="s">
        <v>20</v>
      </c>
      <c r="D485" s="17"/>
      <c r="E485" s="13">
        <v>44701</v>
      </c>
      <c r="G485" s="1">
        <v>15090090</v>
      </c>
      <c r="H485" s="1"/>
      <c r="I485" s="1">
        <v>4802387</v>
      </c>
      <c r="J485" s="1"/>
      <c r="K485" s="1">
        <v>462821</v>
      </c>
      <c r="L485" s="1"/>
      <c r="M485" s="1">
        <v>53441</v>
      </c>
      <c r="N485" s="1"/>
      <c r="O485" s="1">
        <v>1985548</v>
      </c>
      <c r="P485" s="1"/>
      <c r="Q485" s="1">
        <v>1101615</v>
      </c>
      <c r="R485" s="1"/>
      <c r="S485" s="1">
        <v>34022</v>
      </c>
      <c r="T485" s="1"/>
      <c r="U485" s="1">
        <v>1889108</v>
      </c>
      <c r="V485" s="1"/>
      <c r="W485" s="1">
        <v>864956</v>
      </c>
      <c r="X485" s="1"/>
      <c r="Y485" s="1">
        <v>462926</v>
      </c>
      <c r="Z485" s="1"/>
      <c r="AA485" s="1">
        <v>3732605</v>
      </c>
      <c r="AB485" s="1"/>
      <c r="AC485" s="1">
        <v>1505943</v>
      </c>
      <c r="AD485" s="1"/>
      <c r="AE485" s="1">
        <v>801557</v>
      </c>
      <c r="AF485" s="1"/>
      <c r="AG485" s="1">
        <v>459772</v>
      </c>
      <c r="AH485" s="1"/>
      <c r="AI485" s="1">
        <v>1346330</v>
      </c>
      <c r="AJ485" s="1"/>
      <c r="AK485" s="17" t="s">
        <v>302</v>
      </c>
      <c r="AL485" s="17"/>
      <c r="AM485" s="17" t="s">
        <v>20</v>
      </c>
      <c r="AN485" s="17"/>
      <c r="AO485" s="1">
        <v>1108610</v>
      </c>
      <c r="AP485" s="1"/>
      <c r="AQ485" s="1">
        <v>1089502</v>
      </c>
      <c r="AR485" s="1"/>
      <c r="AS485" s="1"/>
      <c r="AT485" s="1"/>
      <c r="AU485" s="1">
        <v>0</v>
      </c>
      <c r="AV485" s="1"/>
      <c r="AW485" s="1">
        <f t="shared" si="37"/>
        <v>36791233</v>
      </c>
      <c r="AY485" s="1">
        <v>2194958</v>
      </c>
      <c r="BA485" s="1">
        <v>9611703</v>
      </c>
      <c r="BC485" s="1">
        <f t="shared" si="38"/>
        <v>11806661</v>
      </c>
      <c r="BE485" s="1">
        <f>+'St of Net Assets - GA'!AA485-'St of Activities - GA Exp'!BC485</f>
        <v>0</v>
      </c>
    </row>
    <row r="486" spans="1:57" ht="12" customHeight="1">
      <c r="A486" s="17" t="s">
        <v>362</v>
      </c>
      <c r="B486" s="17"/>
      <c r="C486" s="17" t="s">
        <v>31</v>
      </c>
      <c r="D486" s="17"/>
      <c r="E486" s="13">
        <v>47308</v>
      </c>
      <c r="G486" s="1">
        <v>8362600</v>
      </c>
      <c r="H486" s="1"/>
      <c r="I486" s="1">
        <v>2171076</v>
      </c>
      <c r="J486" s="1"/>
      <c r="K486" s="1">
        <v>344032</v>
      </c>
      <c r="L486" s="1"/>
      <c r="M486" s="1">
        <v>28648</v>
      </c>
      <c r="N486" s="1"/>
      <c r="O486" s="1">
        <v>624951</v>
      </c>
      <c r="P486" s="1"/>
      <c r="Q486" s="1">
        <v>1245910</v>
      </c>
      <c r="R486" s="1"/>
      <c r="S486" s="1">
        <v>29395</v>
      </c>
      <c r="T486" s="1"/>
      <c r="U486" s="1">
        <v>1275001</v>
      </c>
      <c r="V486" s="1"/>
      <c r="W486" s="1">
        <v>594998</v>
      </c>
      <c r="X486" s="1"/>
      <c r="Y486" s="1">
        <v>0</v>
      </c>
      <c r="Z486" s="1"/>
      <c r="AA486" s="1">
        <v>1660136</v>
      </c>
      <c r="AB486" s="1"/>
      <c r="AC486" s="1">
        <v>891511</v>
      </c>
      <c r="AD486" s="1"/>
      <c r="AE486" s="1">
        <v>7724</v>
      </c>
      <c r="AF486" s="1"/>
      <c r="AG486" s="1">
        <v>1011606</v>
      </c>
      <c r="AH486" s="1"/>
      <c r="AI486" s="1">
        <v>7351</v>
      </c>
      <c r="AJ486" s="1"/>
      <c r="AK486" s="17" t="s">
        <v>362</v>
      </c>
      <c r="AL486" s="17"/>
      <c r="AM486" s="17" t="s">
        <v>31</v>
      </c>
      <c r="AN486" s="17"/>
      <c r="AO486" s="1">
        <v>278129</v>
      </c>
      <c r="AP486" s="1"/>
      <c r="AQ486" s="1">
        <v>5552</v>
      </c>
      <c r="AR486" s="1"/>
      <c r="AS486" s="1"/>
      <c r="AT486" s="1"/>
      <c r="AU486" s="1">
        <v>0</v>
      </c>
      <c r="AV486" s="1"/>
      <c r="AW486" s="1">
        <f t="shared" si="37"/>
        <v>18538620</v>
      </c>
      <c r="AY486" s="1">
        <v>-169772</v>
      </c>
      <c r="BA486" s="1">
        <v>14389886</v>
      </c>
      <c r="BC486" s="1">
        <f t="shared" si="38"/>
        <v>14220114</v>
      </c>
      <c r="BE486" s="1">
        <f>+'St of Net Assets - GA'!AA486-'St of Activities - GA Exp'!BC486</f>
        <v>0</v>
      </c>
    </row>
    <row r="487" spans="1:57" ht="12" customHeight="1">
      <c r="A487" s="17" t="s">
        <v>536</v>
      </c>
      <c r="B487" s="17"/>
      <c r="C487" s="17" t="s">
        <v>56</v>
      </c>
      <c r="D487" s="17"/>
      <c r="E487" s="13">
        <v>49213</v>
      </c>
      <c r="G487" s="1">
        <v>5183213</v>
      </c>
      <c r="H487" s="1"/>
      <c r="I487" s="1">
        <v>1190541</v>
      </c>
      <c r="J487" s="1"/>
      <c r="K487" s="1">
        <v>275755</v>
      </c>
      <c r="L487" s="1"/>
      <c r="M487" s="1">
        <f>4603+514924</f>
        <v>519527</v>
      </c>
      <c r="N487" s="1"/>
      <c r="O487" s="1">
        <v>547309</v>
      </c>
      <c r="P487" s="1"/>
      <c r="Q487" s="1">
        <v>384026</v>
      </c>
      <c r="R487" s="1"/>
      <c r="S487" s="1">
        <v>70332</v>
      </c>
      <c r="T487" s="1"/>
      <c r="U487" s="1">
        <v>787677</v>
      </c>
      <c r="V487" s="1"/>
      <c r="W487" s="1">
        <v>328550</v>
      </c>
      <c r="X487" s="1"/>
      <c r="Y487" s="1">
        <v>11990</v>
      </c>
      <c r="Z487" s="1"/>
      <c r="AA487" s="1">
        <v>970467</v>
      </c>
      <c r="AB487" s="1"/>
      <c r="AC487" s="1">
        <v>693998</v>
      </c>
      <c r="AD487" s="1"/>
      <c r="AE487" s="1">
        <v>0</v>
      </c>
      <c r="AF487" s="1"/>
      <c r="AG487" s="1">
        <v>357507</v>
      </c>
      <c r="AH487" s="1"/>
      <c r="AI487" s="1">
        <v>18497</v>
      </c>
      <c r="AJ487" s="1"/>
      <c r="AK487" s="17" t="s">
        <v>536</v>
      </c>
      <c r="AL487" s="17"/>
      <c r="AM487" s="17" t="s">
        <v>56</v>
      </c>
      <c r="AN487" s="17"/>
      <c r="AO487" s="1">
        <v>290244</v>
      </c>
      <c r="AP487" s="1"/>
      <c r="AQ487" s="1">
        <v>14121</v>
      </c>
      <c r="AR487" s="1"/>
      <c r="AS487" s="1"/>
      <c r="AT487" s="1"/>
      <c r="AU487" s="1">
        <v>0</v>
      </c>
      <c r="AV487" s="1"/>
      <c r="AW487" s="1">
        <f t="shared" si="37"/>
        <v>11643754</v>
      </c>
      <c r="AY487" s="1">
        <v>751943</v>
      </c>
      <c r="BA487" s="1">
        <v>2065021</v>
      </c>
      <c r="BC487" s="1">
        <f t="shared" si="38"/>
        <v>2816964</v>
      </c>
      <c r="BE487" s="1">
        <f>+'St of Net Assets - GA'!AA487-'St of Activities - GA Exp'!BC487</f>
        <v>0</v>
      </c>
    </row>
    <row r="488" spans="1:57" ht="12" customHeight="1">
      <c r="A488" s="17" t="s">
        <v>235</v>
      </c>
      <c r="B488" s="17"/>
      <c r="C488" s="17" t="s">
        <v>227</v>
      </c>
      <c r="D488" s="17"/>
      <c r="E488" s="13">
        <v>46144</v>
      </c>
      <c r="G488" s="1">
        <v>12455204</v>
      </c>
      <c r="H488" s="1"/>
      <c r="I488" s="1">
        <v>1949860</v>
      </c>
      <c r="J488" s="1"/>
      <c r="K488" s="1">
        <v>0</v>
      </c>
      <c r="L488" s="1"/>
      <c r="M488" s="1">
        <v>615611</v>
      </c>
      <c r="N488" s="1"/>
      <c r="O488" s="1">
        <v>1053650</v>
      </c>
      <c r="P488" s="1"/>
      <c r="Q488" s="1">
        <v>1563829</v>
      </c>
      <c r="R488" s="1"/>
      <c r="S488" s="1">
        <v>22390</v>
      </c>
      <c r="T488" s="1"/>
      <c r="U488" s="1">
        <v>1979015</v>
      </c>
      <c r="V488" s="1"/>
      <c r="W488" s="1">
        <v>735029</v>
      </c>
      <c r="X488" s="1"/>
      <c r="Y488" s="1">
        <v>0</v>
      </c>
      <c r="Z488" s="1"/>
      <c r="AA488" s="1">
        <v>1920431</v>
      </c>
      <c r="AB488" s="1"/>
      <c r="AC488" s="1">
        <v>1892347</v>
      </c>
      <c r="AD488" s="1"/>
      <c r="AE488" s="1">
        <v>9145</v>
      </c>
      <c r="AF488" s="1"/>
      <c r="AG488" s="1">
        <v>1069713</v>
      </c>
      <c r="AH488" s="1"/>
      <c r="AI488" s="1">
        <v>184892</v>
      </c>
      <c r="AJ488" s="1"/>
      <c r="AK488" s="17" t="s">
        <v>235</v>
      </c>
      <c r="AL488" s="17"/>
      <c r="AM488" s="17" t="s">
        <v>227</v>
      </c>
      <c r="AN488" s="17"/>
      <c r="AO488" s="1">
        <v>827471</v>
      </c>
      <c r="AP488" s="1"/>
      <c r="AQ488" s="1">
        <v>909985</v>
      </c>
      <c r="AR488" s="1"/>
      <c r="AS488" s="1"/>
      <c r="AT488" s="1"/>
      <c r="AU488" s="1">
        <v>0</v>
      </c>
      <c r="AV488" s="1"/>
      <c r="AW488" s="1">
        <f t="shared" si="37"/>
        <v>27188572</v>
      </c>
      <c r="AY488" s="1">
        <v>208052</v>
      </c>
      <c r="BA488" s="1">
        <v>42575531</v>
      </c>
      <c r="BC488" s="1">
        <f t="shared" si="38"/>
        <v>42783583</v>
      </c>
      <c r="BE488" s="1">
        <f>+'St of Net Assets - GA'!AA488-'St of Activities - GA Exp'!BC488</f>
        <v>0</v>
      </c>
    </row>
    <row r="489" spans="1:57" ht="12" customHeight="1">
      <c r="A489" s="17" t="s">
        <v>652</v>
      </c>
      <c r="B489" s="17"/>
      <c r="C489" s="17" t="s">
        <v>72</v>
      </c>
      <c r="D489" s="17"/>
      <c r="E489" s="13">
        <v>45609</v>
      </c>
      <c r="G489" s="1">
        <v>10924444</v>
      </c>
      <c r="H489" s="1"/>
      <c r="I489" s="1">
        <v>2422326</v>
      </c>
      <c r="J489" s="1"/>
      <c r="K489" s="1">
        <v>286183</v>
      </c>
      <c r="L489" s="1"/>
      <c r="M489" s="1">
        <v>28992</v>
      </c>
      <c r="N489" s="1"/>
      <c r="O489" s="1">
        <v>2133830</v>
      </c>
      <c r="P489" s="1"/>
      <c r="Q489" s="1">
        <v>1276523</v>
      </c>
      <c r="R489" s="1"/>
      <c r="S489" s="1">
        <v>46075</v>
      </c>
      <c r="T489" s="1"/>
      <c r="U489" s="1">
        <v>2075593</v>
      </c>
      <c r="V489" s="1"/>
      <c r="W489" s="1">
        <v>429020</v>
      </c>
      <c r="X489" s="1"/>
      <c r="Y489" s="1">
        <v>106393</v>
      </c>
      <c r="Z489" s="1"/>
      <c r="AA489" s="1">
        <v>1260924</v>
      </c>
      <c r="AB489" s="1"/>
      <c r="AC489" s="1">
        <v>1009021</v>
      </c>
      <c r="AD489" s="1"/>
      <c r="AE489" s="1">
        <v>475466</v>
      </c>
      <c r="AF489" s="1"/>
      <c r="AG489" s="1">
        <v>0</v>
      </c>
      <c r="AH489" s="1"/>
      <c r="AI489" s="1">
        <v>955916</v>
      </c>
      <c r="AJ489" s="1"/>
      <c r="AK489" s="17" t="s">
        <v>652</v>
      </c>
      <c r="AL489" s="17"/>
      <c r="AM489" s="17" t="s">
        <v>72</v>
      </c>
      <c r="AN489" s="17"/>
      <c r="AO489" s="1">
        <v>741412</v>
      </c>
      <c r="AP489" s="1"/>
      <c r="AQ489" s="1">
        <v>0</v>
      </c>
      <c r="AR489" s="1"/>
      <c r="AS489" s="1"/>
      <c r="AT489" s="1"/>
      <c r="AU489" s="1">
        <v>0</v>
      </c>
      <c r="AV489" s="1"/>
      <c r="AW489" s="1">
        <f t="shared" si="37"/>
        <v>24172118</v>
      </c>
      <c r="AY489" s="1">
        <v>1249808</v>
      </c>
      <c r="BA489" s="1">
        <v>17673185</v>
      </c>
      <c r="BC489" s="1">
        <f t="shared" si="38"/>
        <v>18922993</v>
      </c>
      <c r="BE489" s="1">
        <f>+'St of Net Assets - GA'!AA489-'St of Activities - GA Exp'!BC489</f>
        <v>0</v>
      </c>
    </row>
    <row r="490" spans="1:57" ht="12" customHeight="1">
      <c r="A490" s="17" t="s">
        <v>570</v>
      </c>
      <c r="B490" s="17"/>
      <c r="C490" s="17" t="s">
        <v>61</v>
      </c>
      <c r="D490" s="17"/>
      <c r="E490" s="13">
        <v>49817</v>
      </c>
      <c r="G490" s="1">
        <v>2137067</v>
      </c>
      <c r="H490" s="1"/>
      <c r="I490" s="1">
        <v>544968</v>
      </c>
      <c r="J490" s="1"/>
      <c r="K490" s="1">
        <v>1384</v>
      </c>
      <c r="L490" s="1"/>
      <c r="M490" s="1">
        <v>8440</v>
      </c>
      <c r="N490" s="1"/>
      <c r="O490" s="1">
        <v>92677</v>
      </c>
      <c r="P490" s="1"/>
      <c r="Q490" s="1">
        <v>120458</v>
      </c>
      <c r="R490" s="1"/>
      <c r="S490" s="1">
        <v>7733</v>
      </c>
      <c r="T490" s="1"/>
      <c r="U490" s="1">
        <v>363280</v>
      </c>
      <c r="V490" s="1"/>
      <c r="W490" s="1">
        <v>198956</v>
      </c>
      <c r="X490" s="1"/>
      <c r="Y490" s="1">
        <v>496</v>
      </c>
      <c r="Z490" s="1"/>
      <c r="AA490" s="1">
        <v>592116</v>
      </c>
      <c r="AB490" s="1"/>
      <c r="AC490" s="1">
        <v>158900</v>
      </c>
      <c r="AD490" s="1"/>
      <c r="AE490" s="1">
        <v>132339</v>
      </c>
      <c r="AF490" s="1"/>
      <c r="AG490" s="1">
        <v>0</v>
      </c>
      <c r="AH490" s="1"/>
      <c r="AI490" s="1">
        <v>166397</v>
      </c>
      <c r="AJ490" s="1"/>
      <c r="AK490" s="17" t="s">
        <v>570</v>
      </c>
      <c r="AL490" s="17"/>
      <c r="AM490" s="17" t="s">
        <v>61</v>
      </c>
      <c r="AN490" s="17"/>
      <c r="AO490" s="1">
        <v>200344</v>
      </c>
      <c r="AP490" s="1"/>
      <c r="AQ490" s="1">
        <v>152471</v>
      </c>
      <c r="AR490" s="1"/>
      <c r="AS490" s="1"/>
      <c r="AT490" s="1"/>
      <c r="AU490" s="1">
        <v>0</v>
      </c>
      <c r="AV490" s="1"/>
      <c r="AW490" s="1">
        <f t="shared" si="37"/>
        <v>4878026</v>
      </c>
      <c r="AY490" s="1">
        <v>4909528</v>
      </c>
      <c r="BA490" s="1">
        <v>3018224</v>
      </c>
      <c r="BC490" s="1">
        <f t="shared" si="38"/>
        <v>7927752</v>
      </c>
      <c r="BE490" s="1">
        <f>+'St of Net Assets - GA'!AA490-'St of Activities - GA Exp'!BC490</f>
        <v>0</v>
      </c>
    </row>
    <row r="491" spans="1:57">
      <c r="A491" s="17" t="s">
        <v>725</v>
      </c>
      <c r="B491" s="17"/>
      <c r="C491" s="17" t="s">
        <v>114</v>
      </c>
      <c r="D491" s="17"/>
      <c r="E491" s="13"/>
      <c r="G491" s="1">
        <v>7988782</v>
      </c>
      <c r="H491" s="1"/>
      <c r="I491" s="1">
        <v>3074853</v>
      </c>
      <c r="J491" s="1"/>
      <c r="K491" s="1">
        <v>308240</v>
      </c>
      <c r="L491" s="1"/>
      <c r="M491" s="1">
        <f>419615+1937099</f>
        <v>2356714</v>
      </c>
      <c r="N491" s="1"/>
      <c r="O491" s="1">
        <v>836120</v>
      </c>
      <c r="P491" s="1"/>
      <c r="Q491" s="1">
        <v>795265</v>
      </c>
      <c r="R491" s="1"/>
      <c r="S491" s="1">
        <v>31531</v>
      </c>
      <c r="T491" s="1"/>
      <c r="U491" s="1">
        <v>1592088</v>
      </c>
      <c r="V491" s="1"/>
      <c r="W491" s="1">
        <v>565540</v>
      </c>
      <c r="X491" s="1"/>
      <c r="Y491" s="1">
        <v>17351</v>
      </c>
      <c r="Z491" s="1"/>
      <c r="AA491" s="1">
        <v>2008651</v>
      </c>
      <c r="AB491" s="1"/>
      <c r="AC491" s="1">
        <v>840775</v>
      </c>
      <c r="AD491" s="1"/>
      <c r="AE491" s="1">
        <v>116842</v>
      </c>
      <c r="AF491" s="1"/>
      <c r="AG491" s="1">
        <v>647101</v>
      </c>
      <c r="AH491" s="1"/>
      <c r="AI491" s="1">
        <v>106818</v>
      </c>
      <c r="AJ491" s="1"/>
      <c r="AK491" s="17" t="s">
        <v>725</v>
      </c>
      <c r="AL491" s="17"/>
      <c r="AM491" s="17" t="s">
        <v>114</v>
      </c>
      <c r="AN491" s="17"/>
      <c r="AO491" s="1">
        <v>717640</v>
      </c>
      <c r="AP491" s="1"/>
      <c r="AQ491" s="1">
        <v>2436</v>
      </c>
      <c r="AR491" s="1"/>
      <c r="AS491" s="1"/>
      <c r="AT491" s="1"/>
      <c r="AU491" s="1">
        <v>0</v>
      </c>
      <c r="AV491" s="1"/>
      <c r="AW491" s="1">
        <f t="shared" si="37"/>
        <v>22006747</v>
      </c>
      <c r="AY491" s="1">
        <v>2014519</v>
      </c>
      <c r="BA491" s="1">
        <v>5488627</v>
      </c>
      <c r="BC491" s="1">
        <f t="shared" si="38"/>
        <v>7503146</v>
      </c>
      <c r="BE491" s="1">
        <f>+'St of Net Assets - GA'!AA491-'St of Activities - GA Exp'!BC491</f>
        <v>0</v>
      </c>
    </row>
    <row r="492" spans="1:57">
      <c r="A492" s="17" t="s">
        <v>319</v>
      </c>
      <c r="B492" s="17"/>
      <c r="C492" s="17" t="s">
        <v>24</v>
      </c>
      <c r="D492" s="17"/>
      <c r="E492" s="13">
        <v>44743</v>
      </c>
      <c r="G492" s="1">
        <v>20733252</v>
      </c>
      <c r="H492" s="1"/>
      <c r="I492" s="1">
        <v>8002973</v>
      </c>
      <c r="J492" s="1"/>
      <c r="K492" s="1">
        <v>1866624</v>
      </c>
      <c r="L492" s="1"/>
      <c r="M492" s="1">
        <f>1309007+512079</f>
        <v>1821086</v>
      </c>
      <c r="N492" s="1"/>
      <c r="O492" s="1">
        <v>1810155</v>
      </c>
      <c r="P492" s="1"/>
      <c r="Q492" s="1">
        <v>2334671</v>
      </c>
      <c r="R492" s="1"/>
      <c r="S492" s="1">
        <v>274123</v>
      </c>
      <c r="T492" s="1"/>
      <c r="U492" s="1">
        <v>2993558</v>
      </c>
      <c r="V492" s="1"/>
      <c r="W492" s="1">
        <v>724600</v>
      </c>
      <c r="X492" s="1"/>
      <c r="Y492" s="1">
        <v>165646</v>
      </c>
      <c r="Z492" s="1"/>
      <c r="AA492" s="1">
        <v>3488446</v>
      </c>
      <c r="AB492" s="1"/>
      <c r="AC492" s="1">
        <v>1595977</v>
      </c>
      <c r="AD492" s="1"/>
      <c r="AE492" s="1">
        <v>1211148</v>
      </c>
      <c r="AF492" s="1"/>
      <c r="AG492" s="1">
        <v>0</v>
      </c>
      <c r="AH492" s="1"/>
      <c r="AI492" s="1">
        <v>2920946</v>
      </c>
      <c r="AJ492" s="1"/>
      <c r="AK492" s="17" t="s">
        <v>319</v>
      </c>
      <c r="AL492" s="17"/>
      <c r="AM492" s="17" t="s">
        <v>24</v>
      </c>
      <c r="AN492" s="17"/>
      <c r="AO492" s="1">
        <v>987180</v>
      </c>
      <c r="AP492" s="1"/>
      <c r="AQ492" s="1">
        <v>56430</v>
      </c>
      <c r="AR492" s="1"/>
      <c r="AS492" s="1"/>
      <c r="AT492" s="1"/>
      <c r="AU492" s="1">
        <v>0</v>
      </c>
      <c r="AV492" s="1"/>
      <c r="AW492" s="1">
        <f t="shared" si="37"/>
        <v>50986815</v>
      </c>
      <c r="AY492" s="1">
        <v>-230591</v>
      </c>
      <c r="BA492" s="1">
        <v>14075762</v>
      </c>
      <c r="BC492" s="1">
        <f t="shared" si="38"/>
        <v>13845171</v>
      </c>
      <c r="BE492" s="1">
        <f>+'St of Net Assets - GA'!AA492-'St of Activities - GA Exp'!BC492</f>
        <v>0</v>
      </c>
    </row>
    <row r="493" spans="1:57">
      <c r="A493" s="17" t="s">
        <v>584</v>
      </c>
      <c r="B493" s="17"/>
      <c r="C493" s="17" t="s">
        <v>62</v>
      </c>
      <c r="D493" s="17"/>
      <c r="E493" s="13">
        <v>49940</v>
      </c>
      <c r="G493" s="1">
        <v>6277453</v>
      </c>
      <c r="H493" s="1"/>
      <c r="I493" s="1">
        <v>2264913</v>
      </c>
      <c r="J493" s="1"/>
      <c r="K493" s="1">
        <v>370794</v>
      </c>
      <c r="L493" s="1"/>
      <c r="M493" s="1">
        <f>6210+446489</f>
        <v>452699</v>
      </c>
      <c r="N493" s="1"/>
      <c r="O493" s="1">
        <v>1321634</v>
      </c>
      <c r="P493" s="1"/>
      <c r="Q493" s="1">
        <v>198901</v>
      </c>
      <c r="R493" s="1"/>
      <c r="S493" s="1">
        <v>12378</v>
      </c>
      <c r="T493" s="1"/>
      <c r="U493" s="1">
        <v>1390082</v>
      </c>
      <c r="V493" s="1"/>
      <c r="W493" s="1">
        <v>388517</v>
      </c>
      <c r="X493" s="1"/>
      <c r="Y493" s="1">
        <v>79456</v>
      </c>
      <c r="Z493" s="1"/>
      <c r="AA493" s="1">
        <v>1529508</v>
      </c>
      <c r="AB493" s="1"/>
      <c r="AC493" s="1">
        <v>1042273</v>
      </c>
      <c r="AD493" s="1"/>
      <c r="AE493" s="1">
        <v>40874</v>
      </c>
      <c r="AF493" s="1"/>
      <c r="AG493" s="1">
        <v>677530</v>
      </c>
      <c r="AH493" s="1"/>
      <c r="AI493" s="1">
        <v>70850</v>
      </c>
      <c r="AJ493" s="1"/>
      <c r="AK493" s="17" t="s">
        <v>584</v>
      </c>
      <c r="AL493" s="17"/>
      <c r="AM493" s="17" t="s">
        <v>62</v>
      </c>
      <c r="AN493" s="17"/>
      <c r="AO493" s="1">
        <v>538188</v>
      </c>
      <c r="AP493" s="1"/>
      <c r="AQ493" s="1">
        <v>547945</v>
      </c>
      <c r="AR493" s="1"/>
      <c r="AS493" s="1"/>
      <c r="AT493" s="1"/>
      <c r="AU493" s="1">
        <v>0</v>
      </c>
      <c r="AV493" s="1"/>
      <c r="AW493" s="1">
        <f t="shared" si="37"/>
        <v>17203995</v>
      </c>
      <c r="AY493" s="1">
        <v>-1489528</v>
      </c>
      <c r="BA493" s="1">
        <v>32056085</v>
      </c>
      <c r="BC493" s="1">
        <f t="shared" si="38"/>
        <v>30566557</v>
      </c>
      <c r="BE493" s="1">
        <f>+'St of Net Assets - GA'!AA493-'St of Activities - GA Exp'!BC493</f>
        <v>0</v>
      </c>
    </row>
    <row r="494" spans="1:57">
      <c r="A494" s="17" t="s">
        <v>529</v>
      </c>
      <c r="B494" s="17"/>
      <c r="C494" s="17" t="s">
        <v>55</v>
      </c>
      <c r="D494" s="17"/>
      <c r="E494" s="13"/>
      <c r="G494" s="1">
        <v>7384358</v>
      </c>
      <c r="H494" s="1"/>
      <c r="I494" s="1">
        <v>2413570</v>
      </c>
      <c r="J494" s="1"/>
      <c r="K494" s="1">
        <v>0</v>
      </c>
      <c r="L494" s="1"/>
      <c r="M494" s="1">
        <v>71885</v>
      </c>
      <c r="N494" s="1"/>
      <c r="O494" s="1">
        <v>733981</v>
      </c>
      <c r="P494" s="1"/>
      <c r="Q494" s="1">
        <v>1006041</v>
      </c>
      <c r="R494" s="1"/>
      <c r="S494" s="1">
        <v>15688</v>
      </c>
      <c r="T494" s="1"/>
      <c r="U494" s="1">
        <v>1851779</v>
      </c>
      <c r="V494" s="1"/>
      <c r="W494" s="1">
        <v>327740</v>
      </c>
      <c r="X494" s="1"/>
      <c r="Y494" s="1">
        <v>0</v>
      </c>
      <c r="Z494" s="1"/>
      <c r="AA494" s="1">
        <v>1862945</v>
      </c>
      <c r="AB494" s="1"/>
      <c r="AC494" s="1">
        <v>1256873</v>
      </c>
      <c r="AD494" s="1"/>
      <c r="AE494" s="1">
        <v>112752</v>
      </c>
      <c r="AF494" s="1"/>
      <c r="AG494" s="1">
        <v>0</v>
      </c>
      <c r="AH494" s="1"/>
      <c r="AI494" s="1">
        <v>632858</v>
      </c>
      <c r="AJ494" s="1"/>
      <c r="AK494" s="17" t="s">
        <v>529</v>
      </c>
      <c r="AL494" s="17"/>
      <c r="AM494" s="17" t="s">
        <v>55</v>
      </c>
      <c r="AN494" s="17"/>
      <c r="AO494" s="1">
        <v>437830</v>
      </c>
      <c r="AP494" s="1"/>
      <c r="AQ494" s="1">
        <v>32981</v>
      </c>
      <c r="AR494" s="1"/>
      <c r="AS494" s="1"/>
      <c r="AT494" s="1"/>
      <c r="AU494" s="1">
        <v>43200</v>
      </c>
      <c r="AV494" s="1"/>
      <c r="AW494" s="1">
        <f t="shared" si="37"/>
        <v>18184481</v>
      </c>
      <c r="AY494" s="1">
        <v>-1260221</v>
      </c>
      <c r="BA494" s="1">
        <v>30934717</v>
      </c>
      <c r="BC494" s="1">
        <f t="shared" si="38"/>
        <v>29674496</v>
      </c>
      <c r="BE494" s="1">
        <f>+'St of Net Assets - GA'!AA494-'St of Activities - GA Exp'!BC494</f>
        <v>0</v>
      </c>
    </row>
    <row r="495" spans="1:57">
      <c r="A495" s="17" t="s">
        <v>468</v>
      </c>
      <c r="B495" s="17"/>
      <c r="C495" s="17" t="s">
        <v>45</v>
      </c>
      <c r="D495" s="17"/>
      <c r="E495" s="13">
        <v>48355</v>
      </c>
      <c r="G495" s="1">
        <v>3130277</v>
      </c>
      <c r="H495" s="1"/>
      <c r="I495" s="1">
        <v>2064006</v>
      </c>
      <c r="J495" s="1"/>
      <c r="K495" s="1">
        <v>0</v>
      </c>
      <c r="L495" s="1"/>
      <c r="M495" s="1">
        <v>0</v>
      </c>
      <c r="N495" s="1"/>
      <c r="O495" s="1">
        <v>193884</v>
      </c>
      <c r="P495" s="1"/>
      <c r="Q495" s="1">
        <v>129897</v>
      </c>
      <c r="R495" s="1"/>
      <c r="S495" s="1">
        <v>18002</v>
      </c>
      <c r="T495" s="1"/>
      <c r="U495" s="1">
        <v>696277</v>
      </c>
      <c r="V495" s="1"/>
      <c r="W495" s="1">
        <v>268169</v>
      </c>
      <c r="X495" s="1"/>
      <c r="Y495" s="1">
        <v>0</v>
      </c>
      <c r="Z495" s="1"/>
      <c r="AA495" s="1">
        <v>724700</v>
      </c>
      <c r="AB495" s="1"/>
      <c r="AC495" s="1">
        <v>153705</v>
      </c>
      <c r="AD495" s="1"/>
      <c r="AE495" s="1">
        <v>4200</v>
      </c>
      <c r="AF495" s="1"/>
      <c r="AG495" s="1">
        <v>286208</v>
      </c>
      <c r="AH495" s="1"/>
      <c r="AI495" s="1">
        <v>0</v>
      </c>
      <c r="AJ495" s="1"/>
      <c r="AK495" s="17" t="s">
        <v>468</v>
      </c>
      <c r="AL495" s="17"/>
      <c r="AM495" s="17" t="s">
        <v>45</v>
      </c>
      <c r="AN495" s="17"/>
      <c r="AO495" s="1">
        <v>278643</v>
      </c>
      <c r="AP495" s="1"/>
      <c r="AQ495" s="1">
        <v>73651</v>
      </c>
      <c r="AR495" s="1"/>
      <c r="AS495" s="1"/>
      <c r="AT495" s="1"/>
      <c r="AU495" s="1">
        <v>0</v>
      </c>
      <c r="AV495" s="1"/>
      <c r="AW495" s="1">
        <f t="shared" ref="AW495:AW496" si="39">SUM(G495:AV495)</f>
        <v>8021619</v>
      </c>
      <c r="AY495" s="1">
        <v>-268686</v>
      </c>
      <c r="BA495" s="1">
        <v>11018501</v>
      </c>
      <c r="BC495" s="1">
        <f t="shared" ref="BC495:BC496" si="40">+AY495+BA495</f>
        <v>10749815</v>
      </c>
      <c r="BE495" s="1">
        <f>+'St of Net Assets - GA'!AA495-'St of Activities - GA Exp'!BC495</f>
        <v>0</v>
      </c>
    </row>
    <row r="496" spans="1:57">
      <c r="A496" s="17" t="s">
        <v>567</v>
      </c>
      <c r="B496" s="17"/>
      <c r="C496" s="17" t="s">
        <v>60</v>
      </c>
      <c r="D496" s="17"/>
      <c r="E496" s="13">
        <v>49684</v>
      </c>
      <c r="G496" s="1">
        <v>4542876</v>
      </c>
      <c r="H496" s="1"/>
      <c r="I496" s="1">
        <v>1266003</v>
      </c>
      <c r="J496" s="1"/>
      <c r="K496" s="1">
        <v>215878</v>
      </c>
      <c r="L496" s="1"/>
      <c r="M496" s="1">
        <v>0</v>
      </c>
      <c r="N496" s="1"/>
      <c r="O496" s="1">
        <v>142101</v>
      </c>
      <c r="P496" s="1"/>
      <c r="Q496" s="1">
        <v>302548</v>
      </c>
      <c r="R496" s="1"/>
      <c r="S496" s="1">
        <v>62569</v>
      </c>
      <c r="T496" s="1"/>
      <c r="U496" s="1">
        <v>645100</v>
      </c>
      <c r="V496" s="1"/>
      <c r="W496" s="1">
        <v>260628</v>
      </c>
      <c r="X496" s="1"/>
      <c r="Y496" s="1">
        <v>0</v>
      </c>
      <c r="Z496" s="1"/>
      <c r="AA496" s="1">
        <v>921472</v>
      </c>
      <c r="AB496" s="1"/>
      <c r="AC496" s="1">
        <v>615231</v>
      </c>
      <c r="AD496" s="1"/>
      <c r="AE496" s="1">
        <v>29</v>
      </c>
      <c r="AF496" s="1"/>
      <c r="AG496" s="1">
        <v>468421</v>
      </c>
      <c r="AH496" s="1"/>
      <c r="AI496" s="1">
        <v>2254</v>
      </c>
      <c r="AJ496" s="1"/>
      <c r="AK496" s="17" t="s">
        <v>567</v>
      </c>
      <c r="AL496" s="17"/>
      <c r="AM496" s="17" t="s">
        <v>60</v>
      </c>
      <c r="AN496" s="17"/>
      <c r="AO496" s="1">
        <v>413278</v>
      </c>
      <c r="AP496" s="1"/>
      <c r="AQ496" s="1">
        <v>505087</v>
      </c>
      <c r="AR496" s="1"/>
      <c r="AS496" s="1"/>
      <c r="AT496" s="1"/>
      <c r="AU496" s="1">
        <v>0</v>
      </c>
      <c r="AV496" s="1"/>
      <c r="AW496" s="1">
        <f t="shared" si="39"/>
        <v>10363475</v>
      </c>
      <c r="AY496" s="1">
        <v>1235461</v>
      </c>
      <c r="BA496" s="1">
        <v>21990867</v>
      </c>
      <c r="BC496" s="1">
        <f t="shared" si="40"/>
        <v>23226328</v>
      </c>
      <c r="BE496" s="1">
        <f>+'St of Net Assets - GA'!AA496-'St of Activities - GA Exp'!BC496</f>
        <v>0</v>
      </c>
    </row>
    <row r="497" spans="1:57">
      <c r="A497" s="17" t="s">
        <v>222</v>
      </c>
      <c r="B497" s="17"/>
      <c r="C497" s="17" t="s">
        <v>15</v>
      </c>
      <c r="D497" s="17"/>
      <c r="E497" s="13">
        <v>46003</v>
      </c>
      <c r="G497" s="1">
        <v>3919061</v>
      </c>
      <c r="H497" s="1"/>
      <c r="I497" s="1">
        <v>695775</v>
      </c>
      <c r="J497" s="1"/>
      <c r="K497" s="1">
        <v>25532</v>
      </c>
      <c r="L497" s="1"/>
      <c r="M497" s="1">
        <v>15062</v>
      </c>
      <c r="N497" s="1"/>
      <c r="O497" s="1">
        <v>246607</v>
      </c>
      <c r="P497" s="1"/>
      <c r="Q497" s="1">
        <v>167676</v>
      </c>
      <c r="R497" s="1"/>
      <c r="S497" s="1">
        <v>37374</v>
      </c>
      <c r="T497" s="1"/>
      <c r="U497" s="1">
        <v>635337</v>
      </c>
      <c r="V497" s="1"/>
      <c r="W497" s="1">
        <v>299902</v>
      </c>
      <c r="X497" s="1"/>
      <c r="Y497" s="1">
        <v>0</v>
      </c>
      <c r="Z497" s="1"/>
      <c r="AA497" s="1">
        <v>687766</v>
      </c>
      <c r="AB497" s="1"/>
      <c r="AC497" s="1">
        <v>240091</v>
      </c>
      <c r="AD497" s="1"/>
      <c r="AE497" s="1">
        <v>0</v>
      </c>
      <c r="AF497" s="1"/>
      <c r="AG497" s="1">
        <v>156010</v>
      </c>
      <c r="AH497" s="1"/>
      <c r="AI497" s="1">
        <v>0</v>
      </c>
      <c r="AJ497" s="16"/>
      <c r="AK497" s="17" t="s">
        <v>222</v>
      </c>
      <c r="AL497" s="17"/>
      <c r="AM497" s="17" t="s">
        <v>15</v>
      </c>
      <c r="AN497" s="17"/>
      <c r="AO497" s="1">
        <v>262957</v>
      </c>
      <c r="AP497" s="1"/>
      <c r="AQ497" s="1">
        <v>2963</v>
      </c>
      <c r="AR497" s="1"/>
      <c r="AS497" s="1"/>
      <c r="AT497" s="1"/>
      <c r="AU497" s="1">
        <v>0</v>
      </c>
      <c r="AV497" s="1"/>
      <c r="AW497" s="1">
        <f t="shared" ref="AW497:AW531" si="41">SUM(G497:AV497)</f>
        <v>7392113</v>
      </c>
      <c r="AY497" s="1">
        <v>777324</v>
      </c>
      <c r="BA497" s="1">
        <v>3319081</v>
      </c>
      <c r="BC497" s="1">
        <f t="shared" ref="BC497:BC562" si="42">+AY497+BA497</f>
        <v>4096405</v>
      </c>
      <c r="BD497" s="16"/>
      <c r="BE497" s="16">
        <f>+'St of Net Assets - GA'!AA497-'St of Activities - GA Exp'!BC497</f>
        <v>0</v>
      </c>
    </row>
    <row r="498" spans="1:57">
      <c r="A498" s="17" t="s">
        <v>898</v>
      </c>
      <c r="B498" s="17"/>
      <c r="C498" s="17" t="s">
        <v>20</v>
      </c>
      <c r="D498" s="17"/>
      <c r="E498" s="13">
        <v>44750</v>
      </c>
      <c r="G498" s="1">
        <v>37085280</v>
      </c>
      <c r="H498" s="1"/>
      <c r="I498" s="1">
        <v>13428305</v>
      </c>
      <c r="J498" s="1"/>
      <c r="K498" s="1">
        <v>139800</v>
      </c>
      <c r="L498" s="1"/>
      <c r="M498" s="1">
        <v>19489</v>
      </c>
      <c r="N498" s="1"/>
      <c r="O498" s="1">
        <v>6109276</v>
      </c>
      <c r="P498" s="1"/>
      <c r="Q498" s="1">
        <v>7847850</v>
      </c>
      <c r="R498" s="1"/>
      <c r="S498" s="1">
        <v>22044</v>
      </c>
      <c r="T498" s="1"/>
      <c r="U498" s="1">
        <v>6143839</v>
      </c>
      <c r="V498" s="1"/>
      <c r="W498" s="1">
        <v>1815190</v>
      </c>
      <c r="X498" s="1"/>
      <c r="Y498" s="1">
        <v>933149</v>
      </c>
      <c r="Z498" s="1"/>
      <c r="AA498" s="1">
        <v>14220532</v>
      </c>
      <c r="AB498" s="1"/>
      <c r="AC498" s="1">
        <v>4795694</v>
      </c>
      <c r="AD498" s="1"/>
      <c r="AE498" s="1">
        <v>1990523</v>
      </c>
      <c r="AF498" s="1"/>
      <c r="AG498" s="1">
        <v>1951783</v>
      </c>
      <c r="AH498" s="1"/>
      <c r="AI498" s="1">
        <v>1327646</v>
      </c>
      <c r="AJ498" s="1"/>
      <c r="AK498" s="17" t="s">
        <v>898</v>
      </c>
      <c r="AL498" s="17"/>
      <c r="AM498" s="17" t="s">
        <v>20</v>
      </c>
      <c r="AN498" s="17"/>
      <c r="AO498" s="1">
        <v>1296624</v>
      </c>
      <c r="AP498" s="1"/>
      <c r="AQ498" s="1">
        <v>1227205</v>
      </c>
      <c r="AR498" s="1"/>
      <c r="AS498" s="1"/>
      <c r="AT498" s="1"/>
      <c r="AU498" s="1">
        <v>0</v>
      </c>
      <c r="AV498" s="1"/>
      <c r="AW498" s="1">
        <f t="shared" si="41"/>
        <v>100354229</v>
      </c>
      <c r="AY498" s="1">
        <v>-5370153</v>
      </c>
      <c r="BA498" s="1">
        <v>41124136</v>
      </c>
      <c r="BC498" s="1">
        <f t="shared" si="42"/>
        <v>35753983</v>
      </c>
      <c r="BE498" s="1">
        <f>+'St of Net Assets - GA'!AA498-'St of Activities - GA Exp'!BC498</f>
        <v>0</v>
      </c>
    </row>
    <row r="499" spans="1:57" hidden="1">
      <c r="A499" s="17" t="s">
        <v>872</v>
      </c>
      <c r="B499" s="17"/>
      <c r="C499" s="17" t="s">
        <v>10</v>
      </c>
      <c r="D499" s="17"/>
      <c r="E499" s="13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7" t="s">
        <v>872</v>
      </c>
      <c r="AL499" s="17"/>
      <c r="AM499" s="17" t="s">
        <v>10</v>
      </c>
      <c r="AN499" s="17"/>
      <c r="AO499" s="1"/>
      <c r="AP499" s="1"/>
      <c r="AQ499" s="1"/>
      <c r="AR499" s="1"/>
      <c r="AS499" s="1"/>
      <c r="AT499" s="1"/>
      <c r="AU499" s="1"/>
      <c r="AV499" s="1"/>
      <c r="AW499" s="1">
        <f t="shared" si="41"/>
        <v>0</v>
      </c>
      <c r="AY499" s="1">
        <v>0</v>
      </c>
      <c r="BC499" s="1">
        <f t="shared" si="42"/>
        <v>0</v>
      </c>
      <c r="BE499" s="1">
        <f>+'St of Net Assets - GA'!AA499-'St of Activities - GA Exp'!BC499</f>
        <v>0</v>
      </c>
    </row>
    <row r="500" spans="1:57" ht="12" customHeight="1">
      <c r="A500" s="17" t="s">
        <v>447</v>
      </c>
      <c r="B500" s="17"/>
      <c r="C500" s="17" t="s">
        <v>44</v>
      </c>
      <c r="D500" s="17"/>
      <c r="E500" s="13">
        <v>44768</v>
      </c>
      <c r="G500" s="1">
        <v>8124999</v>
      </c>
      <c r="H500" s="1"/>
      <c r="I500" s="1">
        <v>2712465</v>
      </c>
      <c r="J500" s="1"/>
      <c r="K500" s="1">
        <v>89167</v>
      </c>
      <c r="L500" s="1"/>
      <c r="M500" s="1">
        <v>0</v>
      </c>
      <c r="N500" s="1"/>
      <c r="O500" s="1">
        <v>1080076</v>
      </c>
      <c r="P500" s="1"/>
      <c r="Q500" s="1">
        <v>791675</v>
      </c>
      <c r="R500" s="1"/>
      <c r="S500" s="1">
        <v>35332</v>
      </c>
      <c r="T500" s="1"/>
      <c r="U500" s="1">
        <v>1599279</v>
      </c>
      <c r="V500" s="1"/>
      <c r="W500" s="1">
        <v>581830</v>
      </c>
      <c r="X500" s="1"/>
      <c r="Y500" s="1">
        <v>196692</v>
      </c>
      <c r="Z500" s="1"/>
      <c r="AA500" s="1">
        <v>1590134</v>
      </c>
      <c r="AB500" s="1"/>
      <c r="AC500" s="1">
        <v>922109</v>
      </c>
      <c r="AD500" s="1"/>
      <c r="AE500" s="1">
        <v>713454</v>
      </c>
      <c r="AF500" s="1"/>
      <c r="AG500" s="1">
        <v>632148</v>
      </c>
      <c r="AH500" s="1"/>
      <c r="AI500" s="1">
        <v>21115</v>
      </c>
      <c r="AJ500" s="1"/>
      <c r="AK500" s="17" t="s">
        <v>447</v>
      </c>
      <c r="AL500" s="17"/>
      <c r="AM500" s="17" t="s">
        <v>44</v>
      </c>
      <c r="AN500" s="17"/>
      <c r="AO500" s="1">
        <v>511318</v>
      </c>
      <c r="AP500" s="1"/>
      <c r="AQ500" s="1">
        <v>1968</v>
      </c>
      <c r="AR500" s="1"/>
      <c r="AS500" s="1"/>
      <c r="AT500" s="1"/>
      <c r="AU500" s="1">
        <v>0</v>
      </c>
      <c r="AV500" s="1"/>
      <c r="AW500" s="1">
        <f t="shared" si="41"/>
        <v>19603761</v>
      </c>
      <c r="AY500" s="1">
        <v>1409939</v>
      </c>
      <c r="BA500" s="1">
        <v>11674698</v>
      </c>
      <c r="BC500" s="1">
        <f t="shared" si="42"/>
        <v>13084637</v>
      </c>
      <c r="BE500" s="1">
        <f>+'St of Net Assets - GA'!AA500-'St of Activities - GA Exp'!BC500</f>
        <v>0</v>
      </c>
    </row>
    <row r="501" spans="1:57">
      <c r="A501" s="17" t="s">
        <v>548</v>
      </c>
      <c r="B501" s="17"/>
      <c r="C501" s="17" t="s">
        <v>112</v>
      </c>
      <c r="D501" s="17"/>
      <c r="E501" s="13">
        <v>44776</v>
      </c>
      <c r="G501" s="1">
        <v>8705247</v>
      </c>
      <c r="H501" s="1"/>
      <c r="I501" s="1">
        <v>2382012</v>
      </c>
      <c r="J501" s="1"/>
      <c r="K501" s="1">
        <v>200446</v>
      </c>
      <c r="L501" s="1"/>
      <c r="M501" s="1">
        <v>17352</v>
      </c>
      <c r="N501" s="1"/>
      <c r="O501" s="1">
        <v>817360</v>
      </c>
      <c r="P501" s="1"/>
      <c r="Q501" s="1">
        <v>1607070</v>
      </c>
      <c r="R501" s="1"/>
      <c r="S501" s="1">
        <v>42287</v>
      </c>
      <c r="T501" s="1"/>
      <c r="U501" s="1">
        <v>1365990</v>
      </c>
      <c r="V501" s="1"/>
      <c r="W501" s="1">
        <v>682175</v>
      </c>
      <c r="X501" s="1"/>
      <c r="Y501" s="1">
        <v>12906</v>
      </c>
      <c r="Z501" s="1"/>
      <c r="AA501" s="1">
        <v>1941891</v>
      </c>
      <c r="AB501" s="1"/>
      <c r="AC501" s="1">
        <v>863025</v>
      </c>
      <c r="AD501" s="1"/>
      <c r="AE501" s="1">
        <v>105759</v>
      </c>
      <c r="AF501" s="1"/>
      <c r="AG501" s="1">
        <v>1017379</v>
      </c>
      <c r="AH501" s="1"/>
      <c r="AI501" s="1">
        <v>133789</v>
      </c>
      <c r="AJ501" s="1"/>
      <c r="AK501" s="17" t="s">
        <v>548</v>
      </c>
      <c r="AL501" s="17"/>
      <c r="AM501" s="17" t="s">
        <v>112</v>
      </c>
      <c r="AN501" s="17"/>
      <c r="AO501" s="1">
        <v>630265</v>
      </c>
      <c r="AP501" s="1"/>
      <c r="AQ501" s="1">
        <v>47171</v>
      </c>
      <c r="AR501" s="1"/>
      <c r="AS501" s="1"/>
      <c r="AT501" s="1"/>
      <c r="AU501" s="1">
        <v>0</v>
      </c>
      <c r="AV501" s="1"/>
      <c r="AW501" s="1">
        <f t="shared" si="41"/>
        <v>20572124</v>
      </c>
      <c r="AY501" s="1">
        <v>298505</v>
      </c>
      <c r="BA501" s="1">
        <v>6127110</v>
      </c>
      <c r="BC501" s="1">
        <f t="shared" si="42"/>
        <v>6425615</v>
      </c>
      <c r="BE501" s="1">
        <f>+'St of Net Assets - GA'!AA501-'St of Activities - GA Exp'!BC501</f>
        <v>0</v>
      </c>
    </row>
    <row r="502" spans="1:57" ht="12" customHeight="1">
      <c r="A502" s="17" t="s">
        <v>571</v>
      </c>
      <c r="B502" s="17"/>
      <c r="C502" s="17" t="s">
        <v>61</v>
      </c>
      <c r="D502" s="17"/>
      <c r="E502" s="13">
        <v>44784</v>
      </c>
      <c r="F502" s="1"/>
      <c r="G502" s="1">
        <v>17399718</v>
      </c>
      <c r="H502" s="1"/>
      <c r="I502" s="1">
        <v>4594950</v>
      </c>
      <c r="J502" s="1"/>
      <c r="K502" s="1">
        <v>104886</v>
      </c>
      <c r="L502" s="1"/>
      <c r="M502" s="1">
        <v>0</v>
      </c>
      <c r="N502" s="1"/>
      <c r="O502" s="1">
        <v>1974338</v>
      </c>
      <c r="P502" s="1"/>
      <c r="Q502" s="1">
        <v>1987342</v>
      </c>
      <c r="R502" s="1"/>
      <c r="S502" s="1">
        <v>14471</v>
      </c>
      <c r="T502" s="1"/>
      <c r="U502" s="1">
        <v>2802340</v>
      </c>
      <c r="V502" s="1"/>
      <c r="W502" s="1">
        <v>791833</v>
      </c>
      <c r="X502" s="1"/>
      <c r="Y502" s="1">
        <v>133592</v>
      </c>
      <c r="Z502" s="1"/>
      <c r="AA502" s="1">
        <v>2874724</v>
      </c>
      <c r="AB502" s="1"/>
      <c r="AC502" s="1">
        <v>1037460</v>
      </c>
      <c r="AD502" s="1"/>
      <c r="AE502" s="1">
        <v>842073</v>
      </c>
      <c r="AF502" s="1"/>
      <c r="AG502" s="1">
        <v>0</v>
      </c>
      <c r="AH502" s="1"/>
      <c r="AI502" s="1">
        <v>2158834</v>
      </c>
      <c r="AJ502" s="1"/>
      <c r="AK502" s="17" t="s">
        <v>571</v>
      </c>
      <c r="AL502" s="17"/>
      <c r="AM502" s="17" t="s">
        <v>61</v>
      </c>
      <c r="AN502" s="17"/>
      <c r="AO502" s="1">
        <v>675649</v>
      </c>
      <c r="AP502" s="1"/>
      <c r="AQ502" s="1">
        <v>1100076</v>
      </c>
      <c r="AR502" s="1"/>
      <c r="AS502" s="1"/>
      <c r="AT502" s="1"/>
      <c r="AU502" s="1">
        <v>0</v>
      </c>
      <c r="AV502" s="1"/>
      <c r="AW502" s="1">
        <f t="shared" si="41"/>
        <v>38492286</v>
      </c>
      <c r="AY502" s="1">
        <v>4034877</v>
      </c>
      <c r="BA502" s="1">
        <v>7107797</v>
      </c>
      <c r="BC502" s="1">
        <f t="shared" si="42"/>
        <v>11142674</v>
      </c>
      <c r="BE502" s="1">
        <f>+'St of Net Assets - GA'!AA502-'St of Activities - GA Exp'!BC502</f>
        <v>0</v>
      </c>
    </row>
    <row r="503" spans="1:57" ht="12" customHeight="1">
      <c r="A503" s="17" t="s">
        <v>304</v>
      </c>
      <c r="B503" s="17"/>
      <c r="C503" s="17" t="s">
        <v>20</v>
      </c>
      <c r="D503" s="17"/>
      <c r="E503" s="13">
        <v>46607</v>
      </c>
      <c r="F503" s="1"/>
      <c r="G503" s="1">
        <v>35673643</v>
      </c>
      <c r="H503" s="1"/>
      <c r="I503" s="1">
        <v>7948383</v>
      </c>
      <c r="J503" s="1"/>
      <c r="K503" s="1">
        <v>580933</v>
      </c>
      <c r="L503" s="1"/>
      <c r="M503" s="1">
        <v>603661</v>
      </c>
      <c r="N503" s="1"/>
      <c r="O503" s="1">
        <v>4475910</v>
      </c>
      <c r="P503" s="1"/>
      <c r="Q503" s="1">
        <v>1757308</v>
      </c>
      <c r="R503" s="1"/>
      <c r="S503" s="1">
        <v>49986</v>
      </c>
      <c r="T503" s="1"/>
      <c r="U503" s="1">
        <v>3988101</v>
      </c>
      <c r="V503" s="1"/>
      <c r="W503" s="1">
        <v>1693113</v>
      </c>
      <c r="X503" s="1"/>
      <c r="Y503" s="1">
        <v>1147994</v>
      </c>
      <c r="Z503" s="1"/>
      <c r="AA503" s="1">
        <v>8134230</v>
      </c>
      <c r="AB503" s="1"/>
      <c r="AC503" s="1">
        <v>3298628</v>
      </c>
      <c r="AD503" s="1"/>
      <c r="AE503" s="1">
        <v>1132837</v>
      </c>
      <c r="AF503" s="1"/>
      <c r="AG503" s="1">
        <v>1757244</v>
      </c>
      <c r="AH503" s="1"/>
      <c r="AI503" s="1">
        <f>406599+109386+162038</f>
        <v>678023</v>
      </c>
      <c r="AJ503" s="1"/>
      <c r="AK503" s="17" t="s">
        <v>304</v>
      </c>
      <c r="AL503" s="17"/>
      <c r="AM503" s="17" t="s">
        <v>20</v>
      </c>
      <c r="AN503" s="17"/>
      <c r="AO503" s="1">
        <v>1844947</v>
      </c>
      <c r="AP503" s="1"/>
      <c r="AQ503" s="1">
        <v>835173</v>
      </c>
      <c r="AR503" s="1"/>
      <c r="AS503" s="1"/>
      <c r="AT503" s="1"/>
      <c r="AU503" s="1">
        <v>0</v>
      </c>
      <c r="AV503" s="1"/>
      <c r="AW503" s="1">
        <f t="shared" si="41"/>
        <v>75600114</v>
      </c>
      <c r="AY503" s="1">
        <v>-2071735</v>
      </c>
      <c r="BA503" s="1">
        <v>31123059</v>
      </c>
      <c r="BC503" s="1">
        <f t="shared" si="42"/>
        <v>29051324</v>
      </c>
      <c r="BE503" s="1">
        <f>+'St of Net Assets - GA'!AA503-'St of Activities - GA Exp'!BC503</f>
        <v>0</v>
      </c>
    </row>
    <row r="504" spans="1:57">
      <c r="A504" s="17" t="s">
        <v>767</v>
      </c>
      <c r="B504" s="17"/>
      <c r="C504" s="17" t="s">
        <v>37</v>
      </c>
      <c r="D504" s="17"/>
      <c r="E504" s="13"/>
      <c r="G504" s="1">
        <v>3834690</v>
      </c>
      <c r="H504" s="1"/>
      <c r="I504" s="1">
        <v>581777</v>
      </c>
      <c r="J504" s="1"/>
      <c r="K504" s="1">
        <v>188851</v>
      </c>
      <c r="L504" s="1"/>
      <c r="M504" s="1">
        <v>617410</v>
      </c>
      <c r="N504" s="1"/>
      <c r="O504" s="1">
        <v>231059</v>
      </c>
      <c r="P504" s="1"/>
      <c r="Q504" s="1">
        <v>382645</v>
      </c>
      <c r="R504" s="1"/>
      <c r="S504" s="1">
        <v>34467</v>
      </c>
      <c r="T504" s="1"/>
      <c r="U504" s="1">
        <v>1030067</v>
      </c>
      <c r="V504" s="1"/>
      <c r="W504" s="1">
        <v>213504</v>
      </c>
      <c r="X504" s="1"/>
      <c r="Y504" s="1">
        <v>0</v>
      </c>
      <c r="Z504" s="1"/>
      <c r="AA504" s="1">
        <v>803696</v>
      </c>
      <c r="AB504" s="1"/>
      <c r="AC504" s="1">
        <v>570308</v>
      </c>
      <c r="AD504" s="1"/>
      <c r="AE504" s="1">
        <v>0</v>
      </c>
      <c r="AF504" s="1"/>
      <c r="AG504" s="1">
        <v>432066</v>
      </c>
      <c r="AH504" s="1"/>
      <c r="AI504" s="1">
        <v>10000</v>
      </c>
      <c r="AJ504" s="1"/>
      <c r="AK504" s="17" t="s">
        <v>767</v>
      </c>
      <c r="AL504" s="17"/>
      <c r="AM504" s="17" t="s">
        <v>37</v>
      </c>
      <c r="AN504" s="17"/>
      <c r="AO504" s="1">
        <v>295776</v>
      </c>
      <c r="AP504" s="1"/>
      <c r="AQ504" s="1">
        <v>54581</v>
      </c>
      <c r="AR504" s="1"/>
      <c r="AS504" s="1"/>
      <c r="AT504" s="1"/>
      <c r="AU504" s="1">
        <v>0</v>
      </c>
      <c r="AV504" s="1"/>
      <c r="AW504" s="1">
        <f t="shared" si="41"/>
        <v>9280897</v>
      </c>
      <c r="AY504" s="1">
        <v>-362778</v>
      </c>
      <c r="BA504" s="1">
        <v>8415392</v>
      </c>
      <c r="BC504" s="1">
        <f t="shared" si="42"/>
        <v>8052614</v>
      </c>
      <c r="BE504" s="1">
        <f>+'St of Net Assets - GA'!AA504-'St of Activities - GA Exp'!BC504</f>
        <v>0</v>
      </c>
    </row>
    <row r="505" spans="1:57" s="16" customFormat="1">
      <c r="A505" s="14" t="s">
        <v>305</v>
      </c>
      <c r="B505" s="14"/>
      <c r="C505" s="14" t="s">
        <v>20</v>
      </c>
      <c r="D505" s="14"/>
      <c r="E505" s="13">
        <v>44792</v>
      </c>
      <c r="G505" s="1">
        <v>24329607</v>
      </c>
      <c r="H505" s="1"/>
      <c r="I505" s="1">
        <v>8973177</v>
      </c>
      <c r="J505" s="1"/>
      <c r="K505" s="1">
        <v>2069691</v>
      </c>
      <c r="L505" s="1"/>
      <c r="M505" s="1">
        <v>0</v>
      </c>
      <c r="N505" s="1"/>
      <c r="O505" s="1">
        <v>3769763</v>
      </c>
      <c r="P505" s="1"/>
      <c r="Q505" s="1">
        <v>1519675</v>
      </c>
      <c r="R505" s="1"/>
      <c r="S505" s="1">
        <v>211177</v>
      </c>
      <c r="T505" s="1"/>
      <c r="U505" s="1">
        <v>3693493</v>
      </c>
      <c r="V505" s="1"/>
      <c r="W505" s="1">
        <v>1794109</v>
      </c>
      <c r="X505" s="1"/>
      <c r="Y505" s="1">
        <v>315010</v>
      </c>
      <c r="Z505" s="1"/>
      <c r="AA505" s="1">
        <v>7258060</v>
      </c>
      <c r="AB505" s="1"/>
      <c r="AC505" s="1">
        <v>3091708</v>
      </c>
      <c r="AD505" s="1"/>
      <c r="AE505" s="1">
        <v>1247388</v>
      </c>
      <c r="AF505" s="1"/>
      <c r="AG505" s="1">
        <v>1876628</v>
      </c>
      <c r="AH505" s="1"/>
      <c r="AI505" s="1">
        <v>1139238</v>
      </c>
      <c r="AJ505" s="1"/>
      <c r="AK505" s="14" t="s">
        <v>305</v>
      </c>
      <c r="AL505" s="14"/>
      <c r="AM505" s="14" t="s">
        <v>20</v>
      </c>
      <c r="AN505" s="14"/>
      <c r="AO505" s="1">
        <v>1290291</v>
      </c>
      <c r="AP505" s="1"/>
      <c r="AQ505" s="1">
        <v>725047</v>
      </c>
      <c r="AR505" s="1"/>
      <c r="AS505" s="1"/>
      <c r="AT505" s="1"/>
      <c r="AU505" s="1">
        <v>0</v>
      </c>
      <c r="AV505" s="1"/>
      <c r="AW505" s="1">
        <f t="shared" si="41"/>
        <v>63304062</v>
      </c>
      <c r="AX505" s="1"/>
      <c r="AY505" s="1">
        <v>5881048</v>
      </c>
      <c r="AZ505" s="1"/>
      <c r="BA505" s="1">
        <v>19943869</v>
      </c>
      <c r="BB505" s="1"/>
      <c r="BC505" s="1">
        <f t="shared" si="42"/>
        <v>25824917</v>
      </c>
      <c r="BD505" s="1"/>
      <c r="BE505" s="1">
        <f>+'St of Net Assets - GA'!AA505-'St of Activities - GA Exp'!BC505</f>
        <v>0</v>
      </c>
    </row>
    <row r="506" spans="1:57" ht="12" customHeight="1">
      <c r="A506" s="17" t="s">
        <v>425</v>
      </c>
      <c r="B506" s="17"/>
      <c r="C506" s="17" t="s">
        <v>420</v>
      </c>
      <c r="D506" s="17"/>
      <c r="E506" s="13">
        <v>47951</v>
      </c>
      <c r="G506" s="1">
        <v>8842806</v>
      </c>
      <c r="H506" s="1"/>
      <c r="I506" s="1">
        <v>2360715</v>
      </c>
      <c r="J506" s="1"/>
      <c r="K506" s="1">
        <v>265765</v>
      </c>
      <c r="L506" s="1"/>
      <c r="M506" s="1">
        <f>119046+18345</f>
        <v>137391</v>
      </c>
      <c r="N506" s="1"/>
      <c r="O506" s="1">
        <v>748030</v>
      </c>
      <c r="P506" s="1"/>
      <c r="Q506" s="1">
        <v>1122507</v>
      </c>
      <c r="R506" s="1"/>
      <c r="S506" s="1">
        <v>111941</v>
      </c>
      <c r="T506" s="1"/>
      <c r="U506" s="1">
        <v>1432370</v>
      </c>
      <c r="V506" s="1"/>
      <c r="W506" s="1">
        <v>422320</v>
      </c>
      <c r="X506" s="1"/>
      <c r="Y506" s="1">
        <v>0</v>
      </c>
      <c r="Z506" s="1"/>
      <c r="AA506" s="1">
        <v>2434860</v>
      </c>
      <c r="AB506" s="1"/>
      <c r="AC506" s="1">
        <v>986741</v>
      </c>
      <c r="AD506" s="1"/>
      <c r="AE506" s="1">
        <v>71415</v>
      </c>
      <c r="AF506" s="1"/>
      <c r="AG506" s="1">
        <v>866221</v>
      </c>
      <c r="AH506" s="1"/>
      <c r="AI506" s="1">
        <v>0</v>
      </c>
      <c r="AJ506" s="1"/>
      <c r="AK506" s="17" t="s">
        <v>425</v>
      </c>
      <c r="AL506" s="17"/>
      <c r="AM506" s="17" t="s">
        <v>420</v>
      </c>
      <c r="AN506" s="17"/>
      <c r="AO506" s="1">
        <v>462978</v>
      </c>
      <c r="AP506" s="1"/>
      <c r="AQ506" s="1">
        <v>529473</v>
      </c>
      <c r="AR506" s="1"/>
      <c r="AS506" s="1"/>
      <c r="AT506" s="1"/>
      <c r="AU506" s="1">
        <v>0</v>
      </c>
      <c r="AV506" s="1"/>
      <c r="AW506" s="1">
        <f t="shared" si="41"/>
        <v>20795533</v>
      </c>
      <c r="AY506" s="1">
        <v>-94230</v>
      </c>
      <c r="BA506" s="1">
        <v>47337325</v>
      </c>
      <c r="BC506" s="1">
        <f t="shared" si="42"/>
        <v>47243095</v>
      </c>
      <c r="BE506" s="1">
        <f>+'St of Net Assets - GA'!AA506-'St of Activities - GA Exp'!BC506</f>
        <v>0</v>
      </c>
    </row>
    <row r="507" spans="1:57" ht="12" customHeight="1">
      <c r="A507" s="17"/>
      <c r="B507" s="17"/>
      <c r="C507" s="17"/>
      <c r="D507" s="17"/>
      <c r="E507" s="13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7"/>
      <c r="AL507" s="17"/>
      <c r="AM507" s="17"/>
      <c r="AN507" s="17"/>
      <c r="AO507" s="1"/>
      <c r="AP507" s="1"/>
      <c r="AQ507" s="1"/>
      <c r="AR507" s="1"/>
      <c r="AS507" s="1"/>
      <c r="AT507" s="1"/>
      <c r="AU507" s="1"/>
      <c r="AV507" s="1"/>
    </row>
    <row r="508" spans="1:57" ht="12" customHeight="1">
      <c r="A508" s="17"/>
      <c r="B508" s="17"/>
      <c r="C508" s="17"/>
      <c r="D508" s="17"/>
      <c r="E508" s="13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20" t="s">
        <v>709</v>
      </c>
      <c r="AJ508" s="1"/>
      <c r="AK508" s="17"/>
      <c r="AL508" s="17"/>
      <c r="AM508" s="17"/>
      <c r="AN508" s="17"/>
      <c r="AO508" s="1"/>
      <c r="AP508" s="1"/>
      <c r="AQ508" s="1"/>
      <c r="AR508" s="1"/>
      <c r="AS508" s="1"/>
      <c r="AT508" s="1"/>
      <c r="AU508" s="1"/>
      <c r="AV508" s="1"/>
      <c r="AY508" s="18"/>
      <c r="BC508" s="20" t="s">
        <v>709</v>
      </c>
    </row>
    <row r="509" spans="1:57" ht="12" customHeight="1">
      <c r="A509" s="17"/>
      <c r="B509" s="17"/>
      <c r="C509" s="17"/>
      <c r="D509" s="17"/>
      <c r="E509" s="13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7"/>
      <c r="AL509" s="17"/>
      <c r="AM509" s="17"/>
      <c r="AN509" s="17"/>
      <c r="AO509" s="1"/>
      <c r="AP509" s="1"/>
      <c r="AQ509" s="1"/>
      <c r="AR509" s="1"/>
      <c r="AS509" s="1"/>
      <c r="AT509" s="1"/>
      <c r="AU509" s="1"/>
      <c r="AV509" s="1"/>
    </row>
    <row r="510" spans="1:57">
      <c r="A510" s="17" t="s">
        <v>469</v>
      </c>
      <c r="B510" s="17"/>
      <c r="C510" s="17" t="s">
        <v>45</v>
      </c>
      <c r="D510" s="17"/>
      <c r="E510" s="13">
        <v>48363</v>
      </c>
      <c r="G510" s="16">
        <v>5768372</v>
      </c>
      <c r="H510" s="16"/>
      <c r="I510" s="16">
        <v>1148320</v>
      </c>
      <c r="J510" s="16"/>
      <c r="K510" s="16">
        <v>180543</v>
      </c>
      <c r="L510" s="16"/>
      <c r="M510" s="16">
        <v>229031</v>
      </c>
      <c r="N510" s="16"/>
      <c r="O510" s="16">
        <v>340569</v>
      </c>
      <c r="P510" s="16"/>
      <c r="Q510" s="16">
        <v>674001</v>
      </c>
      <c r="R510" s="16"/>
      <c r="S510" s="16">
        <v>64458</v>
      </c>
      <c r="T510" s="16"/>
      <c r="U510" s="16">
        <v>957985</v>
      </c>
      <c r="V510" s="16"/>
      <c r="W510" s="16">
        <v>424481</v>
      </c>
      <c r="X510" s="16"/>
      <c r="Y510" s="16">
        <v>0</v>
      </c>
      <c r="Z510" s="16"/>
      <c r="AA510" s="16">
        <v>947383</v>
      </c>
      <c r="AB510" s="16"/>
      <c r="AC510" s="16">
        <v>927699</v>
      </c>
      <c r="AD510" s="16"/>
      <c r="AE510" s="16">
        <v>79290</v>
      </c>
      <c r="AF510" s="16"/>
      <c r="AG510" s="16">
        <v>376157</v>
      </c>
      <c r="AH510" s="16"/>
      <c r="AI510" s="16">
        <v>1561</v>
      </c>
      <c r="AJ510" s="1"/>
      <c r="AK510" s="17" t="s">
        <v>469</v>
      </c>
      <c r="AL510" s="17"/>
      <c r="AM510" s="17" t="s">
        <v>45</v>
      </c>
      <c r="AN510" s="17"/>
      <c r="AO510" s="16">
        <v>468836</v>
      </c>
      <c r="AP510" s="16"/>
      <c r="AQ510" s="16">
        <v>906669</v>
      </c>
      <c r="AR510" s="16"/>
      <c r="AS510" s="16"/>
      <c r="AT510" s="16"/>
      <c r="AU510" s="16">
        <v>0</v>
      </c>
      <c r="AV510" s="16"/>
      <c r="AW510" s="16">
        <f t="shared" si="41"/>
        <v>13495355</v>
      </c>
      <c r="AX510" s="16"/>
      <c r="AY510" s="16">
        <v>375345</v>
      </c>
      <c r="AZ510" s="16"/>
      <c r="BA510" s="16">
        <v>27748532</v>
      </c>
      <c r="BB510" s="16"/>
      <c r="BC510" s="16">
        <f t="shared" si="42"/>
        <v>28123877</v>
      </c>
      <c r="BE510" s="1">
        <f>+'St of Net Assets - GA'!AA510-'St of Activities - GA Exp'!BC510</f>
        <v>0</v>
      </c>
    </row>
    <row r="511" spans="1:57">
      <c r="A511" s="17" t="s">
        <v>537</v>
      </c>
      <c r="B511" s="17"/>
      <c r="C511" s="17" t="s">
        <v>56</v>
      </c>
      <c r="D511" s="17"/>
      <c r="E511" s="13">
        <v>49221</v>
      </c>
      <c r="G511" s="1">
        <v>8564981</v>
      </c>
      <c r="H511" s="1"/>
      <c r="I511" s="1">
        <v>2123503</v>
      </c>
      <c r="J511" s="1"/>
      <c r="K511" s="1">
        <v>94332</v>
      </c>
      <c r="L511" s="1"/>
      <c r="M511" s="1">
        <f>35230+975207</f>
        <v>1010437</v>
      </c>
      <c r="N511" s="1"/>
      <c r="O511" s="1">
        <v>1470411</v>
      </c>
      <c r="P511" s="1"/>
      <c r="Q511" s="1">
        <v>546380</v>
      </c>
      <c r="R511" s="1"/>
      <c r="S511" s="1">
        <v>32832</v>
      </c>
      <c r="T511" s="1"/>
      <c r="U511" s="1">
        <v>1345904</v>
      </c>
      <c r="V511" s="1"/>
      <c r="W511" s="1">
        <v>415611</v>
      </c>
      <c r="X511" s="1"/>
      <c r="Y511" s="1">
        <v>112343</v>
      </c>
      <c r="Z511" s="1"/>
      <c r="AA511" s="1">
        <v>1345798</v>
      </c>
      <c r="AB511" s="1"/>
      <c r="AC511" s="1">
        <v>1441855</v>
      </c>
      <c r="AD511" s="1"/>
      <c r="AE511" s="1">
        <v>96567</v>
      </c>
      <c r="AF511" s="1"/>
      <c r="AG511" s="1">
        <v>0</v>
      </c>
      <c r="AH511" s="1"/>
      <c r="AI511" s="1">
        <v>653601</v>
      </c>
      <c r="AJ511" s="1"/>
      <c r="AK511" s="17" t="s">
        <v>537</v>
      </c>
      <c r="AL511" s="17"/>
      <c r="AM511" s="17" t="s">
        <v>56</v>
      </c>
      <c r="AN511" s="17"/>
      <c r="AO511" s="1">
        <v>516559</v>
      </c>
      <c r="AP511" s="1"/>
      <c r="AQ511" s="1">
        <v>317331</v>
      </c>
      <c r="AR511" s="1"/>
      <c r="AS511" s="1"/>
      <c r="AT511" s="1"/>
      <c r="AU511" s="1">
        <v>0</v>
      </c>
      <c r="AV511" s="1"/>
      <c r="AW511" s="1">
        <f t="shared" si="41"/>
        <v>20088445</v>
      </c>
      <c r="AY511" s="1">
        <v>1857713</v>
      </c>
      <c r="BA511" s="1">
        <v>30780356</v>
      </c>
      <c r="BC511" s="1">
        <f t="shared" si="42"/>
        <v>32638069</v>
      </c>
      <c r="BE511" s="1">
        <f>+'St of Net Assets - GA'!AA511-'St of Activities - GA Exp'!BC511</f>
        <v>0</v>
      </c>
    </row>
    <row r="512" spans="1:57">
      <c r="A512" s="17" t="s">
        <v>537</v>
      </c>
      <c r="B512" s="17"/>
      <c r="C512" s="17" t="s">
        <v>71</v>
      </c>
      <c r="D512" s="17"/>
      <c r="E512" s="13">
        <v>50583</v>
      </c>
      <c r="G512" s="1">
        <v>6985202</v>
      </c>
      <c r="H512" s="1"/>
      <c r="I512" s="1">
        <v>2985293</v>
      </c>
      <c r="J512" s="1"/>
      <c r="K512" s="1">
        <v>358119</v>
      </c>
      <c r="L512" s="1"/>
      <c r="M512" s="1">
        <f>12199+431040</f>
        <v>443239</v>
      </c>
      <c r="N512" s="1"/>
      <c r="O512" s="1">
        <v>833642</v>
      </c>
      <c r="P512" s="1"/>
      <c r="Q512" s="1">
        <v>457676</v>
      </c>
      <c r="R512" s="1"/>
      <c r="S512" s="1">
        <v>33245</v>
      </c>
      <c r="T512" s="1"/>
      <c r="U512" s="1">
        <v>1784761</v>
      </c>
      <c r="V512" s="1"/>
      <c r="W512" s="1">
        <v>336168</v>
      </c>
      <c r="X512" s="1"/>
      <c r="Y512" s="1">
        <v>0</v>
      </c>
      <c r="Z512" s="1"/>
      <c r="AA512" s="1">
        <v>1191071</v>
      </c>
      <c r="AB512" s="1"/>
      <c r="AC512" s="1">
        <v>1215166</v>
      </c>
      <c r="AD512" s="1"/>
      <c r="AE512" s="1">
        <v>254592</v>
      </c>
      <c r="AF512" s="1"/>
      <c r="AG512" s="1">
        <v>0</v>
      </c>
      <c r="AH512" s="1"/>
      <c r="AI512" s="1">
        <v>772362</v>
      </c>
      <c r="AJ512" s="1"/>
      <c r="AK512" s="17" t="s">
        <v>537</v>
      </c>
      <c r="AL512" s="17"/>
      <c r="AM512" s="17" t="s">
        <v>71</v>
      </c>
      <c r="AN512" s="17"/>
      <c r="AO512" s="1">
        <v>477761</v>
      </c>
      <c r="AP512" s="1"/>
      <c r="AQ512" s="1">
        <v>9150</v>
      </c>
      <c r="AR512" s="1"/>
      <c r="AS512" s="1"/>
      <c r="AT512" s="1"/>
      <c r="AU512" s="1">
        <v>0</v>
      </c>
      <c r="AV512" s="1"/>
      <c r="AW512" s="1">
        <f t="shared" si="41"/>
        <v>18137447</v>
      </c>
      <c r="AY512" s="1">
        <v>-347461</v>
      </c>
      <c r="BA512" s="1">
        <v>3763868</v>
      </c>
      <c r="BC512" s="1">
        <f t="shared" si="42"/>
        <v>3416407</v>
      </c>
      <c r="BE512" s="1">
        <f>+'St of Net Assets - GA'!AA512-'St of Activities - GA Exp'!BC512</f>
        <v>0</v>
      </c>
    </row>
    <row r="513" spans="1:57">
      <c r="A513" s="17" t="s">
        <v>249</v>
      </c>
      <c r="B513" s="17"/>
      <c r="C513" s="17" t="s">
        <v>17</v>
      </c>
      <c r="D513" s="17"/>
      <c r="E513" s="13">
        <v>46276</v>
      </c>
      <c r="G513" s="1">
        <v>3633631</v>
      </c>
      <c r="H513" s="1"/>
      <c r="I513" s="1">
        <v>997699</v>
      </c>
      <c r="J513" s="1"/>
      <c r="K513" s="1">
        <v>215154</v>
      </c>
      <c r="L513" s="1"/>
      <c r="M513" s="1">
        <v>19583</v>
      </c>
      <c r="N513" s="1"/>
      <c r="O513" s="1">
        <v>367200</v>
      </c>
      <c r="P513" s="1"/>
      <c r="Q513" s="1">
        <v>302487</v>
      </c>
      <c r="R513" s="1"/>
      <c r="S513" s="1">
        <v>46015</v>
      </c>
      <c r="T513" s="1"/>
      <c r="U513" s="1">
        <v>590780</v>
      </c>
      <c r="V513" s="1"/>
      <c r="W513" s="1">
        <v>291467</v>
      </c>
      <c r="X513" s="1"/>
      <c r="Y513" s="1">
        <v>0</v>
      </c>
      <c r="Z513" s="1"/>
      <c r="AA513" s="1">
        <v>556996</v>
      </c>
      <c r="AB513" s="1"/>
      <c r="AC513" s="1">
        <v>482526</v>
      </c>
      <c r="AD513" s="1"/>
      <c r="AE513" s="1">
        <v>86286</v>
      </c>
      <c r="AF513" s="1"/>
      <c r="AG513" s="1">
        <v>0</v>
      </c>
      <c r="AH513" s="1"/>
      <c r="AI513" s="1">
        <v>212460</v>
      </c>
      <c r="AJ513" s="1"/>
      <c r="AK513" s="17" t="s">
        <v>249</v>
      </c>
      <c r="AL513" s="17"/>
      <c r="AM513" s="17" t="s">
        <v>17</v>
      </c>
      <c r="AN513" s="17"/>
      <c r="AO513" s="1">
        <v>329245</v>
      </c>
      <c r="AP513" s="1"/>
      <c r="AQ513" s="1">
        <v>26076</v>
      </c>
      <c r="AR513" s="1"/>
      <c r="AS513" s="1"/>
      <c r="AT513" s="1"/>
      <c r="AU513" s="1">
        <v>0</v>
      </c>
      <c r="AV513" s="1"/>
      <c r="AW513" s="1">
        <f t="shared" si="41"/>
        <v>8157605</v>
      </c>
      <c r="AY513" s="1">
        <v>373718</v>
      </c>
      <c r="BA513" s="1">
        <v>8677780</v>
      </c>
      <c r="BC513" s="1">
        <f t="shared" si="42"/>
        <v>9051498</v>
      </c>
      <c r="BE513" s="1">
        <f>+'St of Net Assets - GA'!AA513-'St of Activities - GA Exp'!BC513</f>
        <v>0</v>
      </c>
    </row>
    <row r="514" spans="1:57">
      <c r="A514" s="17" t="s">
        <v>249</v>
      </c>
      <c r="B514" s="17"/>
      <c r="C514" s="17" t="s">
        <v>58</v>
      </c>
      <c r="D514" s="17"/>
      <c r="E514" s="13">
        <v>49528</v>
      </c>
      <c r="G514" s="1">
        <v>5890152</v>
      </c>
      <c r="H514" s="1"/>
      <c r="I514" s="1">
        <v>1665397</v>
      </c>
      <c r="J514" s="1"/>
      <c r="K514" s="1">
        <v>0</v>
      </c>
      <c r="L514" s="1"/>
      <c r="M514" s="1">
        <v>20248</v>
      </c>
      <c r="N514" s="1"/>
      <c r="O514" s="1">
        <v>501521</v>
      </c>
      <c r="P514" s="1"/>
      <c r="Q514" s="1">
        <v>354893</v>
      </c>
      <c r="R514" s="1"/>
      <c r="S514" s="1">
        <v>11854</v>
      </c>
      <c r="T514" s="1"/>
      <c r="U514" s="1">
        <v>567064</v>
      </c>
      <c r="V514" s="1"/>
      <c r="W514" s="1">
        <v>217049</v>
      </c>
      <c r="X514" s="1"/>
      <c r="Y514" s="1">
        <v>159101</v>
      </c>
      <c r="Z514" s="1"/>
      <c r="AA514" s="1">
        <v>1104185</v>
      </c>
      <c r="AB514" s="1"/>
      <c r="AC514" s="1">
        <v>1019922</v>
      </c>
      <c r="AD514" s="1"/>
      <c r="AE514" s="1">
        <v>66061</v>
      </c>
      <c r="AF514" s="1"/>
      <c r="AG514" s="1">
        <v>0</v>
      </c>
      <c r="AH514" s="1"/>
      <c r="AI514" s="1">
        <v>441275</v>
      </c>
      <c r="AJ514" s="1"/>
      <c r="AK514" s="17" t="s">
        <v>249</v>
      </c>
      <c r="AL514" s="17"/>
      <c r="AM514" s="17" t="s">
        <v>58</v>
      </c>
      <c r="AN514" s="17"/>
      <c r="AO514" s="1">
        <v>436088</v>
      </c>
      <c r="AP514" s="1"/>
      <c r="AQ514" s="1">
        <v>264039</v>
      </c>
      <c r="AR514" s="1"/>
      <c r="AS514" s="1"/>
      <c r="AT514" s="1"/>
      <c r="AU514" s="1">
        <v>0</v>
      </c>
      <c r="AV514" s="1"/>
      <c r="AW514" s="1">
        <f t="shared" si="41"/>
        <v>12718849</v>
      </c>
      <c r="AY514" s="1">
        <v>137750</v>
      </c>
      <c r="BA514" s="1">
        <v>25039344</v>
      </c>
      <c r="BC514" s="1">
        <f t="shared" si="42"/>
        <v>25177094</v>
      </c>
      <c r="BE514" s="1">
        <f>+'St of Net Assets - GA'!AA514-'St of Activities - GA Exp'!BC514</f>
        <v>0</v>
      </c>
    </row>
    <row r="515" spans="1:57">
      <c r="A515" s="17" t="s">
        <v>269</v>
      </c>
      <c r="B515" s="17"/>
      <c r="C515" s="17" t="s">
        <v>114</v>
      </c>
      <c r="D515" s="17"/>
      <c r="E515" s="13">
        <v>46441</v>
      </c>
      <c r="G515" s="1">
        <v>3789838</v>
      </c>
      <c r="H515" s="1"/>
      <c r="I515" s="1">
        <v>955068</v>
      </c>
      <c r="J515" s="1"/>
      <c r="K515" s="1">
        <v>263727</v>
      </c>
      <c r="L515" s="1"/>
      <c r="M515" s="1">
        <v>4880</v>
      </c>
      <c r="N515" s="1"/>
      <c r="O515" s="1">
        <v>382966</v>
      </c>
      <c r="P515" s="1"/>
      <c r="Q515" s="1">
        <v>343693</v>
      </c>
      <c r="R515" s="1"/>
      <c r="S515" s="1">
        <v>1276588</v>
      </c>
      <c r="T515" s="1"/>
      <c r="U515" s="1">
        <v>660235</v>
      </c>
      <c r="V515" s="1"/>
      <c r="W515" s="1">
        <v>236080</v>
      </c>
      <c r="X515" s="1"/>
      <c r="Y515" s="1">
        <v>55845</v>
      </c>
      <c r="Z515" s="1"/>
      <c r="AA515" s="1">
        <v>957276</v>
      </c>
      <c r="AB515" s="1"/>
      <c r="AC515" s="1">
        <v>653713</v>
      </c>
      <c r="AD515" s="1"/>
      <c r="AE515" s="1">
        <v>0</v>
      </c>
      <c r="AF515" s="1"/>
      <c r="AG515" s="1">
        <v>384860</v>
      </c>
      <c r="AH515" s="1"/>
      <c r="AI515" s="1">
        <v>27784</v>
      </c>
      <c r="AJ515" s="1"/>
      <c r="AK515" s="17" t="s">
        <v>269</v>
      </c>
      <c r="AL515" s="17"/>
      <c r="AM515" s="17" t="s">
        <v>114</v>
      </c>
      <c r="AN515" s="17"/>
      <c r="AO515" s="1">
        <v>245230</v>
      </c>
      <c r="AP515" s="1"/>
      <c r="AQ515" s="1">
        <v>155347</v>
      </c>
      <c r="AR515" s="1"/>
      <c r="AS515" s="1"/>
      <c r="AT515" s="1"/>
      <c r="AU515" s="1">
        <v>0</v>
      </c>
      <c r="AV515" s="1"/>
      <c r="AW515" s="1">
        <f t="shared" si="41"/>
        <v>10393130</v>
      </c>
      <c r="AY515" s="1">
        <v>-186907</v>
      </c>
      <c r="BA515" s="1">
        <v>11178745</v>
      </c>
      <c r="BC515" s="1">
        <f t="shared" si="42"/>
        <v>10991838</v>
      </c>
      <c r="BE515" s="1">
        <f>+'St of Net Assets - GA'!AA515-'St of Activities - GA Exp'!BC515</f>
        <v>0</v>
      </c>
    </row>
    <row r="516" spans="1:57">
      <c r="A516" s="17" t="s">
        <v>269</v>
      </c>
      <c r="B516" s="17"/>
      <c r="C516" s="17" t="s">
        <v>484</v>
      </c>
      <c r="D516" s="17"/>
      <c r="E516" s="13">
        <v>46441</v>
      </c>
      <c r="G516" s="1">
        <v>2764601</v>
      </c>
      <c r="H516" s="1"/>
      <c r="I516" s="1">
        <v>894416</v>
      </c>
      <c r="J516" s="1"/>
      <c r="K516" s="1">
        <v>200470</v>
      </c>
      <c r="L516" s="1"/>
      <c r="M516" s="1">
        <v>209877</v>
      </c>
      <c r="N516" s="1"/>
      <c r="O516" s="1">
        <v>544929</v>
      </c>
      <c r="P516" s="1"/>
      <c r="Q516" s="1">
        <v>452666</v>
      </c>
      <c r="R516" s="1"/>
      <c r="S516" s="1">
        <v>61447</v>
      </c>
      <c r="T516" s="1"/>
      <c r="U516" s="1">
        <v>1147173</v>
      </c>
      <c r="V516" s="1"/>
      <c r="W516" s="1">
        <v>308520</v>
      </c>
      <c r="X516" s="1"/>
      <c r="Y516" s="1">
        <v>0</v>
      </c>
      <c r="Z516" s="1"/>
      <c r="AA516" s="1">
        <v>635164</v>
      </c>
      <c r="AB516" s="1"/>
      <c r="AC516" s="1">
        <v>919145</v>
      </c>
      <c r="AD516" s="1"/>
      <c r="AE516" s="1">
        <v>64780</v>
      </c>
      <c r="AF516" s="1"/>
      <c r="AG516" s="1">
        <v>420735</v>
      </c>
      <c r="AH516" s="1"/>
      <c r="AI516" s="1">
        <v>7307</v>
      </c>
      <c r="AJ516" s="1"/>
      <c r="AK516" s="17" t="s">
        <v>269</v>
      </c>
      <c r="AL516" s="17"/>
      <c r="AM516" s="17" t="s">
        <v>484</v>
      </c>
      <c r="AN516" s="17"/>
      <c r="AO516" s="1">
        <v>152365</v>
      </c>
      <c r="AP516" s="1"/>
      <c r="AQ516" s="1">
        <v>81944</v>
      </c>
      <c r="AR516" s="1"/>
      <c r="AS516" s="1"/>
      <c r="AT516" s="1"/>
      <c r="AU516" s="1">
        <v>0</v>
      </c>
      <c r="AV516" s="1"/>
      <c r="AW516" s="1">
        <f t="shared" si="41"/>
        <v>8865539</v>
      </c>
      <c r="AY516" s="1">
        <v>403845</v>
      </c>
      <c r="BA516" s="1">
        <v>8506090</v>
      </c>
      <c r="BC516" s="1">
        <f t="shared" si="42"/>
        <v>8909935</v>
      </c>
      <c r="BE516" s="1">
        <f>+'St of Net Assets - GA'!AA516-'St of Activities - GA Exp'!BC516</f>
        <v>0</v>
      </c>
    </row>
    <row r="517" spans="1:57" hidden="1">
      <c r="A517" s="12" t="s">
        <v>873</v>
      </c>
      <c r="B517" s="12"/>
      <c r="C517" s="12" t="s">
        <v>524</v>
      </c>
      <c r="D517" s="17"/>
      <c r="E517" s="13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2" t="s">
        <v>873</v>
      </c>
      <c r="AL517" s="12"/>
      <c r="AM517" s="12" t="s">
        <v>524</v>
      </c>
      <c r="AN517" s="17"/>
      <c r="AO517" s="1"/>
      <c r="AP517" s="1"/>
      <c r="AQ517" s="1"/>
      <c r="AR517" s="1"/>
      <c r="AS517" s="1"/>
      <c r="AT517" s="1"/>
      <c r="AU517" s="1"/>
      <c r="AV517" s="1"/>
      <c r="AW517" s="1">
        <f t="shared" si="41"/>
        <v>0</v>
      </c>
      <c r="AY517" s="1">
        <v>0</v>
      </c>
      <c r="BC517" s="1">
        <f t="shared" si="42"/>
        <v>0</v>
      </c>
      <c r="BE517" s="1">
        <f>+'St of Net Assets - GA'!AA517-'St of Activities - GA Exp'!BC517</f>
        <v>0</v>
      </c>
    </row>
    <row r="518" spans="1:57">
      <c r="A518" s="17" t="s">
        <v>615</v>
      </c>
      <c r="B518" s="17"/>
      <c r="C518" s="17" t="s">
        <v>64</v>
      </c>
      <c r="D518" s="17"/>
      <c r="E518" s="13">
        <v>50237</v>
      </c>
      <c r="G518" s="1">
        <v>2618781</v>
      </c>
      <c r="H518" s="1"/>
      <c r="I518" s="1">
        <v>254710</v>
      </c>
      <c r="J518" s="1"/>
      <c r="K518" s="1">
        <v>0</v>
      </c>
      <c r="L518" s="1"/>
      <c r="M518" s="1">
        <v>0</v>
      </c>
      <c r="N518" s="1"/>
      <c r="O518" s="1">
        <v>556688</v>
      </c>
      <c r="P518" s="1"/>
      <c r="Q518" s="1">
        <v>159535</v>
      </c>
      <c r="R518" s="1"/>
      <c r="S518" s="1">
        <v>75048</v>
      </c>
      <c r="T518" s="1"/>
      <c r="U518" s="1">
        <v>461567</v>
      </c>
      <c r="V518" s="1"/>
      <c r="W518" s="1">
        <v>265073</v>
      </c>
      <c r="X518" s="1"/>
      <c r="Y518" s="1">
        <v>19915</v>
      </c>
      <c r="Z518" s="1"/>
      <c r="AA518" s="1">
        <v>352639</v>
      </c>
      <c r="AB518" s="1"/>
      <c r="AC518" s="1">
        <v>324441</v>
      </c>
      <c r="AD518" s="1"/>
      <c r="AE518" s="1">
        <v>6859</v>
      </c>
      <c r="AF518" s="1"/>
      <c r="AG518" s="1">
        <v>201012</v>
      </c>
      <c r="AH518" s="1"/>
      <c r="AI518" s="1">
        <v>833</v>
      </c>
      <c r="AJ518" s="1"/>
      <c r="AK518" s="17" t="s">
        <v>615</v>
      </c>
      <c r="AL518" s="17"/>
      <c r="AM518" s="17" t="s">
        <v>64</v>
      </c>
      <c r="AN518" s="17"/>
      <c r="AO518" s="1">
        <v>142078</v>
      </c>
      <c r="AP518" s="1"/>
      <c r="AQ518" s="1">
        <v>328396</v>
      </c>
      <c r="AR518" s="1"/>
      <c r="AS518" s="1"/>
      <c r="AT518" s="1"/>
      <c r="AU518" s="1">
        <v>0</v>
      </c>
      <c r="AV518" s="1"/>
      <c r="AW518" s="1">
        <f t="shared" si="41"/>
        <v>5767575</v>
      </c>
      <c r="AY518" s="1">
        <v>736796</v>
      </c>
      <c r="BA518" s="1">
        <v>18006310</v>
      </c>
      <c r="BC518" s="1">
        <f t="shared" si="42"/>
        <v>18743106</v>
      </c>
      <c r="BE518" s="1">
        <f>+'St of Net Assets - GA'!AA518-'St of Activities - GA Exp'!BC518</f>
        <v>0</v>
      </c>
    </row>
    <row r="519" spans="1:57" ht="12" customHeight="1">
      <c r="A519" s="17" t="s">
        <v>434</v>
      </c>
      <c r="B519" s="17"/>
      <c r="C519" s="17" t="s">
        <v>42</v>
      </c>
      <c r="D519" s="17"/>
      <c r="E519" s="13">
        <v>48041</v>
      </c>
      <c r="G519" s="1">
        <v>14905575</v>
      </c>
      <c r="H519" s="1"/>
      <c r="I519" s="1">
        <v>3650458</v>
      </c>
      <c r="J519" s="1"/>
      <c r="K519" s="1">
        <v>480510</v>
      </c>
      <c r="L519" s="1"/>
      <c r="M519" s="1">
        <v>2089820</v>
      </c>
      <c r="N519" s="1"/>
      <c r="O519" s="1">
        <v>2193836</v>
      </c>
      <c r="P519" s="1"/>
      <c r="Q519" s="1">
        <v>1812907</v>
      </c>
      <c r="R519" s="1"/>
      <c r="S519" s="1">
        <v>52388</v>
      </c>
      <c r="T519" s="1"/>
      <c r="U519" s="1">
        <v>3052569</v>
      </c>
      <c r="V519" s="1"/>
      <c r="W519" s="1">
        <v>890772</v>
      </c>
      <c r="X519" s="1"/>
      <c r="Y519" s="1">
        <v>124813</v>
      </c>
      <c r="Z519" s="1"/>
      <c r="AA519" s="1">
        <v>3048704</v>
      </c>
      <c r="AB519" s="1"/>
      <c r="AC519" s="1">
        <v>2504023</v>
      </c>
      <c r="AD519" s="1"/>
      <c r="AE519" s="1">
        <v>1076394</v>
      </c>
      <c r="AF519" s="1"/>
      <c r="AG519" s="1">
        <v>0</v>
      </c>
      <c r="AH519" s="1"/>
      <c r="AI519" s="1">
        <v>1503863</v>
      </c>
      <c r="AJ519" s="1"/>
      <c r="AK519" s="17" t="s">
        <v>434</v>
      </c>
      <c r="AL519" s="17"/>
      <c r="AM519" s="17" t="s">
        <v>42</v>
      </c>
      <c r="AN519" s="17"/>
      <c r="AO519" s="1">
        <v>933637</v>
      </c>
      <c r="AP519" s="1"/>
      <c r="AQ519" s="1">
        <v>1005108</v>
      </c>
      <c r="AR519" s="1"/>
      <c r="AS519" s="1"/>
      <c r="AT519" s="1"/>
      <c r="AU519" s="1">
        <v>679755</v>
      </c>
      <c r="AV519" s="1"/>
      <c r="AW519" s="1">
        <f t="shared" si="41"/>
        <v>40005132</v>
      </c>
      <c r="AY519" s="1">
        <v>1587011</v>
      </c>
      <c r="BA519" s="1">
        <v>13769853</v>
      </c>
      <c r="BC519" s="1">
        <f t="shared" si="42"/>
        <v>15356864</v>
      </c>
      <c r="BE519" s="1">
        <f>+'St of Net Assets - GA'!AA519-'St of Activities - GA Exp'!BC519</f>
        <v>0</v>
      </c>
    </row>
    <row r="520" spans="1:57" ht="12" customHeight="1">
      <c r="A520" s="17" t="s">
        <v>374</v>
      </c>
      <c r="B520" s="17"/>
      <c r="C520" s="17" t="s">
        <v>32</v>
      </c>
      <c r="D520" s="17"/>
      <c r="E520" s="13">
        <v>47381</v>
      </c>
      <c r="F520" s="1"/>
      <c r="G520" s="1">
        <v>16103060</v>
      </c>
      <c r="H520" s="1"/>
      <c r="I520" s="1">
        <v>3992654</v>
      </c>
      <c r="J520" s="1"/>
      <c r="K520" s="1">
        <v>0</v>
      </c>
      <c r="L520" s="1"/>
      <c r="M520" s="1">
        <v>507104</v>
      </c>
      <c r="N520" s="1"/>
      <c r="O520" s="1">
        <v>1520775</v>
      </c>
      <c r="P520" s="1"/>
      <c r="Q520" s="1">
        <v>1324965</v>
      </c>
      <c r="R520" s="1"/>
      <c r="S520" s="1">
        <v>68406</v>
      </c>
      <c r="T520" s="1"/>
      <c r="U520" s="1">
        <v>2651867</v>
      </c>
      <c r="V520" s="1"/>
      <c r="W520" s="1">
        <v>990809</v>
      </c>
      <c r="X520" s="1"/>
      <c r="Y520" s="1">
        <v>0</v>
      </c>
      <c r="Z520" s="1"/>
      <c r="AA520" s="1">
        <v>4108821</v>
      </c>
      <c r="AB520" s="1"/>
      <c r="AC520" s="1">
        <v>1801759</v>
      </c>
      <c r="AD520" s="1"/>
      <c r="AE520" s="1">
        <v>49821</v>
      </c>
      <c r="AF520" s="1"/>
      <c r="AG520" s="1">
        <v>0</v>
      </c>
      <c r="AH520" s="1"/>
      <c r="AI520" s="1">
        <v>1790678</v>
      </c>
      <c r="AJ520" s="1"/>
      <c r="AK520" s="17" t="s">
        <v>374</v>
      </c>
      <c r="AL520" s="17"/>
      <c r="AM520" s="17" t="s">
        <v>32</v>
      </c>
      <c r="AN520" s="17"/>
      <c r="AO520" s="1">
        <v>831253</v>
      </c>
      <c r="AP520" s="1"/>
      <c r="AQ520" s="1">
        <v>819235</v>
      </c>
      <c r="AR520" s="1"/>
      <c r="AS520" s="1"/>
      <c r="AT520" s="1"/>
      <c r="AU520" s="1">
        <v>0</v>
      </c>
      <c r="AV520" s="1"/>
      <c r="AW520" s="1">
        <f t="shared" si="41"/>
        <v>36561207</v>
      </c>
      <c r="AY520" s="1">
        <v>1090784</v>
      </c>
      <c r="BA520" s="1">
        <v>4966790</v>
      </c>
      <c r="BC520" s="1">
        <f t="shared" si="42"/>
        <v>6057574</v>
      </c>
      <c r="BE520" s="1">
        <f>+'St of Net Assets - GA'!AA520-'St of Activities - GA Exp'!BC520</f>
        <v>0</v>
      </c>
    </row>
    <row r="521" spans="1:57" s="1" customFormat="1">
      <c r="A521" s="12" t="s">
        <v>340</v>
      </c>
      <c r="B521" s="12"/>
      <c r="C521" s="12" t="s">
        <v>27</v>
      </c>
      <c r="D521" s="12"/>
      <c r="E521" s="12">
        <v>44800</v>
      </c>
      <c r="G521" s="1">
        <v>99541915</v>
      </c>
      <c r="I521" s="1">
        <v>28566712</v>
      </c>
      <c r="K521" s="1">
        <v>6387286</v>
      </c>
      <c r="M521" s="1">
        <v>971222</v>
      </c>
      <c r="O521" s="1">
        <v>10157786</v>
      </c>
      <c r="Q521" s="1">
        <v>17532453</v>
      </c>
      <c r="S521" s="1">
        <v>43974</v>
      </c>
      <c r="U521" s="1">
        <v>15717538</v>
      </c>
      <c r="W521" s="1">
        <v>3498071</v>
      </c>
      <c r="Y521" s="1">
        <v>861465</v>
      </c>
      <c r="AA521" s="1">
        <v>17219782</v>
      </c>
      <c r="AC521" s="1">
        <v>11466296</v>
      </c>
      <c r="AE521" s="1">
        <v>6094728</v>
      </c>
      <c r="AG521" s="1">
        <v>8340945</v>
      </c>
      <c r="AI521" s="1">
        <v>1498385</v>
      </c>
      <c r="AK521" s="12" t="s">
        <v>340</v>
      </c>
      <c r="AL521" s="12"/>
      <c r="AM521" s="12" t="s">
        <v>27</v>
      </c>
      <c r="AN521" s="12"/>
      <c r="AO521" s="1">
        <v>2376629</v>
      </c>
      <c r="AQ521" s="1">
        <v>4032517</v>
      </c>
      <c r="AU521" s="1">
        <v>0</v>
      </c>
      <c r="AW521" s="1">
        <f t="shared" si="41"/>
        <v>234307704</v>
      </c>
      <c r="AY521" s="1">
        <v>32961600</v>
      </c>
      <c r="BA521" s="1">
        <v>96847072</v>
      </c>
      <c r="BC521" s="1">
        <f t="shared" si="42"/>
        <v>129808672</v>
      </c>
      <c r="BE521" s="1">
        <f>+'St of Net Assets - GA'!AA521-'St of Activities - GA Exp'!BC521</f>
        <v>0</v>
      </c>
    </row>
    <row r="522" spans="1:57" ht="12" hidden="1" customHeight="1">
      <c r="A522" s="17" t="s">
        <v>875</v>
      </c>
      <c r="B522" s="17"/>
      <c r="C522" s="17" t="s">
        <v>10</v>
      </c>
      <c r="D522" s="17"/>
      <c r="E522" s="13">
        <v>45807</v>
      </c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7" t="s">
        <v>875</v>
      </c>
      <c r="AL522" s="17"/>
      <c r="AM522" s="17" t="s">
        <v>10</v>
      </c>
      <c r="AN522" s="17"/>
      <c r="AO522" s="1"/>
      <c r="AP522" s="1"/>
      <c r="AQ522" s="1"/>
      <c r="AR522" s="1"/>
      <c r="AS522" s="1"/>
      <c r="AT522" s="1"/>
      <c r="AU522" s="1"/>
      <c r="AV522" s="1"/>
      <c r="AW522" s="1">
        <f t="shared" si="41"/>
        <v>0</v>
      </c>
      <c r="AY522" s="1">
        <v>0</v>
      </c>
      <c r="BC522" s="1">
        <f t="shared" si="42"/>
        <v>0</v>
      </c>
      <c r="BE522" s="1">
        <f>+'St of Net Assets - GA'!AA522-'St of Activities - GA Exp'!BC522</f>
        <v>0</v>
      </c>
    </row>
    <row r="523" spans="1:57" ht="12" hidden="1" customHeight="1">
      <c r="A523" s="17" t="s">
        <v>874</v>
      </c>
      <c r="B523" s="17"/>
      <c r="C523" s="17" t="s">
        <v>69</v>
      </c>
      <c r="D523" s="17"/>
      <c r="E523" s="13">
        <v>50427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7" t="s">
        <v>874</v>
      </c>
      <c r="AL523" s="17"/>
      <c r="AM523" s="17" t="s">
        <v>69</v>
      </c>
      <c r="AN523" s="17"/>
      <c r="AO523" s="1"/>
      <c r="AP523" s="1"/>
      <c r="AQ523" s="1"/>
      <c r="AR523" s="1"/>
      <c r="AS523" s="1"/>
      <c r="AT523" s="1"/>
      <c r="AU523" s="1"/>
      <c r="AV523" s="1"/>
      <c r="AW523" s="1">
        <f t="shared" si="41"/>
        <v>0</v>
      </c>
      <c r="AY523" s="1">
        <v>0</v>
      </c>
      <c r="BC523" s="1">
        <f t="shared" si="42"/>
        <v>0</v>
      </c>
      <c r="BE523" s="1">
        <f>+'St of Net Assets - GA'!AA523-'St of Activities - GA Exp'!BC523</f>
        <v>0</v>
      </c>
    </row>
    <row r="524" spans="1:57">
      <c r="A524" s="17" t="s">
        <v>761</v>
      </c>
      <c r="B524" s="17"/>
      <c r="C524" s="17" t="s">
        <v>17</v>
      </c>
      <c r="D524" s="17"/>
      <c r="E524" s="13"/>
      <c r="G524" s="1">
        <v>39305210</v>
      </c>
      <c r="H524" s="1"/>
      <c r="I524" s="1">
        <v>11654525</v>
      </c>
      <c r="J524" s="1"/>
      <c r="K524" s="1">
        <v>198117</v>
      </c>
      <c r="L524" s="1"/>
      <c r="M524" s="1">
        <f>119608+1488378</f>
        <v>1607986</v>
      </c>
      <c r="N524" s="1"/>
      <c r="O524" s="1">
        <v>6228605</v>
      </c>
      <c r="P524" s="1"/>
      <c r="Q524" s="1">
        <v>7482630</v>
      </c>
      <c r="R524" s="1"/>
      <c r="S524" s="1">
        <v>323239</v>
      </c>
      <c r="T524" s="1"/>
      <c r="U524" s="1">
        <v>6357072</v>
      </c>
      <c r="V524" s="1"/>
      <c r="W524" s="1">
        <v>1685061</v>
      </c>
      <c r="X524" s="1"/>
      <c r="Y524" s="1">
        <v>578731</v>
      </c>
      <c r="Z524" s="1"/>
      <c r="AA524" s="1">
        <v>8739837</v>
      </c>
      <c r="AB524" s="1"/>
      <c r="AC524" s="1">
        <v>2160195</v>
      </c>
      <c r="AD524" s="1"/>
      <c r="AE524" s="1">
        <v>616503</v>
      </c>
      <c r="AF524" s="1"/>
      <c r="AG524" s="1">
        <v>0</v>
      </c>
      <c r="AH524" s="1"/>
      <c r="AI524" s="1">
        <v>5475323</v>
      </c>
      <c r="AJ524" s="1"/>
      <c r="AK524" s="17" t="s">
        <v>761</v>
      </c>
      <c r="AL524" s="17"/>
      <c r="AM524" s="17" t="s">
        <v>17</v>
      </c>
      <c r="AN524" s="17"/>
      <c r="AO524" s="1">
        <v>758748</v>
      </c>
      <c r="AP524" s="1"/>
      <c r="AQ524" s="1">
        <v>2356708</v>
      </c>
      <c r="AR524" s="1"/>
      <c r="AS524" s="1"/>
      <c r="AT524" s="1"/>
      <c r="AU524" s="1">
        <v>4709637</v>
      </c>
      <c r="AV524" s="1"/>
      <c r="AW524" s="1">
        <f t="shared" si="41"/>
        <v>100238127</v>
      </c>
      <c r="AY524" s="1">
        <v>6356307</v>
      </c>
      <c r="BA524" s="1">
        <v>183161900</v>
      </c>
      <c r="BC524" s="1">
        <f t="shared" si="42"/>
        <v>189518207</v>
      </c>
      <c r="BE524" s="1">
        <f>+'St of Net Assets - GA'!AA524-'St of Activities - GA Exp'!BC524</f>
        <v>0</v>
      </c>
    </row>
    <row r="525" spans="1:57">
      <c r="A525" s="17" t="s">
        <v>899</v>
      </c>
      <c r="B525" s="17"/>
      <c r="C525" s="17" t="s">
        <v>117</v>
      </c>
      <c r="D525" s="17"/>
      <c r="E525" s="13">
        <v>48223</v>
      </c>
      <c r="G525" s="1">
        <v>19347619</v>
      </c>
      <c r="H525" s="1"/>
      <c r="I525" s="1">
        <v>4744873</v>
      </c>
      <c r="J525" s="1"/>
      <c r="K525" s="1">
        <v>308828</v>
      </c>
      <c r="L525" s="1"/>
      <c r="M525" s="1">
        <f>2379461+784746</f>
        <v>3164207</v>
      </c>
      <c r="N525" s="1"/>
      <c r="O525" s="1">
        <v>1875362</v>
      </c>
      <c r="P525" s="1"/>
      <c r="Q525" s="1">
        <v>637677</v>
      </c>
      <c r="R525" s="1"/>
      <c r="S525" s="1">
        <v>29758</v>
      </c>
      <c r="T525" s="1"/>
      <c r="U525" s="1">
        <v>3159130</v>
      </c>
      <c r="V525" s="1"/>
      <c r="W525" s="1">
        <v>792169</v>
      </c>
      <c r="X525" s="1"/>
      <c r="Y525" s="1">
        <v>0</v>
      </c>
      <c r="Z525" s="1"/>
      <c r="AA525" s="1">
        <v>3356485</v>
      </c>
      <c r="AB525" s="1"/>
      <c r="AC525" s="1">
        <v>2024828</v>
      </c>
      <c r="AD525" s="1"/>
      <c r="AE525" s="1">
        <v>160294</v>
      </c>
      <c r="AF525" s="1"/>
      <c r="AG525" s="1">
        <v>0</v>
      </c>
      <c r="AH525" s="1"/>
      <c r="AI525" s="1">
        <v>2667323</v>
      </c>
      <c r="AJ525" s="1"/>
      <c r="AK525" s="17" t="s">
        <v>899</v>
      </c>
      <c r="AL525" s="17"/>
      <c r="AM525" s="17" t="s">
        <v>117</v>
      </c>
      <c r="AN525" s="17"/>
      <c r="AO525" s="1">
        <v>1227737</v>
      </c>
      <c r="AP525" s="1"/>
      <c r="AQ525" s="1">
        <v>648294</v>
      </c>
      <c r="AR525" s="1"/>
      <c r="AS525" s="1"/>
      <c r="AT525" s="1"/>
      <c r="AU525" s="1">
        <v>0</v>
      </c>
      <c r="AV525" s="1"/>
      <c r="AW525" s="1">
        <f t="shared" si="41"/>
        <v>44144584</v>
      </c>
      <c r="AY525" s="1">
        <v>-826272</v>
      </c>
      <c r="BA525" s="1">
        <v>10217196</v>
      </c>
      <c r="BC525" s="1">
        <f t="shared" si="42"/>
        <v>9390924</v>
      </c>
      <c r="BE525" s="1">
        <f>+'St of Net Assets - GA'!AA525-'St of Activities - GA Exp'!BC525</f>
        <v>0</v>
      </c>
    </row>
    <row r="526" spans="1:57">
      <c r="A526" s="17" t="s">
        <v>453</v>
      </c>
      <c r="B526" s="17"/>
      <c r="C526" s="17" t="s">
        <v>45</v>
      </c>
      <c r="D526" s="17"/>
      <c r="E526" s="13">
        <v>48371</v>
      </c>
      <c r="G526" s="1">
        <v>4753065</v>
      </c>
      <c r="H526" s="1"/>
      <c r="I526" s="1">
        <v>913846</v>
      </c>
      <c r="J526" s="1"/>
      <c r="K526" s="1">
        <v>188801</v>
      </c>
      <c r="L526" s="1"/>
      <c r="M526" s="1">
        <v>136865</v>
      </c>
      <c r="N526" s="1"/>
      <c r="O526" s="1">
        <v>551071</v>
      </c>
      <c r="P526" s="1"/>
      <c r="Q526" s="1">
        <v>506357</v>
      </c>
      <c r="R526" s="1"/>
      <c r="S526" s="1">
        <v>18541</v>
      </c>
      <c r="T526" s="1"/>
      <c r="U526" s="1">
        <v>1204947</v>
      </c>
      <c r="V526" s="1"/>
      <c r="W526" s="1">
        <v>322340</v>
      </c>
      <c r="X526" s="1"/>
      <c r="Y526" s="1">
        <v>3310</v>
      </c>
      <c r="Z526" s="1"/>
      <c r="AA526" s="1">
        <v>968988</v>
      </c>
      <c r="AB526" s="1"/>
      <c r="AC526" s="1">
        <v>541277</v>
      </c>
      <c r="AD526" s="1"/>
      <c r="AE526" s="1">
        <v>46010</v>
      </c>
      <c r="AF526" s="1"/>
      <c r="AG526" s="1">
        <v>524733</v>
      </c>
      <c r="AH526" s="1"/>
      <c r="AI526" s="1">
        <v>14644</v>
      </c>
      <c r="AJ526" s="1"/>
      <c r="AK526" s="17" t="s">
        <v>453</v>
      </c>
      <c r="AL526" s="17"/>
      <c r="AM526" s="17" t="s">
        <v>45</v>
      </c>
      <c r="AN526" s="17"/>
      <c r="AO526" s="1">
        <v>533109</v>
      </c>
      <c r="AP526" s="1"/>
      <c r="AQ526" s="1">
        <v>59868</v>
      </c>
      <c r="AR526" s="1"/>
      <c r="AS526" s="1"/>
      <c r="AT526" s="1"/>
      <c r="AU526" s="1">
        <v>0</v>
      </c>
      <c r="AV526" s="1"/>
      <c r="AW526" s="1">
        <f t="shared" si="41"/>
        <v>11287772</v>
      </c>
      <c r="AY526" s="1">
        <v>605081</v>
      </c>
      <c r="BA526" s="1">
        <v>5600772</v>
      </c>
      <c r="BC526" s="1">
        <f t="shared" si="42"/>
        <v>6205853</v>
      </c>
      <c r="BE526" s="1">
        <f>+'St of Net Assets - GA'!AA526-'St of Activities - GA Exp'!BC526</f>
        <v>0</v>
      </c>
    </row>
    <row r="527" spans="1:57">
      <c r="A527" s="17" t="s">
        <v>453</v>
      </c>
      <c r="B527" s="17"/>
      <c r="C527" s="17" t="s">
        <v>63</v>
      </c>
      <c r="D527" s="17"/>
      <c r="E527" s="13">
        <v>50062</v>
      </c>
      <c r="G527" s="1">
        <v>11091667</v>
      </c>
      <c r="H527" s="1"/>
      <c r="I527" s="1">
        <v>3575157</v>
      </c>
      <c r="J527" s="1"/>
      <c r="K527" s="1">
        <v>284150</v>
      </c>
      <c r="L527" s="1"/>
      <c r="M527" s="1">
        <v>2784522</v>
      </c>
      <c r="N527" s="1"/>
      <c r="O527" s="1">
        <v>1222100</v>
      </c>
      <c r="P527" s="1"/>
      <c r="Q527" s="1">
        <v>969423</v>
      </c>
      <c r="R527" s="1"/>
      <c r="S527" s="1">
        <v>77510</v>
      </c>
      <c r="T527" s="1"/>
      <c r="U527" s="1">
        <v>1595963</v>
      </c>
      <c r="V527" s="1"/>
      <c r="W527" s="1">
        <v>627573</v>
      </c>
      <c r="X527" s="1"/>
      <c r="Y527" s="1">
        <v>132421</v>
      </c>
      <c r="Z527" s="1"/>
      <c r="AA527" s="1">
        <v>2395539</v>
      </c>
      <c r="AB527" s="1"/>
      <c r="AC527" s="1">
        <v>1403749</v>
      </c>
      <c r="AD527" s="1"/>
      <c r="AE527" s="1">
        <v>62879</v>
      </c>
      <c r="AF527" s="1"/>
      <c r="AG527" s="1">
        <v>885426</v>
      </c>
      <c r="AH527" s="1"/>
      <c r="AI527" s="1">
        <f>2406+41224</f>
        <v>43630</v>
      </c>
      <c r="AJ527" s="1"/>
      <c r="AK527" s="17" t="s">
        <v>453</v>
      </c>
      <c r="AL527" s="17"/>
      <c r="AM527" s="17" t="s">
        <v>63</v>
      </c>
      <c r="AN527" s="17"/>
      <c r="AO527" s="1">
        <v>641066</v>
      </c>
      <c r="AP527" s="1"/>
      <c r="AQ527" s="1">
        <v>81193</v>
      </c>
      <c r="AR527" s="1"/>
      <c r="AS527" s="1"/>
      <c r="AT527" s="1"/>
      <c r="AU527" s="1">
        <v>0</v>
      </c>
      <c r="AV527" s="1"/>
      <c r="AW527" s="1">
        <f t="shared" si="41"/>
        <v>27873968</v>
      </c>
      <c r="AY527" s="1">
        <v>1392413</v>
      </c>
      <c r="BA527" s="1">
        <v>201314</v>
      </c>
      <c r="BC527" s="1">
        <f t="shared" si="42"/>
        <v>1593727</v>
      </c>
      <c r="BE527" s="1">
        <f>+'St of Net Assets - GA'!AA527-'St of Activities - GA Exp'!BC527</f>
        <v>0</v>
      </c>
    </row>
    <row r="528" spans="1:57">
      <c r="A528" s="17" t="s">
        <v>770</v>
      </c>
      <c r="B528" s="17"/>
      <c r="C528" s="17" t="s">
        <v>32</v>
      </c>
      <c r="D528" s="17"/>
      <c r="E528" s="13">
        <v>44719</v>
      </c>
      <c r="G528" s="1">
        <v>5657379</v>
      </c>
      <c r="H528" s="1"/>
      <c r="I528" s="1">
        <v>1460382</v>
      </c>
      <c r="J528" s="1"/>
      <c r="K528" s="1">
        <v>0</v>
      </c>
      <c r="L528" s="1"/>
      <c r="M528" s="1">
        <v>20834</v>
      </c>
      <c r="N528" s="1"/>
      <c r="O528" s="1">
        <v>848509</v>
      </c>
      <c r="P528" s="1"/>
      <c r="Q528" s="1">
        <v>799212</v>
      </c>
      <c r="R528" s="1"/>
      <c r="S528" s="1">
        <v>12912</v>
      </c>
      <c r="T528" s="1"/>
      <c r="U528" s="1">
        <v>858779</v>
      </c>
      <c r="V528" s="1"/>
      <c r="W528" s="1">
        <v>465227</v>
      </c>
      <c r="X528" s="1"/>
      <c r="Y528" s="1">
        <v>0</v>
      </c>
      <c r="Z528" s="1"/>
      <c r="AA528" s="1">
        <v>1167499</v>
      </c>
      <c r="AB528" s="1"/>
      <c r="AC528" s="1">
        <v>357015</v>
      </c>
      <c r="AD528" s="1"/>
      <c r="AE528" s="1">
        <v>157145</v>
      </c>
      <c r="AF528" s="1"/>
      <c r="AG528" s="1">
        <v>0</v>
      </c>
      <c r="AH528" s="1"/>
      <c r="AI528" s="1">
        <v>966333</v>
      </c>
      <c r="AJ528" s="1"/>
      <c r="AK528" s="17" t="s">
        <v>770</v>
      </c>
      <c r="AL528" s="17"/>
      <c r="AM528" s="17" t="s">
        <v>32</v>
      </c>
      <c r="AN528" s="17"/>
      <c r="AO528" s="1">
        <v>187527</v>
      </c>
      <c r="AP528" s="1"/>
      <c r="AQ528" s="1">
        <v>78199</v>
      </c>
      <c r="AR528" s="1"/>
      <c r="AS528" s="1"/>
      <c r="AT528" s="1"/>
      <c r="AU528" s="1">
        <v>0</v>
      </c>
      <c r="AV528" s="1"/>
      <c r="AW528" s="1">
        <f t="shared" si="41"/>
        <v>13036952</v>
      </c>
      <c r="AY528" s="1">
        <v>1852595</v>
      </c>
      <c r="BA528" s="1">
        <v>5484156</v>
      </c>
      <c r="BC528" s="1">
        <f t="shared" si="42"/>
        <v>7336751</v>
      </c>
      <c r="BE528" s="1">
        <f>+'St of Net Assets - GA'!AA528-'St of Activities - GA Exp'!BC528</f>
        <v>0</v>
      </c>
    </row>
    <row r="529" spans="1:57">
      <c r="A529" s="17" t="s">
        <v>769</v>
      </c>
      <c r="B529" s="17"/>
      <c r="C529" s="17" t="s">
        <v>15</v>
      </c>
      <c r="D529" s="17"/>
      <c r="E529" s="13">
        <v>45997</v>
      </c>
      <c r="G529" s="1">
        <v>7129267</v>
      </c>
      <c r="H529" s="1"/>
      <c r="I529" s="1">
        <v>1639945</v>
      </c>
      <c r="J529" s="1"/>
      <c r="K529" s="1">
        <v>29665</v>
      </c>
      <c r="L529" s="1"/>
      <c r="M529" s="1">
        <v>0</v>
      </c>
      <c r="N529" s="1"/>
      <c r="O529" s="1">
        <v>917601</v>
      </c>
      <c r="P529" s="1"/>
      <c r="Q529" s="1">
        <v>620641</v>
      </c>
      <c r="R529" s="1"/>
      <c r="S529" s="1">
        <v>26130</v>
      </c>
      <c r="T529" s="1"/>
      <c r="U529" s="1">
        <v>1124291</v>
      </c>
      <c r="V529" s="1"/>
      <c r="W529" s="1">
        <v>488311</v>
      </c>
      <c r="X529" s="1"/>
      <c r="Y529" s="1">
        <v>0</v>
      </c>
      <c r="Z529" s="1"/>
      <c r="AA529" s="1">
        <v>1319792</v>
      </c>
      <c r="AB529" s="1"/>
      <c r="AC529" s="1">
        <v>692680</v>
      </c>
      <c r="AD529" s="1"/>
      <c r="AE529" s="1">
        <v>267713</v>
      </c>
      <c r="AF529" s="1"/>
      <c r="AG529" s="1">
        <v>458435</v>
      </c>
      <c r="AH529" s="1"/>
      <c r="AI529" s="1">
        <v>194263</v>
      </c>
      <c r="AJ529" s="1"/>
      <c r="AK529" s="17" t="s">
        <v>769</v>
      </c>
      <c r="AL529" s="17"/>
      <c r="AM529" s="17" t="s">
        <v>15</v>
      </c>
      <c r="AN529" s="17"/>
      <c r="AO529" s="1">
        <v>608227</v>
      </c>
      <c r="AP529" s="1"/>
      <c r="AQ529" s="1">
        <v>203908</v>
      </c>
      <c r="AR529" s="1"/>
      <c r="AS529" s="1"/>
      <c r="AT529" s="1"/>
      <c r="AU529" s="1">
        <v>0</v>
      </c>
      <c r="AV529" s="1"/>
      <c r="AW529" s="1">
        <f t="shared" si="41"/>
        <v>15720869</v>
      </c>
      <c r="AY529" s="1">
        <v>209291</v>
      </c>
      <c r="BA529" s="1">
        <v>8110537</v>
      </c>
      <c r="BC529" s="1">
        <f t="shared" si="42"/>
        <v>8319828</v>
      </c>
      <c r="BE529" s="1">
        <f>+'St of Net Assets - GA'!AA529-'St of Activities - GA Exp'!BC529</f>
        <v>0</v>
      </c>
    </row>
    <row r="530" spans="1:57" ht="12" hidden="1" customHeight="1">
      <c r="A530" s="17" t="s">
        <v>876</v>
      </c>
      <c r="B530" s="17"/>
      <c r="C530" s="17" t="s">
        <v>486</v>
      </c>
      <c r="D530" s="17"/>
      <c r="E530" s="13">
        <v>48587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7" t="s">
        <v>876</v>
      </c>
      <c r="AL530" s="17"/>
      <c r="AM530" s="17" t="s">
        <v>486</v>
      </c>
      <c r="AN530" s="17"/>
      <c r="AO530" s="1"/>
      <c r="AP530" s="1"/>
      <c r="AQ530" s="1"/>
      <c r="AR530" s="1"/>
      <c r="AS530" s="1"/>
      <c r="AT530" s="1"/>
      <c r="AU530" s="1"/>
      <c r="AV530" s="1"/>
      <c r="AW530" s="1">
        <f t="shared" si="41"/>
        <v>0</v>
      </c>
      <c r="AY530" s="1">
        <v>0</v>
      </c>
      <c r="BC530" s="1">
        <f t="shared" si="42"/>
        <v>0</v>
      </c>
      <c r="BE530" s="1">
        <f>+'St of Net Assets - GA'!AA530-'St of Activities - GA Exp'!BC530</f>
        <v>0</v>
      </c>
    </row>
    <row r="531" spans="1:57" ht="12" hidden="1" customHeight="1">
      <c r="A531" s="17" t="s">
        <v>877</v>
      </c>
      <c r="B531" s="17"/>
      <c r="C531" s="17" t="s">
        <v>14</v>
      </c>
      <c r="D531" s="17"/>
      <c r="E531" s="13">
        <v>44727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7" t="s">
        <v>877</v>
      </c>
      <c r="AL531" s="17"/>
      <c r="AM531" s="17" t="s">
        <v>14</v>
      </c>
      <c r="AN531" s="17"/>
      <c r="AO531" s="1"/>
      <c r="AP531" s="1"/>
      <c r="AQ531" s="1"/>
      <c r="AR531" s="1"/>
      <c r="AS531" s="1"/>
      <c r="AT531" s="1"/>
      <c r="AU531" s="1"/>
      <c r="AV531" s="1"/>
      <c r="AW531" s="1">
        <f t="shared" si="41"/>
        <v>0</v>
      </c>
      <c r="AY531" s="1">
        <v>0</v>
      </c>
      <c r="BC531" s="1">
        <f t="shared" si="42"/>
        <v>0</v>
      </c>
      <c r="BE531" s="1">
        <f>+'St of Net Assets - GA'!AA531-'St of Activities - GA Exp'!BC531</f>
        <v>0</v>
      </c>
    </row>
    <row r="532" spans="1:57">
      <c r="A532" s="17" t="s">
        <v>412</v>
      </c>
      <c r="B532" s="17"/>
      <c r="C532" s="17" t="s">
        <v>39</v>
      </c>
      <c r="D532" s="17"/>
      <c r="E532" s="13">
        <v>44826</v>
      </c>
      <c r="G532" s="1">
        <v>9800818</v>
      </c>
      <c r="H532" s="1"/>
      <c r="I532" s="1">
        <v>4335754</v>
      </c>
      <c r="J532" s="1"/>
      <c r="K532" s="1">
        <v>1010280</v>
      </c>
      <c r="L532" s="1"/>
      <c r="M532" s="1">
        <v>173691</v>
      </c>
      <c r="N532" s="1"/>
      <c r="O532" s="1">
        <v>1057873</v>
      </c>
      <c r="P532" s="1"/>
      <c r="Q532" s="1">
        <v>766315</v>
      </c>
      <c r="R532" s="1"/>
      <c r="S532" s="1">
        <v>46747</v>
      </c>
      <c r="T532" s="1"/>
      <c r="U532" s="1">
        <v>2142957</v>
      </c>
      <c r="V532" s="1"/>
      <c r="W532" s="1">
        <v>390321</v>
      </c>
      <c r="X532" s="1"/>
      <c r="Y532" s="1">
        <v>229797</v>
      </c>
      <c r="Z532" s="1"/>
      <c r="AA532" s="1">
        <v>2162219</v>
      </c>
      <c r="AB532" s="1"/>
      <c r="AC532" s="1">
        <v>578767</v>
      </c>
      <c r="AD532" s="1"/>
      <c r="AE532" s="1">
        <v>69549</v>
      </c>
      <c r="AF532" s="1"/>
      <c r="AG532" s="1">
        <v>890683</v>
      </c>
      <c r="AH532" s="1"/>
      <c r="AI532" s="1">
        <v>453428</v>
      </c>
      <c r="AJ532" s="1"/>
      <c r="AK532" s="17" t="s">
        <v>412</v>
      </c>
      <c r="AL532" s="17"/>
      <c r="AM532" s="17" t="s">
        <v>39</v>
      </c>
      <c r="AN532" s="17"/>
      <c r="AO532" s="1">
        <v>746503</v>
      </c>
      <c r="AP532" s="1"/>
      <c r="AQ532" s="1">
        <v>516376</v>
      </c>
      <c r="AR532" s="1"/>
      <c r="AS532" s="1"/>
      <c r="AT532" s="1"/>
      <c r="AU532" s="1">
        <v>0</v>
      </c>
      <c r="AV532" s="1"/>
      <c r="AW532" s="1">
        <f t="shared" ref="AW532:AW562" si="43">SUM(G532:AV532)</f>
        <v>25372078</v>
      </c>
      <c r="AY532" s="1">
        <v>809143</v>
      </c>
      <c r="BA532" s="1">
        <v>54351241</v>
      </c>
      <c r="BC532" s="1">
        <f t="shared" si="42"/>
        <v>55160384</v>
      </c>
      <c r="BE532" s="1">
        <f>+'St of Net Assets - GA'!AA532-'St of Activities - GA Exp'!BC532</f>
        <v>0</v>
      </c>
    </row>
    <row r="533" spans="1:57">
      <c r="A533" s="17" t="s">
        <v>595</v>
      </c>
      <c r="B533" s="17"/>
      <c r="C533" s="17" t="s">
        <v>63</v>
      </c>
      <c r="D533" s="17"/>
      <c r="E533" s="13">
        <v>44834</v>
      </c>
      <c r="G533" s="1">
        <v>25754244</v>
      </c>
      <c r="H533" s="1"/>
      <c r="I533" s="1">
        <v>5128781</v>
      </c>
      <c r="J533" s="1"/>
      <c r="K533" s="1">
        <v>1625972</v>
      </c>
      <c r="L533" s="1"/>
      <c r="M533" s="1">
        <v>338078</v>
      </c>
      <c r="N533" s="1"/>
      <c r="O533" s="1">
        <v>3072569</v>
      </c>
      <c r="P533" s="1"/>
      <c r="Q533" s="1">
        <v>2416922</v>
      </c>
      <c r="R533" s="1"/>
      <c r="S533" s="1">
        <v>232490</v>
      </c>
      <c r="T533" s="1"/>
      <c r="U533" s="1">
        <v>3217318</v>
      </c>
      <c r="V533" s="1"/>
      <c r="W533" s="1">
        <v>1198534</v>
      </c>
      <c r="X533" s="1"/>
      <c r="Y533" s="1">
        <v>151624</v>
      </c>
      <c r="Z533" s="1"/>
      <c r="AA533" s="1">
        <v>5304788</v>
      </c>
      <c r="AB533" s="1"/>
      <c r="AC533" s="1">
        <v>3273312</v>
      </c>
      <c r="AD533" s="1"/>
      <c r="AE533" s="1">
        <v>652505</v>
      </c>
      <c r="AF533" s="1"/>
      <c r="AG533" s="1">
        <v>1264556</v>
      </c>
      <c r="AH533" s="1"/>
      <c r="AI533" s="1">
        <v>441929</v>
      </c>
      <c r="AJ533" s="1"/>
      <c r="AK533" s="17" t="s">
        <v>595</v>
      </c>
      <c r="AL533" s="17"/>
      <c r="AM533" s="17" t="s">
        <v>63</v>
      </c>
      <c r="AN533" s="17"/>
      <c r="AO533" s="1">
        <v>1135002</v>
      </c>
      <c r="AP533" s="1"/>
      <c r="AQ533" s="1">
        <v>139186</v>
      </c>
      <c r="AR533" s="1"/>
      <c r="AS533" s="1"/>
      <c r="AT533" s="1"/>
      <c r="AU533" s="1">
        <v>0</v>
      </c>
      <c r="AV533" s="1"/>
      <c r="AW533" s="1">
        <f t="shared" si="43"/>
        <v>55347810</v>
      </c>
      <c r="AY533" s="1">
        <v>1635641</v>
      </c>
      <c r="BA533" s="1">
        <v>20365154</v>
      </c>
      <c r="BC533" s="1">
        <f t="shared" si="42"/>
        <v>22000795</v>
      </c>
      <c r="BE533" s="1">
        <f>+'St of Net Assets - GA'!AA533-'St of Activities - GA Exp'!BC533</f>
        <v>0</v>
      </c>
    </row>
    <row r="534" spans="1:57" hidden="1">
      <c r="A534" s="12" t="s">
        <v>878</v>
      </c>
      <c r="B534" s="17"/>
      <c r="C534" s="17" t="s">
        <v>65</v>
      </c>
      <c r="D534" s="17"/>
      <c r="E534" s="13">
        <v>50294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2" t="s">
        <v>878</v>
      </c>
      <c r="AL534" s="17"/>
      <c r="AM534" s="17" t="s">
        <v>65</v>
      </c>
      <c r="AN534" s="17"/>
      <c r="AO534" s="1"/>
      <c r="AP534" s="1"/>
      <c r="AQ534" s="1"/>
      <c r="AR534" s="1"/>
      <c r="AS534" s="1"/>
      <c r="AT534" s="1"/>
      <c r="AU534" s="1"/>
      <c r="AV534" s="1"/>
      <c r="AW534" s="1">
        <f t="shared" si="43"/>
        <v>0</v>
      </c>
      <c r="AY534" s="1">
        <v>0</v>
      </c>
      <c r="BC534" s="1">
        <f t="shared" si="42"/>
        <v>0</v>
      </c>
      <c r="BE534" s="1">
        <f>+'St of Net Assets - GA'!AA534-'St of Activities - GA Exp'!BC534</f>
        <v>0</v>
      </c>
    </row>
    <row r="535" spans="1:57">
      <c r="A535" s="17" t="s">
        <v>538</v>
      </c>
      <c r="B535" s="17"/>
      <c r="C535" s="17" t="s">
        <v>56</v>
      </c>
      <c r="D535" s="17"/>
      <c r="E535" s="13">
        <v>49239</v>
      </c>
      <c r="G535" s="1">
        <v>10867617</v>
      </c>
      <c r="H535" s="1"/>
      <c r="I535" s="1">
        <v>1688987</v>
      </c>
      <c r="J535" s="1"/>
      <c r="K535" s="1">
        <v>92571</v>
      </c>
      <c r="L535" s="1"/>
      <c r="M535" s="1">
        <f>189905+881680</f>
        <v>1071585</v>
      </c>
      <c r="N535" s="1"/>
      <c r="O535" s="1">
        <v>1386910</v>
      </c>
      <c r="P535" s="1"/>
      <c r="Q535" s="1">
        <v>1313085</v>
      </c>
      <c r="R535" s="1"/>
      <c r="S535" s="1">
        <v>220247</v>
      </c>
      <c r="T535" s="1"/>
      <c r="U535" s="1">
        <v>1631604</v>
      </c>
      <c r="V535" s="1"/>
      <c r="W535" s="1">
        <v>661743</v>
      </c>
      <c r="X535" s="1"/>
      <c r="Y535" s="1">
        <v>98336</v>
      </c>
      <c r="Z535" s="1"/>
      <c r="AA535" s="1">
        <v>2067763</v>
      </c>
      <c r="AB535" s="1"/>
      <c r="AC535" s="1">
        <v>963163</v>
      </c>
      <c r="AD535" s="1"/>
      <c r="AE535" s="1">
        <v>99799</v>
      </c>
      <c r="AF535" s="1"/>
      <c r="AG535" s="1">
        <v>827566</v>
      </c>
      <c r="AH535" s="1"/>
      <c r="AI535" s="1">
        <v>165011</v>
      </c>
      <c r="AJ535" s="1"/>
      <c r="AK535" s="12" t="s">
        <v>538</v>
      </c>
      <c r="AL535" s="12"/>
      <c r="AM535" s="12" t="s">
        <v>56</v>
      </c>
      <c r="AN535" s="12"/>
      <c r="AO535" s="1">
        <v>617328</v>
      </c>
      <c r="AP535" s="1"/>
      <c r="AQ535" s="1">
        <v>710079</v>
      </c>
      <c r="AR535" s="1"/>
      <c r="AS535" s="1"/>
      <c r="AT535" s="1"/>
      <c r="AU535" s="1">
        <v>0</v>
      </c>
      <c r="AV535" s="1"/>
      <c r="AW535" s="1">
        <f t="shared" si="43"/>
        <v>24483394</v>
      </c>
      <c r="AY535" s="1">
        <v>1351662</v>
      </c>
      <c r="BA535" s="1">
        <v>2467545</v>
      </c>
      <c r="BC535" s="1">
        <f t="shared" si="42"/>
        <v>3819207</v>
      </c>
      <c r="BE535" s="1">
        <f>+'St of Net Assets - GA'!AA535-'St of Activities - GA Exp'!BC535</f>
        <v>0</v>
      </c>
    </row>
    <row r="536" spans="1:57">
      <c r="A536" s="17" t="s">
        <v>306</v>
      </c>
      <c r="B536" s="17"/>
      <c r="C536" s="17" t="s">
        <v>20</v>
      </c>
      <c r="D536" s="17"/>
      <c r="E536" s="13">
        <v>44842</v>
      </c>
      <c r="G536" s="1">
        <v>45356256</v>
      </c>
      <c r="H536" s="1"/>
      <c r="I536" s="1">
        <v>5879893</v>
      </c>
      <c r="J536" s="1"/>
      <c r="K536" s="1">
        <v>315403</v>
      </c>
      <c r="L536" s="1"/>
      <c r="M536" s="1">
        <f>33336+66627</f>
        <v>99963</v>
      </c>
      <c r="N536" s="1"/>
      <c r="O536" s="1">
        <v>3428104</v>
      </c>
      <c r="P536" s="1"/>
      <c r="Q536" s="1">
        <v>3421655</v>
      </c>
      <c r="R536" s="1"/>
      <c r="S536" s="1">
        <v>41747</v>
      </c>
      <c r="T536" s="1"/>
      <c r="U536" s="1">
        <v>3699060</v>
      </c>
      <c r="V536" s="1"/>
      <c r="W536" s="1">
        <v>6392282</v>
      </c>
      <c r="X536" s="1"/>
      <c r="Y536" s="1">
        <v>466978</v>
      </c>
      <c r="Z536" s="1"/>
      <c r="AA536" s="1">
        <v>8237541</v>
      </c>
      <c r="AB536" s="1"/>
      <c r="AC536" s="1">
        <v>3916644</v>
      </c>
      <c r="AD536" s="1"/>
      <c r="AE536" s="1">
        <v>789965</v>
      </c>
      <c r="AF536" s="1"/>
      <c r="AG536" s="1">
        <v>2150152</v>
      </c>
      <c r="AH536" s="1"/>
      <c r="AI536" s="1">
        <v>542479</v>
      </c>
      <c r="AJ536" s="1"/>
      <c r="AK536" s="17" t="s">
        <v>306</v>
      </c>
      <c r="AL536" s="17"/>
      <c r="AM536" s="17" t="s">
        <v>20</v>
      </c>
      <c r="AN536" s="17"/>
      <c r="AO536" s="1">
        <v>641519</v>
      </c>
      <c r="AP536" s="1"/>
      <c r="AQ536" s="1">
        <v>1062325</v>
      </c>
      <c r="AR536" s="1"/>
      <c r="AS536" s="1"/>
      <c r="AT536" s="1"/>
      <c r="AU536" s="1">
        <v>0</v>
      </c>
      <c r="AV536" s="1"/>
      <c r="AW536" s="1">
        <f t="shared" si="43"/>
        <v>86441966</v>
      </c>
      <c r="AY536" s="1">
        <v>-898622</v>
      </c>
      <c r="BA536" s="1">
        <v>22601778</v>
      </c>
      <c r="BC536" s="1">
        <f t="shared" si="42"/>
        <v>21703156</v>
      </c>
      <c r="BE536" s="1">
        <f>+'St of Net Assets - GA'!AA536-'St of Activities - GA Exp'!BC536</f>
        <v>0</v>
      </c>
    </row>
    <row r="537" spans="1:57" ht="12" customHeight="1">
      <c r="A537" s="17" t="s">
        <v>470</v>
      </c>
      <c r="B537" s="17"/>
      <c r="C537" s="17" t="s">
        <v>45</v>
      </c>
      <c r="D537" s="17"/>
      <c r="E537" s="13">
        <v>44859</v>
      </c>
      <c r="G537" s="1">
        <v>8814013</v>
      </c>
      <c r="H537" s="1"/>
      <c r="I537" s="1">
        <v>3042458</v>
      </c>
      <c r="J537" s="1"/>
      <c r="K537" s="1">
        <v>448224</v>
      </c>
      <c r="L537" s="1"/>
      <c r="M537" s="1">
        <v>993756</v>
      </c>
      <c r="N537" s="1"/>
      <c r="O537" s="1">
        <v>492710</v>
      </c>
      <c r="P537" s="1"/>
      <c r="Q537" s="1">
        <v>233801</v>
      </c>
      <c r="R537" s="1"/>
      <c r="S537" s="1">
        <v>54251</v>
      </c>
      <c r="T537" s="1"/>
      <c r="U537" s="1">
        <v>1044826</v>
      </c>
      <c r="V537" s="1"/>
      <c r="W537" s="1">
        <v>445488</v>
      </c>
      <c r="X537" s="1"/>
      <c r="Y537" s="1">
        <v>50406</v>
      </c>
      <c r="Z537" s="1"/>
      <c r="AA537" s="1">
        <v>2709013</v>
      </c>
      <c r="AB537" s="1"/>
      <c r="AC537" s="1">
        <v>503725</v>
      </c>
      <c r="AD537" s="1"/>
      <c r="AE537" s="1">
        <v>39054</v>
      </c>
      <c r="AF537" s="1"/>
      <c r="AG537" s="1">
        <v>756548</v>
      </c>
      <c r="AH537" s="1"/>
      <c r="AI537" s="1">
        <v>159676</v>
      </c>
      <c r="AJ537" s="1"/>
      <c r="AK537" s="17" t="s">
        <v>470</v>
      </c>
      <c r="AL537" s="17"/>
      <c r="AM537" s="17" t="s">
        <v>45</v>
      </c>
      <c r="AN537" s="17"/>
      <c r="AO537" s="1">
        <v>563290</v>
      </c>
      <c r="AP537" s="1"/>
      <c r="AQ537" s="1">
        <v>246490</v>
      </c>
      <c r="AR537" s="1"/>
      <c r="AS537" s="1"/>
      <c r="AT537" s="1"/>
      <c r="AU537" s="1">
        <v>0</v>
      </c>
      <c r="AV537" s="1"/>
      <c r="AW537" s="1">
        <f t="shared" si="43"/>
        <v>20597729</v>
      </c>
      <c r="AY537" s="1">
        <v>2007938</v>
      </c>
      <c r="BA537" s="1">
        <v>23816644</v>
      </c>
      <c r="BC537" s="1">
        <f t="shared" si="42"/>
        <v>25824582</v>
      </c>
      <c r="BE537" s="1">
        <f>+'St of Net Assets - GA'!AA537-'St of Activities - GA Exp'!BC537</f>
        <v>0</v>
      </c>
    </row>
    <row r="538" spans="1:57">
      <c r="A538" s="17" t="s">
        <v>645</v>
      </c>
      <c r="B538" s="17"/>
      <c r="C538" s="17" t="s">
        <v>643</v>
      </c>
      <c r="D538" s="17"/>
      <c r="E538" s="13">
        <v>50658</v>
      </c>
      <c r="G538" s="1">
        <v>2414469</v>
      </c>
      <c r="H538" s="1"/>
      <c r="I538" s="1">
        <v>441015</v>
      </c>
      <c r="J538" s="1"/>
      <c r="K538" s="1">
        <v>13174</v>
      </c>
      <c r="L538" s="1"/>
      <c r="M538" s="1">
        <f>13450+391863+10</f>
        <v>405323</v>
      </c>
      <c r="N538" s="1"/>
      <c r="O538" s="1">
        <v>182051</v>
      </c>
      <c r="P538" s="1"/>
      <c r="Q538" s="1">
        <v>227694</v>
      </c>
      <c r="R538" s="1"/>
      <c r="S538" s="1">
        <v>59758</v>
      </c>
      <c r="T538" s="1"/>
      <c r="U538" s="1">
        <v>338219</v>
      </c>
      <c r="V538" s="1"/>
      <c r="W538" s="1">
        <v>172339</v>
      </c>
      <c r="X538" s="1"/>
      <c r="Y538" s="1">
        <v>7664</v>
      </c>
      <c r="Z538" s="1"/>
      <c r="AA538" s="1">
        <v>298242</v>
      </c>
      <c r="AB538" s="1"/>
      <c r="AC538" s="1">
        <v>172357</v>
      </c>
      <c r="AD538" s="1"/>
      <c r="AE538" s="1">
        <v>29982</v>
      </c>
      <c r="AF538" s="1"/>
      <c r="AG538" s="1">
        <v>0</v>
      </c>
      <c r="AH538" s="1"/>
      <c r="AI538" s="1">
        <v>205703</v>
      </c>
      <c r="AJ538" s="1"/>
      <c r="AK538" s="17" t="s">
        <v>645</v>
      </c>
      <c r="AL538" s="17"/>
      <c r="AM538" s="17" t="s">
        <v>643</v>
      </c>
      <c r="AN538" s="17"/>
      <c r="AO538" s="1">
        <v>187523</v>
      </c>
      <c r="AP538" s="1"/>
      <c r="AQ538" s="1">
        <v>267057</v>
      </c>
      <c r="AR538" s="1"/>
      <c r="AS538" s="1"/>
      <c r="AT538" s="1"/>
      <c r="AU538" s="1">
        <v>0</v>
      </c>
      <c r="AV538" s="1"/>
      <c r="AW538" s="1">
        <f t="shared" si="43"/>
        <v>5422570</v>
      </c>
      <c r="AY538" s="1">
        <v>412785</v>
      </c>
      <c r="BA538" s="1">
        <v>9995564</v>
      </c>
      <c r="BC538" s="1">
        <f t="shared" si="42"/>
        <v>10408349</v>
      </c>
      <c r="BE538" s="1">
        <f>+'St of Net Assets - GA'!AA538-'St of Activities - GA Exp'!BC538</f>
        <v>0</v>
      </c>
    </row>
    <row r="539" spans="1:57">
      <c r="A539" s="17" t="s">
        <v>347</v>
      </c>
      <c r="B539" s="17"/>
      <c r="C539" s="17" t="s">
        <v>28</v>
      </c>
      <c r="D539" s="17"/>
      <c r="E539" s="13">
        <v>47092</v>
      </c>
      <c r="G539" s="1">
        <v>7528392</v>
      </c>
      <c r="H539" s="1"/>
      <c r="I539" s="1">
        <v>1735512</v>
      </c>
      <c r="J539" s="1"/>
      <c r="K539" s="1">
        <v>0</v>
      </c>
      <c r="L539" s="1"/>
      <c r="M539" s="1">
        <v>0</v>
      </c>
      <c r="N539" s="1"/>
      <c r="O539" s="1">
        <v>617258</v>
      </c>
      <c r="P539" s="1"/>
      <c r="Q539" s="1">
        <v>635142</v>
      </c>
      <c r="R539" s="1"/>
      <c r="S539" s="1">
        <v>19815</v>
      </c>
      <c r="T539" s="1"/>
      <c r="U539" s="1">
        <v>1355618</v>
      </c>
      <c r="V539" s="1"/>
      <c r="W539" s="1">
        <v>475698</v>
      </c>
      <c r="X539" s="1"/>
      <c r="Y539" s="1">
        <v>1768</v>
      </c>
      <c r="Z539" s="1"/>
      <c r="AA539" s="1">
        <v>1391154</v>
      </c>
      <c r="AB539" s="1"/>
      <c r="AC539" s="1">
        <v>872254</v>
      </c>
      <c r="AD539" s="1"/>
      <c r="AE539" s="1">
        <v>12601</v>
      </c>
      <c r="AF539" s="1"/>
      <c r="AG539" s="1">
        <v>0</v>
      </c>
      <c r="AH539" s="1"/>
      <c r="AI539" s="1">
        <v>691112</v>
      </c>
      <c r="AJ539" s="1"/>
      <c r="AK539" s="17" t="s">
        <v>347</v>
      </c>
      <c r="AL539" s="17"/>
      <c r="AM539" s="17" t="s">
        <v>28</v>
      </c>
      <c r="AN539" s="17"/>
      <c r="AO539" s="1">
        <v>529477</v>
      </c>
      <c r="AP539" s="1"/>
      <c r="AQ539" s="1">
        <v>647874</v>
      </c>
      <c r="AR539" s="1"/>
      <c r="AS539" s="1"/>
      <c r="AT539" s="1"/>
      <c r="AU539" s="1">
        <v>0</v>
      </c>
      <c r="AV539" s="1"/>
      <c r="AW539" s="1">
        <f t="shared" si="43"/>
        <v>16513675</v>
      </c>
      <c r="AY539" s="1">
        <v>189714</v>
      </c>
      <c r="BA539" s="1">
        <v>16607450</v>
      </c>
      <c r="BC539" s="1">
        <f t="shared" si="42"/>
        <v>16797164</v>
      </c>
      <c r="BE539" s="1">
        <f>+'St of Net Assets - GA'!AA539-'St of Activities - GA Exp'!BC539</f>
        <v>0</v>
      </c>
    </row>
    <row r="540" spans="1:57">
      <c r="A540" s="17" t="s">
        <v>760</v>
      </c>
      <c r="B540" s="17"/>
      <c r="C540" s="17" t="s">
        <v>49</v>
      </c>
      <c r="D540" s="17"/>
      <c r="E540" s="13">
        <v>48652</v>
      </c>
      <c r="G540" s="1">
        <v>10959950</v>
      </c>
      <c r="H540" s="1"/>
      <c r="I540" s="1">
        <v>3069516</v>
      </c>
      <c r="J540" s="1"/>
      <c r="K540" s="1">
        <v>2019149</v>
      </c>
      <c r="L540" s="1"/>
      <c r="M540" s="1">
        <v>1001</v>
      </c>
      <c r="N540" s="1"/>
      <c r="O540" s="1">
        <v>1167165</v>
      </c>
      <c r="P540" s="1"/>
      <c r="Q540" s="1">
        <v>789286</v>
      </c>
      <c r="R540" s="1"/>
      <c r="S540" s="1">
        <v>27058</v>
      </c>
      <c r="T540" s="1"/>
      <c r="U540" s="1">
        <v>2207778</v>
      </c>
      <c r="V540" s="1"/>
      <c r="W540" s="1">
        <v>804045</v>
      </c>
      <c r="X540" s="1"/>
      <c r="Y540" s="1">
        <v>0</v>
      </c>
      <c r="Z540" s="1"/>
      <c r="AA540" s="1">
        <v>1823479</v>
      </c>
      <c r="AB540" s="1"/>
      <c r="AC540" s="1">
        <v>3159328</v>
      </c>
      <c r="AD540" s="1"/>
      <c r="AE540" s="1">
        <v>120740</v>
      </c>
      <c r="AF540" s="1"/>
      <c r="AG540" s="1">
        <v>1365582</v>
      </c>
      <c r="AH540" s="1"/>
      <c r="AI540" s="1">
        <v>75945</v>
      </c>
      <c r="AJ540" s="1"/>
      <c r="AK540" s="17" t="s">
        <v>493</v>
      </c>
      <c r="AL540" s="17"/>
      <c r="AM540" s="17" t="s">
        <v>49</v>
      </c>
      <c r="AN540" s="17"/>
      <c r="AO540" s="1">
        <v>630908</v>
      </c>
      <c r="AP540" s="1"/>
      <c r="AQ540" s="1">
        <v>1403874</v>
      </c>
      <c r="AR540" s="1"/>
      <c r="AS540" s="1"/>
      <c r="AT540" s="1"/>
      <c r="AU540" s="1">
        <v>0</v>
      </c>
      <c r="AV540" s="1"/>
      <c r="AW540" s="1">
        <f t="shared" si="43"/>
        <v>29624804</v>
      </c>
      <c r="AY540" s="1">
        <v>53738730</v>
      </c>
      <c r="BA540" s="1">
        <v>6319505</v>
      </c>
      <c r="BC540" s="1">
        <f t="shared" si="42"/>
        <v>60058235</v>
      </c>
      <c r="BE540" s="1">
        <f>+'St of Net Assets - GA'!AA540-'St of Activities - GA Exp'!BC540</f>
        <v>0</v>
      </c>
    </row>
    <row r="541" spans="1:57">
      <c r="A541" s="17" t="s">
        <v>375</v>
      </c>
      <c r="B541" s="17"/>
      <c r="C541" s="17" t="s">
        <v>32</v>
      </c>
      <c r="D541" s="17"/>
      <c r="E541" s="13">
        <v>44867</v>
      </c>
      <c r="G541" s="1">
        <v>36827353</v>
      </c>
      <c r="H541" s="1"/>
      <c r="I541" s="1">
        <v>7372504</v>
      </c>
      <c r="J541" s="1"/>
      <c r="K541" s="1">
        <v>0</v>
      </c>
      <c r="L541" s="1"/>
      <c r="M541" s="1">
        <v>250459</v>
      </c>
      <c r="N541" s="1"/>
      <c r="O541" s="1">
        <v>4954867</v>
      </c>
      <c r="P541" s="1"/>
      <c r="Q541" s="1">
        <v>5301012</v>
      </c>
      <c r="R541" s="1"/>
      <c r="S541" s="1">
        <v>47091</v>
      </c>
      <c r="T541" s="1"/>
      <c r="U541" s="1">
        <v>5325365</v>
      </c>
      <c r="V541" s="1"/>
      <c r="W541" s="1">
        <v>1711104</v>
      </c>
      <c r="X541" s="1"/>
      <c r="Y541" s="1">
        <v>89216</v>
      </c>
      <c r="Z541" s="1"/>
      <c r="AA541" s="1">
        <v>8063191</v>
      </c>
      <c r="AB541" s="1"/>
      <c r="AC541" s="1">
        <v>5507976</v>
      </c>
      <c r="AD541" s="1"/>
      <c r="AE541" s="1">
        <v>2361606</v>
      </c>
      <c r="AF541" s="1"/>
      <c r="AG541" s="1">
        <v>0</v>
      </c>
      <c r="AH541" s="1"/>
      <c r="AI541" s="1">
        <v>3688982</v>
      </c>
      <c r="AJ541" s="1"/>
      <c r="AK541" s="17" t="s">
        <v>375</v>
      </c>
      <c r="AL541" s="17"/>
      <c r="AM541" s="17" t="s">
        <v>32</v>
      </c>
      <c r="AN541" s="17"/>
      <c r="AO541" s="1">
        <v>1624915</v>
      </c>
      <c r="AP541" s="1"/>
      <c r="AQ541" s="1">
        <v>2066474</v>
      </c>
      <c r="AR541" s="1"/>
      <c r="AS541" s="1"/>
      <c r="AT541" s="1"/>
      <c r="AU541" s="1">
        <v>0</v>
      </c>
      <c r="AV541" s="1"/>
      <c r="AW541" s="1">
        <f t="shared" si="43"/>
        <v>85192115</v>
      </c>
      <c r="AY541" s="1">
        <v>634278</v>
      </c>
      <c r="BA541" s="1">
        <v>72233394</v>
      </c>
      <c r="BC541" s="1">
        <f t="shared" si="42"/>
        <v>72867672</v>
      </c>
      <c r="BE541" s="1">
        <f>+'St of Net Assets - GA'!AA541-'St of Activities - GA Exp'!BC541</f>
        <v>0</v>
      </c>
    </row>
    <row r="542" spans="1:57">
      <c r="A542" s="17" t="s">
        <v>454</v>
      </c>
      <c r="B542" s="17"/>
      <c r="C542" s="17" t="s">
        <v>117</v>
      </c>
      <c r="D542" s="17"/>
      <c r="E542" s="13">
        <v>44875</v>
      </c>
      <c r="G542" s="1">
        <v>35544660</v>
      </c>
      <c r="H542" s="1"/>
      <c r="I542" s="1">
        <v>9262000</v>
      </c>
      <c r="J542" s="1"/>
      <c r="K542" s="1">
        <v>2300740</v>
      </c>
      <c r="L542" s="1"/>
      <c r="M542" s="1">
        <f>52272+1682695</f>
        <v>1734967</v>
      </c>
      <c r="N542" s="1"/>
      <c r="O542" s="1">
        <v>5776063</v>
      </c>
      <c r="P542" s="1"/>
      <c r="Q542" s="1">
        <v>5046879</v>
      </c>
      <c r="R542" s="1"/>
      <c r="S542" s="1">
        <v>26884</v>
      </c>
      <c r="T542" s="1"/>
      <c r="U542" s="1">
        <v>8895047</v>
      </c>
      <c r="V542" s="1"/>
      <c r="W542" s="1">
        <v>1740510</v>
      </c>
      <c r="X542" s="1"/>
      <c r="Y542" s="1">
        <v>192197</v>
      </c>
      <c r="Z542" s="1"/>
      <c r="AA542" s="1">
        <v>9670074</v>
      </c>
      <c r="AB542" s="1"/>
      <c r="AC542" s="1">
        <v>5310349</v>
      </c>
      <c r="AD542" s="1"/>
      <c r="AE542" s="1">
        <v>1207259</v>
      </c>
      <c r="AF542" s="1"/>
      <c r="AG542" s="1">
        <v>2158276</v>
      </c>
      <c r="AH542" s="1"/>
      <c r="AI542" s="1">
        <v>1098748</v>
      </c>
      <c r="AJ542" s="1"/>
      <c r="AK542" s="17" t="s">
        <v>454</v>
      </c>
      <c r="AL542" s="17"/>
      <c r="AM542" s="17" t="s">
        <v>117</v>
      </c>
      <c r="AN542" s="17"/>
      <c r="AO542" s="1">
        <v>2540507</v>
      </c>
      <c r="AP542" s="1"/>
      <c r="AQ542" s="1">
        <v>5315060</v>
      </c>
      <c r="AR542" s="1"/>
      <c r="AS542" s="1"/>
      <c r="AT542" s="1"/>
      <c r="AU542" s="1">
        <v>0</v>
      </c>
      <c r="AV542" s="1"/>
      <c r="AW542" s="1">
        <f t="shared" si="43"/>
        <v>97820220</v>
      </c>
      <c r="AY542" s="1">
        <v>-5918637</v>
      </c>
      <c r="BA542" s="1">
        <v>17744255</v>
      </c>
      <c r="BC542" s="1">
        <f t="shared" si="42"/>
        <v>11825618</v>
      </c>
      <c r="BE542" s="1">
        <f>+'St of Net Assets - GA'!AA542-'St of Activities - GA Exp'!BC542</f>
        <v>0</v>
      </c>
    </row>
    <row r="543" spans="1:57">
      <c r="A543" s="17" t="s">
        <v>426</v>
      </c>
      <c r="B543" s="17"/>
      <c r="C543" s="17" t="s">
        <v>420</v>
      </c>
      <c r="D543" s="17"/>
      <c r="E543" s="13">
        <v>47969</v>
      </c>
      <c r="G543" s="1">
        <v>4562686</v>
      </c>
      <c r="H543" s="1"/>
      <c r="I543" s="1">
        <v>1287148</v>
      </c>
      <c r="J543" s="1"/>
      <c r="K543" s="1">
        <v>219750</v>
      </c>
      <c r="L543" s="1"/>
      <c r="M543" s="1">
        <v>0</v>
      </c>
      <c r="N543" s="1"/>
      <c r="O543" s="1">
        <v>310699</v>
      </c>
      <c r="P543" s="1"/>
      <c r="Q543" s="1">
        <v>298981</v>
      </c>
      <c r="R543" s="1"/>
      <c r="S543" s="1">
        <v>73953</v>
      </c>
      <c r="T543" s="1"/>
      <c r="U543" s="1">
        <v>595981</v>
      </c>
      <c r="V543" s="1"/>
      <c r="W543" s="1">
        <v>352068</v>
      </c>
      <c r="X543" s="1"/>
      <c r="Y543" s="1">
        <v>0</v>
      </c>
      <c r="Z543" s="1"/>
      <c r="AA543" s="1">
        <v>813778</v>
      </c>
      <c r="AB543" s="1"/>
      <c r="AC543" s="1">
        <v>924800</v>
      </c>
      <c r="AD543" s="1"/>
      <c r="AE543" s="1">
        <v>99038</v>
      </c>
      <c r="AF543" s="1"/>
      <c r="AG543" s="1">
        <v>403295</v>
      </c>
      <c r="AH543" s="1"/>
      <c r="AI543" s="1">
        <v>2600</v>
      </c>
      <c r="AJ543" s="1"/>
      <c r="AK543" s="17" t="s">
        <v>426</v>
      </c>
      <c r="AL543" s="17"/>
      <c r="AM543" s="17" t="s">
        <v>420</v>
      </c>
      <c r="AN543" s="17"/>
      <c r="AO543" s="1">
        <v>225742</v>
      </c>
      <c r="AP543" s="1"/>
      <c r="AQ543" s="1">
        <v>46438</v>
      </c>
      <c r="AR543" s="1"/>
      <c r="AS543" s="1"/>
      <c r="AT543" s="1"/>
      <c r="AU543" s="1">
        <v>0</v>
      </c>
      <c r="AV543" s="1"/>
      <c r="AW543" s="1">
        <f t="shared" si="43"/>
        <v>10216957</v>
      </c>
      <c r="AY543" s="1">
        <v>-810843</v>
      </c>
      <c r="BA543" s="1">
        <v>13128497</v>
      </c>
      <c r="BC543" s="1">
        <f t="shared" si="42"/>
        <v>12317654</v>
      </c>
      <c r="BE543" s="1">
        <f>+'St of Net Assets - GA'!AA543-'St of Activities - GA Exp'!BC543</f>
        <v>0</v>
      </c>
    </row>
    <row r="544" spans="1:57">
      <c r="A544" s="17" t="s">
        <v>900</v>
      </c>
      <c r="B544" s="17"/>
      <c r="C544" s="17" t="s">
        <v>227</v>
      </c>
      <c r="D544" s="17"/>
      <c r="E544" s="13">
        <v>46151</v>
      </c>
      <c r="G544" s="1">
        <v>14828992</v>
      </c>
      <c r="H544" s="1"/>
      <c r="I544" s="1">
        <v>2859693</v>
      </c>
      <c r="J544" s="1"/>
      <c r="K544" s="1">
        <v>0</v>
      </c>
      <c r="L544" s="1"/>
      <c r="M544" s="1">
        <v>1039921</v>
      </c>
      <c r="N544" s="1"/>
      <c r="O544" s="1">
        <v>1965441</v>
      </c>
      <c r="P544" s="1"/>
      <c r="Q544" s="1">
        <v>2096062</v>
      </c>
      <c r="R544" s="1"/>
      <c r="S544" s="1">
        <v>56906</v>
      </c>
      <c r="T544" s="1"/>
      <c r="U544" s="1">
        <v>2252631</v>
      </c>
      <c r="V544" s="1"/>
      <c r="W544" s="1">
        <v>1288612</v>
      </c>
      <c r="X544" s="1"/>
      <c r="Y544" s="1">
        <v>1330</v>
      </c>
      <c r="Z544" s="1"/>
      <c r="AA544" s="1">
        <v>3243731</v>
      </c>
      <c r="AB544" s="1"/>
      <c r="AC544" s="1">
        <v>2332428</v>
      </c>
      <c r="AD544" s="1"/>
      <c r="AE544" s="1">
        <v>100370</v>
      </c>
      <c r="AF544" s="1"/>
      <c r="AG544" s="1">
        <v>1079875</v>
      </c>
      <c r="AH544" s="1"/>
      <c r="AI544" s="1">
        <v>127623</v>
      </c>
      <c r="AJ544" s="1"/>
      <c r="AK544" s="17" t="s">
        <v>900</v>
      </c>
      <c r="AL544" s="17"/>
      <c r="AM544" s="17" t="s">
        <v>227</v>
      </c>
      <c r="AN544" s="17"/>
      <c r="AO544" s="1">
        <v>667178</v>
      </c>
      <c r="AP544" s="1"/>
      <c r="AQ544" s="1">
        <v>1647820</v>
      </c>
      <c r="AR544" s="1"/>
      <c r="AS544" s="1"/>
      <c r="AT544" s="1"/>
      <c r="AU544" s="1">
        <v>0</v>
      </c>
      <c r="AV544" s="1"/>
      <c r="AW544" s="1">
        <f t="shared" si="43"/>
        <v>35588613</v>
      </c>
      <c r="AY544" s="1">
        <v>3520424</v>
      </c>
      <c r="BA544" s="1">
        <v>24612808</v>
      </c>
      <c r="BC544" s="1">
        <f t="shared" si="42"/>
        <v>28133232</v>
      </c>
      <c r="BE544" s="1">
        <f>+'St of Net Assets - GA'!AA544-'St of Activities - GA Exp'!BC544</f>
        <v>0</v>
      </c>
    </row>
    <row r="545" spans="1:57">
      <c r="A545" s="17" t="s">
        <v>596</v>
      </c>
      <c r="B545" s="17"/>
      <c r="C545" s="17" t="s">
        <v>63</v>
      </c>
      <c r="D545" s="17"/>
      <c r="E545" s="13">
        <v>44883</v>
      </c>
      <c r="G545" s="1">
        <v>14850406</v>
      </c>
      <c r="H545" s="1"/>
      <c r="I545" s="1">
        <v>3221768</v>
      </c>
      <c r="J545" s="1"/>
      <c r="K545" s="1">
        <v>995950</v>
      </c>
      <c r="L545" s="1"/>
      <c r="M545" s="1">
        <v>48207</v>
      </c>
      <c r="N545" s="1"/>
      <c r="O545" s="1">
        <v>1353025</v>
      </c>
      <c r="P545" s="1"/>
      <c r="Q545" s="1">
        <v>650232</v>
      </c>
      <c r="R545" s="1"/>
      <c r="S545" s="1">
        <v>32534</v>
      </c>
      <c r="T545" s="1"/>
      <c r="U545" s="1">
        <v>1544762</v>
      </c>
      <c r="V545" s="1"/>
      <c r="W545" s="1">
        <v>668864</v>
      </c>
      <c r="X545" s="1"/>
      <c r="Y545" s="1">
        <v>45105</v>
      </c>
      <c r="Z545" s="1"/>
      <c r="AA545" s="1">
        <v>1473169</v>
      </c>
      <c r="AB545" s="1"/>
      <c r="AC545" s="1">
        <v>1639346</v>
      </c>
      <c r="AD545" s="1"/>
      <c r="AE545" s="1">
        <v>278235</v>
      </c>
      <c r="AF545" s="1"/>
      <c r="AG545" s="1">
        <v>0</v>
      </c>
      <c r="AH545" s="1"/>
      <c r="AI545" s="1">
        <v>701393</v>
      </c>
      <c r="AJ545" s="1"/>
      <c r="AK545" s="17" t="s">
        <v>596</v>
      </c>
      <c r="AL545" s="17"/>
      <c r="AM545" s="17" t="s">
        <v>63</v>
      </c>
      <c r="AN545" s="17"/>
      <c r="AO545" s="1">
        <v>908689</v>
      </c>
      <c r="AP545" s="1"/>
      <c r="AQ545" s="1">
        <v>1258629</v>
      </c>
      <c r="AR545" s="1"/>
      <c r="AS545" s="1"/>
      <c r="AT545" s="1"/>
      <c r="AU545" s="1">
        <v>0</v>
      </c>
      <c r="AV545" s="1"/>
      <c r="AW545" s="1">
        <f t="shared" si="43"/>
        <v>29670314</v>
      </c>
      <c r="AY545" s="1">
        <v>697434</v>
      </c>
      <c r="BA545" s="1">
        <v>13413380</v>
      </c>
      <c r="BC545" s="1">
        <f t="shared" si="42"/>
        <v>14110814</v>
      </c>
      <c r="BE545" s="1">
        <f>+'St of Net Assets - GA'!AA545-'St of Activities - GA Exp'!BC545</f>
        <v>0</v>
      </c>
    </row>
    <row r="546" spans="1:57">
      <c r="A546" s="17" t="s">
        <v>527</v>
      </c>
      <c r="B546" s="17"/>
      <c r="C546" s="17" t="s">
        <v>54</v>
      </c>
      <c r="D546" s="17"/>
      <c r="E546" s="13">
        <v>49098</v>
      </c>
      <c r="G546" s="1">
        <v>18021870</v>
      </c>
      <c r="H546" s="1"/>
      <c r="I546" s="1">
        <v>3423127</v>
      </c>
      <c r="J546" s="1"/>
      <c r="K546" s="1">
        <v>774285</v>
      </c>
      <c r="L546" s="1"/>
      <c r="M546" s="1">
        <v>310466</v>
      </c>
      <c r="N546" s="1"/>
      <c r="O546" s="1">
        <v>1205757</v>
      </c>
      <c r="P546" s="1"/>
      <c r="Q546" s="1">
        <v>1456061</v>
      </c>
      <c r="R546" s="1"/>
      <c r="S546" s="1">
        <v>132899</v>
      </c>
      <c r="T546" s="1"/>
      <c r="U546" s="1">
        <v>3495290</v>
      </c>
      <c r="V546" s="1"/>
      <c r="W546" s="1">
        <v>724977</v>
      </c>
      <c r="X546" s="1"/>
      <c r="Y546" s="1">
        <v>336818</v>
      </c>
      <c r="Z546" s="1"/>
      <c r="AA546" s="1">
        <v>3648749</v>
      </c>
      <c r="AB546" s="1"/>
      <c r="AC546" s="1">
        <v>2069739</v>
      </c>
      <c r="AD546" s="1"/>
      <c r="AE546" s="1">
        <v>184750</v>
      </c>
      <c r="AF546" s="1"/>
      <c r="AG546" s="1">
        <v>1195520</v>
      </c>
      <c r="AH546" s="1"/>
      <c r="AI546" s="1">
        <v>12657</v>
      </c>
      <c r="AJ546" s="1"/>
      <c r="AK546" s="17" t="s">
        <v>527</v>
      </c>
      <c r="AL546" s="17"/>
      <c r="AM546" s="17" t="s">
        <v>54</v>
      </c>
      <c r="AN546" s="17"/>
      <c r="AO546" s="1">
        <v>1089805</v>
      </c>
      <c r="AP546" s="1"/>
      <c r="AQ546" s="1">
        <v>1852299</v>
      </c>
      <c r="AR546" s="1"/>
      <c r="AS546" s="1"/>
      <c r="AT546" s="1"/>
      <c r="AU546" s="1">
        <v>0</v>
      </c>
      <c r="AV546" s="1"/>
      <c r="AW546" s="1">
        <f t="shared" si="43"/>
        <v>39935069</v>
      </c>
      <c r="AY546" s="1">
        <v>-4151934</v>
      </c>
      <c r="BA546" s="1">
        <v>86828418</v>
      </c>
      <c r="BC546" s="1">
        <f t="shared" si="42"/>
        <v>82676484</v>
      </c>
      <c r="BE546" s="1">
        <f>+'St of Net Assets - GA'!AA546-'St of Activities - GA Exp'!BC546</f>
        <v>0</v>
      </c>
    </row>
    <row r="547" spans="1:57">
      <c r="A547" s="17" t="s">
        <v>250</v>
      </c>
      <c r="B547" s="17"/>
      <c r="C547" s="17" t="s">
        <v>17</v>
      </c>
      <c r="D547" s="17"/>
      <c r="E547" s="13">
        <v>46243</v>
      </c>
      <c r="G547" s="1">
        <v>12660123</v>
      </c>
      <c r="H547" s="1"/>
      <c r="I547" s="1">
        <v>3867963</v>
      </c>
      <c r="J547" s="1"/>
      <c r="K547" s="1">
        <v>538874</v>
      </c>
      <c r="L547" s="1"/>
      <c r="M547" s="1">
        <f>5726+53653+894598</f>
        <v>953977</v>
      </c>
      <c r="N547" s="1"/>
      <c r="O547" s="1">
        <v>1992381</v>
      </c>
      <c r="P547" s="1"/>
      <c r="Q547" s="1">
        <v>1463662</v>
      </c>
      <c r="R547" s="1"/>
      <c r="S547" s="1">
        <v>80432</v>
      </c>
      <c r="T547" s="1"/>
      <c r="U547" s="1">
        <v>2874185</v>
      </c>
      <c r="V547" s="1"/>
      <c r="W547" s="1">
        <v>573546</v>
      </c>
      <c r="X547" s="1"/>
      <c r="Y547" s="1">
        <v>64641</v>
      </c>
      <c r="Z547" s="1"/>
      <c r="AA547" s="1">
        <v>3376306</v>
      </c>
      <c r="AB547" s="1"/>
      <c r="AC547" s="1">
        <v>1416671</v>
      </c>
      <c r="AD547" s="1"/>
      <c r="AE547" s="1">
        <v>153046</v>
      </c>
      <c r="AF547" s="1"/>
      <c r="AG547" s="1">
        <v>0</v>
      </c>
      <c r="AH547" s="1"/>
      <c r="AI547" s="1">
        <v>1513495</v>
      </c>
      <c r="AJ547" s="1"/>
      <c r="AK547" s="17" t="s">
        <v>250</v>
      </c>
      <c r="AL547" s="17"/>
      <c r="AM547" s="17" t="s">
        <v>17</v>
      </c>
      <c r="AN547" s="17"/>
      <c r="AO547" s="1">
        <v>572642</v>
      </c>
      <c r="AP547" s="1"/>
      <c r="AQ547" s="1">
        <v>916426</v>
      </c>
      <c r="AR547" s="1"/>
      <c r="AS547" s="1"/>
      <c r="AT547" s="1"/>
      <c r="AU547" s="1">
        <f>2288009+2683852</f>
        <v>4971861</v>
      </c>
      <c r="AV547" s="1"/>
      <c r="AW547" s="1">
        <f t="shared" si="43"/>
        <v>37990231</v>
      </c>
      <c r="AY547" s="1">
        <v>-3646252</v>
      </c>
      <c r="BA547" s="1">
        <v>68492799</v>
      </c>
      <c r="BC547" s="1">
        <f t="shared" si="42"/>
        <v>64846547</v>
      </c>
      <c r="BE547" s="1">
        <f>+'St of Net Assets - GA'!AA547-'St of Activities - GA Exp'!BC547</f>
        <v>0</v>
      </c>
    </row>
    <row r="548" spans="1:57" ht="12" customHeight="1">
      <c r="A548" s="12" t="s">
        <v>910</v>
      </c>
      <c r="B548" s="17"/>
      <c r="C548" s="17" t="s">
        <v>32</v>
      </c>
      <c r="D548" s="17"/>
      <c r="E548" s="13">
        <v>47399</v>
      </c>
      <c r="G548" s="1">
        <v>10364573</v>
      </c>
      <c r="H548" s="1"/>
      <c r="I548" s="1">
        <v>3339875</v>
      </c>
      <c r="J548" s="1"/>
      <c r="K548" s="1">
        <v>8273</v>
      </c>
      <c r="L548" s="1"/>
      <c r="M548" s="1">
        <v>89697</v>
      </c>
      <c r="N548" s="1"/>
      <c r="O548" s="1">
        <v>1284463</v>
      </c>
      <c r="P548" s="1"/>
      <c r="Q548" s="1">
        <v>1364721</v>
      </c>
      <c r="R548" s="1"/>
      <c r="S548" s="1">
        <v>41760</v>
      </c>
      <c r="T548" s="1"/>
      <c r="U548" s="1">
        <v>1690589</v>
      </c>
      <c r="V548" s="1"/>
      <c r="W548" s="1">
        <v>664990</v>
      </c>
      <c r="X548" s="1"/>
      <c r="Y548" s="1">
        <v>5850</v>
      </c>
      <c r="Z548" s="1"/>
      <c r="AA548" s="1">
        <v>2006338</v>
      </c>
      <c r="AB548" s="1"/>
      <c r="AC548" s="1">
        <v>1277573</v>
      </c>
      <c r="AD548" s="1"/>
      <c r="AE548" s="1">
        <v>926584</v>
      </c>
      <c r="AF548" s="1"/>
      <c r="AG548" s="1">
        <v>0</v>
      </c>
      <c r="AH548" s="1"/>
      <c r="AI548" s="1">
        <v>783391</v>
      </c>
      <c r="AJ548" s="1"/>
      <c r="AK548" s="12" t="s">
        <v>910</v>
      </c>
      <c r="AL548" s="17"/>
      <c r="AM548" s="17" t="s">
        <v>32</v>
      </c>
      <c r="AN548" s="17"/>
      <c r="AO548" s="1">
        <v>486356</v>
      </c>
      <c r="AP548" s="1"/>
      <c r="AQ548" s="1">
        <v>0</v>
      </c>
      <c r="AR548" s="1"/>
      <c r="AS548" s="1"/>
      <c r="AT548" s="1"/>
      <c r="AU548" s="1">
        <v>0</v>
      </c>
      <c r="AV548" s="1"/>
      <c r="AW548" s="1">
        <f t="shared" si="43"/>
        <v>24335033</v>
      </c>
      <c r="AY548" s="1">
        <v>2520180</v>
      </c>
      <c r="BA548" s="1">
        <v>9784933</v>
      </c>
      <c r="BC548" s="1">
        <f t="shared" si="42"/>
        <v>12305113</v>
      </c>
      <c r="BE548" s="1">
        <f>+'St of Net Assets - GA'!AA548-'St of Activities - GA Exp'!BC548</f>
        <v>0</v>
      </c>
    </row>
    <row r="549" spans="1:57" ht="12" customHeight="1">
      <c r="A549" s="17" t="s">
        <v>568</v>
      </c>
      <c r="B549" s="17"/>
      <c r="C549" s="17" t="s">
        <v>60</v>
      </c>
      <c r="D549" s="17"/>
      <c r="E549" s="13">
        <v>44891</v>
      </c>
      <c r="G549" s="1">
        <v>11460510</v>
      </c>
      <c r="H549" s="1"/>
      <c r="I549" s="1">
        <v>4882632</v>
      </c>
      <c r="J549" s="1"/>
      <c r="K549" s="1">
        <v>207292</v>
      </c>
      <c r="L549" s="1"/>
      <c r="M549" s="1">
        <v>66230</v>
      </c>
      <c r="N549" s="1"/>
      <c r="O549" s="1">
        <v>1105600</v>
      </c>
      <c r="P549" s="1"/>
      <c r="Q549" s="1">
        <v>1763153</v>
      </c>
      <c r="R549" s="1"/>
      <c r="S549" s="1">
        <v>33188</v>
      </c>
      <c r="T549" s="1"/>
      <c r="U549" s="1">
        <v>1848458</v>
      </c>
      <c r="V549" s="1"/>
      <c r="W549" s="1">
        <v>569703</v>
      </c>
      <c r="X549" s="1"/>
      <c r="Y549" s="1">
        <v>58573</v>
      </c>
      <c r="Z549" s="1"/>
      <c r="AA549" s="1">
        <v>2395035</v>
      </c>
      <c r="AB549" s="1"/>
      <c r="AC549" s="1">
        <v>831591</v>
      </c>
      <c r="AD549" s="1"/>
      <c r="AE549" s="1">
        <v>20497</v>
      </c>
      <c r="AF549" s="1"/>
      <c r="AG549" s="1">
        <v>882364</v>
      </c>
      <c r="AH549" s="1"/>
      <c r="AI549" s="1">
        <v>197907</v>
      </c>
      <c r="AJ549" s="1"/>
      <c r="AK549" s="17" t="s">
        <v>568</v>
      </c>
      <c r="AL549" s="17"/>
      <c r="AM549" s="17" t="s">
        <v>60</v>
      </c>
      <c r="AN549" s="17"/>
      <c r="AO549" s="1">
        <v>701552</v>
      </c>
      <c r="AP549" s="1"/>
      <c r="AQ549" s="1">
        <v>419739</v>
      </c>
      <c r="AR549" s="1"/>
      <c r="AS549" s="1"/>
      <c r="AT549" s="1"/>
      <c r="AU549" s="1">
        <v>0</v>
      </c>
      <c r="AV549" s="1"/>
      <c r="AW549" s="1">
        <f t="shared" si="43"/>
        <v>27444024</v>
      </c>
      <c r="AY549" s="1">
        <v>932348</v>
      </c>
      <c r="BA549" s="1">
        <v>12287245</v>
      </c>
      <c r="BC549" s="1">
        <f t="shared" si="42"/>
        <v>13219593</v>
      </c>
      <c r="BE549" s="1">
        <f>+'St of Net Assets - GA'!AA549-'St of Activities - GA Exp'!BC549</f>
        <v>0</v>
      </c>
    </row>
    <row r="550" spans="1:57">
      <c r="A550" s="17" t="s">
        <v>491</v>
      </c>
      <c r="B550" s="17"/>
      <c r="C550" s="17" t="s">
        <v>48</v>
      </c>
      <c r="D550" s="17"/>
      <c r="E550" s="13">
        <v>45617</v>
      </c>
      <c r="G550" s="1">
        <v>14177296</v>
      </c>
      <c r="H550" s="1"/>
      <c r="I550" s="1">
        <v>0</v>
      </c>
      <c r="J550" s="1"/>
      <c r="K550" s="1">
        <v>0</v>
      </c>
      <c r="L550" s="1"/>
      <c r="M550" s="1">
        <v>0</v>
      </c>
      <c r="N550" s="1"/>
      <c r="O550" s="1">
        <v>855937</v>
      </c>
      <c r="P550" s="1"/>
      <c r="Q550" s="1">
        <v>1138633</v>
      </c>
      <c r="R550" s="1"/>
      <c r="S550" s="1">
        <v>27592</v>
      </c>
      <c r="T550" s="1"/>
      <c r="U550" s="1">
        <v>1553452</v>
      </c>
      <c r="V550" s="1"/>
      <c r="W550" s="1">
        <v>554833</v>
      </c>
      <c r="X550" s="1"/>
      <c r="Y550" s="1">
        <v>0</v>
      </c>
      <c r="Z550" s="1"/>
      <c r="AA550" s="1">
        <v>2252993</v>
      </c>
      <c r="AB550" s="1"/>
      <c r="AC550" s="1">
        <v>1102031</v>
      </c>
      <c r="AD550" s="1"/>
      <c r="AE550" s="1">
        <v>430667</v>
      </c>
      <c r="AF550" s="1"/>
      <c r="AG550" s="1">
        <v>0</v>
      </c>
      <c r="AH550" s="1"/>
      <c r="AI550" s="1">
        <f>8256+841493</f>
        <v>849749</v>
      </c>
      <c r="AJ550" s="1"/>
      <c r="AK550" s="17" t="s">
        <v>491</v>
      </c>
      <c r="AL550" s="17"/>
      <c r="AM550" s="17" t="s">
        <v>48</v>
      </c>
      <c r="AN550" s="17"/>
      <c r="AO550" s="1">
        <v>1177037</v>
      </c>
      <c r="AP550" s="1"/>
      <c r="AQ550" s="1">
        <v>951703</v>
      </c>
      <c r="AR550" s="1"/>
      <c r="AS550" s="1"/>
      <c r="AT550" s="1"/>
      <c r="AU550" s="1">
        <v>0</v>
      </c>
      <c r="AV550" s="1"/>
      <c r="AW550" s="1">
        <f t="shared" si="43"/>
        <v>25071923</v>
      </c>
      <c r="AY550" s="1">
        <v>1057735</v>
      </c>
      <c r="BA550" s="1">
        <v>4903787</v>
      </c>
      <c r="BC550" s="1">
        <f t="shared" si="42"/>
        <v>5961522</v>
      </c>
      <c r="BE550" s="1">
        <f>+'St of Net Assets - GA'!AA550-'St of Activities - GA Exp'!BC550</f>
        <v>0</v>
      </c>
    </row>
    <row r="551" spans="1:57">
      <c r="A551" s="17" t="s">
        <v>455</v>
      </c>
      <c r="B551" s="17"/>
      <c r="C551" s="17" t="s">
        <v>117</v>
      </c>
      <c r="D551" s="17"/>
      <c r="E551" s="13">
        <v>44909</v>
      </c>
      <c r="G551" s="1">
        <v>247655446</v>
      </c>
      <c r="H551" s="1"/>
      <c r="I551" s="1">
        <v>0</v>
      </c>
      <c r="J551" s="1"/>
      <c r="K551" s="1">
        <v>0</v>
      </c>
      <c r="L551" s="1"/>
      <c r="M551" s="1">
        <v>0</v>
      </c>
      <c r="N551" s="1"/>
      <c r="O551" s="1">
        <v>132178983</v>
      </c>
      <c r="P551" s="1"/>
      <c r="Q551" s="1">
        <v>0</v>
      </c>
      <c r="R551" s="1"/>
      <c r="S551" s="1">
        <v>0</v>
      </c>
      <c r="T551" s="1"/>
      <c r="U551" s="1">
        <v>0</v>
      </c>
      <c r="V551" s="1"/>
      <c r="W551" s="1">
        <v>0</v>
      </c>
      <c r="X551" s="1"/>
      <c r="Y551" s="1">
        <v>0</v>
      </c>
      <c r="Z551" s="1"/>
      <c r="AA551" s="1">
        <v>0</v>
      </c>
      <c r="AB551" s="1"/>
      <c r="AC551" s="1">
        <v>0</v>
      </c>
      <c r="AD551" s="1"/>
      <c r="AE551" s="1">
        <v>0</v>
      </c>
      <c r="AF551" s="1"/>
      <c r="AG551" s="1">
        <v>23329071</v>
      </c>
      <c r="AH551" s="1"/>
      <c r="AI551" s="1">
        <v>0</v>
      </c>
      <c r="AJ551" s="1"/>
      <c r="AK551" s="17" t="s">
        <v>455</v>
      </c>
      <c r="AL551" s="17"/>
      <c r="AM551" s="17" t="s">
        <v>117</v>
      </c>
      <c r="AN551" s="17"/>
      <c r="AO551" s="1">
        <v>5397381</v>
      </c>
      <c r="AP551" s="1"/>
      <c r="AQ551" s="1">
        <v>8249037</v>
      </c>
      <c r="AR551" s="1"/>
      <c r="AS551" s="1"/>
      <c r="AT551" s="1"/>
      <c r="AU551" s="1">
        <v>0</v>
      </c>
      <c r="AV551" s="1"/>
      <c r="AW551" s="1">
        <f t="shared" si="43"/>
        <v>416809918</v>
      </c>
      <c r="AY551" s="1">
        <v>14007322</v>
      </c>
      <c r="BA551" s="1">
        <v>484288357</v>
      </c>
      <c r="BC551" s="1">
        <f t="shared" si="42"/>
        <v>498295679</v>
      </c>
      <c r="BE551" s="1">
        <f>+'St of Net Assets - GA'!AA551-'St of Activities - GA Exp'!BC551</f>
        <v>0</v>
      </c>
    </row>
    <row r="552" spans="1:57" hidden="1">
      <c r="A552" s="12" t="s">
        <v>952</v>
      </c>
      <c r="B552" s="12"/>
      <c r="C552" s="12" t="s">
        <v>117</v>
      </c>
      <c r="D552" s="17"/>
      <c r="E552" s="13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2" t="s">
        <v>952</v>
      </c>
      <c r="AL552" s="12"/>
      <c r="AM552" s="12" t="s">
        <v>117</v>
      </c>
      <c r="AN552" s="17"/>
      <c r="AO552" s="1"/>
      <c r="AP552" s="1"/>
      <c r="AQ552" s="1"/>
      <c r="AR552" s="1"/>
      <c r="AS552" s="1"/>
      <c r="AT552" s="1"/>
      <c r="AU552" s="1"/>
      <c r="AV552" s="1"/>
      <c r="AW552" s="1">
        <f t="shared" si="43"/>
        <v>0</v>
      </c>
      <c r="AY552" s="1">
        <v>0</v>
      </c>
      <c r="BC552" s="1">
        <f t="shared" si="42"/>
        <v>0</v>
      </c>
      <c r="BE552" s="1">
        <f>+'St of Net Assets - GA'!AA552-'St of Activities - GA Exp'!BC552</f>
        <v>0</v>
      </c>
    </row>
    <row r="553" spans="1:57">
      <c r="A553" s="12" t="s">
        <v>413</v>
      </c>
      <c r="B553" s="17"/>
      <c r="C553" s="17" t="s">
        <v>39</v>
      </c>
      <c r="D553" s="17"/>
      <c r="E553" s="13">
        <v>44917</v>
      </c>
      <c r="G553" s="1">
        <v>3575591</v>
      </c>
      <c r="H553" s="1"/>
      <c r="I553" s="1">
        <v>1172826</v>
      </c>
      <c r="J553" s="1"/>
      <c r="K553" s="1">
        <v>130238</v>
      </c>
      <c r="L553" s="1"/>
      <c r="M553" s="1">
        <f>78743+29774</f>
        <v>108517</v>
      </c>
      <c r="N553" s="1"/>
      <c r="O553" s="1">
        <v>344828</v>
      </c>
      <c r="P553" s="1"/>
      <c r="Q553" s="1">
        <v>256582</v>
      </c>
      <c r="R553" s="1"/>
      <c r="S553" s="1">
        <v>9694</v>
      </c>
      <c r="T553" s="1"/>
      <c r="U553" s="1">
        <v>889123</v>
      </c>
      <c r="V553" s="1"/>
      <c r="W553" s="1">
        <v>287532</v>
      </c>
      <c r="X553" s="1"/>
      <c r="Y553" s="1">
        <v>61583</v>
      </c>
      <c r="Z553" s="1"/>
      <c r="AA553" s="1">
        <v>989839</v>
      </c>
      <c r="AB553" s="1"/>
      <c r="AC553" s="1">
        <v>170321</v>
      </c>
      <c r="AD553" s="1"/>
      <c r="AE553" s="1">
        <v>766</v>
      </c>
      <c r="AF553" s="1"/>
      <c r="AG553" s="1">
        <v>0</v>
      </c>
      <c r="AH553" s="1"/>
      <c r="AI553" s="1">
        <v>372546</v>
      </c>
      <c r="AJ553" s="1"/>
      <c r="AK553" s="17" t="s">
        <v>413</v>
      </c>
      <c r="AL553" s="17"/>
      <c r="AM553" s="17" t="s">
        <v>39</v>
      </c>
      <c r="AN553" s="17"/>
      <c r="AO553" s="1">
        <v>272782</v>
      </c>
      <c r="AP553" s="1"/>
      <c r="AQ553" s="1">
        <v>1794</v>
      </c>
      <c r="AR553" s="1"/>
      <c r="AS553" s="1"/>
      <c r="AT553" s="1"/>
      <c r="AU553" s="1">
        <v>0</v>
      </c>
      <c r="AV553" s="1"/>
      <c r="AW553" s="1">
        <f t="shared" si="43"/>
        <v>8644562</v>
      </c>
      <c r="AY553" s="1">
        <v>-59874</v>
      </c>
      <c r="BA553" s="1">
        <v>5639544</v>
      </c>
      <c r="BC553" s="1">
        <f t="shared" si="42"/>
        <v>5579670</v>
      </c>
      <c r="BE553" s="1">
        <f>+'St of Net Assets - GA'!AA553-'St of Activities - GA Exp'!BC553</f>
        <v>0</v>
      </c>
    </row>
    <row r="554" spans="1:57">
      <c r="A554" s="17" t="s">
        <v>242</v>
      </c>
      <c r="B554" s="17"/>
      <c r="C554" s="17" t="s">
        <v>240</v>
      </c>
      <c r="D554" s="17"/>
      <c r="E554" s="13">
        <v>46201</v>
      </c>
      <c r="G554" s="1">
        <v>4893257</v>
      </c>
      <c r="H554" s="1"/>
      <c r="I554" s="1">
        <v>1394763</v>
      </c>
      <c r="J554" s="1"/>
      <c r="K554" s="1">
        <v>224988</v>
      </c>
      <c r="L554" s="1"/>
      <c r="M554" s="1">
        <v>45490</v>
      </c>
      <c r="N554" s="1"/>
      <c r="O554" s="1">
        <v>342011</v>
      </c>
      <c r="P554" s="1"/>
      <c r="Q554" s="1">
        <v>256484</v>
      </c>
      <c r="R554" s="1"/>
      <c r="S554" s="1">
        <v>44284</v>
      </c>
      <c r="T554" s="1"/>
      <c r="U554" s="1">
        <v>824262</v>
      </c>
      <c r="V554" s="1"/>
      <c r="W554" s="1">
        <v>289972</v>
      </c>
      <c r="X554" s="1"/>
      <c r="Y554" s="1">
        <v>39528</v>
      </c>
      <c r="Z554" s="1"/>
      <c r="AA554" s="1">
        <v>1063559</v>
      </c>
      <c r="AB554" s="1"/>
      <c r="AC554" s="1">
        <v>802184</v>
      </c>
      <c r="AD554" s="1"/>
      <c r="AE554" s="1">
        <v>207161</v>
      </c>
      <c r="AF554" s="1"/>
      <c r="AG554" s="1">
        <v>495844</v>
      </c>
      <c r="AH554" s="1"/>
      <c r="AI554" s="1">
        <v>4382</v>
      </c>
      <c r="AJ554" s="1"/>
      <c r="AK554" s="17" t="s">
        <v>242</v>
      </c>
      <c r="AL554" s="17"/>
      <c r="AM554" s="17" t="s">
        <v>240</v>
      </c>
      <c r="AN554" s="17"/>
      <c r="AO554" s="1">
        <v>438805</v>
      </c>
      <c r="AP554" s="1"/>
      <c r="AQ554" s="1">
        <v>270657</v>
      </c>
      <c r="AR554" s="1"/>
      <c r="AS554" s="1"/>
      <c r="AT554" s="1"/>
      <c r="AU554" s="1">
        <v>0</v>
      </c>
      <c r="AV554" s="1"/>
      <c r="AW554" s="1">
        <f t="shared" si="43"/>
        <v>11637631</v>
      </c>
      <c r="AY554" s="1">
        <v>-724982</v>
      </c>
      <c r="BA554" s="1">
        <v>14708979</v>
      </c>
      <c r="BC554" s="1">
        <f t="shared" si="42"/>
        <v>13983997</v>
      </c>
      <c r="BE554" s="1">
        <f>+'St of Net Assets - GA'!AA554-'St of Activities - GA Exp'!BC554</f>
        <v>0</v>
      </c>
    </row>
    <row r="555" spans="1:57">
      <c r="A555" s="17" t="s">
        <v>541</v>
      </c>
      <c r="B555" s="17"/>
      <c r="C555" s="17" t="s">
        <v>57</v>
      </c>
      <c r="D555" s="17"/>
      <c r="E555" s="13">
        <v>91397</v>
      </c>
      <c r="G555" s="1">
        <v>5189559</v>
      </c>
      <c r="H555" s="1"/>
      <c r="I555" s="1">
        <v>966074</v>
      </c>
      <c r="J555" s="1"/>
      <c r="K555" s="1">
        <v>102912</v>
      </c>
      <c r="L555" s="1"/>
      <c r="M555" s="1">
        <v>0</v>
      </c>
      <c r="N555" s="1"/>
      <c r="O555" s="1">
        <v>577829</v>
      </c>
      <c r="P555" s="1"/>
      <c r="Q555" s="1">
        <v>493784</v>
      </c>
      <c r="R555" s="1"/>
      <c r="S555" s="1">
        <v>21801</v>
      </c>
      <c r="T555" s="1"/>
      <c r="U555" s="1">
        <v>1131824</v>
      </c>
      <c r="V555" s="1"/>
      <c r="W555" s="1">
        <v>226203</v>
      </c>
      <c r="X555" s="1"/>
      <c r="Y555" s="1">
        <v>0</v>
      </c>
      <c r="Z555" s="1"/>
      <c r="AA555" s="1">
        <v>837568</v>
      </c>
      <c r="AB555" s="1"/>
      <c r="AC555" s="1">
        <v>522392</v>
      </c>
      <c r="AD555" s="1"/>
      <c r="AE555" s="1">
        <v>29200</v>
      </c>
      <c r="AF555" s="1"/>
      <c r="AG555" s="1">
        <v>0</v>
      </c>
      <c r="AH555" s="1"/>
      <c r="AI555" s="1">
        <v>427702</v>
      </c>
      <c r="AJ555" s="1"/>
      <c r="AK555" s="17" t="s">
        <v>541</v>
      </c>
      <c r="AL555" s="17"/>
      <c r="AM555" s="17" t="s">
        <v>57</v>
      </c>
      <c r="AN555" s="17"/>
      <c r="AO555" s="1">
        <v>390732</v>
      </c>
      <c r="AP555" s="1"/>
      <c r="AQ555" s="1">
        <v>8515</v>
      </c>
      <c r="AR555" s="1"/>
      <c r="AS555" s="1"/>
      <c r="AT555" s="1"/>
      <c r="AU555" s="1">
        <v>0</v>
      </c>
      <c r="AV555" s="1"/>
      <c r="AW555" s="1">
        <f t="shared" si="43"/>
        <v>10926095</v>
      </c>
      <c r="AY555" s="1">
        <v>-340030</v>
      </c>
      <c r="BA555" s="1">
        <v>13928004</v>
      </c>
      <c r="BC555" s="1">
        <f t="shared" si="42"/>
        <v>13587974</v>
      </c>
      <c r="BE555" s="1">
        <f>+'St of Net Assets - GA'!AA555-'St of Activities - GA Exp'!BC555</f>
        <v>0</v>
      </c>
    </row>
    <row r="556" spans="1:57">
      <c r="A556" s="17" t="s">
        <v>216</v>
      </c>
      <c r="B556" s="17"/>
      <c r="C556" s="17" t="s">
        <v>13</v>
      </c>
      <c r="D556" s="17"/>
      <c r="E556" s="13">
        <v>45922</v>
      </c>
      <c r="G556" s="1">
        <v>3615572</v>
      </c>
      <c r="H556" s="1"/>
      <c r="I556" s="1">
        <v>1932940</v>
      </c>
      <c r="J556" s="1"/>
      <c r="K556" s="1">
        <v>71781</v>
      </c>
      <c r="L556" s="1"/>
      <c r="M556" s="1">
        <f>36670+726954</f>
        <v>763624</v>
      </c>
      <c r="N556" s="1"/>
      <c r="O556" s="1">
        <v>692052</v>
      </c>
      <c r="P556" s="1"/>
      <c r="Q556" s="1">
        <v>568387</v>
      </c>
      <c r="R556" s="1"/>
      <c r="S556" s="1">
        <v>79398</v>
      </c>
      <c r="T556" s="1"/>
      <c r="U556" s="1">
        <v>782479</v>
      </c>
      <c r="V556" s="1"/>
      <c r="W556" s="1">
        <v>279082</v>
      </c>
      <c r="X556" s="1"/>
      <c r="Y556" s="1">
        <v>0</v>
      </c>
      <c r="Z556" s="1"/>
      <c r="AA556" s="1">
        <v>984869</v>
      </c>
      <c r="AB556" s="1"/>
      <c r="AC556" s="1">
        <v>569652</v>
      </c>
      <c r="AD556" s="1"/>
      <c r="AE556" s="1">
        <v>17984</v>
      </c>
      <c r="AF556" s="1"/>
      <c r="AG556" s="1">
        <v>0</v>
      </c>
      <c r="AH556" s="1"/>
      <c r="AI556" s="1">
        <v>471617</v>
      </c>
      <c r="AJ556" s="1"/>
      <c r="AK556" s="17" t="s">
        <v>216</v>
      </c>
      <c r="AL556" s="17"/>
      <c r="AM556" s="17" t="s">
        <v>13</v>
      </c>
      <c r="AN556" s="17"/>
      <c r="AO556" s="1">
        <v>157619</v>
      </c>
      <c r="AP556" s="1"/>
      <c r="AQ556" s="1">
        <v>35203</v>
      </c>
      <c r="AR556" s="1"/>
      <c r="AS556" s="1"/>
      <c r="AT556" s="1"/>
      <c r="AU556" s="1">
        <v>454550</v>
      </c>
      <c r="AV556" s="1"/>
      <c r="AW556" s="1">
        <f t="shared" si="43"/>
        <v>11476809</v>
      </c>
      <c r="AY556" s="1">
        <v>623769</v>
      </c>
      <c r="BA556" s="1">
        <v>13649857</v>
      </c>
      <c r="BC556" s="1">
        <f t="shared" si="42"/>
        <v>14273626</v>
      </c>
      <c r="BE556" s="1">
        <f>+'St of Net Assets - GA'!AA556-'St of Activities - GA Exp'!BC556</f>
        <v>0</v>
      </c>
    </row>
    <row r="557" spans="1:57">
      <c r="A557" s="17" t="s">
        <v>514</v>
      </c>
      <c r="B557" s="17"/>
      <c r="C557" s="17" t="s">
        <v>51</v>
      </c>
      <c r="D557" s="17"/>
      <c r="E557" s="13">
        <v>48876</v>
      </c>
      <c r="G557" s="1">
        <v>13748386</v>
      </c>
      <c r="H557" s="1"/>
      <c r="I557" s="1">
        <v>3340338</v>
      </c>
      <c r="J557" s="1"/>
      <c r="K557" s="1">
        <v>446371</v>
      </c>
      <c r="L557" s="1"/>
      <c r="M557" s="1">
        <v>14778</v>
      </c>
      <c r="N557" s="1"/>
      <c r="O557" s="1">
        <v>862590</v>
      </c>
      <c r="P557" s="1"/>
      <c r="Q557" s="1">
        <v>1448121</v>
      </c>
      <c r="R557" s="1"/>
      <c r="S557" s="1">
        <v>1591694</v>
      </c>
      <c r="T557" s="1"/>
      <c r="U557" s="1">
        <v>2539453</v>
      </c>
      <c r="V557" s="1"/>
      <c r="W557" s="1">
        <v>508170</v>
      </c>
      <c r="X557" s="1"/>
      <c r="Y557" s="1">
        <v>0</v>
      </c>
      <c r="Z557" s="1"/>
      <c r="AA557" s="1">
        <v>2745701</v>
      </c>
      <c r="AB557" s="1"/>
      <c r="AC557" s="1">
        <v>1729964</v>
      </c>
      <c r="AD557" s="1"/>
      <c r="AE557" s="1">
        <v>360644</v>
      </c>
      <c r="AF557" s="1"/>
      <c r="AG557" s="1">
        <v>1428120</v>
      </c>
      <c r="AH557" s="1"/>
      <c r="AI557" s="1">
        <v>60802</v>
      </c>
      <c r="AJ557" s="1"/>
      <c r="AK557" s="17" t="s">
        <v>514</v>
      </c>
      <c r="AL557" s="17"/>
      <c r="AM557" s="17" t="s">
        <v>51</v>
      </c>
      <c r="AN557" s="17"/>
      <c r="AO557" s="1">
        <v>340227</v>
      </c>
      <c r="AP557" s="1"/>
      <c r="AQ557" s="1">
        <v>867588</v>
      </c>
      <c r="AR557" s="1"/>
      <c r="AS557" s="1"/>
      <c r="AT557" s="1"/>
      <c r="AU557" s="1">
        <v>0</v>
      </c>
      <c r="AV557" s="1"/>
      <c r="AW557" s="1">
        <f t="shared" si="43"/>
        <v>32032947</v>
      </c>
      <c r="AY557" s="1">
        <v>-970051</v>
      </c>
      <c r="BA557" s="1">
        <v>61237254</v>
      </c>
      <c r="BC557" s="1">
        <f t="shared" si="42"/>
        <v>60267203</v>
      </c>
      <c r="BE557" s="1">
        <f>+'St of Net Assets - GA'!AA557-'St of Activities - GA Exp'!BC557</f>
        <v>0</v>
      </c>
    </row>
    <row r="558" spans="1:57" ht="12" hidden="1" customHeight="1">
      <c r="A558" s="17" t="s">
        <v>859</v>
      </c>
      <c r="B558" s="17"/>
      <c r="C558" s="17" t="s">
        <v>21</v>
      </c>
      <c r="D558" s="17"/>
      <c r="E558" s="13">
        <v>46680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7" t="s">
        <v>859</v>
      </c>
      <c r="AL558" s="17"/>
      <c r="AM558" s="17" t="s">
        <v>21</v>
      </c>
      <c r="AN558" s="17"/>
      <c r="AO558" s="1"/>
      <c r="AP558" s="1"/>
      <c r="AQ558" s="1"/>
      <c r="AR558" s="1"/>
      <c r="AS558" s="1"/>
      <c r="AT558" s="1"/>
      <c r="AU558" s="1"/>
      <c r="AV558" s="1"/>
      <c r="AW558" s="1">
        <f t="shared" si="43"/>
        <v>0</v>
      </c>
      <c r="AY558" s="1">
        <v>0</v>
      </c>
      <c r="BC558" s="1">
        <f t="shared" si="42"/>
        <v>0</v>
      </c>
      <c r="BE558" s="1">
        <f>+'St of Net Assets - GA'!AA558-'St of Activities - GA Exp'!BC558</f>
        <v>0</v>
      </c>
    </row>
    <row r="559" spans="1:57" hidden="1">
      <c r="A559" s="17" t="s">
        <v>933</v>
      </c>
      <c r="B559" s="17"/>
      <c r="C559" s="17" t="s">
        <v>71</v>
      </c>
      <c r="D559" s="17"/>
      <c r="E559" s="13">
        <v>50591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7" t="s">
        <v>933</v>
      </c>
      <c r="AL559" s="17"/>
      <c r="AM559" s="17" t="s">
        <v>71</v>
      </c>
      <c r="AN559" s="17"/>
      <c r="AO559" s="1"/>
      <c r="AP559" s="1"/>
      <c r="AQ559" s="1"/>
      <c r="AR559" s="1"/>
      <c r="AS559" s="1"/>
      <c r="AT559" s="1"/>
      <c r="AU559" s="1"/>
      <c r="AV559" s="1"/>
      <c r="AW559" s="1">
        <f t="shared" si="43"/>
        <v>0</v>
      </c>
      <c r="AY559" s="1">
        <v>0</v>
      </c>
      <c r="BC559" s="1">
        <f t="shared" si="42"/>
        <v>0</v>
      </c>
      <c r="BE559" s="1">
        <f>+'St of Net Assets - GA'!AA559-'St of Activities - GA Exp'!BC559</f>
        <v>0</v>
      </c>
    </row>
    <row r="560" spans="1:57">
      <c r="A560" s="17" t="s">
        <v>505</v>
      </c>
      <c r="B560" s="17"/>
      <c r="C560" s="17" t="s">
        <v>50</v>
      </c>
      <c r="D560" s="17"/>
      <c r="E560" s="13">
        <v>48694</v>
      </c>
      <c r="G560" s="1">
        <v>19953931</v>
      </c>
      <c r="H560" s="1"/>
      <c r="I560" s="1">
        <v>4753099</v>
      </c>
      <c r="J560" s="1"/>
      <c r="K560" s="1">
        <v>746</v>
      </c>
      <c r="L560" s="1"/>
      <c r="M560" s="1">
        <v>817924</v>
      </c>
      <c r="N560" s="1"/>
      <c r="O560" s="1">
        <v>2202523</v>
      </c>
      <c r="P560" s="1"/>
      <c r="Q560" s="1">
        <v>2100439</v>
      </c>
      <c r="R560" s="1"/>
      <c r="S560" s="1">
        <v>50415</v>
      </c>
      <c r="T560" s="1"/>
      <c r="U560" s="1">
        <v>2490069</v>
      </c>
      <c r="V560" s="1"/>
      <c r="W560" s="1">
        <v>623473</v>
      </c>
      <c r="X560" s="1"/>
      <c r="Y560" s="1">
        <v>575557</v>
      </c>
      <c r="Z560" s="1"/>
      <c r="AA560" s="1">
        <v>3328545</v>
      </c>
      <c r="AB560" s="1"/>
      <c r="AC560" s="1">
        <v>1577957</v>
      </c>
      <c r="AD560" s="1"/>
      <c r="AE560" s="1">
        <v>1804892</v>
      </c>
      <c r="AF560" s="1"/>
      <c r="AG560" s="1">
        <v>0</v>
      </c>
      <c r="AH560" s="1"/>
      <c r="AI560" s="1">
        <v>2025736</v>
      </c>
      <c r="AJ560" s="1"/>
      <c r="AK560" s="17" t="s">
        <v>505</v>
      </c>
      <c r="AL560" s="17"/>
      <c r="AM560" s="17" t="s">
        <v>50</v>
      </c>
      <c r="AN560" s="17"/>
      <c r="AO560" s="1">
        <v>572475</v>
      </c>
      <c r="AP560" s="1"/>
      <c r="AQ560" s="1">
        <v>2061942</v>
      </c>
      <c r="AR560" s="1"/>
      <c r="AS560" s="1"/>
      <c r="AT560" s="1"/>
      <c r="AU560" s="1">
        <v>0</v>
      </c>
      <c r="AV560" s="1"/>
      <c r="AW560" s="1">
        <f t="shared" si="43"/>
        <v>44939723</v>
      </c>
      <c r="AY560" s="1">
        <v>-810780</v>
      </c>
      <c r="BA560" s="1">
        <v>66755481</v>
      </c>
      <c r="BC560" s="1">
        <f t="shared" si="42"/>
        <v>65944701</v>
      </c>
      <c r="BE560" s="1">
        <f>+'St of Net Assets - GA'!AA560-'St of Activities - GA Exp'!BC560</f>
        <v>0</v>
      </c>
    </row>
    <row r="561" spans="1:57">
      <c r="A561" s="17" t="s">
        <v>492</v>
      </c>
      <c r="B561" s="17"/>
      <c r="C561" s="17" t="s">
        <v>48</v>
      </c>
      <c r="D561" s="17"/>
      <c r="E561" s="13">
        <v>44925</v>
      </c>
      <c r="G561" s="1">
        <v>24087955</v>
      </c>
      <c r="H561" s="1"/>
      <c r="I561" s="1">
        <v>5831863</v>
      </c>
      <c r="J561" s="1"/>
      <c r="K561" s="1">
        <v>18504</v>
      </c>
      <c r="L561" s="1"/>
      <c r="M561" s="1">
        <v>2103343</v>
      </c>
      <c r="N561" s="1"/>
      <c r="O561" s="1">
        <v>2104026</v>
      </c>
      <c r="P561" s="1"/>
      <c r="Q561" s="1">
        <v>1063616</v>
      </c>
      <c r="R561" s="1"/>
      <c r="S561" s="1">
        <v>710876</v>
      </c>
      <c r="T561" s="1"/>
      <c r="U561" s="1">
        <v>3576948</v>
      </c>
      <c r="V561" s="1"/>
      <c r="W561" s="1">
        <v>477979</v>
      </c>
      <c r="X561" s="1"/>
      <c r="Y561" s="1">
        <v>618922</v>
      </c>
      <c r="Z561" s="1"/>
      <c r="AA561" s="1">
        <v>3510717</v>
      </c>
      <c r="AB561" s="1"/>
      <c r="AC561" s="1">
        <v>1927733</v>
      </c>
      <c r="AD561" s="1"/>
      <c r="AE561" s="1">
        <v>56713</v>
      </c>
      <c r="AF561" s="1"/>
      <c r="AG561" s="1">
        <v>0</v>
      </c>
      <c r="AH561" s="1"/>
      <c r="AI561" s="1">
        <v>2918633</v>
      </c>
      <c r="AJ561" s="1"/>
      <c r="AK561" s="17" t="s">
        <v>492</v>
      </c>
      <c r="AL561" s="17"/>
      <c r="AM561" s="17" t="s">
        <v>48</v>
      </c>
      <c r="AN561" s="17"/>
      <c r="AO561" s="1">
        <v>169945</v>
      </c>
      <c r="AP561" s="1"/>
      <c r="AQ561" s="1">
        <v>930683</v>
      </c>
      <c r="AR561" s="1"/>
      <c r="AS561" s="1"/>
      <c r="AT561" s="1"/>
      <c r="AU561" s="1">
        <v>605889</v>
      </c>
      <c r="AV561" s="1"/>
      <c r="AW561" s="1">
        <f t="shared" si="43"/>
        <v>50714345</v>
      </c>
      <c r="AY561" s="1">
        <v>-216605</v>
      </c>
      <c r="BA561" s="1">
        <v>18702744</v>
      </c>
      <c r="BC561" s="1">
        <f t="shared" si="42"/>
        <v>18486139</v>
      </c>
      <c r="BE561" s="1">
        <f>+'St of Net Assets - GA'!AA561-'St of Activities - GA Exp'!BC561</f>
        <v>0</v>
      </c>
    </row>
    <row r="562" spans="1:57">
      <c r="A562" s="17" t="s">
        <v>624</v>
      </c>
      <c r="B562" s="17"/>
      <c r="C562" s="17" t="s">
        <v>65</v>
      </c>
      <c r="D562" s="17"/>
      <c r="E562" s="13">
        <v>50302</v>
      </c>
      <c r="G562" s="1">
        <v>5843536</v>
      </c>
      <c r="H562" s="1"/>
      <c r="I562" s="1">
        <v>858204</v>
      </c>
      <c r="J562" s="1"/>
      <c r="K562" s="1">
        <v>147318</v>
      </c>
      <c r="L562" s="1"/>
      <c r="M562" s="1">
        <v>996464</v>
      </c>
      <c r="N562" s="1"/>
      <c r="O562" s="1">
        <v>646364</v>
      </c>
      <c r="P562" s="1"/>
      <c r="Q562" s="1">
        <v>837206</v>
      </c>
      <c r="R562" s="1"/>
      <c r="S562" s="1">
        <v>19272</v>
      </c>
      <c r="T562" s="1"/>
      <c r="U562" s="1">
        <v>993726</v>
      </c>
      <c r="V562" s="1"/>
      <c r="W562" s="1">
        <v>365528</v>
      </c>
      <c r="X562" s="1"/>
      <c r="Y562" s="1">
        <v>0</v>
      </c>
      <c r="Z562" s="1"/>
      <c r="AA562" s="1">
        <v>1214785</v>
      </c>
      <c r="AB562" s="1"/>
      <c r="AC562" s="1">
        <v>849099</v>
      </c>
      <c r="AD562" s="1"/>
      <c r="AE562" s="1">
        <v>99340</v>
      </c>
      <c r="AF562" s="1"/>
      <c r="AG562" s="1">
        <v>551741</v>
      </c>
      <c r="AH562" s="1"/>
      <c r="AI562" s="1">
        <v>827</v>
      </c>
      <c r="AJ562" s="1"/>
      <c r="AK562" s="17" t="s">
        <v>624</v>
      </c>
      <c r="AL562" s="17"/>
      <c r="AM562" s="17" t="s">
        <v>65</v>
      </c>
      <c r="AN562" s="17"/>
      <c r="AO562" s="1">
        <v>390883</v>
      </c>
      <c r="AP562" s="1"/>
      <c r="AQ562" s="1">
        <v>266565</v>
      </c>
      <c r="AR562" s="1"/>
      <c r="AS562" s="1"/>
      <c r="AT562" s="1"/>
      <c r="AU562" s="1">
        <v>0</v>
      </c>
      <c r="AV562" s="1"/>
      <c r="AW562" s="1">
        <f t="shared" si="43"/>
        <v>14080858</v>
      </c>
      <c r="AY562" s="1">
        <v>323152</v>
      </c>
      <c r="BA562" s="1">
        <v>6168398</v>
      </c>
      <c r="BC562" s="1">
        <f t="shared" si="42"/>
        <v>6491550</v>
      </c>
      <c r="BE562" s="1">
        <f>+'St of Net Assets - GA'!AA562-'St of Activities - GA Exp'!BC562</f>
        <v>0</v>
      </c>
    </row>
    <row r="563" spans="1:57">
      <c r="A563" s="17" t="s">
        <v>585</v>
      </c>
      <c r="B563" s="17"/>
      <c r="C563" s="17" t="s">
        <v>62</v>
      </c>
      <c r="D563" s="17"/>
      <c r="E563" s="13">
        <v>49957</v>
      </c>
      <c r="G563" s="1">
        <v>5860621</v>
      </c>
      <c r="H563" s="1"/>
      <c r="I563" s="1">
        <v>1759089</v>
      </c>
      <c r="J563" s="1"/>
      <c r="K563" s="1">
        <v>216335</v>
      </c>
      <c r="L563" s="1"/>
      <c r="M563" s="1">
        <v>16026</v>
      </c>
      <c r="N563" s="1"/>
      <c r="O563" s="1">
        <v>739112</v>
      </c>
      <c r="P563" s="1"/>
      <c r="Q563" s="1">
        <v>432164</v>
      </c>
      <c r="R563" s="1"/>
      <c r="S563" s="1">
        <v>14358</v>
      </c>
      <c r="T563" s="1"/>
      <c r="U563" s="1">
        <v>1111751</v>
      </c>
      <c r="V563" s="1"/>
      <c r="W563" s="1">
        <v>364173</v>
      </c>
      <c r="X563" s="1"/>
      <c r="Y563" s="1">
        <v>45525</v>
      </c>
      <c r="Z563" s="1"/>
      <c r="AA563" s="1">
        <v>1010871</v>
      </c>
      <c r="AB563" s="1"/>
      <c r="AC563" s="1">
        <v>987312</v>
      </c>
      <c r="AD563" s="1"/>
      <c r="AE563" s="1">
        <v>20770</v>
      </c>
      <c r="AF563" s="1"/>
      <c r="AG563" s="1">
        <v>0</v>
      </c>
      <c r="AH563" s="1"/>
      <c r="AI563" s="1">
        <v>558372</v>
      </c>
      <c r="AJ563" s="1"/>
      <c r="AK563" s="17" t="s">
        <v>585</v>
      </c>
      <c r="AL563" s="17"/>
      <c r="AM563" s="17" t="s">
        <v>62</v>
      </c>
      <c r="AN563" s="17"/>
      <c r="AO563" s="1">
        <v>723515</v>
      </c>
      <c r="AP563" s="1"/>
      <c r="AQ563" s="1">
        <v>669153</v>
      </c>
      <c r="AR563" s="1"/>
      <c r="AS563" s="1"/>
      <c r="AT563" s="1"/>
      <c r="AU563" s="1">
        <v>0</v>
      </c>
      <c r="AV563" s="1"/>
      <c r="AW563" s="1">
        <f t="shared" ref="AW563:AW581" si="44">SUM(G563:AV563)</f>
        <v>14529147</v>
      </c>
      <c r="AY563" s="1">
        <v>9452693</v>
      </c>
      <c r="BA563" s="1">
        <v>6017950</v>
      </c>
      <c r="BC563" s="1">
        <f t="shared" ref="BC563:BC580" si="45">+AY563+BA563</f>
        <v>15470643</v>
      </c>
      <c r="BE563" s="1">
        <f>+'St of Net Assets - GA'!AA563-'St of Activities - GA Exp'!BC563</f>
        <v>0</v>
      </c>
    </row>
    <row r="564" spans="1:57" ht="12" hidden="1" customHeight="1">
      <c r="A564" s="17" t="s">
        <v>865</v>
      </c>
      <c r="B564" s="17"/>
      <c r="C564" s="17" t="s">
        <v>57</v>
      </c>
      <c r="D564" s="17"/>
      <c r="E564" s="13">
        <v>49296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7" t="s">
        <v>865</v>
      </c>
      <c r="AL564" s="17"/>
      <c r="AM564" s="17" t="s">
        <v>57</v>
      </c>
      <c r="AN564" s="17"/>
      <c r="AO564" s="1"/>
      <c r="AP564" s="1"/>
      <c r="AQ564" s="1"/>
      <c r="AR564" s="1"/>
      <c r="AS564" s="1"/>
      <c r="AT564" s="1"/>
      <c r="AU564" s="1"/>
      <c r="AV564" s="1"/>
      <c r="AW564" s="1">
        <f t="shared" si="44"/>
        <v>0</v>
      </c>
      <c r="AY564" s="1">
        <v>0</v>
      </c>
      <c r="BC564" s="1">
        <f t="shared" si="45"/>
        <v>0</v>
      </c>
      <c r="BE564" s="1">
        <f>+'St of Net Assets - GA'!AA564-'St of Activities - GA Exp'!BC564</f>
        <v>0</v>
      </c>
    </row>
    <row r="565" spans="1:57">
      <c r="A565" s="17" t="s">
        <v>597</v>
      </c>
      <c r="B565" s="17"/>
      <c r="C565" s="17" t="s">
        <v>63</v>
      </c>
      <c r="D565" s="17"/>
      <c r="E565" s="13">
        <v>50070</v>
      </c>
      <c r="G565" s="1">
        <v>21964455</v>
      </c>
      <c r="H565" s="1"/>
      <c r="I565" s="1">
        <v>2962910</v>
      </c>
      <c r="J565" s="1"/>
      <c r="K565" s="1">
        <v>302980</v>
      </c>
      <c r="L565" s="1"/>
      <c r="M565" s="1">
        <v>61741</v>
      </c>
      <c r="N565" s="1"/>
      <c r="O565" s="1">
        <v>2697561</v>
      </c>
      <c r="P565" s="1"/>
      <c r="Q565" s="1">
        <v>2620750</v>
      </c>
      <c r="R565" s="1"/>
      <c r="S565" s="1">
        <v>339020</v>
      </c>
      <c r="T565" s="1"/>
      <c r="U565" s="1">
        <v>3274612</v>
      </c>
      <c r="V565" s="1"/>
      <c r="W565" s="1">
        <v>1125999</v>
      </c>
      <c r="X565" s="1"/>
      <c r="Y565" s="1">
        <v>97471</v>
      </c>
      <c r="Z565" s="1"/>
      <c r="AA565" s="1">
        <v>5011765</v>
      </c>
      <c r="AB565" s="1"/>
      <c r="AC565" s="1">
        <v>2885379</v>
      </c>
      <c r="AD565" s="1"/>
      <c r="AE565" s="1">
        <v>994783</v>
      </c>
      <c r="AF565" s="1"/>
      <c r="AG565" s="1">
        <v>1467504</v>
      </c>
      <c r="AH565" s="1"/>
      <c r="AI565" s="1">
        <v>2056</v>
      </c>
      <c r="AJ565" s="16"/>
      <c r="AK565" s="17" t="s">
        <v>597</v>
      </c>
      <c r="AL565" s="17"/>
      <c r="AM565" s="17" t="s">
        <v>63</v>
      </c>
      <c r="AN565" s="17"/>
      <c r="AO565" s="1">
        <v>1292277</v>
      </c>
      <c r="AP565" s="1"/>
      <c r="AQ565" s="1">
        <v>1149754</v>
      </c>
      <c r="AR565" s="1"/>
      <c r="AS565" s="1"/>
      <c r="AT565" s="1"/>
      <c r="AU565" s="1">
        <v>0</v>
      </c>
      <c r="AV565" s="1"/>
      <c r="AW565" s="1">
        <f t="shared" ref="AW565:AW573" si="46">SUM(G565:AV565)</f>
        <v>48251017</v>
      </c>
      <c r="AY565" s="1">
        <v>99368</v>
      </c>
      <c r="BA565" s="1">
        <v>46140412</v>
      </c>
      <c r="BC565" s="1">
        <f t="shared" ref="BC565:BC573" si="47">+AY565+BA565</f>
        <v>46239780</v>
      </c>
      <c r="BD565" s="16"/>
      <c r="BE565" s="16">
        <f>+'St of Net Assets - GA'!AA565-'St of Activities - GA Exp'!BC565</f>
        <v>0</v>
      </c>
    </row>
    <row r="566" spans="1:57" hidden="1">
      <c r="A566" s="12" t="s">
        <v>931</v>
      </c>
      <c r="B566" s="17"/>
      <c r="C566" s="17" t="s">
        <v>15</v>
      </c>
      <c r="D566" s="17"/>
      <c r="E566" s="13">
        <v>46011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2" t="s">
        <v>931</v>
      </c>
      <c r="AL566" s="17"/>
      <c r="AM566" s="17" t="s">
        <v>15</v>
      </c>
      <c r="AN566" s="17"/>
      <c r="AO566" s="1"/>
      <c r="AP566" s="1"/>
      <c r="AQ566" s="1"/>
      <c r="AR566" s="1"/>
      <c r="AS566" s="1"/>
      <c r="AT566" s="1"/>
      <c r="AU566" s="1"/>
      <c r="AV566" s="1"/>
      <c r="AW566" s="1">
        <f t="shared" si="46"/>
        <v>0</v>
      </c>
      <c r="AY566" s="1">
        <v>0</v>
      </c>
      <c r="BC566" s="1">
        <f t="shared" si="47"/>
        <v>0</v>
      </c>
      <c r="BE566" s="1">
        <f>+'St of Net Assets - GA'!AA566-'St of Activities - GA Exp'!BC566</f>
        <v>0</v>
      </c>
    </row>
    <row r="567" spans="1:57">
      <c r="A567" s="17" t="s">
        <v>553</v>
      </c>
      <c r="B567" s="17"/>
      <c r="C567" s="17" t="s">
        <v>58</v>
      </c>
      <c r="D567" s="17"/>
      <c r="E567" s="13">
        <v>49536</v>
      </c>
      <c r="G567" s="1">
        <v>10305330</v>
      </c>
      <c r="H567" s="1"/>
      <c r="I567" s="1">
        <v>1336664</v>
      </c>
      <c r="J567" s="1"/>
      <c r="K567" s="1">
        <v>10718</v>
      </c>
      <c r="L567" s="1"/>
      <c r="M567" s="1">
        <v>0</v>
      </c>
      <c r="N567" s="1"/>
      <c r="O567" s="1">
        <v>895561</v>
      </c>
      <c r="P567" s="1"/>
      <c r="Q567" s="1">
        <v>563159</v>
      </c>
      <c r="R567" s="1"/>
      <c r="S567" s="1">
        <v>772220</v>
      </c>
      <c r="T567" s="1"/>
      <c r="U567" s="1">
        <v>1197047</v>
      </c>
      <c r="V567" s="1"/>
      <c r="W567" s="1">
        <v>439829</v>
      </c>
      <c r="X567" s="1"/>
      <c r="Y567" s="1">
        <v>39803</v>
      </c>
      <c r="Z567" s="1"/>
      <c r="AA567" s="1">
        <v>1384229</v>
      </c>
      <c r="AB567" s="1"/>
      <c r="AC567" s="1">
        <v>902292</v>
      </c>
      <c r="AD567" s="1"/>
      <c r="AE567" s="1">
        <v>6859</v>
      </c>
      <c r="AF567" s="1"/>
      <c r="AG567" s="1">
        <v>0</v>
      </c>
      <c r="AH567" s="1"/>
      <c r="AI567" s="1">
        <v>930255</v>
      </c>
      <c r="AJ567" s="1"/>
      <c r="AK567" s="17" t="s">
        <v>553</v>
      </c>
      <c r="AL567" s="17"/>
      <c r="AM567" s="17" t="s">
        <v>58</v>
      </c>
      <c r="AN567" s="17"/>
      <c r="AO567" s="1">
        <v>257695</v>
      </c>
      <c r="AP567" s="1"/>
      <c r="AQ567" s="1">
        <v>203241</v>
      </c>
      <c r="AR567" s="1"/>
      <c r="AS567" s="1"/>
      <c r="AT567" s="1"/>
      <c r="AU567" s="1">
        <v>0</v>
      </c>
      <c r="AV567" s="1"/>
      <c r="AW567" s="1">
        <f t="shared" si="46"/>
        <v>19244902</v>
      </c>
      <c r="AY567" s="1">
        <v>1212880</v>
      </c>
      <c r="BA567" s="1">
        <v>30817006</v>
      </c>
      <c r="BC567" s="1">
        <f t="shared" si="47"/>
        <v>32029886</v>
      </c>
      <c r="BE567" s="1">
        <f>+'St of Net Assets - GA'!AA567-'St of Activities - GA Exp'!BC567</f>
        <v>0</v>
      </c>
    </row>
    <row r="568" spans="1:57" ht="12" customHeight="1">
      <c r="A568" s="17" t="s">
        <v>270</v>
      </c>
      <c r="B568" s="17"/>
      <c r="C568" s="17" t="s">
        <v>114</v>
      </c>
      <c r="D568" s="17"/>
      <c r="E568" s="13">
        <v>46458</v>
      </c>
      <c r="G568" s="1">
        <v>6024998</v>
      </c>
      <c r="H568" s="1"/>
      <c r="I568" s="1">
        <v>1898543</v>
      </c>
      <c r="J568" s="1"/>
      <c r="K568" s="1">
        <v>223559</v>
      </c>
      <c r="L568" s="1"/>
      <c r="M568" s="1">
        <f>10003+27321</f>
        <v>37324</v>
      </c>
      <c r="N568" s="1"/>
      <c r="O568" s="1">
        <v>340508</v>
      </c>
      <c r="P568" s="1"/>
      <c r="Q568" s="1">
        <v>544422</v>
      </c>
      <c r="R568" s="1"/>
      <c r="S568" s="1">
        <v>62797</v>
      </c>
      <c r="T568" s="1"/>
      <c r="U568" s="1">
        <v>938236</v>
      </c>
      <c r="V568" s="1"/>
      <c r="W568" s="1">
        <v>270071</v>
      </c>
      <c r="X568" s="1"/>
      <c r="Y568" s="1">
        <v>84480</v>
      </c>
      <c r="Z568" s="1"/>
      <c r="AA568" s="1">
        <v>1136095</v>
      </c>
      <c r="AB568" s="1"/>
      <c r="AC568" s="1">
        <v>814150</v>
      </c>
      <c r="AD568" s="1"/>
      <c r="AE568" s="1">
        <v>17496</v>
      </c>
      <c r="AF568" s="1"/>
      <c r="AG568" s="1">
        <v>620105</v>
      </c>
      <c r="AH568" s="1"/>
      <c r="AI568" s="1">
        <v>1669</v>
      </c>
      <c r="AJ568" s="1"/>
      <c r="AK568" s="17" t="s">
        <v>270</v>
      </c>
      <c r="AL568" s="17"/>
      <c r="AM568" s="17" t="s">
        <v>114</v>
      </c>
      <c r="AN568" s="17"/>
      <c r="AO568" s="1">
        <v>578728</v>
      </c>
      <c r="AP568" s="1"/>
      <c r="AQ568" s="1">
        <v>4064</v>
      </c>
      <c r="AR568" s="1"/>
      <c r="AS568" s="1"/>
      <c r="AT568" s="1"/>
      <c r="AU568" s="1">
        <v>0</v>
      </c>
      <c r="AV568" s="1"/>
      <c r="AW568" s="1">
        <f t="shared" si="46"/>
        <v>13597245</v>
      </c>
      <c r="AY568" s="1">
        <v>-278815</v>
      </c>
      <c r="BA568" s="1">
        <v>10622566</v>
      </c>
      <c r="BC568" s="1">
        <f t="shared" si="47"/>
        <v>10343751</v>
      </c>
      <c r="BE568" s="1">
        <f>+'St of Net Assets - GA'!AA568-'St of Activities - GA Exp'!BC568</f>
        <v>0</v>
      </c>
    </row>
    <row r="569" spans="1:57">
      <c r="A569" s="17" t="s">
        <v>341</v>
      </c>
      <c r="B569" s="17"/>
      <c r="C569" s="17" t="s">
        <v>27</v>
      </c>
      <c r="D569" s="17"/>
      <c r="E569" s="13">
        <v>44933</v>
      </c>
      <c r="G569" s="1">
        <v>41243734</v>
      </c>
      <c r="H569" s="1"/>
      <c r="I569" s="1">
        <v>8041310</v>
      </c>
      <c r="J569" s="1"/>
      <c r="K569" s="1">
        <v>150195</v>
      </c>
      <c r="L569" s="1"/>
      <c r="M569" s="1">
        <v>0</v>
      </c>
      <c r="N569" s="1"/>
      <c r="O569" s="1">
        <v>1661653</v>
      </c>
      <c r="P569" s="1"/>
      <c r="Q569" s="1">
        <v>6134942</v>
      </c>
      <c r="R569" s="1"/>
      <c r="S569" s="1">
        <v>38944</v>
      </c>
      <c r="T569" s="1"/>
      <c r="U569" s="1">
        <v>4498566</v>
      </c>
      <c r="V569" s="1"/>
      <c r="W569" s="1">
        <v>637220</v>
      </c>
      <c r="X569" s="1"/>
      <c r="Y569" s="1">
        <v>4483756</v>
      </c>
      <c r="Z569" s="1"/>
      <c r="AA569" s="1">
        <v>6761549</v>
      </c>
      <c r="AB569" s="1"/>
      <c r="AC569" s="1">
        <v>1711837</v>
      </c>
      <c r="AD569" s="1"/>
      <c r="AE569" s="1">
        <v>2752214</v>
      </c>
      <c r="AF569" s="1"/>
      <c r="AG569" s="1">
        <v>1518053</v>
      </c>
      <c r="AH569" s="1"/>
      <c r="AI569" s="1">
        <v>2837128</v>
      </c>
      <c r="AJ569" s="1"/>
      <c r="AK569" s="17" t="s">
        <v>341</v>
      </c>
      <c r="AL569" s="17"/>
      <c r="AM569" s="17" t="s">
        <v>27</v>
      </c>
      <c r="AN569" s="17"/>
      <c r="AO569" s="1">
        <v>2925698</v>
      </c>
      <c r="AP569" s="1"/>
      <c r="AQ569" s="1">
        <v>1529121</v>
      </c>
      <c r="AR569" s="1"/>
      <c r="AS569" s="1"/>
      <c r="AT569" s="1"/>
      <c r="AU569" s="1">
        <v>0</v>
      </c>
      <c r="AV569" s="1"/>
      <c r="AW569" s="1">
        <f t="shared" si="46"/>
        <v>86925920</v>
      </c>
      <c r="AY569" s="1">
        <v>5179329</v>
      </c>
      <c r="BA569" s="1">
        <v>72151810</v>
      </c>
      <c r="BC569" s="1">
        <f t="shared" si="47"/>
        <v>77331139</v>
      </c>
      <c r="BE569" s="1">
        <f>+'St of Net Assets - GA'!AA569-'St of Activities - GA Exp'!BC569</f>
        <v>0</v>
      </c>
    </row>
    <row r="570" spans="1:57" ht="12" hidden="1" customHeight="1">
      <c r="A570" s="17" t="s">
        <v>866</v>
      </c>
      <c r="B570" s="17"/>
      <c r="C570" s="17" t="s">
        <v>653</v>
      </c>
      <c r="D570" s="17"/>
      <c r="E570" s="13">
        <v>45625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7" t="s">
        <v>866</v>
      </c>
      <c r="AL570" s="17"/>
      <c r="AM570" s="17" t="s">
        <v>653</v>
      </c>
      <c r="AN570" s="17"/>
      <c r="AO570" s="1"/>
      <c r="AP570" s="1"/>
      <c r="AQ570" s="1"/>
      <c r="AR570" s="1"/>
      <c r="AS570" s="1"/>
      <c r="AT570" s="1"/>
      <c r="AU570" s="1"/>
      <c r="AV570" s="1"/>
      <c r="AW570" s="1">
        <f t="shared" si="46"/>
        <v>0</v>
      </c>
      <c r="AY570" s="1">
        <v>0</v>
      </c>
      <c r="BC570" s="1">
        <f t="shared" si="47"/>
        <v>0</v>
      </c>
      <c r="BE570" s="1">
        <f>+'St of Net Assets - GA'!AA570-'St of Activities - GA Exp'!BC570</f>
        <v>0</v>
      </c>
    </row>
    <row r="571" spans="1:57" ht="12" hidden="1" customHeight="1">
      <c r="A571" s="17" t="s">
        <v>867</v>
      </c>
      <c r="B571" s="17"/>
      <c r="C571" s="17" t="s">
        <v>383</v>
      </c>
      <c r="D571" s="17"/>
      <c r="E571" s="13">
        <v>47522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7" t="s">
        <v>867</v>
      </c>
      <c r="AL571" s="17"/>
      <c r="AM571" s="17" t="s">
        <v>383</v>
      </c>
      <c r="AN571" s="17"/>
      <c r="AO571" s="1"/>
      <c r="AP571" s="1"/>
      <c r="AQ571" s="1"/>
      <c r="AR571" s="1"/>
      <c r="AS571" s="1"/>
      <c r="AT571" s="1"/>
      <c r="AU571" s="1"/>
      <c r="AV571" s="1"/>
      <c r="AW571" s="1">
        <f t="shared" si="46"/>
        <v>0</v>
      </c>
      <c r="AY571" s="1">
        <v>0</v>
      </c>
      <c r="BC571" s="1">
        <f t="shared" si="47"/>
        <v>0</v>
      </c>
      <c r="BE571" s="1">
        <f>+'St of Net Assets - GA'!AA571-'St of Activities - GA Exp'!BC571</f>
        <v>0</v>
      </c>
    </row>
    <row r="572" spans="1:57">
      <c r="A572" s="17" t="s">
        <v>243</v>
      </c>
      <c r="B572" s="17"/>
      <c r="C572" s="17" t="s">
        <v>240</v>
      </c>
      <c r="D572" s="17"/>
      <c r="E572" s="13">
        <v>44941</v>
      </c>
      <c r="G572" s="1">
        <v>11460761</v>
      </c>
      <c r="H572" s="1"/>
      <c r="I572" s="1">
        <v>4208162</v>
      </c>
      <c r="J572" s="1"/>
      <c r="K572" s="1">
        <v>343511</v>
      </c>
      <c r="L572" s="1"/>
      <c r="M572" s="1">
        <v>41960</v>
      </c>
      <c r="N572" s="1"/>
      <c r="O572" s="1">
        <v>1397747</v>
      </c>
      <c r="P572" s="1"/>
      <c r="Q572" s="1">
        <v>642177</v>
      </c>
      <c r="R572" s="1"/>
      <c r="S572" s="1">
        <v>19598</v>
      </c>
      <c r="T572" s="1"/>
      <c r="U572" s="1">
        <v>2003575</v>
      </c>
      <c r="V572" s="1"/>
      <c r="W572" s="1">
        <v>246799</v>
      </c>
      <c r="X572" s="1"/>
      <c r="Y572" s="1">
        <v>362119</v>
      </c>
      <c r="Z572" s="1"/>
      <c r="AA572" s="1">
        <v>2001522</v>
      </c>
      <c r="AB572" s="1"/>
      <c r="AC572" s="1">
        <v>767095</v>
      </c>
      <c r="AD572" s="1"/>
      <c r="AE572" s="1">
        <v>358548</v>
      </c>
      <c r="AF572" s="1"/>
      <c r="AG572" s="1">
        <v>932121</v>
      </c>
      <c r="AH572" s="1"/>
      <c r="AI572" s="1">
        <v>106496</v>
      </c>
      <c r="AJ572" s="1"/>
      <c r="AK572" s="17" t="s">
        <v>243</v>
      </c>
      <c r="AL572" s="17"/>
      <c r="AM572" s="17" t="s">
        <v>240</v>
      </c>
      <c r="AN572" s="17"/>
      <c r="AO572" s="1">
        <v>735427</v>
      </c>
      <c r="AP572" s="1"/>
      <c r="AQ572" s="1">
        <v>80680</v>
      </c>
      <c r="AR572" s="1"/>
      <c r="AS572" s="1"/>
      <c r="AT572" s="1"/>
      <c r="AU572" s="1">
        <v>0</v>
      </c>
      <c r="AV572" s="1"/>
      <c r="AW572" s="1">
        <f t="shared" si="46"/>
        <v>25708298</v>
      </c>
      <c r="AY572" s="1">
        <v>856963</v>
      </c>
      <c r="BA572" s="1">
        <v>9527968</v>
      </c>
      <c r="BC572" s="1">
        <f t="shared" si="47"/>
        <v>10384931</v>
      </c>
      <c r="BE572" s="1">
        <f>+'St of Net Assets - GA'!AA572-'St of Activities - GA Exp'!BC572</f>
        <v>0</v>
      </c>
    </row>
    <row r="573" spans="1:57" ht="12" hidden="1" customHeight="1">
      <c r="A573" s="17" t="s">
        <v>868</v>
      </c>
      <c r="B573" s="17"/>
      <c r="C573" s="17" t="s">
        <v>59</v>
      </c>
      <c r="D573" s="17"/>
      <c r="E573" s="13">
        <v>49643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7" t="s">
        <v>868</v>
      </c>
      <c r="AL573" s="17"/>
      <c r="AM573" s="17" t="s">
        <v>59</v>
      </c>
      <c r="AN573" s="17"/>
      <c r="AO573" s="1"/>
      <c r="AP573" s="1"/>
      <c r="AQ573" s="1"/>
      <c r="AR573" s="1"/>
      <c r="AS573" s="1"/>
      <c r="AT573" s="1"/>
      <c r="AU573" s="1"/>
      <c r="AV573" s="1"/>
      <c r="AW573" s="1">
        <f t="shared" si="46"/>
        <v>0</v>
      </c>
      <c r="AY573" s="1">
        <v>0</v>
      </c>
      <c r="BC573" s="1">
        <f t="shared" si="47"/>
        <v>0</v>
      </c>
      <c r="BE573" s="1">
        <f>+'St of Net Assets - GA'!AA573-'St of Activities - GA Exp'!BC573</f>
        <v>0</v>
      </c>
    </row>
    <row r="574" spans="1:57">
      <c r="A574" s="17" t="s">
        <v>506</v>
      </c>
      <c r="B574" s="17"/>
      <c r="C574" s="17" t="s">
        <v>50</v>
      </c>
      <c r="D574" s="17"/>
      <c r="E574" s="13">
        <v>48744</v>
      </c>
      <c r="G574" s="1">
        <v>8505835</v>
      </c>
      <c r="H574" s="1"/>
      <c r="I574" s="1">
        <v>1563096</v>
      </c>
      <c r="J574" s="1"/>
      <c r="K574" s="1">
        <v>426363</v>
      </c>
      <c r="L574" s="1"/>
      <c r="M574" s="1">
        <v>563912</v>
      </c>
      <c r="N574" s="1"/>
      <c r="O574" s="1">
        <v>1049073</v>
      </c>
      <c r="P574" s="1"/>
      <c r="Q574" s="1">
        <v>1455411</v>
      </c>
      <c r="R574" s="1"/>
      <c r="S574" s="1">
        <v>29685</v>
      </c>
      <c r="T574" s="1"/>
      <c r="U574" s="1">
        <v>1518344</v>
      </c>
      <c r="V574" s="1"/>
      <c r="W574" s="1">
        <v>338797</v>
      </c>
      <c r="X574" s="1"/>
      <c r="Y574" s="1">
        <v>23044</v>
      </c>
      <c r="Z574" s="1"/>
      <c r="AA574" s="1">
        <v>1883174</v>
      </c>
      <c r="AB574" s="1"/>
      <c r="AC574" s="1">
        <v>1027796</v>
      </c>
      <c r="AD574" s="1"/>
      <c r="AE574" s="1">
        <v>597892</v>
      </c>
      <c r="AF574" s="1"/>
      <c r="AG574" s="1">
        <v>727268</v>
      </c>
      <c r="AH574" s="1"/>
      <c r="AI574" s="1">
        <v>0</v>
      </c>
      <c r="AJ574" s="1"/>
      <c r="AK574" s="17" t="s">
        <v>506</v>
      </c>
      <c r="AL574" s="17"/>
      <c r="AM574" s="17" t="s">
        <v>50</v>
      </c>
      <c r="AN574" s="17"/>
      <c r="AO574" s="1">
        <v>693505</v>
      </c>
      <c r="AP574" s="1"/>
      <c r="AQ574" s="1">
        <v>50751</v>
      </c>
      <c r="AR574" s="1"/>
      <c r="AS574" s="1"/>
      <c r="AT574" s="1"/>
      <c r="AU574" s="1">
        <v>65773</v>
      </c>
      <c r="AV574" s="1"/>
      <c r="AW574" s="1">
        <f t="shared" si="44"/>
        <v>20519719</v>
      </c>
      <c r="AY574" s="1">
        <v>-1348020</v>
      </c>
      <c r="BA574" s="1">
        <v>9512294</v>
      </c>
      <c r="BC574" s="1">
        <f t="shared" si="45"/>
        <v>8164274</v>
      </c>
      <c r="BE574" s="1">
        <f>+'St of Net Assets - GA'!AA574-'St of Activities - GA Exp'!BC574</f>
        <v>0</v>
      </c>
    </row>
    <row r="575" spans="1:57">
      <c r="A575" s="17" t="s">
        <v>382</v>
      </c>
      <c r="B575" s="17"/>
      <c r="C575" s="17" t="s">
        <v>33</v>
      </c>
      <c r="D575" s="17"/>
      <c r="E575" s="13">
        <v>47464</v>
      </c>
      <c r="G575" s="1">
        <v>4830230</v>
      </c>
      <c r="H575" s="1"/>
      <c r="I575" s="1">
        <v>603768</v>
      </c>
      <c r="J575" s="1"/>
      <c r="K575" s="1">
        <v>194740</v>
      </c>
      <c r="L575" s="1"/>
      <c r="M575" s="1">
        <v>0</v>
      </c>
      <c r="N575" s="1"/>
      <c r="O575" s="1">
        <v>700823</v>
      </c>
      <c r="P575" s="1"/>
      <c r="Q575" s="1">
        <v>358007</v>
      </c>
      <c r="R575" s="1"/>
      <c r="S575" s="1">
        <v>50514</v>
      </c>
      <c r="T575" s="1"/>
      <c r="U575" s="1">
        <v>803165</v>
      </c>
      <c r="V575" s="1"/>
      <c r="W575" s="1">
        <v>386498</v>
      </c>
      <c r="X575" s="1"/>
      <c r="Y575" s="1">
        <v>0</v>
      </c>
      <c r="Z575" s="1"/>
      <c r="AA575" s="1">
        <v>1189645</v>
      </c>
      <c r="AB575" s="1"/>
      <c r="AC575" s="1">
        <v>513106</v>
      </c>
      <c r="AD575" s="1"/>
      <c r="AE575" s="1">
        <v>31972</v>
      </c>
      <c r="AF575" s="1"/>
      <c r="AG575" s="1">
        <v>0</v>
      </c>
      <c r="AH575" s="1"/>
      <c r="AI575" s="1">
        <v>288227</v>
      </c>
      <c r="AJ575" s="1"/>
      <c r="AK575" s="17" t="s">
        <v>382</v>
      </c>
      <c r="AL575" s="17"/>
      <c r="AM575" s="17" t="s">
        <v>33</v>
      </c>
      <c r="AN575" s="17"/>
      <c r="AO575" s="1">
        <v>467204</v>
      </c>
      <c r="AP575" s="1"/>
      <c r="AQ575" s="1">
        <v>249290</v>
      </c>
      <c r="AR575" s="1"/>
      <c r="AS575" s="1"/>
      <c r="AT575" s="1"/>
      <c r="AU575" s="1">
        <v>0</v>
      </c>
      <c r="AV575" s="1"/>
      <c r="AW575" s="1">
        <f t="shared" si="44"/>
        <v>10667189</v>
      </c>
      <c r="AY575" s="1">
        <v>1058553</v>
      </c>
      <c r="BA575" s="1">
        <v>12927749</v>
      </c>
      <c r="BC575" s="1">
        <f t="shared" si="45"/>
        <v>13986302</v>
      </c>
      <c r="BE575" s="1">
        <f>+'St of Net Assets - GA'!AA575-'St of Activities - GA Exp'!BC575</f>
        <v>0</v>
      </c>
    </row>
    <row r="576" spans="1:57" ht="12" customHeight="1">
      <c r="A576" s="12" t="s">
        <v>629</v>
      </c>
      <c r="B576" s="17"/>
      <c r="C576" s="17" t="s">
        <v>67</v>
      </c>
      <c r="D576" s="17"/>
      <c r="E576" s="13">
        <v>44966</v>
      </c>
      <c r="G576" s="1">
        <v>11077825</v>
      </c>
      <c r="H576" s="1"/>
      <c r="I576" s="1">
        <v>2780834</v>
      </c>
      <c r="J576" s="1"/>
      <c r="K576" s="1">
        <v>8051</v>
      </c>
      <c r="L576" s="1"/>
      <c r="M576" s="1">
        <v>0</v>
      </c>
      <c r="N576" s="1"/>
      <c r="O576" s="1">
        <v>978237</v>
      </c>
      <c r="P576" s="1"/>
      <c r="Q576" s="1">
        <v>1272157</v>
      </c>
      <c r="R576" s="1"/>
      <c r="S576" s="1">
        <v>45118</v>
      </c>
      <c r="T576" s="1"/>
      <c r="U576" s="1">
        <v>1728985</v>
      </c>
      <c r="V576" s="1"/>
      <c r="W576" s="1">
        <v>557635</v>
      </c>
      <c r="X576" s="1"/>
      <c r="Y576" s="1">
        <v>0</v>
      </c>
      <c r="Z576" s="1"/>
      <c r="AA576" s="1">
        <v>2055185</v>
      </c>
      <c r="AB576" s="1"/>
      <c r="AC576" s="1">
        <v>325810</v>
      </c>
      <c r="AD576" s="1"/>
      <c r="AE576" s="1">
        <v>294719</v>
      </c>
      <c r="AF576" s="1"/>
      <c r="AG576" s="1">
        <v>0</v>
      </c>
      <c r="AH576" s="1"/>
      <c r="AI576" s="1">
        <v>1080168</v>
      </c>
      <c r="AJ576" s="1"/>
      <c r="AK576" s="17" t="s">
        <v>629</v>
      </c>
      <c r="AL576" s="17"/>
      <c r="AM576" s="17" t="s">
        <v>67</v>
      </c>
      <c r="AN576" s="17"/>
      <c r="AO576" s="1">
        <v>653029</v>
      </c>
      <c r="AP576" s="1"/>
      <c r="AQ576" s="1">
        <v>1092044</v>
      </c>
      <c r="AR576" s="1"/>
      <c r="AS576" s="1"/>
      <c r="AT576" s="1"/>
      <c r="AU576" s="1">
        <v>0</v>
      </c>
      <c r="AV576" s="1"/>
      <c r="AW576" s="1">
        <f t="shared" si="44"/>
        <v>23949797</v>
      </c>
      <c r="AY576" s="1">
        <v>26850311</v>
      </c>
      <c r="BA576" s="1">
        <v>25847303</v>
      </c>
      <c r="BC576" s="1">
        <f t="shared" si="45"/>
        <v>52697614</v>
      </c>
      <c r="BE576" s="1">
        <f>+'St of Net Assets - GA'!AA576-'St of Activities - GA Exp'!BC576</f>
        <v>0</v>
      </c>
    </row>
    <row r="577" spans="1:57">
      <c r="A577" s="17" t="s">
        <v>507</v>
      </c>
      <c r="B577" s="17"/>
      <c r="C577" s="17" t="s">
        <v>50</v>
      </c>
      <c r="D577" s="17"/>
      <c r="E577" s="13">
        <v>44958</v>
      </c>
      <c r="G577" s="1">
        <v>17703515</v>
      </c>
      <c r="H577" s="1"/>
      <c r="I577" s="1">
        <v>4378332</v>
      </c>
      <c r="J577" s="1"/>
      <c r="K577" s="1">
        <v>571985</v>
      </c>
      <c r="L577" s="1"/>
      <c r="M577" s="1">
        <v>1667234</v>
      </c>
      <c r="N577" s="1"/>
      <c r="O577" s="1">
        <v>2760487</v>
      </c>
      <c r="P577" s="1"/>
      <c r="Q577" s="1">
        <v>2413756</v>
      </c>
      <c r="R577" s="1"/>
      <c r="S577" s="1">
        <v>104129</v>
      </c>
      <c r="T577" s="1"/>
      <c r="U577" s="1">
        <v>2502717</v>
      </c>
      <c r="V577" s="1"/>
      <c r="W577" s="1">
        <v>1112230</v>
      </c>
      <c r="X577" s="1"/>
      <c r="Y577" s="1">
        <v>0</v>
      </c>
      <c r="Z577" s="1"/>
      <c r="AA577" s="1">
        <v>2644333</v>
      </c>
      <c r="AB577" s="1"/>
      <c r="AC577" s="1">
        <v>1616443</v>
      </c>
      <c r="AD577" s="1"/>
      <c r="AE577" s="1">
        <v>1526642</v>
      </c>
      <c r="AF577" s="1"/>
      <c r="AG577" s="1">
        <v>1855888</v>
      </c>
      <c r="AH577" s="1"/>
      <c r="AI577" s="1">
        <v>0</v>
      </c>
      <c r="AJ577" s="1"/>
      <c r="AK577" s="17" t="s">
        <v>507</v>
      </c>
      <c r="AL577" s="17"/>
      <c r="AM577" s="17" t="s">
        <v>50</v>
      </c>
      <c r="AN577" s="17"/>
      <c r="AO577" s="1">
        <v>522064</v>
      </c>
      <c r="AP577" s="1"/>
      <c r="AQ577" s="1">
        <v>1973933</v>
      </c>
      <c r="AR577" s="1"/>
      <c r="AS577" s="1"/>
      <c r="AT577" s="1"/>
      <c r="AU577" s="1">
        <v>0</v>
      </c>
      <c r="AV577" s="1"/>
      <c r="AW577" s="1">
        <f t="shared" si="44"/>
        <v>43353688</v>
      </c>
      <c r="AY577" s="1">
        <v>-3651510</v>
      </c>
      <c r="BA577" s="1">
        <v>19109527</v>
      </c>
      <c r="BC577" s="1">
        <f t="shared" si="45"/>
        <v>15458017</v>
      </c>
      <c r="BE577" s="1">
        <f>+'St of Net Assets - GA'!AA577-'St of Activities - GA Exp'!BC577</f>
        <v>0</v>
      </c>
    </row>
    <row r="578" spans="1:57" ht="12" hidden="1" customHeight="1">
      <c r="A578" s="17" t="s">
        <v>870</v>
      </c>
      <c r="B578" s="17"/>
      <c r="C578" s="17" t="s">
        <v>33</v>
      </c>
      <c r="D578" s="17"/>
      <c r="E578" s="13">
        <v>47472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7" t="s">
        <v>870</v>
      </c>
      <c r="AL578" s="17"/>
      <c r="AM578" s="17" t="s">
        <v>33</v>
      </c>
      <c r="AN578" s="17"/>
      <c r="AO578" s="1"/>
      <c r="AP578" s="1"/>
      <c r="AQ578" s="1"/>
      <c r="AR578" s="1"/>
      <c r="AS578" s="1"/>
      <c r="AT578" s="1"/>
      <c r="AU578" s="1"/>
      <c r="AV578" s="1"/>
      <c r="AW578" s="1">
        <f t="shared" si="44"/>
        <v>0</v>
      </c>
      <c r="AY578" s="1">
        <v>0</v>
      </c>
      <c r="BC578" s="1">
        <f t="shared" si="45"/>
        <v>0</v>
      </c>
      <c r="BE578" s="1">
        <f>+'St of Net Assets - GA'!AA578-'St of Activities - GA Exp'!BC578</f>
        <v>0</v>
      </c>
    </row>
    <row r="579" spans="1:57">
      <c r="A579" s="17" t="s">
        <v>320</v>
      </c>
      <c r="B579" s="17"/>
      <c r="C579" s="17" t="s">
        <v>24</v>
      </c>
      <c r="D579" s="17"/>
      <c r="E579" s="13">
        <v>46821</v>
      </c>
      <c r="G579" s="1">
        <v>10411057</v>
      </c>
      <c r="H579" s="1"/>
      <c r="I579" s="1">
        <v>2118734</v>
      </c>
      <c r="J579" s="1"/>
      <c r="K579" s="1">
        <v>334512</v>
      </c>
      <c r="L579" s="1"/>
      <c r="M579" s="1">
        <v>1585828</v>
      </c>
      <c r="N579" s="1"/>
      <c r="O579" s="1">
        <v>1437167</v>
      </c>
      <c r="P579" s="1"/>
      <c r="Q579" s="1">
        <v>2101530</v>
      </c>
      <c r="R579" s="1"/>
      <c r="S579" s="1">
        <v>162564</v>
      </c>
      <c r="T579" s="1"/>
      <c r="U579" s="1">
        <v>1859697</v>
      </c>
      <c r="V579" s="1"/>
      <c r="W579" s="1">
        <v>573161</v>
      </c>
      <c r="X579" s="1"/>
      <c r="Y579" s="1">
        <v>99657</v>
      </c>
      <c r="Z579" s="1"/>
      <c r="AA579" s="1">
        <v>1976856</v>
      </c>
      <c r="AB579" s="1"/>
      <c r="AC579" s="1">
        <v>1593648</v>
      </c>
      <c r="AD579" s="1"/>
      <c r="AE579" s="1">
        <v>62095</v>
      </c>
      <c r="AF579" s="1"/>
      <c r="AG579" s="1">
        <v>797844</v>
      </c>
      <c r="AH579" s="1"/>
      <c r="AI579" s="1">
        <v>58392</v>
      </c>
      <c r="AJ579" s="1"/>
      <c r="AK579" s="17" t="s">
        <v>320</v>
      </c>
      <c r="AL579" s="17"/>
      <c r="AM579" s="17" t="s">
        <v>24</v>
      </c>
      <c r="AN579" s="17"/>
      <c r="AO579" s="1">
        <v>731924</v>
      </c>
      <c r="AP579" s="1"/>
      <c r="AQ579" s="1">
        <v>360949</v>
      </c>
      <c r="AR579" s="1"/>
      <c r="AS579" s="1"/>
      <c r="AT579" s="1"/>
      <c r="AU579" s="1">
        <v>0</v>
      </c>
      <c r="AV579" s="1"/>
      <c r="AW579" s="1">
        <f t="shared" si="44"/>
        <v>26265615</v>
      </c>
      <c r="AY579" s="1">
        <v>752176</v>
      </c>
      <c r="BA579" s="1">
        <v>12496469</v>
      </c>
      <c r="BC579" s="1">
        <f t="shared" si="45"/>
        <v>13248645</v>
      </c>
      <c r="BE579" s="1">
        <f>+'St of Net Assets - GA'!AA579-'St of Activities - GA Exp'!BC579</f>
        <v>0</v>
      </c>
    </row>
    <row r="580" spans="1:57" hidden="1">
      <c r="A580" s="17" t="s">
        <v>871</v>
      </c>
      <c r="B580" s="17"/>
      <c r="C580" s="17" t="s">
        <v>21</v>
      </c>
      <c r="D580" s="17"/>
      <c r="E580" s="13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7" t="s">
        <v>871</v>
      </c>
      <c r="AL580" s="17"/>
      <c r="AM580" s="17" t="s">
        <v>21</v>
      </c>
      <c r="AN580" s="17"/>
      <c r="AO580" s="1"/>
      <c r="AP580" s="1"/>
      <c r="AQ580" s="1"/>
      <c r="AR580" s="1"/>
      <c r="AS580" s="1"/>
      <c r="AT580" s="1"/>
      <c r="AU580" s="1"/>
      <c r="AV580" s="1"/>
      <c r="AW580" s="1">
        <f t="shared" si="44"/>
        <v>0</v>
      </c>
      <c r="AY580" s="1">
        <v>0</v>
      </c>
      <c r="BC580" s="1">
        <f t="shared" si="45"/>
        <v>0</v>
      </c>
      <c r="BE580" s="1">
        <f>+'St of Net Assets - GA'!AA580-'St of Activities - GA Exp'!BC580</f>
        <v>0</v>
      </c>
    </row>
    <row r="581" spans="1:57">
      <c r="A581" s="17" t="s">
        <v>630</v>
      </c>
      <c r="B581" s="17"/>
      <c r="C581" s="17" t="s">
        <v>68</v>
      </c>
      <c r="D581" s="17"/>
      <c r="E581" s="13">
        <v>50393</v>
      </c>
      <c r="G581" s="1">
        <v>12165947</v>
      </c>
      <c r="H581" s="1"/>
      <c r="I581" s="1">
        <v>3223565</v>
      </c>
      <c r="J581" s="1"/>
      <c r="K581" s="1">
        <v>252894</v>
      </c>
      <c r="L581" s="1"/>
      <c r="M581" s="1">
        <f>169104+1196834</f>
        <v>1365938</v>
      </c>
      <c r="N581" s="1"/>
      <c r="O581" s="1">
        <v>2461582</v>
      </c>
      <c r="P581" s="1"/>
      <c r="Q581" s="1">
        <v>1509316</v>
      </c>
      <c r="R581" s="1"/>
      <c r="S581" s="1">
        <v>404780</v>
      </c>
      <c r="T581" s="1"/>
      <c r="U581" s="1">
        <v>2250338</v>
      </c>
      <c r="V581" s="1"/>
      <c r="W581" s="1">
        <v>352744</v>
      </c>
      <c r="X581" s="1"/>
      <c r="Y581" s="1">
        <v>0</v>
      </c>
      <c r="Z581" s="1"/>
      <c r="AA581" s="1">
        <v>2362952</v>
      </c>
      <c r="AB581" s="1"/>
      <c r="AC581" s="1">
        <v>2055141</v>
      </c>
      <c r="AD581" s="1"/>
      <c r="AE581" s="1">
        <v>408588</v>
      </c>
      <c r="AF581" s="1"/>
      <c r="AG581" s="1">
        <v>1131329</v>
      </c>
      <c r="AH581" s="1"/>
      <c r="AI581" s="1">
        <v>65897</v>
      </c>
      <c r="AJ581" s="1"/>
      <c r="AK581" s="17" t="s">
        <v>630</v>
      </c>
      <c r="AL581" s="17"/>
      <c r="AM581" s="17" t="s">
        <v>68</v>
      </c>
      <c r="AN581" s="17"/>
      <c r="AO581" s="1">
        <v>311737</v>
      </c>
      <c r="AP581" s="1"/>
      <c r="AQ581" s="1">
        <v>346671</v>
      </c>
      <c r="AR581" s="1"/>
      <c r="AS581" s="1"/>
      <c r="AT581" s="1"/>
      <c r="AU581" s="1">
        <v>0</v>
      </c>
      <c r="AV581" s="1"/>
      <c r="AW581" s="1">
        <f t="shared" si="44"/>
        <v>30669419</v>
      </c>
      <c r="AY581" s="1">
        <v>-1395773</v>
      </c>
      <c r="BA581" s="1">
        <v>73685239</v>
      </c>
      <c r="BC581" s="1">
        <f>+AY581+BA581</f>
        <v>72289466</v>
      </c>
      <c r="BE581" s="1">
        <f>+'St of Net Assets - GA'!AA581-'St of Activities - GA Exp'!BC581</f>
        <v>0</v>
      </c>
    </row>
    <row r="582" spans="1:57">
      <c r="A582" s="17" t="s">
        <v>483</v>
      </c>
      <c r="B582" s="17"/>
      <c r="C582" s="17" t="s">
        <v>47</v>
      </c>
      <c r="D582" s="17"/>
      <c r="E582" s="13">
        <v>44974</v>
      </c>
      <c r="G582" s="1">
        <v>18424881</v>
      </c>
      <c r="H582" s="1"/>
      <c r="I582" s="1">
        <v>3085507</v>
      </c>
      <c r="J582" s="1"/>
      <c r="K582" s="1">
        <v>1881844</v>
      </c>
      <c r="L582" s="1"/>
      <c r="M582" s="1">
        <f>23128+152738+974275</f>
        <v>1150141</v>
      </c>
      <c r="N582" s="1"/>
      <c r="O582" s="1">
        <v>2620707</v>
      </c>
      <c r="P582" s="1"/>
      <c r="Q582" s="1">
        <v>1611359</v>
      </c>
      <c r="R582" s="1"/>
      <c r="S582" s="1">
        <v>353899</v>
      </c>
      <c r="T582" s="1"/>
      <c r="U582" s="1">
        <v>3508639</v>
      </c>
      <c r="V582" s="1"/>
      <c r="W582" s="1">
        <v>310260</v>
      </c>
      <c r="X582" s="1"/>
      <c r="Y582" s="1">
        <v>0</v>
      </c>
      <c r="Z582" s="1"/>
      <c r="AA582" s="1">
        <v>3492192</v>
      </c>
      <c r="AB582" s="1"/>
      <c r="AC582" s="1">
        <v>1679714</v>
      </c>
      <c r="AD582" s="1"/>
      <c r="AE582" s="1">
        <v>1269344</v>
      </c>
      <c r="AF582" s="1"/>
      <c r="AG582" s="1">
        <v>1380015</v>
      </c>
      <c r="AH582" s="1"/>
      <c r="AI582" s="1">
        <v>278060</v>
      </c>
      <c r="AJ582" s="1"/>
      <c r="AK582" s="17" t="s">
        <v>483</v>
      </c>
      <c r="AL582" s="17"/>
      <c r="AM582" s="17" t="s">
        <v>47</v>
      </c>
      <c r="AN582" s="17"/>
      <c r="AO582" s="1">
        <v>1133305</v>
      </c>
      <c r="AP582" s="1"/>
      <c r="AQ582" s="1">
        <v>4296811</v>
      </c>
      <c r="AR582" s="1"/>
      <c r="AS582" s="1"/>
      <c r="AT582" s="1"/>
      <c r="AU582" s="1">
        <f>84+71105</f>
        <v>71189</v>
      </c>
      <c r="AV582" s="1"/>
      <c r="AW582" s="1">
        <f t="shared" ref="AW582:AW604" si="48">SUM(G582:AV582)</f>
        <v>46547867</v>
      </c>
      <c r="AY582" s="1">
        <v>56367388</v>
      </c>
      <c r="BA582" s="1">
        <v>26788438</v>
      </c>
      <c r="BC582" s="1">
        <f t="shared" ref="BC582:BC633" si="49">+AY582+BA582</f>
        <v>83155826</v>
      </c>
      <c r="BE582" s="1">
        <f>+'St of Net Assets - GA'!AA582-'St of Activities - GA Exp'!BC582</f>
        <v>0</v>
      </c>
    </row>
    <row r="583" spans="1:57">
      <c r="A583" s="17" t="s">
        <v>616</v>
      </c>
      <c r="B583" s="17"/>
      <c r="C583" s="17" t="s">
        <v>64</v>
      </c>
      <c r="D583" s="17"/>
      <c r="E583" s="13">
        <v>44990</v>
      </c>
      <c r="G583" s="1">
        <v>29501729</v>
      </c>
      <c r="H583" s="1"/>
      <c r="I583" s="1">
        <v>10335657</v>
      </c>
      <c r="J583" s="1"/>
      <c r="K583" s="1">
        <v>189774</v>
      </c>
      <c r="L583" s="1"/>
      <c r="M583" s="1">
        <v>2719671</v>
      </c>
      <c r="N583" s="1"/>
      <c r="O583" s="1">
        <v>3491041</v>
      </c>
      <c r="P583" s="1"/>
      <c r="Q583" s="1">
        <v>5451084</v>
      </c>
      <c r="R583" s="1"/>
      <c r="S583" s="1">
        <v>65711</v>
      </c>
      <c r="T583" s="1"/>
      <c r="U583" s="1">
        <v>5488672</v>
      </c>
      <c r="V583" s="1"/>
      <c r="W583" s="1">
        <v>1063207</v>
      </c>
      <c r="X583" s="1"/>
      <c r="Y583" s="1">
        <v>732211</v>
      </c>
      <c r="Z583" s="1"/>
      <c r="AA583" s="1">
        <v>9418820</v>
      </c>
      <c r="AB583" s="1"/>
      <c r="AC583" s="1">
        <v>2921401</v>
      </c>
      <c r="AD583" s="1"/>
      <c r="AE583" s="1">
        <v>1393176</v>
      </c>
      <c r="AF583" s="1"/>
      <c r="AG583" s="1">
        <v>3023824</v>
      </c>
      <c r="AH583" s="1"/>
      <c r="AI583" s="1">
        <v>534730</v>
      </c>
      <c r="AJ583" s="1"/>
      <c r="AK583" s="17" t="s">
        <v>616</v>
      </c>
      <c r="AL583" s="17"/>
      <c r="AM583" s="17" t="s">
        <v>64</v>
      </c>
      <c r="AN583" s="17"/>
      <c r="AO583" s="1">
        <v>1230267</v>
      </c>
      <c r="AP583" s="1"/>
      <c r="AQ583" s="1">
        <v>1670228</v>
      </c>
      <c r="AR583" s="1"/>
      <c r="AS583" s="1"/>
      <c r="AT583" s="1"/>
      <c r="AU583" s="1">
        <v>0</v>
      </c>
      <c r="AV583" s="1"/>
      <c r="AW583" s="1">
        <f t="shared" si="48"/>
        <v>79231203</v>
      </c>
      <c r="AY583" s="1">
        <v>-452108</v>
      </c>
      <c r="BA583" s="1">
        <v>149298590</v>
      </c>
      <c r="BC583" s="1">
        <f t="shared" si="49"/>
        <v>148846482</v>
      </c>
      <c r="BE583" s="1">
        <f>+'St of Net Assets - GA'!AA583-'St of Activities - GA Exp'!BC583</f>
        <v>0</v>
      </c>
    </row>
    <row r="584" spans="1:57" ht="12" customHeight="1">
      <c r="A584" s="17" t="s">
        <v>638</v>
      </c>
      <c r="B584" s="17"/>
      <c r="C584" s="17" t="s">
        <v>70</v>
      </c>
      <c r="D584" s="17"/>
      <c r="E584" s="13">
        <v>50500</v>
      </c>
      <c r="G584" s="1">
        <v>11223342</v>
      </c>
      <c r="H584" s="1"/>
      <c r="I584" s="1">
        <v>2023266</v>
      </c>
      <c r="J584" s="1"/>
      <c r="K584" s="1">
        <v>71995</v>
      </c>
      <c r="L584" s="1"/>
      <c r="M584" s="1">
        <v>15397</v>
      </c>
      <c r="N584" s="1"/>
      <c r="O584" s="1">
        <v>594702</v>
      </c>
      <c r="P584" s="1"/>
      <c r="Q584" s="1">
        <v>759694</v>
      </c>
      <c r="R584" s="1"/>
      <c r="S584" s="1">
        <v>158453</v>
      </c>
      <c r="T584" s="1"/>
      <c r="U584" s="1">
        <v>1340002</v>
      </c>
      <c r="V584" s="1"/>
      <c r="W584" s="1">
        <v>617900</v>
      </c>
      <c r="X584" s="1"/>
      <c r="Y584" s="1">
        <v>8313</v>
      </c>
      <c r="Z584" s="1"/>
      <c r="AA584" s="1">
        <v>1821292</v>
      </c>
      <c r="AB584" s="1"/>
      <c r="AC584" s="1">
        <v>1774907</v>
      </c>
      <c r="AD584" s="1"/>
      <c r="AE584" s="1">
        <v>14486</v>
      </c>
      <c r="AF584" s="1"/>
      <c r="AG584" s="1">
        <v>871433</v>
      </c>
      <c r="AH584" s="1"/>
      <c r="AI584" s="1">
        <v>3522</v>
      </c>
      <c r="AJ584" s="1"/>
      <c r="AK584" s="17" t="s">
        <v>638</v>
      </c>
      <c r="AL584" s="17"/>
      <c r="AM584" s="17" t="s">
        <v>70</v>
      </c>
      <c r="AN584" s="17"/>
      <c r="AO584" s="1">
        <v>598910</v>
      </c>
      <c r="AP584" s="1"/>
      <c r="AQ584" s="1">
        <v>0</v>
      </c>
      <c r="AR584" s="1"/>
      <c r="AS584" s="1"/>
      <c r="AT584" s="1"/>
      <c r="AU584" s="1">
        <v>0</v>
      </c>
      <c r="AV584" s="1"/>
      <c r="AW584" s="1">
        <f t="shared" si="48"/>
        <v>21897614</v>
      </c>
      <c r="AY584" s="1">
        <v>1276915</v>
      </c>
      <c r="BA584" s="1">
        <v>6402018</v>
      </c>
      <c r="BC584" s="1">
        <f t="shared" si="49"/>
        <v>7678933</v>
      </c>
      <c r="BE584" s="1">
        <f>+'St of Net Assets - GA'!AA584-'St of Activities - GA Exp'!BC584</f>
        <v>0</v>
      </c>
    </row>
    <row r="585" spans="1:57">
      <c r="A585" s="17" t="s">
        <v>307</v>
      </c>
      <c r="B585" s="17"/>
      <c r="C585" s="17" t="s">
        <v>20</v>
      </c>
      <c r="D585" s="17"/>
      <c r="E585" s="13">
        <v>45005</v>
      </c>
      <c r="G585" s="1">
        <v>16197537</v>
      </c>
      <c r="H585" s="1"/>
      <c r="I585" s="1">
        <v>3969465</v>
      </c>
      <c r="J585" s="1"/>
      <c r="K585" s="1">
        <v>315843</v>
      </c>
      <c r="L585" s="1"/>
      <c r="M585" s="1">
        <v>0</v>
      </c>
      <c r="N585" s="1"/>
      <c r="O585" s="1">
        <v>1491174</v>
      </c>
      <c r="P585" s="1"/>
      <c r="Q585" s="1">
        <v>2630541</v>
      </c>
      <c r="R585" s="1"/>
      <c r="S585" s="1">
        <v>84208</v>
      </c>
      <c r="T585" s="1"/>
      <c r="U585" s="1">
        <v>3093130</v>
      </c>
      <c r="V585" s="1"/>
      <c r="W585" s="1">
        <v>940787</v>
      </c>
      <c r="X585" s="1"/>
      <c r="Y585" s="1">
        <v>1059678</v>
      </c>
      <c r="Z585" s="1"/>
      <c r="AA585" s="1">
        <v>4069589</v>
      </c>
      <c r="AB585" s="1"/>
      <c r="AC585" s="1">
        <v>1011815</v>
      </c>
      <c r="AD585" s="1"/>
      <c r="AE585" s="1">
        <v>334981</v>
      </c>
      <c r="AF585" s="1"/>
      <c r="AG585" s="1">
        <v>1065953</v>
      </c>
      <c r="AH585" s="1"/>
      <c r="AI585" s="1">
        <v>178443</v>
      </c>
      <c r="AJ585" s="1"/>
      <c r="AK585" s="17" t="s">
        <v>307</v>
      </c>
      <c r="AL585" s="17"/>
      <c r="AM585" s="17" t="s">
        <v>20</v>
      </c>
      <c r="AN585" s="17"/>
      <c r="AO585" s="1">
        <v>341582</v>
      </c>
      <c r="AP585" s="1"/>
      <c r="AQ585" s="1">
        <v>1111925</v>
      </c>
      <c r="AR585" s="1"/>
      <c r="AS585" s="1"/>
      <c r="AT585" s="1"/>
      <c r="AU585" s="1">
        <v>0</v>
      </c>
      <c r="AV585" s="1"/>
      <c r="AW585" s="1">
        <f t="shared" si="48"/>
        <v>37896651</v>
      </c>
      <c r="AY585" s="1">
        <v>1858463</v>
      </c>
      <c r="BA585" s="1">
        <v>16894344</v>
      </c>
      <c r="BC585" s="1">
        <f t="shared" si="49"/>
        <v>18752807</v>
      </c>
      <c r="BE585" s="1">
        <f>+'St of Net Assets - GA'!AA585-'St of Activities - GA Exp'!BC585</f>
        <v>0</v>
      </c>
    </row>
    <row r="586" spans="1:57" ht="12" customHeight="1">
      <c r="A586" s="17" t="s">
        <v>328</v>
      </c>
      <c r="B586" s="17"/>
      <c r="C586" s="17" t="s">
        <v>26</v>
      </c>
      <c r="D586" s="17"/>
      <c r="E586" s="13">
        <v>45013</v>
      </c>
      <c r="G586" s="1">
        <v>11408423</v>
      </c>
      <c r="H586" s="1"/>
      <c r="I586" s="1">
        <v>3766267</v>
      </c>
      <c r="J586" s="1"/>
      <c r="K586" s="1">
        <v>5779</v>
      </c>
      <c r="L586" s="1"/>
      <c r="M586" s="1">
        <v>33110</v>
      </c>
      <c r="N586" s="1"/>
      <c r="O586" s="1">
        <v>1088163</v>
      </c>
      <c r="P586" s="1"/>
      <c r="Q586" s="1">
        <v>1096751</v>
      </c>
      <c r="R586" s="1"/>
      <c r="S586" s="1">
        <v>30152</v>
      </c>
      <c r="T586" s="1"/>
      <c r="U586" s="1">
        <v>2067252</v>
      </c>
      <c r="V586" s="1"/>
      <c r="W586" s="1">
        <v>631955</v>
      </c>
      <c r="X586" s="1"/>
      <c r="Y586" s="1">
        <v>0</v>
      </c>
      <c r="Z586" s="1"/>
      <c r="AA586" s="1">
        <v>2125122</v>
      </c>
      <c r="AB586" s="1"/>
      <c r="AC586" s="1">
        <v>835645</v>
      </c>
      <c r="AD586" s="1"/>
      <c r="AE586" s="1">
        <v>254611</v>
      </c>
      <c r="AF586" s="1"/>
      <c r="AG586" s="1">
        <v>1164120</v>
      </c>
      <c r="AH586" s="1"/>
      <c r="AI586" s="1">
        <v>0</v>
      </c>
      <c r="AJ586" s="1"/>
      <c r="AK586" s="17" t="s">
        <v>328</v>
      </c>
      <c r="AL586" s="17"/>
      <c r="AM586" s="17" t="s">
        <v>26</v>
      </c>
      <c r="AN586" s="17"/>
      <c r="AO586" s="1">
        <v>752025</v>
      </c>
      <c r="AP586" s="1"/>
      <c r="AQ586" s="1">
        <v>1067397</v>
      </c>
      <c r="AR586" s="1"/>
      <c r="AS586" s="1"/>
      <c r="AT586" s="1"/>
      <c r="AU586" s="1">
        <v>0</v>
      </c>
      <c r="AV586" s="1"/>
      <c r="AW586" s="1">
        <f t="shared" si="48"/>
        <v>26326772</v>
      </c>
      <c r="AY586" s="1">
        <v>-2976053</v>
      </c>
      <c r="BA586" s="1">
        <v>57665709</v>
      </c>
      <c r="BC586" s="1">
        <f t="shared" si="49"/>
        <v>54689656</v>
      </c>
      <c r="BE586" s="1">
        <f>+'St of Net Assets - GA'!AA586-'St of Activities - GA Exp'!BC586</f>
        <v>0</v>
      </c>
    </row>
    <row r="587" spans="1:57" ht="12" customHeight="1">
      <c r="A587" s="17" t="s">
        <v>456</v>
      </c>
      <c r="B587" s="17"/>
      <c r="C587" s="17" t="s">
        <v>117</v>
      </c>
      <c r="D587" s="17"/>
      <c r="E587" s="13">
        <v>48231</v>
      </c>
      <c r="G587" s="1">
        <v>31344456</v>
      </c>
      <c r="H587" s="1"/>
      <c r="I587" s="1">
        <v>10183993</v>
      </c>
      <c r="J587" s="1"/>
      <c r="K587" s="1">
        <v>2911453</v>
      </c>
      <c r="L587" s="1"/>
      <c r="M587" s="1">
        <f>76764+3604549</f>
        <v>3681313</v>
      </c>
      <c r="N587" s="1"/>
      <c r="O587" s="1">
        <v>4278263</v>
      </c>
      <c r="P587" s="1"/>
      <c r="Q587" s="1">
        <v>3964384</v>
      </c>
      <c r="R587" s="1"/>
      <c r="S587" s="1">
        <v>162234</v>
      </c>
      <c r="T587" s="1"/>
      <c r="U587" s="1">
        <v>4936297</v>
      </c>
      <c r="V587" s="1"/>
      <c r="W587" s="1">
        <v>1448101</v>
      </c>
      <c r="X587" s="1"/>
      <c r="Y587" s="1">
        <v>672282</v>
      </c>
      <c r="Z587" s="1"/>
      <c r="AA587" s="1">
        <v>9466007</v>
      </c>
      <c r="AB587" s="1"/>
      <c r="AC587" s="1">
        <v>3488857</v>
      </c>
      <c r="AD587" s="1"/>
      <c r="AE587" s="1">
        <v>1484604</v>
      </c>
      <c r="AF587" s="1"/>
      <c r="AG587" s="1">
        <v>2349757</v>
      </c>
      <c r="AH587" s="1"/>
      <c r="AI587" s="1">
        <v>1229437</v>
      </c>
      <c r="AJ587" s="1"/>
      <c r="AK587" s="17" t="s">
        <v>456</v>
      </c>
      <c r="AL587" s="17"/>
      <c r="AM587" s="17" t="s">
        <v>117</v>
      </c>
      <c r="AN587" s="17"/>
      <c r="AO587" s="1">
        <v>1209493</v>
      </c>
      <c r="AP587" s="1"/>
      <c r="AQ587" s="1">
        <v>96630</v>
      </c>
      <c r="AR587" s="1"/>
      <c r="AS587" s="1"/>
      <c r="AT587" s="1"/>
      <c r="AU587" s="1">
        <v>0</v>
      </c>
      <c r="AV587" s="1"/>
      <c r="AW587" s="1">
        <f t="shared" si="48"/>
        <v>82907561</v>
      </c>
      <c r="AY587" s="1">
        <v>205290</v>
      </c>
      <c r="BA587" s="1">
        <v>57125403</v>
      </c>
      <c r="BC587" s="1">
        <f t="shared" si="49"/>
        <v>57330693</v>
      </c>
      <c r="BE587" s="1">
        <f>+'St of Net Assets - GA'!AA587-'St of Activities - GA Exp'!BC587</f>
        <v>0</v>
      </c>
    </row>
    <row r="588" spans="1:57" s="16" customFormat="1" ht="12" customHeight="1">
      <c r="A588" s="14" t="s">
        <v>565</v>
      </c>
      <c r="B588" s="14"/>
      <c r="C588" s="14" t="s">
        <v>59</v>
      </c>
      <c r="D588" s="14"/>
      <c r="E588" s="13">
        <v>49650</v>
      </c>
      <c r="G588" s="1">
        <v>6753734</v>
      </c>
      <c r="H588" s="1"/>
      <c r="I588" s="1">
        <v>2188713</v>
      </c>
      <c r="J588" s="1"/>
      <c r="K588" s="1">
        <v>104790</v>
      </c>
      <c r="L588" s="1"/>
      <c r="M588" s="1">
        <v>153650</v>
      </c>
      <c r="N588" s="1"/>
      <c r="O588" s="1">
        <v>852597</v>
      </c>
      <c r="P588" s="1"/>
      <c r="Q588" s="1">
        <v>972596</v>
      </c>
      <c r="R588" s="1"/>
      <c r="S588" s="1">
        <v>80460</v>
      </c>
      <c r="T588" s="1"/>
      <c r="U588" s="1">
        <v>1131814</v>
      </c>
      <c r="V588" s="1"/>
      <c r="W588" s="1">
        <v>314844</v>
      </c>
      <c r="X588" s="1"/>
      <c r="Y588" s="1">
        <v>0</v>
      </c>
      <c r="Z588" s="1"/>
      <c r="AA588" s="1">
        <v>2068645</v>
      </c>
      <c r="AB588" s="1"/>
      <c r="AC588" s="1">
        <v>980563</v>
      </c>
      <c r="AD588" s="1"/>
      <c r="AE588" s="1">
        <v>0</v>
      </c>
      <c r="AF588" s="1"/>
      <c r="AG588" s="1">
        <v>766534</v>
      </c>
      <c r="AH588" s="1"/>
      <c r="AI588" s="1">
        <v>73337</v>
      </c>
      <c r="AJ588" s="1"/>
      <c r="AK588" s="14" t="s">
        <v>565</v>
      </c>
      <c r="AL588" s="14"/>
      <c r="AM588" s="14" t="s">
        <v>59</v>
      </c>
      <c r="AN588" s="14"/>
      <c r="AO588" s="1">
        <v>420664</v>
      </c>
      <c r="AP588" s="1"/>
      <c r="AQ588" s="1">
        <v>95548</v>
      </c>
      <c r="AR588" s="1"/>
      <c r="AS588" s="1"/>
      <c r="AT588" s="1"/>
      <c r="AU588" s="1">
        <v>0</v>
      </c>
      <c r="AV588" s="1"/>
      <c r="AW588" s="1">
        <f t="shared" si="48"/>
        <v>16958489</v>
      </c>
      <c r="AX588" s="1"/>
      <c r="AY588" s="1">
        <v>-695066</v>
      </c>
      <c r="AZ588" s="1"/>
      <c r="BA588" s="1">
        <v>42628503</v>
      </c>
      <c r="BB588" s="1"/>
      <c r="BC588" s="1">
        <f t="shared" si="49"/>
        <v>41933437</v>
      </c>
      <c r="BD588" s="1"/>
      <c r="BE588" s="1">
        <f>+'St of Net Assets - GA'!AA588-'St of Activities - GA Exp'!BC588</f>
        <v>0</v>
      </c>
    </row>
    <row r="589" spans="1:57" ht="12" customHeight="1">
      <c r="A589" s="17" t="s">
        <v>539</v>
      </c>
      <c r="B589" s="17"/>
      <c r="C589" s="17" t="s">
        <v>56</v>
      </c>
      <c r="D589" s="17"/>
      <c r="E589" s="13">
        <v>49247</v>
      </c>
      <c r="G589" s="1">
        <v>6328071</v>
      </c>
      <c r="H589" s="1"/>
      <c r="I589" s="1">
        <v>1799348</v>
      </c>
      <c r="J589" s="1"/>
      <c r="K589" s="1">
        <v>53054</v>
      </c>
      <c r="L589" s="1"/>
      <c r="M589" s="1">
        <v>21849</v>
      </c>
      <c r="N589" s="1"/>
      <c r="O589" s="1">
        <v>478944</v>
      </c>
      <c r="P589" s="1"/>
      <c r="Q589" s="1">
        <v>503806</v>
      </c>
      <c r="R589" s="1"/>
      <c r="S589" s="1">
        <v>31940</v>
      </c>
      <c r="T589" s="1"/>
      <c r="U589" s="1">
        <v>923067</v>
      </c>
      <c r="V589" s="1"/>
      <c r="W589" s="1">
        <v>352263</v>
      </c>
      <c r="X589" s="1"/>
      <c r="Y589" s="1">
        <v>42203</v>
      </c>
      <c r="Z589" s="1"/>
      <c r="AA589" s="1">
        <v>1307674</v>
      </c>
      <c r="AB589" s="1"/>
      <c r="AC589" s="1">
        <v>974499</v>
      </c>
      <c r="AD589" s="1"/>
      <c r="AE589" s="1">
        <v>16184</v>
      </c>
      <c r="AF589" s="1"/>
      <c r="AG589" s="1">
        <v>443407</v>
      </c>
      <c r="AH589" s="1"/>
      <c r="AI589" s="1">
        <v>108755</v>
      </c>
      <c r="AJ589" s="1"/>
      <c r="AK589" s="17" t="s">
        <v>539</v>
      </c>
      <c r="AL589" s="17"/>
      <c r="AM589" s="17" t="s">
        <v>56</v>
      </c>
      <c r="AN589" s="17"/>
      <c r="AO589" s="1">
        <v>491776</v>
      </c>
      <c r="AP589" s="1"/>
      <c r="AQ589" s="1">
        <v>512116</v>
      </c>
      <c r="AR589" s="1"/>
      <c r="AS589" s="1"/>
      <c r="AT589" s="1"/>
      <c r="AU589" s="1">
        <v>0</v>
      </c>
      <c r="AV589" s="1"/>
      <c r="AW589" s="1">
        <f t="shared" si="48"/>
        <v>14388956</v>
      </c>
      <c r="AY589" s="1">
        <v>-1556669</v>
      </c>
      <c r="BA589" s="1">
        <v>11373829</v>
      </c>
      <c r="BC589" s="1">
        <f t="shared" si="49"/>
        <v>9817160</v>
      </c>
      <c r="BE589" s="1">
        <f>+'St of Net Assets - GA'!AA589-'St of Activities - GA Exp'!BC589</f>
        <v>0</v>
      </c>
    </row>
    <row r="590" spans="1:57" ht="12" customHeight="1">
      <c r="A590" s="17" t="s">
        <v>348</v>
      </c>
      <c r="B590" s="17"/>
      <c r="C590" s="17" t="s">
        <v>28</v>
      </c>
      <c r="D590" s="17"/>
      <c r="E590" s="13">
        <v>45641</v>
      </c>
      <c r="G590" s="1">
        <v>7594389</v>
      </c>
      <c r="H590" s="1"/>
      <c r="I590" s="1">
        <v>1891758</v>
      </c>
      <c r="J590" s="1"/>
      <c r="K590" s="1">
        <v>264453</v>
      </c>
      <c r="L590" s="1"/>
      <c r="M590" s="1">
        <v>902017</v>
      </c>
      <c r="N590" s="1"/>
      <c r="O590" s="1">
        <v>643737</v>
      </c>
      <c r="P590" s="1"/>
      <c r="Q590" s="1">
        <v>720523</v>
      </c>
      <c r="R590" s="1"/>
      <c r="S590" s="1">
        <v>62392</v>
      </c>
      <c r="T590" s="1"/>
      <c r="U590" s="1">
        <v>1280163</v>
      </c>
      <c r="V590" s="1"/>
      <c r="W590" s="1">
        <v>401950</v>
      </c>
      <c r="X590" s="1"/>
      <c r="Y590" s="1">
        <v>74549</v>
      </c>
      <c r="Z590" s="1"/>
      <c r="AA590" s="1">
        <v>1455379</v>
      </c>
      <c r="AB590" s="1"/>
      <c r="AC590" s="1">
        <v>806278</v>
      </c>
      <c r="AD590" s="1"/>
      <c r="AE590" s="1">
        <v>68320</v>
      </c>
      <c r="AF590" s="1"/>
      <c r="AG590" s="1">
        <v>753527</v>
      </c>
      <c r="AH590" s="1"/>
      <c r="AI590" s="1">
        <v>0</v>
      </c>
      <c r="AJ590" s="1"/>
      <c r="AK590" s="17" t="s">
        <v>348</v>
      </c>
      <c r="AL590" s="17"/>
      <c r="AM590" s="17" t="s">
        <v>28</v>
      </c>
      <c r="AN590" s="17"/>
      <c r="AO590" s="1">
        <v>637732</v>
      </c>
      <c r="AP590" s="1"/>
      <c r="AQ590" s="1">
        <v>1193321</v>
      </c>
      <c r="AR590" s="1"/>
      <c r="AS590" s="1"/>
      <c r="AT590" s="1"/>
      <c r="AU590" s="1">
        <v>0</v>
      </c>
      <c r="AV590" s="1"/>
      <c r="AW590" s="1">
        <f t="shared" si="48"/>
        <v>18750488</v>
      </c>
      <c r="AY590" s="1">
        <v>-882720</v>
      </c>
      <c r="BA590" s="1">
        <v>35545840</v>
      </c>
      <c r="BC590" s="1">
        <f t="shared" si="49"/>
        <v>34663120</v>
      </c>
      <c r="BE590" s="1">
        <f>+'St of Net Assets - GA'!AA590-'St of Activities - GA Exp'!BC590</f>
        <v>0</v>
      </c>
    </row>
    <row r="591" spans="1:57">
      <c r="A591" s="17" t="s">
        <v>530</v>
      </c>
      <c r="B591" s="17"/>
      <c r="C591" s="17" t="s">
        <v>55</v>
      </c>
      <c r="D591" s="17"/>
      <c r="E591" s="13">
        <v>49148</v>
      </c>
      <c r="G591" s="1">
        <v>9378819</v>
      </c>
      <c r="H591" s="1"/>
      <c r="I591" s="1">
        <v>2286499</v>
      </c>
      <c r="J591" s="1"/>
      <c r="K591" s="1">
        <v>185200</v>
      </c>
      <c r="L591" s="1"/>
      <c r="M591" s="1">
        <v>121728</v>
      </c>
      <c r="N591" s="1"/>
      <c r="O591" s="1">
        <v>951914</v>
      </c>
      <c r="P591" s="1"/>
      <c r="Q591" s="1">
        <v>1633604</v>
      </c>
      <c r="R591" s="1"/>
      <c r="S591" s="1">
        <v>43644</v>
      </c>
      <c r="T591" s="1"/>
      <c r="U591" s="1">
        <v>1292490</v>
      </c>
      <c r="V591" s="1"/>
      <c r="W591" s="1">
        <v>465894</v>
      </c>
      <c r="X591" s="1"/>
      <c r="Y591" s="1">
        <v>0</v>
      </c>
      <c r="Z591" s="1"/>
      <c r="AA591" s="1">
        <v>2184215</v>
      </c>
      <c r="AB591" s="1"/>
      <c r="AC591" s="1">
        <v>1160507</v>
      </c>
      <c r="AD591" s="1"/>
      <c r="AE591" s="1">
        <v>4310</v>
      </c>
      <c r="AF591" s="1"/>
      <c r="AG591" s="1">
        <v>919416</v>
      </c>
      <c r="AH591" s="1"/>
      <c r="AI591" s="1">
        <v>74175</v>
      </c>
      <c r="AJ591" s="1"/>
      <c r="AK591" s="17" t="s">
        <v>530</v>
      </c>
      <c r="AL591" s="17"/>
      <c r="AM591" s="17" t="s">
        <v>55</v>
      </c>
      <c r="AN591" s="17"/>
      <c r="AO591" s="1">
        <v>503278</v>
      </c>
      <c r="AP591" s="1"/>
      <c r="AQ591" s="1">
        <v>393701</v>
      </c>
      <c r="AR591" s="1"/>
      <c r="AS591" s="1"/>
      <c r="AT591" s="1"/>
      <c r="AU591" s="1">
        <v>0</v>
      </c>
      <c r="AV591" s="1"/>
      <c r="AW591" s="1">
        <f t="shared" si="48"/>
        <v>21599394</v>
      </c>
      <c r="AY591" s="1">
        <v>-1762802</v>
      </c>
      <c r="BA591" s="1">
        <v>37173148</v>
      </c>
      <c r="BC591" s="1">
        <f t="shared" si="49"/>
        <v>35410346</v>
      </c>
      <c r="BE591" s="1">
        <f>+'St of Net Assets - GA'!AA591-'St of Activities - GA Exp'!BC591</f>
        <v>0</v>
      </c>
    </row>
    <row r="592" spans="1:57" ht="12" hidden="1" customHeight="1">
      <c r="A592" s="17" t="s">
        <v>881</v>
      </c>
      <c r="B592" s="17"/>
      <c r="C592" s="17" t="s">
        <v>69</v>
      </c>
      <c r="D592" s="17"/>
      <c r="E592" s="13">
        <v>50468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7" t="s">
        <v>881</v>
      </c>
      <c r="AL592" s="17"/>
      <c r="AM592" s="17" t="s">
        <v>69</v>
      </c>
      <c r="AN592" s="17"/>
      <c r="AO592" s="1"/>
      <c r="AP592" s="1"/>
      <c r="AQ592" s="1"/>
      <c r="AR592" s="1"/>
      <c r="AS592" s="1"/>
      <c r="AT592" s="1"/>
      <c r="AU592" s="1"/>
      <c r="AV592" s="1"/>
      <c r="AW592" s="1">
        <f t="shared" si="48"/>
        <v>0</v>
      </c>
      <c r="AY592" s="1">
        <v>0</v>
      </c>
      <c r="BC592" s="1">
        <f t="shared" si="49"/>
        <v>0</v>
      </c>
      <c r="BE592" s="1">
        <f>+'St of Net Assets - GA'!AA592-'St of Activities - GA Exp'!BC592</f>
        <v>0</v>
      </c>
    </row>
    <row r="593" spans="1:57" ht="12" hidden="1" customHeight="1">
      <c r="A593" s="17" t="s">
        <v>746</v>
      </c>
      <c r="B593" s="17"/>
      <c r="C593" s="17" t="s">
        <v>523</v>
      </c>
      <c r="D593" s="17"/>
      <c r="E593" s="13">
        <v>49031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7" t="s">
        <v>746</v>
      </c>
      <c r="AL593" s="17"/>
      <c r="AM593" s="17" t="s">
        <v>523</v>
      </c>
      <c r="AN593" s="17"/>
      <c r="AO593" s="1"/>
      <c r="AP593" s="1"/>
      <c r="AQ593" s="1"/>
      <c r="AR593" s="1"/>
      <c r="AS593" s="1"/>
      <c r="AT593" s="1"/>
      <c r="AU593" s="1"/>
      <c r="AV593" s="1"/>
      <c r="AW593" s="1">
        <f t="shared" si="48"/>
        <v>0</v>
      </c>
      <c r="AY593" s="1">
        <v>0</v>
      </c>
      <c r="BC593" s="1">
        <f t="shared" si="49"/>
        <v>0</v>
      </c>
      <c r="BE593" s="1">
        <f>+'St of Net Assets - GA'!AA593-'St of Activities - GA Exp'!BC593</f>
        <v>0</v>
      </c>
    </row>
    <row r="594" spans="1:57" hidden="1">
      <c r="A594" s="17" t="s">
        <v>789</v>
      </c>
      <c r="B594" s="17"/>
      <c r="C594" s="17" t="s">
        <v>14</v>
      </c>
      <c r="D594" s="17"/>
      <c r="E594" s="13">
        <v>45971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7" t="s">
        <v>789</v>
      </c>
      <c r="AL594" s="17"/>
      <c r="AM594" s="17" t="s">
        <v>14</v>
      </c>
      <c r="AN594" s="17"/>
      <c r="AO594" s="1"/>
      <c r="AP594" s="1"/>
      <c r="AQ594" s="1"/>
      <c r="AR594" s="1"/>
      <c r="AS594" s="1"/>
      <c r="AT594" s="1"/>
      <c r="AU594" s="1"/>
      <c r="AV594" s="1"/>
      <c r="AW594" s="1">
        <f t="shared" si="48"/>
        <v>0</v>
      </c>
      <c r="AY594" s="1">
        <v>0</v>
      </c>
      <c r="BC594" s="1">
        <f t="shared" si="49"/>
        <v>0</v>
      </c>
      <c r="BE594" s="1">
        <f>+'St of Net Assets - GA'!AA594-'St of Activities - GA Exp'!BC594</f>
        <v>0</v>
      </c>
    </row>
    <row r="595" spans="1:57">
      <c r="A595" s="17"/>
      <c r="B595" s="17"/>
      <c r="C595" s="17"/>
      <c r="D595" s="17"/>
      <c r="E595" s="13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7"/>
      <c r="AL595" s="17"/>
      <c r="AM595" s="17"/>
      <c r="AN595" s="17"/>
      <c r="AO595" s="1"/>
      <c r="AP595" s="1"/>
      <c r="AQ595" s="1"/>
      <c r="AR595" s="1"/>
      <c r="AS595" s="1"/>
      <c r="AT595" s="1"/>
      <c r="AU595" s="1"/>
      <c r="AV595" s="1"/>
    </row>
    <row r="596" spans="1:57">
      <c r="A596" s="17"/>
      <c r="B596" s="17"/>
      <c r="C596" s="17"/>
      <c r="D596" s="17"/>
      <c r="E596" s="13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20" t="s">
        <v>709</v>
      </c>
      <c r="AJ596" s="1"/>
      <c r="AK596" s="17"/>
      <c r="AL596" s="17"/>
      <c r="AM596" s="17"/>
      <c r="AN596" s="17"/>
      <c r="AO596" s="1"/>
      <c r="AP596" s="1"/>
      <c r="AQ596" s="1"/>
      <c r="AR596" s="1"/>
      <c r="AS596" s="1"/>
      <c r="AT596" s="1"/>
      <c r="AU596" s="1"/>
      <c r="AV596" s="1"/>
      <c r="AY596" s="18"/>
      <c r="BC596" s="20" t="s">
        <v>709</v>
      </c>
    </row>
    <row r="597" spans="1:57">
      <c r="A597" s="17"/>
      <c r="B597" s="17"/>
      <c r="C597" s="17"/>
      <c r="D597" s="17"/>
      <c r="E597" s="13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7"/>
      <c r="AL597" s="17"/>
      <c r="AM597" s="17"/>
      <c r="AN597" s="17"/>
      <c r="AO597" s="1"/>
      <c r="AP597" s="1"/>
      <c r="AQ597" s="1"/>
      <c r="AR597" s="1"/>
      <c r="AS597" s="1"/>
      <c r="AT597" s="1"/>
      <c r="AU597" s="1"/>
      <c r="AV597" s="1"/>
    </row>
    <row r="598" spans="1:57">
      <c r="A598" s="17" t="s">
        <v>617</v>
      </c>
      <c r="B598" s="17"/>
      <c r="C598" s="17" t="s">
        <v>64</v>
      </c>
      <c r="D598" s="17"/>
      <c r="E598" s="13">
        <v>50252</v>
      </c>
      <c r="G598" s="16">
        <v>4158629</v>
      </c>
      <c r="H598" s="16"/>
      <c r="I598" s="16">
        <v>1207030</v>
      </c>
      <c r="J598" s="16"/>
      <c r="K598" s="16">
        <v>116</v>
      </c>
      <c r="L598" s="16"/>
      <c r="M598" s="16">
        <v>455569</v>
      </c>
      <c r="N598" s="16"/>
      <c r="O598" s="16">
        <v>446489</v>
      </c>
      <c r="P598" s="16"/>
      <c r="Q598" s="16">
        <v>230925</v>
      </c>
      <c r="R598" s="16"/>
      <c r="S598" s="16">
        <v>19664</v>
      </c>
      <c r="T598" s="16"/>
      <c r="U598" s="16">
        <v>767934</v>
      </c>
      <c r="V598" s="16"/>
      <c r="W598" s="16">
        <v>276772</v>
      </c>
      <c r="X598" s="16"/>
      <c r="Y598" s="16">
        <v>11459</v>
      </c>
      <c r="Z598" s="16"/>
      <c r="AA598" s="16">
        <v>1290990</v>
      </c>
      <c r="AB598" s="16"/>
      <c r="AC598" s="16">
        <v>357675</v>
      </c>
      <c r="AD598" s="16"/>
      <c r="AE598" s="16">
        <v>6859</v>
      </c>
      <c r="AF598" s="16"/>
      <c r="AG598" s="16">
        <v>320405</v>
      </c>
      <c r="AH598" s="16"/>
      <c r="AI598" s="16">
        <v>7615</v>
      </c>
      <c r="AJ598" s="1"/>
      <c r="AK598" s="17" t="s">
        <v>617</v>
      </c>
      <c r="AL598" s="17"/>
      <c r="AM598" s="17" t="s">
        <v>64</v>
      </c>
      <c r="AN598" s="17"/>
      <c r="AO598" s="16">
        <v>427446</v>
      </c>
      <c r="AP598" s="16"/>
      <c r="AQ598" s="16">
        <v>124964</v>
      </c>
      <c r="AR598" s="16"/>
      <c r="AS598" s="16"/>
      <c r="AT598" s="16"/>
      <c r="AU598" s="16">
        <v>0</v>
      </c>
      <c r="AV598" s="16"/>
      <c r="AW598" s="16">
        <f t="shared" si="48"/>
        <v>10110541</v>
      </c>
      <c r="AX598" s="16"/>
      <c r="AY598" s="16">
        <v>-241865</v>
      </c>
      <c r="AZ598" s="16"/>
      <c r="BA598" s="16">
        <v>3254194</v>
      </c>
      <c r="BB598" s="16"/>
      <c r="BC598" s="16">
        <f t="shared" si="49"/>
        <v>3012329</v>
      </c>
      <c r="BE598" s="1">
        <f>+'St of Net Assets - GA'!AA598-'St of Activities - GA Exp'!BC598</f>
        <v>0</v>
      </c>
    </row>
    <row r="599" spans="1:57">
      <c r="A599" s="17" t="s">
        <v>448</v>
      </c>
      <c r="B599" s="17"/>
      <c r="C599" s="17" t="s">
        <v>44</v>
      </c>
      <c r="D599" s="17"/>
      <c r="E599" s="13">
        <v>45658</v>
      </c>
      <c r="G599" s="1">
        <v>6391711</v>
      </c>
      <c r="H599" s="1"/>
      <c r="I599" s="1">
        <v>1426335</v>
      </c>
      <c r="J599" s="1"/>
      <c r="K599" s="1">
        <v>90672</v>
      </c>
      <c r="L599" s="1"/>
      <c r="M599" s="1">
        <v>71</v>
      </c>
      <c r="N599" s="1"/>
      <c r="O599" s="1">
        <v>466917</v>
      </c>
      <c r="P599" s="1"/>
      <c r="Q599" s="1">
        <v>795886</v>
      </c>
      <c r="R599" s="1"/>
      <c r="S599" s="1">
        <v>24305</v>
      </c>
      <c r="T599" s="1"/>
      <c r="U599" s="1">
        <v>1201050</v>
      </c>
      <c r="V599" s="1"/>
      <c r="W599" s="1">
        <v>351465</v>
      </c>
      <c r="X599" s="1"/>
      <c r="Y599" s="1">
        <v>0</v>
      </c>
      <c r="Z599" s="1"/>
      <c r="AA599" s="1">
        <v>1019447</v>
      </c>
      <c r="AB599" s="1"/>
      <c r="AC599" s="1">
        <v>746270</v>
      </c>
      <c r="AD599" s="1"/>
      <c r="AE599" s="1">
        <v>108836</v>
      </c>
      <c r="AF599" s="1"/>
      <c r="AG599" s="1">
        <v>0</v>
      </c>
      <c r="AH599" s="1"/>
      <c r="AI599" s="1">
        <v>497297</v>
      </c>
      <c r="AJ599" s="1"/>
      <c r="AK599" s="17" t="s">
        <v>448</v>
      </c>
      <c r="AL599" s="17"/>
      <c r="AM599" s="17" t="s">
        <v>44</v>
      </c>
      <c r="AN599" s="17"/>
      <c r="AO599" s="1">
        <v>430542</v>
      </c>
      <c r="AP599" s="1"/>
      <c r="AQ599" s="1">
        <v>0</v>
      </c>
      <c r="AR599" s="1"/>
      <c r="AS599" s="1"/>
      <c r="AT599" s="1"/>
      <c r="AU599" s="1">
        <v>0</v>
      </c>
      <c r="AV599" s="1"/>
      <c r="AW599" s="1">
        <f t="shared" si="48"/>
        <v>13550804</v>
      </c>
      <c r="AY599" s="1">
        <v>162179</v>
      </c>
      <c r="BA599" s="1">
        <v>8399623</v>
      </c>
      <c r="BC599" s="1">
        <f t="shared" si="49"/>
        <v>8561802</v>
      </c>
      <c r="BE599" s="1">
        <f>+'St of Net Assets - GA'!AA599-'St of Activities - GA Exp'!BC599</f>
        <v>0</v>
      </c>
    </row>
    <row r="600" spans="1:57">
      <c r="A600" s="17" t="s">
        <v>409</v>
      </c>
      <c r="B600" s="17"/>
      <c r="C600" s="17" t="s">
        <v>38</v>
      </c>
      <c r="D600" s="17"/>
      <c r="E600" s="13">
        <v>45021</v>
      </c>
      <c r="G600" s="1">
        <v>6987411</v>
      </c>
      <c r="H600" s="1"/>
      <c r="I600" s="1">
        <v>2490232</v>
      </c>
      <c r="J600" s="1"/>
      <c r="K600" s="1">
        <v>93526</v>
      </c>
      <c r="L600" s="1"/>
      <c r="M600" s="1">
        <v>45536</v>
      </c>
      <c r="N600" s="1"/>
      <c r="O600" s="1">
        <v>838597</v>
      </c>
      <c r="P600" s="1"/>
      <c r="Q600" s="1">
        <v>1202945</v>
      </c>
      <c r="R600" s="1"/>
      <c r="S600" s="1">
        <v>194761</v>
      </c>
      <c r="T600" s="1"/>
      <c r="U600" s="1">
        <v>1434581</v>
      </c>
      <c r="V600" s="1"/>
      <c r="W600" s="1">
        <v>462372</v>
      </c>
      <c r="X600" s="1"/>
      <c r="Y600" s="1">
        <v>0</v>
      </c>
      <c r="Z600" s="1"/>
      <c r="AA600" s="1">
        <v>1656451</v>
      </c>
      <c r="AB600" s="1"/>
      <c r="AC600" s="1">
        <v>989399</v>
      </c>
      <c r="AD600" s="1"/>
      <c r="AE600" s="1">
        <v>94052</v>
      </c>
      <c r="AF600" s="1"/>
      <c r="AG600" s="1">
        <v>749637</v>
      </c>
      <c r="AH600" s="1"/>
      <c r="AI600" s="1">
        <v>154307</v>
      </c>
      <c r="AJ600" s="1"/>
      <c r="AK600" s="17" t="s">
        <v>409</v>
      </c>
      <c r="AL600" s="17"/>
      <c r="AM600" s="17" t="s">
        <v>38</v>
      </c>
      <c r="AN600" s="17"/>
      <c r="AO600" s="1">
        <v>328987</v>
      </c>
      <c r="AP600" s="1"/>
      <c r="AQ600" s="1">
        <v>135915</v>
      </c>
      <c r="AR600" s="1"/>
      <c r="AS600" s="1"/>
      <c r="AT600" s="1"/>
      <c r="AU600" s="1">
        <v>0</v>
      </c>
      <c r="AV600" s="1"/>
      <c r="AW600" s="1">
        <f t="shared" si="48"/>
        <v>17858709</v>
      </c>
      <c r="AY600" s="1">
        <v>469741</v>
      </c>
      <c r="BA600" s="1">
        <v>41955852</v>
      </c>
      <c r="BC600" s="1">
        <f t="shared" si="49"/>
        <v>42425593</v>
      </c>
      <c r="BE600" s="1">
        <f>+'St of Net Assets - GA'!AA600-'St of Activities - GA Exp'!BC600</f>
        <v>0</v>
      </c>
    </row>
    <row r="601" spans="1:57" ht="12" customHeight="1">
      <c r="A601" s="17" t="s">
        <v>271</v>
      </c>
      <c r="B601" s="17"/>
      <c r="C601" s="17" t="s">
        <v>114</v>
      </c>
      <c r="D601" s="17"/>
      <c r="E601" s="13">
        <v>45039</v>
      </c>
      <c r="G601" s="1">
        <v>4465455</v>
      </c>
      <c r="H601" s="1"/>
      <c r="I601" s="1">
        <v>911452</v>
      </c>
      <c r="J601" s="1"/>
      <c r="K601" s="1">
        <v>174299</v>
      </c>
      <c r="L601" s="1"/>
      <c r="M601" s="1">
        <v>220610</v>
      </c>
      <c r="N601" s="1"/>
      <c r="O601" s="1">
        <v>315714</v>
      </c>
      <c r="P601" s="1"/>
      <c r="Q601" s="1">
        <v>423999</v>
      </c>
      <c r="R601" s="1"/>
      <c r="S601" s="1">
        <v>14088</v>
      </c>
      <c r="T601" s="1"/>
      <c r="U601" s="1">
        <v>740965</v>
      </c>
      <c r="V601" s="1"/>
      <c r="W601" s="1">
        <v>244670</v>
      </c>
      <c r="X601" s="1"/>
      <c r="Y601" s="1">
        <v>0</v>
      </c>
      <c r="Z601" s="1"/>
      <c r="AA601" s="1">
        <v>926186</v>
      </c>
      <c r="AB601" s="1"/>
      <c r="AC601" s="1">
        <v>146082</v>
      </c>
      <c r="AD601" s="1"/>
      <c r="AE601" s="1">
        <v>33</v>
      </c>
      <c r="AF601" s="1"/>
      <c r="AG601" s="1">
        <v>417899</v>
      </c>
      <c r="AH601" s="1"/>
      <c r="AI601" s="1">
        <v>6649</v>
      </c>
      <c r="AJ601" s="1"/>
      <c r="AK601" s="17" t="s">
        <v>271</v>
      </c>
      <c r="AL601" s="17"/>
      <c r="AM601" s="17" t="s">
        <v>114</v>
      </c>
      <c r="AN601" s="17"/>
      <c r="AO601" s="1">
        <v>269530</v>
      </c>
      <c r="AP601" s="1"/>
      <c r="AQ601" s="1">
        <v>64158</v>
      </c>
      <c r="AR601" s="1"/>
      <c r="AS601" s="1"/>
      <c r="AT601" s="1"/>
      <c r="AU601" s="1">
        <v>0</v>
      </c>
      <c r="AV601" s="1"/>
      <c r="AW601" s="1">
        <f t="shared" si="48"/>
        <v>9341789</v>
      </c>
      <c r="AY601" s="1">
        <v>403538</v>
      </c>
      <c r="BA601" s="1">
        <v>8413051</v>
      </c>
      <c r="BC601" s="1">
        <f t="shared" si="49"/>
        <v>8816589</v>
      </c>
      <c r="BE601" s="1">
        <f>+'St of Net Assets - GA'!AA601-'St of Activities - GA Exp'!BC601</f>
        <v>0</v>
      </c>
    </row>
    <row r="602" spans="1:57">
      <c r="A602" s="17" t="s">
        <v>471</v>
      </c>
      <c r="B602" s="17"/>
      <c r="C602" s="17" t="s">
        <v>45</v>
      </c>
      <c r="D602" s="17"/>
      <c r="E602" s="13">
        <v>48389</v>
      </c>
      <c r="G602" s="1">
        <v>10452503</v>
      </c>
      <c r="H602" s="1"/>
      <c r="I602" s="1">
        <v>2618170</v>
      </c>
      <c r="J602" s="1"/>
      <c r="K602" s="1">
        <v>420870</v>
      </c>
      <c r="L602" s="1"/>
      <c r="M602" s="1">
        <v>46751</v>
      </c>
      <c r="N602" s="1"/>
      <c r="O602" s="1">
        <v>1125985</v>
      </c>
      <c r="P602" s="1"/>
      <c r="Q602" s="1">
        <v>1242689</v>
      </c>
      <c r="R602" s="1"/>
      <c r="S602" s="1">
        <v>37549</v>
      </c>
      <c r="T602" s="1"/>
      <c r="U602" s="1">
        <v>1563045</v>
      </c>
      <c r="V602" s="1"/>
      <c r="W602" s="1">
        <v>458662</v>
      </c>
      <c r="X602" s="1"/>
      <c r="Y602" s="1">
        <v>26287</v>
      </c>
      <c r="Z602" s="1"/>
      <c r="AA602" s="1">
        <v>1964442</v>
      </c>
      <c r="AB602" s="1"/>
      <c r="AC602" s="1">
        <v>1290436</v>
      </c>
      <c r="AD602" s="1"/>
      <c r="AE602" s="1">
        <v>289110</v>
      </c>
      <c r="AF602" s="1"/>
      <c r="AG602" s="1">
        <v>875089</v>
      </c>
      <c r="AH602" s="1"/>
      <c r="AI602" s="1">
        <v>54514</v>
      </c>
      <c r="AJ602" s="1"/>
      <c r="AK602" s="17" t="s">
        <v>471</v>
      </c>
      <c r="AL602" s="17"/>
      <c r="AM602" s="17" t="s">
        <v>45</v>
      </c>
      <c r="AN602" s="17"/>
      <c r="AO602" s="1">
        <v>667059</v>
      </c>
      <c r="AP602" s="1"/>
      <c r="AQ602" s="1">
        <v>334453</v>
      </c>
      <c r="AR602" s="1"/>
      <c r="AS602" s="1"/>
      <c r="AT602" s="1"/>
      <c r="AU602" s="1">
        <v>0</v>
      </c>
      <c r="AV602" s="1"/>
      <c r="AW602" s="1">
        <f t="shared" si="48"/>
        <v>23467614</v>
      </c>
      <c r="AY602" s="1">
        <v>-959506</v>
      </c>
      <c r="BA602" s="1">
        <v>40712338</v>
      </c>
      <c r="BC602" s="1">
        <f t="shared" si="49"/>
        <v>39752832</v>
      </c>
      <c r="BE602" s="1">
        <f>+'St of Net Assets - GA'!AA602-'St of Activities - GA Exp'!BC602</f>
        <v>0</v>
      </c>
    </row>
    <row r="603" spans="1:57">
      <c r="A603" s="17" t="s">
        <v>880</v>
      </c>
      <c r="B603" s="17"/>
      <c r="C603" s="17" t="s">
        <v>50</v>
      </c>
      <c r="D603" s="17"/>
      <c r="E603" s="13"/>
      <c r="G603" s="1">
        <v>14983570</v>
      </c>
      <c r="H603" s="1"/>
      <c r="I603" s="1">
        <v>5708513</v>
      </c>
      <c r="J603" s="1"/>
      <c r="K603" s="1">
        <v>210580</v>
      </c>
      <c r="L603" s="1"/>
      <c r="M603" s="1">
        <v>2390763</v>
      </c>
      <c r="N603" s="1"/>
      <c r="O603" s="1">
        <v>2673088</v>
      </c>
      <c r="P603" s="1"/>
      <c r="Q603" s="1">
        <v>2125159</v>
      </c>
      <c r="R603" s="1"/>
      <c r="S603" s="1">
        <v>32019</v>
      </c>
      <c r="T603" s="1"/>
      <c r="U603" s="1">
        <v>3121199</v>
      </c>
      <c r="V603" s="1"/>
      <c r="W603" s="1">
        <v>694935</v>
      </c>
      <c r="X603" s="1"/>
      <c r="Y603" s="1">
        <v>500534</v>
      </c>
      <c r="Z603" s="1"/>
      <c r="AA603" s="1">
        <v>3378909</v>
      </c>
      <c r="AB603" s="1"/>
      <c r="AC603" s="1">
        <v>2455550</v>
      </c>
      <c r="AD603" s="1"/>
      <c r="AE603" s="1">
        <v>220455</v>
      </c>
      <c r="AF603" s="1"/>
      <c r="AG603" s="1">
        <v>1337930</v>
      </c>
      <c r="AH603" s="1"/>
      <c r="AI603" s="1">
        <v>102120</v>
      </c>
      <c r="AJ603" s="1"/>
      <c r="AK603" s="17" t="s">
        <v>880</v>
      </c>
      <c r="AL603" s="17"/>
      <c r="AM603" s="17" t="s">
        <v>50</v>
      </c>
      <c r="AN603" s="17"/>
      <c r="AO603" s="1">
        <v>632573</v>
      </c>
      <c r="AP603" s="1"/>
      <c r="AQ603" s="1">
        <v>59073</v>
      </c>
      <c r="AR603" s="1"/>
      <c r="AS603" s="1"/>
      <c r="AT603" s="1"/>
      <c r="AU603" s="1">
        <v>0</v>
      </c>
      <c r="AV603" s="1"/>
      <c r="AW603" s="1">
        <f t="shared" si="48"/>
        <v>40626970</v>
      </c>
      <c r="AY603" s="1">
        <v>1767637</v>
      </c>
      <c r="BA603" s="1">
        <v>25109112</v>
      </c>
      <c r="BC603" s="1">
        <f t="shared" si="49"/>
        <v>26876749</v>
      </c>
      <c r="BE603" s="1">
        <f>+'St of Net Assets - GA'!AA603-'St of Activities - GA Exp'!BC603</f>
        <v>0</v>
      </c>
    </row>
    <row r="604" spans="1:57">
      <c r="A604" s="17" t="s">
        <v>257</v>
      </c>
      <c r="B604" s="17"/>
      <c r="C604" s="17" t="s">
        <v>115</v>
      </c>
      <c r="D604" s="17"/>
      <c r="E604" s="13">
        <v>46359</v>
      </c>
      <c r="G604" s="1">
        <v>35806489</v>
      </c>
      <c r="H604" s="1"/>
      <c r="I604" s="1">
        <v>11871778</v>
      </c>
      <c r="J604" s="1"/>
      <c r="K604" s="1">
        <v>215040</v>
      </c>
      <c r="L604" s="1"/>
      <c r="M604" s="1">
        <v>0</v>
      </c>
      <c r="N604" s="1"/>
      <c r="O604" s="1">
        <v>4990736</v>
      </c>
      <c r="P604" s="1"/>
      <c r="Q604" s="1">
        <v>2914146</v>
      </c>
      <c r="R604" s="1"/>
      <c r="S604" s="1">
        <v>80113</v>
      </c>
      <c r="T604" s="1"/>
      <c r="U604" s="1">
        <v>5473533</v>
      </c>
      <c r="V604" s="1"/>
      <c r="W604" s="1">
        <v>1534299</v>
      </c>
      <c r="X604" s="1"/>
      <c r="Y604" s="1">
        <v>44157</v>
      </c>
      <c r="Z604" s="1"/>
      <c r="AA604" s="1">
        <v>5675074</v>
      </c>
      <c r="AB604" s="1"/>
      <c r="AC604" s="1">
        <v>7266920</v>
      </c>
      <c r="AD604" s="1"/>
      <c r="AE604" s="1">
        <v>1415595</v>
      </c>
      <c r="AF604" s="1"/>
      <c r="AG604" s="1">
        <v>0</v>
      </c>
      <c r="AH604" s="1"/>
      <c r="AI604" s="1">
        <f>2522728+249</f>
        <v>2522977</v>
      </c>
      <c r="AJ604" s="1"/>
      <c r="AK604" s="17" t="s">
        <v>257</v>
      </c>
      <c r="AL604" s="17"/>
      <c r="AM604" s="17" t="s">
        <v>115</v>
      </c>
      <c r="AN604" s="17"/>
      <c r="AO604" s="1">
        <v>1384459</v>
      </c>
      <c r="AP604" s="1"/>
      <c r="AQ604" s="1">
        <v>977858</v>
      </c>
      <c r="AR604" s="1"/>
      <c r="AS604" s="1"/>
      <c r="AT604" s="1"/>
      <c r="AU604" s="1">
        <v>0</v>
      </c>
      <c r="AV604" s="1"/>
      <c r="AW604" s="1">
        <f t="shared" si="48"/>
        <v>82173174</v>
      </c>
      <c r="AY604" s="1">
        <v>6293518</v>
      </c>
      <c r="BA604" s="1">
        <v>13883928</v>
      </c>
      <c r="BC604" s="1">
        <f t="shared" si="49"/>
        <v>20177446</v>
      </c>
      <c r="BE604" s="1">
        <f>+'St of Net Assets - GA'!AA604-'St of Activities - GA Exp'!BC604</f>
        <v>0</v>
      </c>
    </row>
    <row r="605" spans="1:57">
      <c r="A605" s="17" t="s">
        <v>356</v>
      </c>
      <c r="B605" s="17"/>
      <c r="C605" s="17" t="s">
        <v>30</v>
      </c>
      <c r="D605" s="17"/>
      <c r="E605" s="13">
        <v>47225</v>
      </c>
      <c r="G605" s="1">
        <v>10066334</v>
      </c>
      <c r="H605" s="1"/>
      <c r="I605" s="1">
        <v>3538688</v>
      </c>
      <c r="J605" s="1"/>
      <c r="K605" s="1">
        <v>289587</v>
      </c>
      <c r="L605" s="1"/>
      <c r="M605" s="1">
        <f>24156+505827</f>
        <v>529983</v>
      </c>
      <c r="N605" s="1"/>
      <c r="O605" s="1">
        <v>2008819</v>
      </c>
      <c r="P605" s="1"/>
      <c r="Q605" s="1">
        <v>833338</v>
      </c>
      <c r="R605" s="1"/>
      <c r="S605" s="1">
        <v>70832</v>
      </c>
      <c r="T605" s="1"/>
      <c r="U605" s="1">
        <v>1886260</v>
      </c>
      <c r="V605" s="1"/>
      <c r="W605" s="1">
        <v>674803</v>
      </c>
      <c r="X605" s="1"/>
      <c r="Y605" s="1">
        <v>356402</v>
      </c>
      <c r="Z605" s="1"/>
      <c r="AA605" s="1">
        <v>2270317</v>
      </c>
      <c r="AB605" s="1"/>
      <c r="AC605" s="1">
        <v>2007110</v>
      </c>
      <c r="AD605" s="1"/>
      <c r="AE605" s="1">
        <v>82197</v>
      </c>
      <c r="AF605" s="1"/>
      <c r="AG605" s="1">
        <v>764410</v>
      </c>
      <c r="AH605" s="1"/>
      <c r="AI605" s="1">
        <f>455226+1257+259829</f>
        <v>716312</v>
      </c>
      <c r="AJ605" s="1"/>
      <c r="AK605" s="17" t="s">
        <v>356</v>
      </c>
      <c r="AL605" s="17"/>
      <c r="AM605" s="17" t="s">
        <v>30</v>
      </c>
      <c r="AN605" s="17"/>
      <c r="AO605" s="1">
        <v>960079</v>
      </c>
      <c r="AP605" s="1"/>
      <c r="AQ605" s="1">
        <v>405754</v>
      </c>
      <c r="AR605" s="1"/>
      <c r="AS605" s="1"/>
      <c r="AT605" s="1"/>
      <c r="AU605" s="1">
        <v>0</v>
      </c>
      <c r="AV605" s="1"/>
      <c r="AW605" s="1">
        <f>SUM(G605:AV605)</f>
        <v>27461225</v>
      </c>
      <c r="AY605" s="1">
        <v>2159591</v>
      </c>
      <c r="BA605" s="1">
        <v>12274752</v>
      </c>
      <c r="BC605" s="1">
        <f t="shared" si="49"/>
        <v>14434343</v>
      </c>
      <c r="BE605" s="1">
        <f>+'St of Net Assets - GA'!AA605-'St of Activities - GA Exp'!BC605</f>
        <v>0</v>
      </c>
    </row>
    <row r="606" spans="1:57">
      <c r="A606" s="17" t="s">
        <v>402</v>
      </c>
      <c r="B606" s="17"/>
      <c r="C606" s="17" t="s">
        <v>36</v>
      </c>
      <c r="D606" s="17"/>
      <c r="E606" s="13">
        <v>47696</v>
      </c>
      <c r="G606" s="1">
        <v>11144710</v>
      </c>
      <c r="H606" s="1"/>
      <c r="I606" s="1">
        <v>3450550</v>
      </c>
      <c r="J606" s="1"/>
      <c r="K606" s="1">
        <v>297692</v>
      </c>
      <c r="L606" s="1"/>
      <c r="M606" s="1">
        <v>0</v>
      </c>
      <c r="N606" s="1"/>
      <c r="O606" s="1">
        <v>736233</v>
      </c>
      <c r="P606" s="1"/>
      <c r="Q606" s="1">
        <v>852318</v>
      </c>
      <c r="R606" s="1"/>
      <c r="S606" s="1">
        <v>64784</v>
      </c>
      <c r="T606" s="1"/>
      <c r="U606" s="1">
        <v>1974280</v>
      </c>
      <c r="V606" s="1"/>
      <c r="W606" s="1">
        <v>501747</v>
      </c>
      <c r="X606" s="1"/>
      <c r="Y606" s="1">
        <v>12275</v>
      </c>
      <c r="Z606" s="1"/>
      <c r="AA606" s="1">
        <v>2238150</v>
      </c>
      <c r="AB606" s="1"/>
      <c r="AC606" s="1">
        <v>1646420</v>
      </c>
      <c r="AD606" s="1"/>
      <c r="AE606" s="1">
        <v>80055</v>
      </c>
      <c r="AF606" s="1"/>
      <c r="AG606" s="1">
        <v>1049602</v>
      </c>
      <c r="AH606" s="1"/>
      <c r="AI606" s="1">
        <v>155</v>
      </c>
      <c r="AJ606" s="1"/>
      <c r="AK606" s="17" t="s">
        <v>402</v>
      </c>
      <c r="AL606" s="17"/>
      <c r="AM606" s="17" t="s">
        <v>36</v>
      </c>
      <c r="AN606" s="17"/>
      <c r="AO606" s="1">
        <v>591647</v>
      </c>
      <c r="AP606" s="1"/>
      <c r="AQ606" s="1">
        <v>702607</v>
      </c>
      <c r="AR606" s="1"/>
      <c r="AS606" s="1"/>
      <c r="AT606" s="1"/>
      <c r="AU606" s="1">
        <v>0</v>
      </c>
      <c r="AV606" s="1"/>
      <c r="AW606" s="1">
        <f t="shared" ref="AW606:AW635" si="50">SUM(G606:AV606)</f>
        <v>25343225</v>
      </c>
      <c r="AY606" s="1">
        <v>1196015</v>
      </c>
      <c r="BA606" s="1">
        <v>19817853</v>
      </c>
      <c r="BC606" s="1">
        <f t="shared" si="49"/>
        <v>21013868</v>
      </c>
      <c r="BE606" s="1">
        <f>+'St of Net Assets - GA'!AA606-'St of Activities - GA Exp'!BC606</f>
        <v>0</v>
      </c>
    </row>
    <row r="607" spans="1:57">
      <c r="A607" s="17" t="s">
        <v>244</v>
      </c>
      <c r="B607" s="17"/>
      <c r="C607" s="17" t="s">
        <v>240</v>
      </c>
      <c r="D607" s="17"/>
      <c r="E607" s="13">
        <v>46219</v>
      </c>
      <c r="G607" s="1">
        <v>5205830</v>
      </c>
      <c r="H607" s="1"/>
      <c r="I607" s="1">
        <v>1930810</v>
      </c>
      <c r="J607" s="1"/>
      <c r="K607" s="1">
        <v>180887</v>
      </c>
      <c r="L607" s="1"/>
      <c r="M607" s="1">
        <v>429559</v>
      </c>
      <c r="N607" s="1"/>
      <c r="O607" s="1">
        <v>734405</v>
      </c>
      <c r="P607" s="1"/>
      <c r="Q607" s="1">
        <v>701355</v>
      </c>
      <c r="R607" s="1"/>
      <c r="S607" s="1">
        <v>127582</v>
      </c>
      <c r="T607" s="1"/>
      <c r="U607" s="1">
        <v>834695</v>
      </c>
      <c r="V607" s="1"/>
      <c r="W607" s="1">
        <v>405218</v>
      </c>
      <c r="X607" s="1"/>
      <c r="Y607" s="1">
        <v>892</v>
      </c>
      <c r="Z607" s="1"/>
      <c r="AA607" s="1">
        <v>1103596</v>
      </c>
      <c r="AB607" s="1"/>
      <c r="AC607" s="1">
        <v>655034</v>
      </c>
      <c r="AD607" s="1"/>
      <c r="AE607" s="1">
        <v>295305</v>
      </c>
      <c r="AF607" s="1"/>
      <c r="AG607" s="1">
        <v>553778</v>
      </c>
      <c r="AH607" s="1"/>
      <c r="AI607" s="1">
        <v>4573</v>
      </c>
      <c r="AJ607" s="1"/>
      <c r="AK607" s="17" t="s">
        <v>244</v>
      </c>
      <c r="AL607" s="17"/>
      <c r="AM607" s="17" t="s">
        <v>240</v>
      </c>
      <c r="AN607" s="17"/>
      <c r="AO607" s="1">
        <v>558833</v>
      </c>
      <c r="AP607" s="1"/>
      <c r="AQ607" s="1">
        <v>10023</v>
      </c>
      <c r="AR607" s="1"/>
      <c r="AS607" s="1"/>
      <c r="AT607" s="1"/>
      <c r="AU607" s="1">
        <v>0</v>
      </c>
      <c r="AV607" s="1"/>
      <c r="AW607" s="1">
        <f t="shared" si="50"/>
        <v>13732375</v>
      </c>
      <c r="AY607" s="1">
        <v>-1375915</v>
      </c>
      <c r="BA607" s="1">
        <v>7335645</v>
      </c>
      <c r="BC607" s="1">
        <f t="shared" si="49"/>
        <v>5959730</v>
      </c>
      <c r="BE607" s="1">
        <f>+'St of Net Assets - GA'!AA607-'St of Activities - GA Exp'!BC607</f>
        <v>0</v>
      </c>
    </row>
    <row r="608" spans="1:57">
      <c r="A608" s="17" t="s">
        <v>515</v>
      </c>
      <c r="B608" s="17"/>
      <c r="C608" s="17" t="s">
        <v>51</v>
      </c>
      <c r="D608" s="17"/>
      <c r="E608" s="13">
        <v>48884</v>
      </c>
      <c r="G608" s="1">
        <v>8043535</v>
      </c>
      <c r="H608" s="1"/>
      <c r="I608" s="1">
        <v>2436007</v>
      </c>
      <c r="J608" s="1"/>
      <c r="K608" s="1">
        <v>220475</v>
      </c>
      <c r="L608" s="1"/>
      <c r="M608" s="1">
        <v>169124</v>
      </c>
      <c r="N608" s="1"/>
      <c r="O608" s="1">
        <v>412546</v>
      </c>
      <c r="P608" s="1"/>
      <c r="Q608" s="1">
        <v>1018933</v>
      </c>
      <c r="R608" s="1"/>
      <c r="S608" s="1">
        <v>17834</v>
      </c>
      <c r="T608" s="1"/>
      <c r="U608" s="1">
        <v>1456121</v>
      </c>
      <c r="V608" s="1"/>
      <c r="W608" s="1">
        <v>411498</v>
      </c>
      <c r="X608" s="1"/>
      <c r="Y608" s="1">
        <v>0</v>
      </c>
      <c r="Z608" s="1"/>
      <c r="AA608" s="1">
        <v>1515391</v>
      </c>
      <c r="AB608" s="1"/>
      <c r="AC608" s="1">
        <v>980027</v>
      </c>
      <c r="AD608" s="1"/>
      <c r="AE608" s="1">
        <v>72529</v>
      </c>
      <c r="AF608" s="1"/>
      <c r="AG608" s="1">
        <v>746011</v>
      </c>
      <c r="AH608" s="1"/>
      <c r="AI608" s="1">
        <v>17446</v>
      </c>
      <c r="AJ608" s="1"/>
      <c r="AK608" s="17" t="s">
        <v>515</v>
      </c>
      <c r="AL608" s="17"/>
      <c r="AM608" s="17" t="s">
        <v>51</v>
      </c>
      <c r="AN608" s="17"/>
      <c r="AO608" s="1">
        <v>239768</v>
      </c>
      <c r="AP608" s="1"/>
      <c r="AQ608" s="1">
        <v>1062554</v>
      </c>
      <c r="AR608" s="1"/>
      <c r="AS608" s="1"/>
      <c r="AT608" s="1"/>
      <c r="AU608" s="1">
        <v>0</v>
      </c>
      <c r="AV608" s="1"/>
      <c r="AW608" s="1">
        <f t="shared" si="50"/>
        <v>18819799</v>
      </c>
      <c r="AY608" s="1">
        <v>-871603</v>
      </c>
      <c r="BA608" s="1">
        <v>6230014</v>
      </c>
      <c r="BC608" s="1">
        <f t="shared" si="49"/>
        <v>5358411</v>
      </c>
      <c r="BE608" s="1">
        <f>+'St of Net Assets - GA'!AA608-'St of Activities - GA Exp'!BC608</f>
        <v>0</v>
      </c>
    </row>
    <row r="609" spans="1:57">
      <c r="A609" s="17" t="s">
        <v>225</v>
      </c>
      <c r="B609" s="17"/>
      <c r="C609" s="17" t="s">
        <v>77</v>
      </c>
      <c r="D609" s="17"/>
      <c r="E609" s="13">
        <v>46060</v>
      </c>
      <c r="G609" s="1">
        <v>15767971</v>
      </c>
      <c r="H609" s="1"/>
      <c r="I609" s="1">
        <v>3946902</v>
      </c>
      <c r="J609" s="1"/>
      <c r="K609" s="1">
        <v>417110</v>
      </c>
      <c r="L609" s="1"/>
      <c r="M609" s="1">
        <v>3274</v>
      </c>
      <c r="N609" s="1"/>
      <c r="O609" s="1">
        <v>746707</v>
      </c>
      <c r="P609" s="1"/>
      <c r="Q609" s="1">
        <v>1432569</v>
      </c>
      <c r="R609" s="1"/>
      <c r="S609" s="1">
        <v>19962</v>
      </c>
      <c r="T609" s="1"/>
      <c r="U609" s="1">
        <v>2268018</v>
      </c>
      <c r="V609" s="1"/>
      <c r="W609" s="1">
        <v>556440</v>
      </c>
      <c r="X609" s="1"/>
      <c r="Y609" s="1">
        <v>0</v>
      </c>
      <c r="Z609" s="1"/>
      <c r="AA609" s="1">
        <v>3083917</v>
      </c>
      <c r="AB609" s="1"/>
      <c r="AC609" s="1">
        <v>2160710</v>
      </c>
      <c r="AD609" s="1"/>
      <c r="AE609" s="1">
        <v>325781</v>
      </c>
      <c r="AF609" s="1"/>
      <c r="AG609" s="1">
        <v>1689343</v>
      </c>
      <c r="AH609" s="1"/>
      <c r="AI609" s="1">
        <v>16760</v>
      </c>
      <c r="AJ609" s="1"/>
      <c r="AK609" s="12" t="s">
        <v>225</v>
      </c>
      <c r="AL609" s="12"/>
      <c r="AM609" s="12" t="s">
        <v>77</v>
      </c>
      <c r="AN609" s="12"/>
      <c r="AO609" s="1">
        <v>877682</v>
      </c>
      <c r="AP609" s="1"/>
      <c r="AQ609" s="1">
        <v>276176</v>
      </c>
      <c r="AR609" s="1"/>
      <c r="AS609" s="1"/>
      <c r="AT609" s="1"/>
      <c r="AU609" s="1">
        <v>0</v>
      </c>
      <c r="AV609" s="1"/>
      <c r="AW609" s="1">
        <f t="shared" si="50"/>
        <v>33589322</v>
      </c>
      <c r="AY609" s="1">
        <v>-1714529</v>
      </c>
      <c r="BA609" s="1">
        <v>49214844</v>
      </c>
      <c r="BC609" s="1">
        <f t="shared" si="49"/>
        <v>47500315</v>
      </c>
      <c r="BE609" s="1">
        <f>+'St of Net Assets - GA'!AA609-'St of Activities - GA Exp'!BC609</f>
        <v>0</v>
      </c>
    </row>
    <row r="610" spans="1:57">
      <c r="A610" s="17" t="s">
        <v>531</v>
      </c>
      <c r="B610" s="17"/>
      <c r="C610" s="17" t="s">
        <v>55</v>
      </c>
      <c r="D610" s="17"/>
      <c r="E610" s="13">
        <v>49155</v>
      </c>
      <c r="G610" s="1">
        <v>3878423</v>
      </c>
      <c r="H610" s="1"/>
      <c r="I610" s="1">
        <v>1761802</v>
      </c>
      <c r="J610" s="1"/>
      <c r="K610" s="1">
        <v>0</v>
      </c>
      <c r="L610" s="1"/>
      <c r="M610" s="1">
        <v>676919</v>
      </c>
      <c r="N610" s="1"/>
      <c r="O610" s="1">
        <v>365937</v>
      </c>
      <c r="P610" s="1"/>
      <c r="Q610" s="1">
        <v>477348</v>
      </c>
      <c r="R610" s="1"/>
      <c r="S610" s="1">
        <v>34645</v>
      </c>
      <c r="T610" s="1"/>
      <c r="U610" s="1">
        <v>792243</v>
      </c>
      <c r="V610" s="1"/>
      <c r="W610" s="1">
        <v>286979</v>
      </c>
      <c r="X610" s="1"/>
      <c r="Y610" s="1">
        <v>0</v>
      </c>
      <c r="Z610" s="1"/>
      <c r="AA610" s="1">
        <v>978207</v>
      </c>
      <c r="AB610" s="1"/>
      <c r="AC610" s="1">
        <v>785255</v>
      </c>
      <c r="AD610" s="1"/>
      <c r="AE610" s="1">
        <v>128192</v>
      </c>
      <c r="AF610" s="1"/>
      <c r="AG610" s="1">
        <v>0</v>
      </c>
      <c r="AH610" s="1"/>
      <c r="AI610" s="1">
        <v>400605</v>
      </c>
      <c r="AJ610" s="1"/>
      <c r="AK610" s="17" t="s">
        <v>531</v>
      </c>
      <c r="AL610" s="17"/>
      <c r="AM610" s="17" t="s">
        <v>55</v>
      </c>
      <c r="AN610" s="17"/>
      <c r="AO610" s="1">
        <v>165291</v>
      </c>
      <c r="AP610" s="1"/>
      <c r="AQ610" s="1">
        <v>37361</v>
      </c>
      <c r="AR610" s="1"/>
      <c r="AS610" s="1"/>
      <c r="AT610" s="1"/>
      <c r="AU610" s="1">
        <v>52000</v>
      </c>
      <c r="AV610" s="1"/>
      <c r="AW610" s="1">
        <f t="shared" si="50"/>
        <v>10821207</v>
      </c>
      <c r="AY610" s="1">
        <v>-647239</v>
      </c>
      <c r="BA610" s="1">
        <v>23146422</v>
      </c>
      <c r="BC610" s="1">
        <f t="shared" si="49"/>
        <v>22499183</v>
      </c>
      <c r="BE610" s="1">
        <f>+'St of Net Assets - GA'!AA610-'St of Activities - GA Exp'!BC610</f>
        <v>0</v>
      </c>
    </row>
    <row r="611" spans="1:57">
      <c r="A611" s="17" t="s">
        <v>407</v>
      </c>
      <c r="B611" s="17"/>
      <c r="C611" s="17" t="s">
        <v>37</v>
      </c>
      <c r="D611" s="17"/>
      <c r="E611" s="13">
        <v>47746</v>
      </c>
      <c r="G611" s="1">
        <v>5742268</v>
      </c>
      <c r="H611" s="1"/>
      <c r="I611" s="1">
        <v>1768303</v>
      </c>
      <c r="J611" s="1"/>
      <c r="K611" s="1">
        <v>186232</v>
      </c>
      <c r="L611" s="1"/>
      <c r="M611" s="1">
        <v>269621</v>
      </c>
      <c r="N611" s="1"/>
      <c r="O611" s="1">
        <v>209687</v>
      </c>
      <c r="P611" s="1"/>
      <c r="Q611" s="1">
        <v>691137</v>
      </c>
      <c r="R611" s="1"/>
      <c r="S611" s="1">
        <v>79331</v>
      </c>
      <c r="T611" s="1"/>
      <c r="U611" s="1">
        <v>906116</v>
      </c>
      <c r="V611" s="1"/>
      <c r="W611" s="1">
        <v>419447</v>
      </c>
      <c r="X611" s="1"/>
      <c r="Y611" s="1">
        <v>27852</v>
      </c>
      <c r="Z611" s="1"/>
      <c r="AA611" s="1">
        <v>1124146</v>
      </c>
      <c r="AB611" s="1"/>
      <c r="AC611" s="1">
        <v>675795</v>
      </c>
      <c r="AD611" s="1"/>
      <c r="AE611" s="1">
        <v>37857</v>
      </c>
      <c r="AF611" s="1"/>
      <c r="AG611" s="1">
        <v>477906</v>
      </c>
      <c r="AH611" s="1"/>
      <c r="AI611" s="1">
        <v>176300</v>
      </c>
      <c r="AJ611" s="1"/>
      <c r="AK611" s="17" t="s">
        <v>407</v>
      </c>
      <c r="AL611" s="17"/>
      <c r="AM611" s="17" t="s">
        <v>37</v>
      </c>
      <c r="AN611" s="17"/>
      <c r="AO611" s="1">
        <v>487044</v>
      </c>
      <c r="AP611" s="1"/>
      <c r="AQ611" s="1">
        <v>171471</v>
      </c>
      <c r="AR611" s="1"/>
      <c r="AS611" s="1"/>
      <c r="AT611" s="1"/>
      <c r="AU611" s="1">
        <v>0</v>
      </c>
      <c r="AV611" s="1"/>
      <c r="AW611" s="1">
        <f t="shared" si="50"/>
        <v>13450513</v>
      </c>
      <c r="AY611" s="1">
        <v>-425696</v>
      </c>
      <c r="BA611" s="1">
        <v>15584994</v>
      </c>
      <c r="BC611" s="1">
        <f t="shared" si="49"/>
        <v>15159298</v>
      </c>
      <c r="BE611" s="1">
        <f>+'St of Net Assets - GA'!AA611-'St of Activities - GA Exp'!BC611</f>
        <v>0</v>
      </c>
    </row>
    <row r="612" spans="1:57">
      <c r="A612" s="17" t="s">
        <v>407</v>
      </c>
      <c r="B612" s="17"/>
      <c r="C612" s="17" t="s">
        <v>45</v>
      </c>
      <c r="D612" s="17"/>
      <c r="E612" s="13">
        <v>48397</v>
      </c>
      <c r="G612" s="1">
        <v>3161622</v>
      </c>
      <c r="H612" s="1"/>
      <c r="I612" s="1">
        <v>739345</v>
      </c>
      <c r="J612" s="1"/>
      <c r="K612" s="1">
        <v>121286</v>
      </c>
      <c r="L612" s="1"/>
      <c r="M612" s="1">
        <v>5700</v>
      </c>
      <c r="N612" s="1"/>
      <c r="O612" s="1">
        <v>369519</v>
      </c>
      <c r="P612" s="1"/>
      <c r="Q612" s="1">
        <v>402141</v>
      </c>
      <c r="R612" s="1"/>
      <c r="S612" s="1">
        <v>23199</v>
      </c>
      <c r="T612" s="1"/>
      <c r="U612" s="1">
        <v>665198</v>
      </c>
      <c r="V612" s="1"/>
      <c r="W612" s="1">
        <v>235503</v>
      </c>
      <c r="X612" s="1"/>
      <c r="Y612" s="1">
        <v>27159</v>
      </c>
      <c r="Z612" s="1"/>
      <c r="AA612" s="1">
        <v>426937</v>
      </c>
      <c r="AB612" s="1"/>
      <c r="AC612" s="1">
        <v>455389</v>
      </c>
      <c r="AD612" s="1"/>
      <c r="AE612" s="1">
        <v>18204</v>
      </c>
      <c r="AF612" s="1"/>
      <c r="AG612" s="1">
        <v>226992</v>
      </c>
      <c r="AH612" s="1"/>
      <c r="AI612" s="1">
        <v>0</v>
      </c>
      <c r="AJ612" s="1"/>
      <c r="AK612" s="17" t="s">
        <v>407</v>
      </c>
      <c r="AL612" s="17"/>
      <c r="AM612" s="17" t="s">
        <v>45</v>
      </c>
      <c r="AN612" s="17"/>
      <c r="AO612" s="1">
        <v>389520</v>
      </c>
      <c r="AP612" s="1"/>
      <c r="AQ612" s="1">
        <v>597184</v>
      </c>
      <c r="AR612" s="1"/>
      <c r="AS612" s="1"/>
      <c r="AT612" s="1"/>
      <c r="AU612" s="1">
        <v>0</v>
      </c>
      <c r="AV612" s="1"/>
      <c r="AW612" s="1">
        <f t="shared" si="50"/>
        <v>7864898</v>
      </c>
      <c r="AY612" s="1">
        <v>833719</v>
      </c>
      <c r="BA612" s="1">
        <v>16063227</v>
      </c>
      <c r="BC612" s="1">
        <f t="shared" si="49"/>
        <v>16896946</v>
      </c>
      <c r="BE612" s="1">
        <f>+'St of Net Assets - GA'!AA612-'St of Activities - GA Exp'!BC612</f>
        <v>0</v>
      </c>
    </row>
    <row r="613" spans="1:57">
      <c r="A613" s="17" t="s">
        <v>342</v>
      </c>
      <c r="B613" s="17"/>
      <c r="C613" s="17" t="s">
        <v>27</v>
      </c>
      <c r="D613" s="17"/>
      <c r="E613" s="13">
        <v>45047</v>
      </c>
      <c r="G613" s="1">
        <v>69188237</v>
      </c>
      <c r="H613" s="1"/>
      <c r="I613" s="1">
        <v>21153825</v>
      </c>
      <c r="J613" s="1"/>
      <c r="K613" s="1">
        <v>548891</v>
      </c>
      <c r="L613" s="1"/>
      <c r="M613" s="1">
        <v>4568165</v>
      </c>
      <c r="N613" s="1"/>
      <c r="O613" s="1">
        <v>11340996</v>
      </c>
      <c r="P613" s="1"/>
      <c r="Q613" s="1">
        <v>5242394</v>
      </c>
      <c r="R613" s="1"/>
      <c r="S613" s="1">
        <v>1651416</v>
      </c>
      <c r="T613" s="1"/>
      <c r="U613" s="1">
        <v>11245165</v>
      </c>
      <c r="V613" s="1"/>
      <c r="W613" s="1">
        <v>2625949</v>
      </c>
      <c r="X613" s="1"/>
      <c r="Y613" s="1">
        <v>952097</v>
      </c>
      <c r="Z613" s="1"/>
      <c r="AA613" s="1">
        <v>14131404</v>
      </c>
      <c r="AB613" s="1"/>
      <c r="AC613" s="1">
        <v>8473897</v>
      </c>
      <c r="AD613" s="1"/>
      <c r="AE613" s="1">
        <v>3553586</v>
      </c>
      <c r="AF613" s="1"/>
      <c r="AG613" s="1">
        <f>8730+4253330</f>
        <v>4262060</v>
      </c>
      <c r="AH613" s="1"/>
      <c r="AI613" s="1">
        <f>275341+985404</f>
        <v>1260745</v>
      </c>
      <c r="AJ613" s="1"/>
      <c r="AK613" s="17" t="s">
        <v>342</v>
      </c>
      <c r="AL613" s="17"/>
      <c r="AM613" s="17" t="s">
        <v>27</v>
      </c>
      <c r="AN613" s="17"/>
      <c r="AO613" s="1">
        <v>3156520</v>
      </c>
      <c r="AP613" s="1"/>
      <c r="AQ613" s="1">
        <v>5665429</v>
      </c>
      <c r="AR613" s="1"/>
      <c r="AS613" s="1"/>
      <c r="AT613" s="1"/>
      <c r="AU613" s="1">
        <v>0</v>
      </c>
      <c r="AV613" s="1"/>
      <c r="AW613" s="1">
        <f t="shared" si="50"/>
        <v>169020776</v>
      </c>
      <c r="AY613" s="1">
        <v>9971613</v>
      </c>
      <c r="BA613" s="1">
        <v>68111900</v>
      </c>
      <c r="BC613" s="1">
        <f t="shared" si="49"/>
        <v>78083513</v>
      </c>
      <c r="BE613" s="1">
        <f>+'St of Net Assets - GA'!AA613-'St of Activities - GA Exp'!BC613</f>
        <v>0</v>
      </c>
    </row>
    <row r="614" spans="1:57" ht="12" customHeight="1">
      <c r="A614" s="17" t="s">
        <v>528</v>
      </c>
      <c r="B614" s="17"/>
      <c r="C614" s="17" t="s">
        <v>54</v>
      </c>
      <c r="D614" s="17"/>
      <c r="E614" s="13">
        <v>49106</v>
      </c>
      <c r="G614" s="1">
        <v>6837568</v>
      </c>
      <c r="H614" s="1"/>
      <c r="I614" s="1">
        <v>1846971</v>
      </c>
      <c r="J614" s="1"/>
      <c r="K614" s="1">
        <v>55394</v>
      </c>
      <c r="L614" s="1"/>
      <c r="M614" s="1">
        <v>16024</v>
      </c>
      <c r="N614" s="1"/>
      <c r="O614" s="1">
        <v>481857</v>
      </c>
      <c r="P614" s="1"/>
      <c r="Q614" s="1">
        <v>598760</v>
      </c>
      <c r="R614" s="1"/>
      <c r="S614" s="1">
        <v>201473</v>
      </c>
      <c r="T614" s="1"/>
      <c r="U614" s="1">
        <v>1450086</v>
      </c>
      <c r="V614" s="1"/>
      <c r="W614" s="1">
        <v>500970</v>
      </c>
      <c r="X614" s="1"/>
      <c r="Y614" s="1">
        <v>103018</v>
      </c>
      <c r="Z614" s="1"/>
      <c r="AA614" s="1">
        <v>1188895</v>
      </c>
      <c r="AB614" s="1"/>
      <c r="AC614" s="1">
        <v>1048136</v>
      </c>
      <c r="AD614" s="1"/>
      <c r="AE614" s="1">
        <v>35450</v>
      </c>
      <c r="AF614" s="1"/>
      <c r="AG614" s="1">
        <v>459683</v>
      </c>
      <c r="AH614" s="1"/>
      <c r="AI614" s="1">
        <v>0</v>
      </c>
      <c r="AJ614" s="1"/>
      <c r="AK614" s="17" t="s">
        <v>528</v>
      </c>
      <c r="AL614" s="17"/>
      <c r="AM614" s="17" t="s">
        <v>54</v>
      </c>
      <c r="AN614" s="17"/>
      <c r="AO614" s="1">
        <v>393492</v>
      </c>
      <c r="AP614" s="1"/>
      <c r="AQ614" s="1">
        <v>341361</v>
      </c>
      <c r="AR614" s="1"/>
      <c r="AS614" s="1"/>
      <c r="AT614" s="1"/>
      <c r="AU614" s="1">
        <v>0</v>
      </c>
      <c r="AV614" s="1"/>
      <c r="AW614" s="1">
        <f t="shared" si="50"/>
        <v>15559138</v>
      </c>
      <c r="AY614" s="1">
        <v>314040</v>
      </c>
      <c r="BA614" s="1">
        <v>8385782</v>
      </c>
      <c r="BC614" s="1">
        <f t="shared" si="49"/>
        <v>8699822</v>
      </c>
      <c r="BE614" s="1">
        <f>+'St of Net Assets - GA'!AA614-'St of Activities - GA Exp'!BC614</f>
        <v>0</v>
      </c>
    </row>
    <row r="615" spans="1:57">
      <c r="A615" s="17" t="s">
        <v>308</v>
      </c>
      <c r="B615" s="17"/>
      <c r="C615" s="17" t="s">
        <v>20</v>
      </c>
      <c r="D615" s="17"/>
      <c r="E615" s="13">
        <v>45062</v>
      </c>
      <c r="G615" s="1">
        <v>22316141</v>
      </c>
      <c r="H615" s="1"/>
      <c r="I615" s="1">
        <v>4879232</v>
      </c>
      <c r="J615" s="1"/>
      <c r="K615" s="1">
        <v>283704</v>
      </c>
      <c r="L615" s="1"/>
      <c r="M615" s="1">
        <f>65515+1266107</f>
        <v>1331622</v>
      </c>
      <c r="N615" s="1"/>
      <c r="O615" s="1">
        <v>3513646</v>
      </c>
      <c r="P615" s="1"/>
      <c r="Q615" s="1">
        <v>3481561</v>
      </c>
      <c r="R615" s="1"/>
      <c r="S615" s="1">
        <v>25952</v>
      </c>
      <c r="T615" s="1"/>
      <c r="U615" s="1">
        <v>2987406</v>
      </c>
      <c r="V615" s="1"/>
      <c r="W615" s="1">
        <v>1212175</v>
      </c>
      <c r="X615" s="1"/>
      <c r="Y615" s="1">
        <v>359885</v>
      </c>
      <c r="Z615" s="1"/>
      <c r="AA615" s="1">
        <v>4726262</v>
      </c>
      <c r="AB615" s="1"/>
      <c r="AC615" s="1">
        <v>4506745</v>
      </c>
      <c r="AD615" s="1"/>
      <c r="AE615" s="1">
        <v>154053</v>
      </c>
      <c r="AF615" s="1"/>
      <c r="AG615" s="1">
        <v>1233229</v>
      </c>
      <c r="AH615" s="1"/>
      <c r="AI615" s="1">
        <v>752129</v>
      </c>
      <c r="AJ615" s="1"/>
      <c r="AK615" s="17" t="s">
        <v>308</v>
      </c>
      <c r="AL615" s="17"/>
      <c r="AM615" s="17" t="s">
        <v>20</v>
      </c>
      <c r="AN615" s="17"/>
      <c r="AO615" s="1">
        <v>1627922</v>
      </c>
      <c r="AP615" s="1"/>
      <c r="AQ615" s="1">
        <v>1064601</v>
      </c>
      <c r="AR615" s="1"/>
      <c r="AS615" s="1"/>
      <c r="AT615" s="1"/>
      <c r="AU615" s="1">
        <v>0</v>
      </c>
      <c r="AV615" s="1"/>
      <c r="AW615" s="1">
        <f t="shared" si="50"/>
        <v>54456265</v>
      </c>
      <c r="AY615" s="1">
        <v>4184165</v>
      </c>
      <c r="BA615" s="1">
        <v>43916276</v>
      </c>
      <c r="BC615" s="1">
        <f t="shared" si="49"/>
        <v>48100441</v>
      </c>
      <c r="BE615" s="1">
        <f>+'St of Net Assets - GA'!AA615-'St of Activities - GA Exp'!BC615</f>
        <v>0</v>
      </c>
    </row>
    <row r="616" spans="1:57">
      <c r="A616" s="17" t="s">
        <v>566</v>
      </c>
      <c r="B616" s="17"/>
      <c r="C616" s="17" t="s">
        <v>59</v>
      </c>
      <c r="D616" s="17"/>
      <c r="E616" s="13">
        <v>49668</v>
      </c>
      <c r="G616" s="1">
        <v>7628491</v>
      </c>
      <c r="H616" s="1"/>
      <c r="I616" s="1">
        <v>1578345</v>
      </c>
      <c r="J616" s="1"/>
      <c r="K616" s="1">
        <v>5192</v>
      </c>
      <c r="L616" s="1"/>
      <c r="M616" s="1">
        <v>29553</v>
      </c>
      <c r="N616" s="1"/>
      <c r="O616" s="1">
        <v>710335</v>
      </c>
      <c r="P616" s="1"/>
      <c r="Q616" s="1">
        <v>942347</v>
      </c>
      <c r="R616" s="1"/>
      <c r="S616" s="1">
        <v>74055</v>
      </c>
      <c r="T616" s="1"/>
      <c r="U616" s="1">
        <v>1059966</v>
      </c>
      <c r="V616" s="1"/>
      <c r="W616" s="1">
        <v>375436</v>
      </c>
      <c r="X616" s="1"/>
      <c r="Y616" s="1">
        <v>0</v>
      </c>
      <c r="Z616" s="1"/>
      <c r="AA616" s="1">
        <v>1168614</v>
      </c>
      <c r="AB616" s="1"/>
      <c r="AC616" s="1">
        <v>538937</v>
      </c>
      <c r="AD616" s="1"/>
      <c r="AE616" s="1">
        <v>111775</v>
      </c>
      <c r="AF616" s="1"/>
      <c r="AG616" s="1">
        <v>500741</v>
      </c>
      <c r="AH616" s="1"/>
      <c r="AI616" s="1">
        <v>199765</v>
      </c>
      <c r="AJ616" s="1"/>
      <c r="AK616" s="17" t="s">
        <v>566</v>
      </c>
      <c r="AL616" s="17"/>
      <c r="AM616" s="17" t="s">
        <v>59</v>
      </c>
      <c r="AN616" s="17"/>
      <c r="AO616" s="1">
        <v>588943</v>
      </c>
      <c r="AP616" s="1"/>
      <c r="AQ616" s="1">
        <v>431376</v>
      </c>
      <c r="AR616" s="1"/>
      <c r="AS616" s="1"/>
      <c r="AT616" s="1"/>
      <c r="AU616" s="1">
        <v>0</v>
      </c>
      <c r="AV616" s="1"/>
      <c r="AW616" s="1">
        <f t="shared" si="50"/>
        <v>15943871</v>
      </c>
      <c r="AY616" s="1">
        <v>-741756</v>
      </c>
      <c r="BA616" s="1">
        <v>31489412</v>
      </c>
      <c r="BC616" s="1">
        <f t="shared" si="49"/>
        <v>30747656</v>
      </c>
      <c r="BE616" s="1">
        <f>+'St of Net Assets - GA'!AA616-'St of Activities - GA Exp'!BC616</f>
        <v>0</v>
      </c>
    </row>
    <row r="617" spans="1:57">
      <c r="A617" s="17" t="s">
        <v>343</v>
      </c>
      <c r="B617" s="17"/>
      <c r="C617" s="17" t="s">
        <v>27</v>
      </c>
      <c r="D617" s="17"/>
      <c r="E617" s="13">
        <v>45070</v>
      </c>
      <c r="G617" s="1">
        <v>14583205</v>
      </c>
      <c r="H617" s="1"/>
      <c r="I617" s="1">
        <v>6305413</v>
      </c>
      <c r="J617" s="1"/>
      <c r="K617" s="1">
        <v>741924</v>
      </c>
      <c r="L617" s="1"/>
      <c r="M617" s="1">
        <v>240962</v>
      </c>
      <c r="N617" s="1"/>
      <c r="O617" s="1">
        <v>1757529</v>
      </c>
      <c r="P617" s="1"/>
      <c r="Q617" s="1">
        <v>1651610</v>
      </c>
      <c r="R617" s="1"/>
      <c r="S617" s="1">
        <v>112128</v>
      </c>
      <c r="T617" s="1"/>
      <c r="U617" s="1">
        <v>2848208</v>
      </c>
      <c r="V617" s="1"/>
      <c r="W617" s="1">
        <v>0</v>
      </c>
      <c r="X617" s="1"/>
      <c r="Y617" s="1">
        <v>757212</v>
      </c>
      <c r="Z617" s="1"/>
      <c r="AA617" s="1">
        <v>2708803</v>
      </c>
      <c r="AB617" s="1"/>
      <c r="AC617" s="1">
        <v>1285938</v>
      </c>
      <c r="AD617" s="1"/>
      <c r="AE617" s="1">
        <v>484549</v>
      </c>
      <c r="AF617" s="1"/>
      <c r="AG617" s="1">
        <v>1088623</v>
      </c>
      <c r="AH617" s="1"/>
      <c r="AI617" s="1">
        <f>13615+240371</f>
        <v>253986</v>
      </c>
      <c r="AJ617" s="1"/>
      <c r="AK617" s="17" t="s">
        <v>343</v>
      </c>
      <c r="AL617" s="17"/>
      <c r="AM617" s="17" t="s">
        <v>27</v>
      </c>
      <c r="AN617" s="17"/>
      <c r="AO617" s="1">
        <v>658965</v>
      </c>
      <c r="AP617" s="1"/>
      <c r="AQ617" s="1">
        <v>1367905</v>
      </c>
      <c r="AR617" s="1"/>
      <c r="AS617" s="1"/>
      <c r="AT617" s="1"/>
      <c r="AU617" s="1">
        <v>0</v>
      </c>
      <c r="AV617" s="1"/>
      <c r="AW617" s="1">
        <f t="shared" si="50"/>
        <v>36846960</v>
      </c>
      <c r="AY617" s="1">
        <v>3020758</v>
      </c>
      <c r="BA617" s="1">
        <v>74949301</v>
      </c>
      <c r="BC617" s="1">
        <f t="shared" si="49"/>
        <v>77970059</v>
      </c>
      <c r="BE617" s="1">
        <f>+'St of Net Assets - GA'!AA617-'St of Activities - GA Exp'!BC617</f>
        <v>0</v>
      </c>
    </row>
    <row r="618" spans="1:57" ht="12" hidden="1" customHeight="1">
      <c r="A618" s="17" t="s">
        <v>744</v>
      </c>
      <c r="B618" s="17"/>
      <c r="C618" s="17" t="s">
        <v>41</v>
      </c>
      <c r="D618" s="17"/>
      <c r="E618" s="13">
        <v>45088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7" t="s">
        <v>744</v>
      </c>
      <c r="AL618" s="17"/>
      <c r="AM618" s="17" t="s">
        <v>41</v>
      </c>
      <c r="AN618" s="17"/>
      <c r="AO618" s="1"/>
      <c r="AP618" s="1"/>
      <c r="AQ618" s="1"/>
      <c r="AR618" s="1"/>
      <c r="AS618" s="1"/>
      <c r="AT618" s="1"/>
      <c r="AU618" s="1"/>
      <c r="AV618" s="1"/>
      <c r="AW618" s="1">
        <f t="shared" si="50"/>
        <v>0</v>
      </c>
      <c r="AY618" s="1">
        <v>0</v>
      </c>
      <c r="BC618" s="1">
        <f t="shared" si="49"/>
        <v>0</v>
      </c>
      <c r="BE618" s="1">
        <f>+'St of Net Assets - GA'!AA618-'St of Activities - GA Exp'!BC618</f>
        <v>0</v>
      </c>
    </row>
    <row r="619" spans="1:57">
      <c r="A619" s="17" t="s">
        <v>408</v>
      </c>
      <c r="B619" s="17"/>
      <c r="C619" s="17" t="s">
        <v>37</v>
      </c>
      <c r="D619" s="17"/>
      <c r="E619" s="13">
        <v>45096</v>
      </c>
      <c r="G619" s="1">
        <v>8198670</v>
      </c>
      <c r="H619" s="1"/>
      <c r="I619" s="1">
        <v>1706644</v>
      </c>
      <c r="J619" s="1"/>
      <c r="K619" s="1">
        <v>206687</v>
      </c>
      <c r="L619" s="1"/>
      <c r="M619" s="1">
        <v>2372653</v>
      </c>
      <c r="N619" s="1"/>
      <c r="O619" s="1">
        <v>794816</v>
      </c>
      <c r="P619" s="1"/>
      <c r="Q619" s="1">
        <v>758933</v>
      </c>
      <c r="R619" s="1"/>
      <c r="S619" s="1">
        <v>521318</v>
      </c>
      <c r="T619" s="1"/>
      <c r="U619" s="1">
        <v>1824514</v>
      </c>
      <c r="V619" s="1"/>
      <c r="W619" s="1">
        <v>372482</v>
      </c>
      <c r="X619" s="1"/>
      <c r="Y619" s="1">
        <v>82826</v>
      </c>
      <c r="Z619" s="1"/>
      <c r="AA619" s="1">
        <v>1549429</v>
      </c>
      <c r="AB619" s="1"/>
      <c r="AC619" s="1">
        <v>966821</v>
      </c>
      <c r="AD619" s="1"/>
      <c r="AE619" s="1">
        <v>4372</v>
      </c>
      <c r="AF619" s="1"/>
      <c r="AG619" s="1">
        <v>864707</v>
      </c>
      <c r="AH619" s="1"/>
      <c r="AI619" s="1">
        <v>160633</v>
      </c>
      <c r="AJ619" s="1"/>
      <c r="AK619" s="17" t="s">
        <v>408</v>
      </c>
      <c r="AL619" s="17"/>
      <c r="AM619" s="17" t="s">
        <v>37</v>
      </c>
      <c r="AN619" s="17"/>
      <c r="AO619" s="1">
        <v>687071</v>
      </c>
      <c r="AP619" s="1"/>
      <c r="AQ619" s="1">
        <v>158934</v>
      </c>
      <c r="AR619" s="1"/>
      <c r="AS619" s="1"/>
      <c r="AT619" s="1"/>
      <c r="AU619" s="1">
        <v>0</v>
      </c>
      <c r="AV619" s="1"/>
      <c r="AW619" s="1">
        <f t="shared" si="50"/>
        <v>21231510</v>
      </c>
      <c r="AY619" s="1">
        <v>-1119130</v>
      </c>
      <c r="BA619" s="1">
        <v>5449556</v>
      </c>
      <c r="BC619" s="1">
        <f t="shared" si="49"/>
        <v>4330426</v>
      </c>
      <c r="BE619" s="1">
        <f>+'St of Net Assets - GA'!AA619-'St of Activities - GA Exp'!BC619</f>
        <v>0</v>
      </c>
    </row>
    <row r="620" spans="1:57">
      <c r="A620" s="17" t="s">
        <v>258</v>
      </c>
      <c r="B620" s="17"/>
      <c r="C620" s="17" t="s">
        <v>115</v>
      </c>
      <c r="D620" s="17"/>
      <c r="E620" s="13">
        <v>46367</v>
      </c>
      <c r="G620" s="1">
        <v>4986043</v>
      </c>
      <c r="H620" s="1"/>
      <c r="I620" s="1">
        <v>1478054</v>
      </c>
      <c r="J620" s="1"/>
      <c r="K620" s="1">
        <v>87791</v>
      </c>
      <c r="L620" s="1"/>
      <c r="M620" s="1">
        <v>26325</v>
      </c>
      <c r="N620" s="1"/>
      <c r="O620" s="1">
        <v>251019</v>
      </c>
      <c r="P620" s="1"/>
      <c r="Q620" s="1">
        <v>591871</v>
      </c>
      <c r="R620" s="1"/>
      <c r="S620" s="1">
        <v>22913</v>
      </c>
      <c r="T620" s="1"/>
      <c r="U620" s="1">
        <v>592612</v>
      </c>
      <c r="V620" s="1"/>
      <c r="W620" s="1">
        <v>330075</v>
      </c>
      <c r="X620" s="1"/>
      <c r="Y620" s="1">
        <v>0</v>
      </c>
      <c r="Z620" s="1"/>
      <c r="AA620" s="1">
        <v>1148602</v>
      </c>
      <c r="AB620" s="1"/>
      <c r="AC620" s="1">
        <v>606664</v>
      </c>
      <c r="AD620" s="1"/>
      <c r="AE620" s="1">
        <v>168340</v>
      </c>
      <c r="AF620" s="1"/>
      <c r="AG620" s="1">
        <v>479329</v>
      </c>
      <c r="AH620" s="1"/>
      <c r="AI620" s="1">
        <v>22225</v>
      </c>
      <c r="AJ620" s="1"/>
      <c r="AK620" s="17" t="s">
        <v>258</v>
      </c>
      <c r="AL620" s="17"/>
      <c r="AM620" s="17" t="s">
        <v>115</v>
      </c>
      <c r="AN620" s="17"/>
      <c r="AO620" s="1">
        <v>353375</v>
      </c>
      <c r="AP620" s="1"/>
      <c r="AQ620" s="1">
        <v>103380</v>
      </c>
      <c r="AR620" s="1"/>
      <c r="AS620" s="1"/>
      <c r="AT620" s="1"/>
      <c r="AU620" s="1">
        <v>0</v>
      </c>
      <c r="AV620" s="1"/>
      <c r="AW620" s="1">
        <f t="shared" si="50"/>
        <v>11248618</v>
      </c>
      <c r="AY620" s="1">
        <v>-499132</v>
      </c>
      <c r="BA620" s="1">
        <v>9507996</v>
      </c>
      <c r="BC620" s="1">
        <f t="shared" si="49"/>
        <v>9008864</v>
      </c>
      <c r="BE620" s="1">
        <f>+'St of Net Assets - GA'!AA620-'St of Activities - GA Exp'!BC620</f>
        <v>0</v>
      </c>
    </row>
    <row r="621" spans="1:57">
      <c r="A621" s="17" t="s">
        <v>418</v>
      </c>
      <c r="B621" s="17"/>
      <c r="C621" s="17" t="s">
        <v>41</v>
      </c>
      <c r="D621" s="17"/>
      <c r="E621" s="13">
        <v>45104</v>
      </c>
      <c r="G621" s="1">
        <v>38669636</v>
      </c>
      <c r="H621" s="1"/>
      <c r="I621" s="1">
        <v>15069214</v>
      </c>
      <c r="J621" s="1"/>
      <c r="K621" s="1">
        <v>1454874</v>
      </c>
      <c r="L621" s="1"/>
      <c r="M621" s="1">
        <v>352864</v>
      </c>
      <c r="N621" s="1"/>
      <c r="O621" s="1">
        <v>7022234</v>
      </c>
      <c r="P621" s="1"/>
      <c r="Q621" s="1">
        <v>3603093</v>
      </c>
      <c r="R621" s="1"/>
      <c r="S621" s="1">
        <v>479626</v>
      </c>
      <c r="T621" s="1"/>
      <c r="U621" s="1">
        <v>5396207</v>
      </c>
      <c r="V621" s="1"/>
      <c r="W621" s="1">
        <v>1755438</v>
      </c>
      <c r="X621" s="1"/>
      <c r="Y621" s="1">
        <v>392870</v>
      </c>
      <c r="Z621" s="1"/>
      <c r="AA621" s="1">
        <v>9441295</v>
      </c>
      <c r="AB621" s="1"/>
      <c r="AC621" s="1">
        <v>6651526</v>
      </c>
      <c r="AD621" s="1"/>
      <c r="AE621" s="1">
        <v>1377796</v>
      </c>
      <c r="AF621" s="1"/>
      <c r="AG621" s="1">
        <v>2451473</v>
      </c>
      <c r="AH621" s="1"/>
      <c r="AI621" s="1">
        <v>1246363</v>
      </c>
      <c r="AJ621" s="1"/>
      <c r="AK621" s="17" t="s">
        <v>418</v>
      </c>
      <c r="AL621" s="17"/>
      <c r="AM621" s="17" t="s">
        <v>41</v>
      </c>
      <c r="AN621" s="17"/>
      <c r="AO621" s="1">
        <v>2239099</v>
      </c>
      <c r="AP621" s="1"/>
      <c r="AQ621" s="1">
        <v>43878</v>
      </c>
      <c r="AR621" s="1"/>
      <c r="AS621" s="1"/>
      <c r="AT621" s="1"/>
      <c r="AU621" s="1">
        <v>0</v>
      </c>
      <c r="AV621" s="1"/>
      <c r="AW621" s="1">
        <f t="shared" si="50"/>
        <v>97647486</v>
      </c>
      <c r="AY621" s="1">
        <v>-264141</v>
      </c>
      <c r="BA621" s="1">
        <v>21107781</v>
      </c>
      <c r="BC621" s="1">
        <f t="shared" si="49"/>
        <v>20843640</v>
      </c>
      <c r="BE621" s="1">
        <f>+'St of Net Assets - GA'!AA621-'St of Activities - GA Exp'!BC621</f>
        <v>0</v>
      </c>
    </row>
    <row r="622" spans="1:57">
      <c r="A622" s="17" t="s">
        <v>262</v>
      </c>
      <c r="B622" s="17"/>
      <c r="C622" s="17" t="s">
        <v>18</v>
      </c>
      <c r="D622" s="17"/>
      <c r="E622" s="13">
        <v>45112</v>
      </c>
      <c r="G622" s="1">
        <v>13727464</v>
      </c>
      <c r="H622" s="1"/>
      <c r="I622" s="1">
        <v>2979980</v>
      </c>
      <c r="J622" s="1"/>
      <c r="K622" s="1">
        <v>294776</v>
      </c>
      <c r="L622" s="1"/>
      <c r="M622" s="1">
        <v>473174</v>
      </c>
      <c r="N622" s="1"/>
      <c r="O622" s="1">
        <v>1452486</v>
      </c>
      <c r="P622" s="1"/>
      <c r="Q622" s="1">
        <v>2094855</v>
      </c>
      <c r="R622" s="1"/>
      <c r="S622" s="1">
        <v>83550</v>
      </c>
      <c r="T622" s="1"/>
      <c r="U622" s="1">
        <v>1663508</v>
      </c>
      <c r="V622" s="1"/>
      <c r="W622" s="1">
        <v>689928</v>
      </c>
      <c r="X622" s="1"/>
      <c r="Y622" s="1">
        <v>427226</v>
      </c>
      <c r="Z622" s="1"/>
      <c r="AA622" s="1">
        <v>2068334</v>
      </c>
      <c r="AB622" s="1"/>
      <c r="AC622" s="1">
        <v>1275700</v>
      </c>
      <c r="AD622" s="1"/>
      <c r="AE622" s="1">
        <v>249012</v>
      </c>
      <c r="AF622" s="1"/>
      <c r="AG622" s="1">
        <v>0</v>
      </c>
      <c r="AH622" s="1"/>
      <c r="AI622" s="1">
        <v>1335036</v>
      </c>
      <c r="AJ622" s="1"/>
      <c r="AK622" s="17" t="s">
        <v>262</v>
      </c>
      <c r="AL622" s="17"/>
      <c r="AM622" s="17" t="s">
        <v>18</v>
      </c>
      <c r="AN622" s="17"/>
      <c r="AO622" s="1">
        <v>558210</v>
      </c>
      <c r="AP622" s="1"/>
      <c r="AQ622" s="1">
        <v>364560</v>
      </c>
      <c r="AR622" s="1"/>
      <c r="AS622" s="1"/>
      <c r="AT622" s="1"/>
      <c r="AU622" s="1">
        <v>0</v>
      </c>
      <c r="AV622" s="1"/>
      <c r="AW622" s="1">
        <f t="shared" si="50"/>
        <v>29737799</v>
      </c>
      <c r="AY622" s="1">
        <v>-1257534</v>
      </c>
      <c r="BA622" s="1">
        <v>19283034</v>
      </c>
      <c r="BC622" s="1">
        <f t="shared" si="49"/>
        <v>18025500</v>
      </c>
      <c r="BE622" s="1">
        <f>+'St of Net Assets - GA'!AA622-'St of Activities - GA Exp'!BC622</f>
        <v>0</v>
      </c>
    </row>
    <row r="623" spans="1:57">
      <c r="A623" s="17" t="s">
        <v>540</v>
      </c>
      <c r="B623" s="17"/>
      <c r="C623" s="17" t="s">
        <v>56</v>
      </c>
      <c r="D623" s="17"/>
      <c r="E623" s="13">
        <v>45666</v>
      </c>
      <c r="G623" s="1">
        <v>4227248</v>
      </c>
      <c r="H623" s="1"/>
      <c r="I623" s="1">
        <v>1793066</v>
      </c>
      <c r="J623" s="1"/>
      <c r="K623" s="1">
        <v>81947</v>
      </c>
      <c r="L623" s="1"/>
      <c r="M623" s="1">
        <v>19662</v>
      </c>
      <c r="N623" s="1"/>
      <c r="O623" s="1">
        <v>542302</v>
      </c>
      <c r="P623" s="1"/>
      <c r="Q623" s="1">
        <v>685833</v>
      </c>
      <c r="R623" s="1"/>
      <c r="S623" s="1">
        <v>26915</v>
      </c>
      <c r="T623" s="1"/>
      <c r="U623" s="1">
        <v>679027</v>
      </c>
      <c r="V623" s="1"/>
      <c r="W623" s="1">
        <v>188637</v>
      </c>
      <c r="X623" s="1"/>
      <c r="Y623" s="1">
        <v>20028</v>
      </c>
      <c r="Z623" s="1"/>
      <c r="AA623" s="1">
        <v>854549</v>
      </c>
      <c r="AB623" s="1"/>
      <c r="AC623" s="1">
        <v>416490</v>
      </c>
      <c r="AD623" s="1"/>
      <c r="AE623" s="1">
        <v>33029</v>
      </c>
      <c r="AF623" s="1"/>
      <c r="AG623" s="1">
        <v>390590</v>
      </c>
      <c r="AH623" s="1"/>
      <c r="AI623" s="1">
        <v>0</v>
      </c>
      <c r="AJ623" s="1"/>
      <c r="AK623" s="17" t="s">
        <v>540</v>
      </c>
      <c r="AL623" s="17"/>
      <c r="AM623" s="17" t="s">
        <v>56</v>
      </c>
      <c r="AN623" s="17"/>
      <c r="AO623" s="1">
        <v>252126</v>
      </c>
      <c r="AP623" s="1"/>
      <c r="AQ623" s="1">
        <v>36208</v>
      </c>
      <c r="AR623" s="1"/>
      <c r="AS623" s="1"/>
      <c r="AT623" s="1"/>
      <c r="AU623" s="1">
        <v>0</v>
      </c>
      <c r="AV623" s="1"/>
      <c r="AW623" s="1">
        <f t="shared" si="50"/>
        <v>10247657</v>
      </c>
      <c r="AY623" s="1">
        <v>-3721574</v>
      </c>
      <c r="BA623" s="1">
        <v>21599724</v>
      </c>
      <c r="BC623" s="1">
        <f t="shared" si="49"/>
        <v>17878150</v>
      </c>
      <c r="BE623" s="1">
        <f>+'St of Net Assets - GA'!AA623-'St of Activities - GA Exp'!BC623</f>
        <v>0</v>
      </c>
    </row>
    <row r="624" spans="1:57">
      <c r="A624" s="17" t="s">
        <v>376</v>
      </c>
      <c r="B624" s="17"/>
      <c r="C624" s="17" t="s">
        <v>32</v>
      </c>
      <c r="D624" s="17"/>
      <c r="E624" s="13">
        <v>44081</v>
      </c>
      <c r="G624" s="1">
        <v>18743174</v>
      </c>
      <c r="H624" s="1"/>
      <c r="I624" s="1">
        <v>6264721</v>
      </c>
      <c r="J624" s="1"/>
      <c r="K624" s="1">
        <v>275330</v>
      </c>
      <c r="L624" s="1"/>
      <c r="M624" s="1">
        <v>0</v>
      </c>
      <c r="N624" s="1"/>
      <c r="O624" s="1">
        <v>2357321</v>
      </c>
      <c r="P624" s="1"/>
      <c r="Q624" s="1">
        <v>3489096</v>
      </c>
      <c r="R624" s="1"/>
      <c r="S624" s="1">
        <v>270905</v>
      </c>
      <c r="T624" s="1"/>
      <c r="U624" s="1">
        <v>3791392</v>
      </c>
      <c r="V624" s="1"/>
      <c r="W624" s="1">
        <v>753990</v>
      </c>
      <c r="X624" s="1"/>
      <c r="Y624" s="1">
        <v>215210</v>
      </c>
      <c r="Z624" s="1"/>
      <c r="AA624" s="1">
        <v>3828121</v>
      </c>
      <c r="AB624" s="1"/>
      <c r="AC624" s="1">
        <v>2070886</v>
      </c>
      <c r="AD624" s="1"/>
      <c r="AE624" s="1">
        <v>949036</v>
      </c>
      <c r="AF624" s="1"/>
      <c r="AG624" s="1">
        <v>0</v>
      </c>
      <c r="AH624" s="1"/>
      <c r="AI624" s="1">
        <v>1767277</v>
      </c>
      <c r="AJ624" s="1"/>
      <c r="AK624" s="17" t="s">
        <v>376</v>
      </c>
      <c r="AL624" s="17"/>
      <c r="AM624" s="17" t="s">
        <v>32</v>
      </c>
      <c r="AN624" s="17"/>
      <c r="AO624" s="1">
        <v>888097</v>
      </c>
      <c r="AP624" s="1"/>
      <c r="AQ624" s="1">
        <v>191669</v>
      </c>
      <c r="AR624" s="1"/>
      <c r="AS624" s="1"/>
      <c r="AT624" s="1"/>
      <c r="AU624" s="1">
        <v>0</v>
      </c>
      <c r="AV624" s="1"/>
      <c r="AW624" s="1">
        <f t="shared" si="50"/>
        <v>45856225</v>
      </c>
      <c r="AY624" s="1">
        <v>3201199</v>
      </c>
      <c r="BA624" s="1">
        <v>9718279</v>
      </c>
      <c r="BC624" s="1">
        <f t="shared" si="49"/>
        <v>12919478</v>
      </c>
      <c r="BE624" s="1">
        <f>+'St of Net Assets - GA'!AA624-'St of Activities - GA Exp'!BC624</f>
        <v>0</v>
      </c>
    </row>
    <row r="625" spans="1:57">
      <c r="A625" s="17" t="s">
        <v>639</v>
      </c>
      <c r="B625" s="17"/>
      <c r="C625" s="17" t="s">
        <v>70</v>
      </c>
      <c r="D625" s="17"/>
      <c r="E625" s="13">
        <v>50518</v>
      </c>
      <c r="G625" s="1">
        <v>3187247</v>
      </c>
      <c r="H625" s="1"/>
      <c r="I625" s="1">
        <v>545109</v>
      </c>
      <c r="J625" s="1"/>
      <c r="K625" s="1">
        <v>162320</v>
      </c>
      <c r="L625" s="1"/>
      <c r="M625" s="1">
        <v>0</v>
      </c>
      <c r="N625" s="1"/>
      <c r="O625" s="1">
        <v>203440</v>
      </c>
      <c r="P625" s="1"/>
      <c r="Q625" s="1">
        <v>516096</v>
      </c>
      <c r="R625" s="1"/>
      <c r="S625" s="1">
        <v>20870</v>
      </c>
      <c r="T625" s="1"/>
      <c r="U625" s="1">
        <v>454592</v>
      </c>
      <c r="V625" s="1"/>
      <c r="W625" s="1">
        <v>620193</v>
      </c>
      <c r="X625" s="1"/>
      <c r="Y625" s="1">
        <v>0</v>
      </c>
      <c r="Z625" s="1"/>
      <c r="AA625" s="1">
        <v>567816</v>
      </c>
      <c r="AB625" s="1"/>
      <c r="AC625" s="1">
        <v>427008</v>
      </c>
      <c r="AD625" s="1"/>
      <c r="AE625" s="1">
        <v>33282</v>
      </c>
      <c r="AF625" s="1"/>
      <c r="AG625" s="1">
        <v>224840</v>
      </c>
      <c r="AH625" s="1"/>
      <c r="AI625" s="1">
        <v>8730</v>
      </c>
      <c r="AJ625" s="1"/>
      <c r="AK625" s="17" t="s">
        <v>639</v>
      </c>
      <c r="AL625" s="17"/>
      <c r="AM625" s="17" t="s">
        <v>70</v>
      </c>
      <c r="AN625" s="17"/>
      <c r="AO625" s="1">
        <v>240511</v>
      </c>
      <c r="AP625" s="1"/>
      <c r="AQ625" s="1">
        <v>308597</v>
      </c>
      <c r="AR625" s="1"/>
      <c r="AS625" s="1"/>
      <c r="AT625" s="1"/>
      <c r="AU625" s="1">
        <v>0</v>
      </c>
      <c r="AV625" s="1"/>
      <c r="AW625" s="1">
        <f t="shared" si="50"/>
        <v>7520651</v>
      </c>
      <c r="AY625" s="1">
        <v>1244323</v>
      </c>
      <c r="BA625" s="1">
        <v>7691939</v>
      </c>
      <c r="BC625" s="1">
        <f t="shared" si="49"/>
        <v>8936262</v>
      </c>
      <c r="BE625" s="1">
        <f>+'St of Net Assets - GA'!AA625-'St of Activities - GA Exp'!BC625</f>
        <v>0</v>
      </c>
    </row>
    <row r="626" spans="1:57">
      <c r="A626" s="17" t="s">
        <v>558</v>
      </c>
      <c r="B626" s="17"/>
      <c r="C626" s="17" t="s">
        <v>79</v>
      </c>
      <c r="D626" s="17"/>
      <c r="E626" s="13">
        <v>49577</v>
      </c>
      <c r="G626" s="1">
        <v>5043989</v>
      </c>
      <c r="H626" s="1"/>
      <c r="I626" s="1">
        <v>989384</v>
      </c>
      <c r="J626" s="1"/>
      <c r="K626" s="1">
        <v>11298</v>
      </c>
      <c r="L626" s="1"/>
      <c r="M626" s="1">
        <v>5362</v>
      </c>
      <c r="N626" s="1"/>
      <c r="O626" s="1">
        <v>596647</v>
      </c>
      <c r="P626" s="1"/>
      <c r="Q626" s="1">
        <v>188434</v>
      </c>
      <c r="R626" s="1"/>
      <c r="S626" s="1">
        <v>51055</v>
      </c>
      <c r="T626" s="1"/>
      <c r="U626" s="1">
        <v>881172</v>
      </c>
      <c r="V626" s="1"/>
      <c r="W626" s="1">
        <v>300796</v>
      </c>
      <c r="X626" s="1"/>
      <c r="Y626" s="1">
        <v>0</v>
      </c>
      <c r="Z626" s="1"/>
      <c r="AA626" s="1">
        <v>808107</v>
      </c>
      <c r="AB626" s="1"/>
      <c r="AC626" s="1">
        <v>590997</v>
      </c>
      <c r="AD626" s="1"/>
      <c r="AE626" s="1">
        <v>2</v>
      </c>
      <c r="AF626" s="1"/>
      <c r="AG626" s="1">
        <v>380739</v>
      </c>
      <c r="AH626" s="1"/>
      <c r="AI626" s="1">
        <v>47557</v>
      </c>
      <c r="AJ626" s="1"/>
      <c r="AK626" s="17" t="s">
        <v>558</v>
      </c>
      <c r="AL626" s="17"/>
      <c r="AM626" s="17" t="s">
        <v>79</v>
      </c>
      <c r="AN626" s="17"/>
      <c r="AO626" s="1">
        <v>341845</v>
      </c>
      <c r="AP626" s="1"/>
      <c r="AQ626" s="1">
        <v>12167</v>
      </c>
      <c r="AR626" s="1"/>
      <c r="AS626" s="1"/>
      <c r="AT626" s="1"/>
      <c r="AU626" s="1">
        <v>0</v>
      </c>
      <c r="AV626" s="1"/>
      <c r="AW626" s="1">
        <f t="shared" si="50"/>
        <v>10249551</v>
      </c>
      <c r="AY626" s="1">
        <v>665629</v>
      </c>
      <c r="BA626" s="1">
        <v>5794157</v>
      </c>
      <c r="BC626" s="1">
        <f t="shared" si="49"/>
        <v>6459786</v>
      </c>
      <c r="BE626" s="1">
        <f>+'St of Net Assets - GA'!AA626-'St of Activities - GA Exp'!BC626</f>
        <v>0</v>
      </c>
    </row>
    <row r="627" spans="1:57">
      <c r="A627" s="17" t="s">
        <v>598</v>
      </c>
      <c r="B627" s="17"/>
      <c r="C627" s="17" t="s">
        <v>63</v>
      </c>
      <c r="D627" s="17"/>
      <c r="E627" s="13">
        <v>49973</v>
      </c>
      <c r="G627" s="1">
        <v>11006411</v>
      </c>
      <c r="H627" s="1"/>
      <c r="I627" s="1">
        <v>3328106</v>
      </c>
      <c r="J627" s="1"/>
      <c r="K627" s="1">
        <v>337732</v>
      </c>
      <c r="L627" s="1"/>
      <c r="M627" s="1">
        <v>471803</v>
      </c>
      <c r="N627" s="1"/>
      <c r="O627" s="1">
        <v>1330392</v>
      </c>
      <c r="P627" s="1"/>
      <c r="Q627" s="1">
        <v>619935</v>
      </c>
      <c r="R627" s="1"/>
      <c r="S627" s="1">
        <v>29298</v>
      </c>
      <c r="T627" s="1"/>
      <c r="U627" s="1">
        <v>2181341</v>
      </c>
      <c r="V627" s="1"/>
      <c r="W627" s="1">
        <v>657223</v>
      </c>
      <c r="X627" s="1"/>
      <c r="Y627" s="1">
        <v>44872</v>
      </c>
      <c r="Z627" s="1"/>
      <c r="AA627" s="1">
        <v>2012767</v>
      </c>
      <c r="AB627" s="1"/>
      <c r="AC627" s="1">
        <v>1666254</v>
      </c>
      <c r="AD627" s="1"/>
      <c r="AE627" s="1">
        <v>192077</v>
      </c>
      <c r="AF627" s="1"/>
      <c r="AG627" s="1">
        <v>755104</v>
      </c>
      <c r="AH627" s="1"/>
      <c r="AI627" s="1">
        <v>19606</v>
      </c>
      <c r="AJ627" s="1"/>
      <c r="AK627" s="17" t="s">
        <v>598</v>
      </c>
      <c r="AL627" s="17"/>
      <c r="AM627" s="17" t="s">
        <v>63</v>
      </c>
      <c r="AN627" s="17"/>
      <c r="AO627" s="1">
        <v>799985</v>
      </c>
      <c r="AP627" s="1"/>
      <c r="AQ627" s="1">
        <v>725723</v>
      </c>
      <c r="AR627" s="1"/>
      <c r="AS627" s="1"/>
      <c r="AT627" s="1"/>
      <c r="AU627" s="1">
        <v>0</v>
      </c>
      <c r="AV627" s="1"/>
      <c r="AW627" s="1">
        <f t="shared" si="50"/>
        <v>26178629</v>
      </c>
      <c r="AY627" s="1">
        <v>1328353</v>
      </c>
      <c r="BA627" s="1">
        <v>11177175</v>
      </c>
      <c r="BC627" s="1">
        <f t="shared" si="49"/>
        <v>12505528</v>
      </c>
      <c r="BE627" s="1">
        <f>+'St of Net Assets - GA'!AA627-'St of Activities - GA Exp'!BC627</f>
        <v>0</v>
      </c>
    </row>
    <row r="628" spans="1:57">
      <c r="A628" s="17" t="s">
        <v>745</v>
      </c>
      <c r="B628" s="17"/>
      <c r="C628" s="17" t="s">
        <v>71</v>
      </c>
      <c r="D628" s="17"/>
      <c r="E628" s="13">
        <v>45138</v>
      </c>
      <c r="G628" s="1">
        <v>18978574</v>
      </c>
      <c r="H628" s="1"/>
      <c r="I628" s="1">
        <v>5533780</v>
      </c>
      <c r="J628" s="1"/>
      <c r="K628" s="1">
        <v>384585</v>
      </c>
      <c r="L628" s="1"/>
      <c r="M628" s="1">
        <f>282193+2670042</f>
        <v>2952235</v>
      </c>
      <c r="N628" s="1"/>
      <c r="O628" s="1">
        <v>2072616</v>
      </c>
      <c r="P628" s="1"/>
      <c r="Q628" s="1">
        <v>2262489</v>
      </c>
      <c r="R628" s="1"/>
      <c r="S628" s="1">
        <v>125732</v>
      </c>
      <c r="T628" s="1"/>
      <c r="U628" s="1">
        <v>3049738</v>
      </c>
      <c r="V628" s="1"/>
      <c r="W628" s="1">
        <v>943133</v>
      </c>
      <c r="X628" s="1"/>
      <c r="Y628" s="1">
        <v>236034</v>
      </c>
      <c r="Z628" s="1"/>
      <c r="AA628" s="1">
        <v>5456419</v>
      </c>
      <c r="AB628" s="1"/>
      <c r="AC628" s="1">
        <v>2218500</v>
      </c>
      <c r="AD628" s="1"/>
      <c r="AE628" s="1">
        <v>902823</v>
      </c>
      <c r="AF628" s="1"/>
      <c r="AG628" s="1">
        <v>1626476</v>
      </c>
      <c r="AH628" s="1"/>
      <c r="AI628" s="1">
        <f>376221+4770+2163732+209014</f>
        <v>2753737</v>
      </c>
      <c r="AJ628" s="1"/>
      <c r="AK628" s="17" t="s">
        <v>745</v>
      </c>
      <c r="AL628" s="17"/>
      <c r="AM628" s="17" t="s">
        <v>71</v>
      </c>
      <c r="AN628" s="17"/>
      <c r="AO628" s="1">
        <v>612282</v>
      </c>
      <c r="AP628" s="1"/>
      <c r="AQ628" s="1">
        <v>1328014</v>
      </c>
      <c r="AR628" s="1"/>
      <c r="AS628" s="1"/>
      <c r="AT628" s="1"/>
      <c r="AU628" s="1">
        <v>90356</v>
      </c>
      <c r="AV628" s="1"/>
      <c r="AW628" s="1">
        <f t="shared" ref="AW628" si="51">SUM(G628:AV628)</f>
        <v>51527523</v>
      </c>
      <c r="AY628" s="1">
        <v>-2963583</v>
      </c>
      <c r="BA628" s="1">
        <v>34897938</v>
      </c>
      <c r="BC628" s="1">
        <f t="shared" si="49"/>
        <v>31934355</v>
      </c>
      <c r="BE628" s="1">
        <f>+'St of Net Assets - GA'!AA628-'St of Activities - GA Exp'!BC628</f>
        <v>0</v>
      </c>
    </row>
    <row r="629" spans="1:57" ht="12" customHeight="1">
      <c r="A629" s="17" t="s">
        <v>344</v>
      </c>
      <c r="B629" s="17"/>
      <c r="C629" s="17" t="s">
        <v>27</v>
      </c>
      <c r="D629" s="17"/>
      <c r="E629" s="13">
        <v>46524</v>
      </c>
      <c r="G629" s="1">
        <v>61107812</v>
      </c>
      <c r="H629" s="1"/>
      <c r="I629" s="1">
        <v>13780924</v>
      </c>
      <c r="J629" s="1"/>
      <c r="K629" s="1">
        <v>1371730</v>
      </c>
      <c r="L629" s="1"/>
      <c r="M629" s="1">
        <v>1863</v>
      </c>
      <c r="N629" s="1"/>
      <c r="O629" s="1">
        <v>6109044</v>
      </c>
      <c r="P629" s="1"/>
      <c r="Q629" s="1">
        <v>10618889</v>
      </c>
      <c r="R629" s="1"/>
      <c r="S629" s="1">
        <v>63151</v>
      </c>
      <c r="T629" s="1"/>
      <c r="U629" s="1">
        <v>8830428</v>
      </c>
      <c r="V629" s="1"/>
      <c r="W629" s="1">
        <v>0</v>
      </c>
      <c r="X629" s="1"/>
      <c r="Y629" s="1">
        <v>2678412</v>
      </c>
      <c r="Z629" s="1"/>
      <c r="AA629" s="1">
        <v>14045142</v>
      </c>
      <c r="AB629" s="1"/>
      <c r="AC629" s="1">
        <v>4363343</v>
      </c>
      <c r="AD629" s="1"/>
      <c r="AE629" s="1">
        <v>1542723</v>
      </c>
      <c r="AF629" s="1"/>
      <c r="AG629" s="1">
        <v>3326175</v>
      </c>
      <c r="AH629" s="1"/>
      <c r="AI629" s="1">
        <v>1446962</v>
      </c>
      <c r="AJ629" s="1"/>
      <c r="AK629" s="17" t="s">
        <v>344</v>
      </c>
      <c r="AL629" s="17"/>
      <c r="AM629" s="17" t="s">
        <v>27</v>
      </c>
      <c r="AN629" s="17"/>
      <c r="AO629" s="1">
        <v>2634317</v>
      </c>
      <c r="AP629" s="1"/>
      <c r="AQ629" s="1">
        <v>2556578</v>
      </c>
      <c r="AR629" s="1"/>
      <c r="AS629" s="1"/>
      <c r="AT629" s="1"/>
      <c r="AU629" s="1">
        <v>0</v>
      </c>
      <c r="AV629" s="1"/>
      <c r="AW629" s="1">
        <f t="shared" si="50"/>
        <v>134477493</v>
      </c>
      <c r="AY629" s="1">
        <v>3762982</v>
      </c>
      <c r="BA629" s="1">
        <v>75999895</v>
      </c>
      <c r="BC629" s="1">
        <f t="shared" si="49"/>
        <v>79762877</v>
      </c>
      <c r="BE629" s="1">
        <f>+'St of Net Assets - GA'!AA629-'St of Activities - GA Exp'!BC629</f>
        <v>0</v>
      </c>
    </row>
    <row r="630" spans="1:57">
      <c r="A630" s="17" t="s">
        <v>279</v>
      </c>
      <c r="B630" s="17"/>
      <c r="C630" s="17" t="s">
        <v>113</v>
      </c>
      <c r="D630" s="17"/>
      <c r="E630" s="13">
        <v>45146</v>
      </c>
      <c r="G630" s="1">
        <v>4752669</v>
      </c>
      <c r="H630" s="1"/>
      <c r="I630" s="1">
        <v>1521954</v>
      </c>
      <c r="J630" s="1"/>
      <c r="K630" s="1">
        <v>4061</v>
      </c>
      <c r="L630" s="1"/>
      <c r="M630" s="1">
        <v>534911</v>
      </c>
      <c r="N630" s="1"/>
      <c r="O630" s="1">
        <v>1161083</v>
      </c>
      <c r="P630" s="1"/>
      <c r="Q630" s="1">
        <v>352203</v>
      </c>
      <c r="R630" s="1"/>
      <c r="S630" s="1">
        <v>6645</v>
      </c>
      <c r="T630" s="1"/>
      <c r="U630" s="1">
        <v>848230</v>
      </c>
      <c r="V630" s="1"/>
      <c r="W630" s="1">
        <v>361075</v>
      </c>
      <c r="X630" s="1"/>
      <c r="Y630" s="1">
        <v>13590</v>
      </c>
      <c r="Z630" s="1"/>
      <c r="AA630" s="1">
        <v>734849</v>
      </c>
      <c r="AB630" s="1"/>
      <c r="AC630" s="1">
        <v>686238</v>
      </c>
      <c r="AD630" s="1"/>
      <c r="AE630" s="1">
        <v>44393</v>
      </c>
      <c r="AF630" s="1"/>
      <c r="AG630" s="1">
        <v>537502</v>
      </c>
      <c r="AH630" s="1"/>
      <c r="AI630" s="1">
        <v>600</v>
      </c>
      <c r="AJ630" s="1"/>
      <c r="AK630" s="17" t="s">
        <v>279</v>
      </c>
      <c r="AL630" s="17"/>
      <c r="AM630" s="17" t="s">
        <v>113</v>
      </c>
      <c r="AN630" s="17"/>
      <c r="AO630" s="1">
        <v>378313</v>
      </c>
      <c r="AP630" s="1"/>
      <c r="AQ630" s="1">
        <v>282590</v>
      </c>
      <c r="AR630" s="1"/>
      <c r="AS630" s="1"/>
      <c r="AT630" s="1"/>
      <c r="AU630" s="1">
        <v>0</v>
      </c>
      <c r="AV630" s="1"/>
      <c r="AW630" s="1">
        <f t="shared" si="50"/>
        <v>12220906</v>
      </c>
      <c r="AY630" s="1">
        <v>-466118</v>
      </c>
      <c r="BA630" s="1">
        <v>4369731</v>
      </c>
      <c r="BC630" s="1">
        <f t="shared" si="49"/>
        <v>3903613</v>
      </c>
      <c r="BE630" s="1">
        <f>+'St of Net Assets - GA'!AA630-'St of Activities - GA Exp'!BC630</f>
        <v>0</v>
      </c>
    </row>
    <row r="631" spans="1:57" ht="12" customHeight="1">
      <c r="A631" s="17" t="s">
        <v>377</v>
      </c>
      <c r="B631" s="17"/>
      <c r="C631" s="17" t="s">
        <v>32</v>
      </c>
      <c r="D631" s="17"/>
      <c r="E631" s="13">
        <v>45153</v>
      </c>
      <c r="G631" s="1">
        <v>11129121</v>
      </c>
      <c r="H631" s="1"/>
      <c r="I631" s="1">
        <v>2309790</v>
      </c>
      <c r="J631" s="1"/>
      <c r="K631" s="1">
        <v>101075</v>
      </c>
      <c r="L631" s="1"/>
      <c r="M631" s="1">
        <v>15148</v>
      </c>
      <c r="N631" s="1"/>
      <c r="O631" s="1">
        <v>1683176</v>
      </c>
      <c r="P631" s="1"/>
      <c r="Q631" s="1">
        <v>1214171</v>
      </c>
      <c r="R631" s="1"/>
      <c r="S631" s="1">
        <v>98636</v>
      </c>
      <c r="T631" s="1"/>
      <c r="U631" s="1">
        <f>1521847</f>
        <v>1521847</v>
      </c>
      <c r="V631" s="1"/>
      <c r="W631" s="1">
        <v>984992</v>
      </c>
      <c r="X631" s="1"/>
      <c r="Y631" s="1">
        <v>1198</v>
      </c>
      <c r="Z631" s="1"/>
      <c r="AA631" s="1">
        <v>2185065</v>
      </c>
      <c r="AB631" s="1"/>
      <c r="AC631" s="1">
        <v>440358</v>
      </c>
      <c r="AD631" s="1"/>
      <c r="AE631" s="1">
        <v>132853</v>
      </c>
      <c r="AF631" s="1"/>
      <c r="AG631" s="1">
        <v>0</v>
      </c>
      <c r="AH631" s="1"/>
      <c r="AI631" s="1">
        <v>639599</v>
      </c>
      <c r="AJ631" s="1"/>
      <c r="AK631" s="17" t="s">
        <v>377</v>
      </c>
      <c r="AL631" s="17"/>
      <c r="AM631" s="17" t="s">
        <v>32</v>
      </c>
      <c r="AN631" s="17"/>
      <c r="AO631" s="1">
        <v>781878</v>
      </c>
      <c r="AP631" s="1"/>
      <c r="AQ631" s="1">
        <v>1069441</v>
      </c>
      <c r="AR631" s="1"/>
      <c r="AS631" s="1"/>
      <c r="AT631" s="1"/>
      <c r="AU631" s="1">
        <v>0</v>
      </c>
      <c r="AV631" s="1"/>
      <c r="AW631" s="1">
        <f t="shared" si="50"/>
        <v>24308348</v>
      </c>
      <c r="AY631" s="1">
        <v>1813320</v>
      </c>
      <c r="BA631" s="1">
        <v>13944351</v>
      </c>
      <c r="BC631" s="1">
        <f t="shared" si="49"/>
        <v>15757671</v>
      </c>
      <c r="BE631" s="1">
        <f>+'St of Net Assets - GA'!AA631-'St of Activities - GA Exp'!BC631</f>
        <v>0</v>
      </c>
    </row>
    <row r="632" spans="1:57">
      <c r="A632" s="17" t="s">
        <v>359</v>
      </c>
      <c r="B632" s="17"/>
      <c r="C632" s="17" t="s">
        <v>116</v>
      </c>
      <c r="D632" s="17"/>
      <c r="E632" s="13">
        <v>45674</v>
      </c>
      <c r="G632" s="1">
        <v>4178268</v>
      </c>
      <c r="H632" s="1"/>
      <c r="I632" s="1">
        <v>779559</v>
      </c>
      <c r="J632" s="1"/>
      <c r="K632" s="1">
        <v>0</v>
      </c>
      <c r="L632" s="1"/>
      <c r="M632" s="1">
        <f>2527+16418+155300</f>
        <v>174245</v>
      </c>
      <c r="N632" s="1"/>
      <c r="O632" s="1">
        <v>488402</v>
      </c>
      <c r="P632" s="1"/>
      <c r="Q632" s="1">
        <v>593842</v>
      </c>
      <c r="R632" s="1"/>
      <c r="S632" s="1">
        <v>46503</v>
      </c>
      <c r="T632" s="1"/>
      <c r="U632" s="1">
        <v>680673</v>
      </c>
      <c r="V632" s="1"/>
      <c r="W632" s="1">
        <v>362929</v>
      </c>
      <c r="X632" s="1"/>
      <c r="Y632" s="1">
        <v>5853</v>
      </c>
      <c r="Z632" s="1"/>
      <c r="AA632" s="1">
        <v>915400</v>
      </c>
      <c r="AB632" s="1"/>
      <c r="AC632" s="1">
        <v>223221</v>
      </c>
      <c r="AD632" s="1"/>
      <c r="AE632" s="1">
        <v>36276</v>
      </c>
      <c r="AF632" s="1"/>
      <c r="AG632" s="1">
        <v>0</v>
      </c>
      <c r="AH632" s="1"/>
      <c r="AI632" s="1">
        <v>249782</v>
      </c>
      <c r="AJ632" s="1"/>
      <c r="AK632" s="17" t="s">
        <v>359</v>
      </c>
      <c r="AL632" s="17"/>
      <c r="AM632" s="17" t="s">
        <v>116</v>
      </c>
      <c r="AN632" s="17"/>
      <c r="AO632" s="1">
        <v>307405</v>
      </c>
      <c r="AP632" s="1"/>
      <c r="AQ632" s="1">
        <v>165067</v>
      </c>
      <c r="AR632" s="1"/>
      <c r="AS632" s="1"/>
      <c r="AT632" s="1"/>
      <c r="AU632" s="1">
        <v>0</v>
      </c>
      <c r="AV632" s="1"/>
      <c r="AW632" s="1">
        <f t="shared" si="50"/>
        <v>9207425</v>
      </c>
      <c r="AY632" s="1">
        <v>-772130</v>
      </c>
      <c r="BA632" s="1">
        <v>5325066</v>
      </c>
      <c r="BC632" s="1">
        <f t="shared" si="49"/>
        <v>4552936</v>
      </c>
      <c r="BE632" s="1">
        <f>+'St of Net Assets - GA'!AA632-'St of Activities - GA Exp'!BC632</f>
        <v>0</v>
      </c>
    </row>
    <row r="633" spans="1:57">
      <c r="A633" s="17" t="s">
        <v>472</v>
      </c>
      <c r="B633" s="17"/>
      <c r="C633" s="17" t="s">
        <v>45</v>
      </c>
      <c r="D633" s="17"/>
      <c r="E633" s="13">
        <v>45161</v>
      </c>
      <c r="G633" s="1">
        <v>53095320</v>
      </c>
      <c r="H633" s="1"/>
      <c r="I633" s="1">
        <v>14491836</v>
      </c>
      <c r="J633" s="1"/>
      <c r="K633" s="1">
        <v>3095170</v>
      </c>
      <c r="L633" s="1"/>
      <c r="M633" s="1">
        <f>449503+9702490</f>
        <v>10151993</v>
      </c>
      <c r="N633" s="1"/>
      <c r="O633" s="1">
        <v>6490710</v>
      </c>
      <c r="P633" s="1"/>
      <c r="Q633" s="1">
        <v>10153971</v>
      </c>
      <c r="R633" s="1"/>
      <c r="S633" s="1">
        <v>431763</v>
      </c>
      <c r="T633" s="1"/>
      <c r="U633" s="1">
        <v>6417194</v>
      </c>
      <c r="V633" s="1"/>
      <c r="W633" s="1">
        <v>1471069</v>
      </c>
      <c r="X633" s="1"/>
      <c r="Y633" s="1">
        <v>888581</v>
      </c>
      <c r="Z633" s="1"/>
      <c r="AA633" s="1">
        <v>11356341</v>
      </c>
      <c r="AB633" s="1"/>
      <c r="AC633" s="1">
        <v>5276537</v>
      </c>
      <c r="AD633" s="1"/>
      <c r="AE633" s="1">
        <v>806512</v>
      </c>
      <c r="AF633" s="1"/>
      <c r="AG633" s="1">
        <v>3960917</v>
      </c>
      <c r="AH633" s="1"/>
      <c r="AI633" s="1">
        <v>1780691</v>
      </c>
      <c r="AJ633" s="1"/>
      <c r="AK633" s="17" t="s">
        <v>472</v>
      </c>
      <c r="AL633" s="17"/>
      <c r="AM633" s="17" t="s">
        <v>45</v>
      </c>
      <c r="AN633" s="17"/>
      <c r="AO633" s="1">
        <v>409966</v>
      </c>
      <c r="AP633" s="1"/>
      <c r="AQ633" s="1">
        <v>1343186</v>
      </c>
      <c r="AR633" s="1"/>
      <c r="AS633" s="1"/>
      <c r="AT633" s="1"/>
      <c r="AU633" s="1">
        <v>0</v>
      </c>
      <c r="AV633" s="1"/>
      <c r="AW633" s="1">
        <f t="shared" si="50"/>
        <v>131621757</v>
      </c>
      <c r="AY633" s="1">
        <v>7179605</v>
      </c>
      <c r="BA633" s="1">
        <v>141300553</v>
      </c>
      <c r="BC633" s="1">
        <f t="shared" si="49"/>
        <v>148480158</v>
      </c>
      <c r="BE633" s="1">
        <f>+'St of Net Assets - GA'!AA633-'St of Activities - GA Exp'!BC633</f>
        <v>0</v>
      </c>
    </row>
    <row r="634" spans="1:57">
      <c r="A634" s="17" t="s">
        <v>554</v>
      </c>
      <c r="B634" s="17"/>
      <c r="C634" s="17" t="s">
        <v>58</v>
      </c>
      <c r="D634" s="17"/>
      <c r="E634" s="13">
        <v>49544</v>
      </c>
      <c r="G634" s="1">
        <v>7147474</v>
      </c>
      <c r="H634" s="1"/>
      <c r="I634" s="1">
        <v>1566059</v>
      </c>
      <c r="J634" s="1"/>
      <c r="K634" s="1">
        <v>9752</v>
      </c>
      <c r="L634" s="1"/>
      <c r="M634" s="1">
        <v>61269</v>
      </c>
      <c r="N634" s="1"/>
      <c r="O634" s="1">
        <v>536289</v>
      </c>
      <c r="P634" s="1"/>
      <c r="Q634" s="1">
        <v>435081</v>
      </c>
      <c r="R634" s="1"/>
      <c r="S634" s="1">
        <v>155830</v>
      </c>
      <c r="T634" s="1"/>
      <c r="U634" s="1">
        <v>765761</v>
      </c>
      <c r="V634" s="1"/>
      <c r="W634" s="1">
        <v>418619</v>
      </c>
      <c r="X634" s="1"/>
      <c r="Y634" s="1">
        <v>0</v>
      </c>
      <c r="Z634" s="1"/>
      <c r="AA634" s="1">
        <v>1380408</v>
      </c>
      <c r="AB634" s="1"/>
      <c r="AC634" s="1">
        <v>974230</v>
      </c>
      <c r="AD634" s="1"/>
      <c r="AE634" s="1">
        <v>155625</v>
      </c>
      <c r="AF634" s="1"/>
      <c r="AG634" s="1">
        <v>0</v>
      </c>
      <c r="AH634" s="1"/>
      <c r="AI634" s="1">
        <v>652938</v>
      </c>
      <c r="AJ634" s="1"/>
      <c r="AK634" s="17" t="s">
        <v>554</v>
      </c>
      <c r="AL634" s="17"/>
      <c r="AM634" s="17" t="s">
        <v>58</v>
      </c>
      <c r="AN634" s="17"/>
      <c r="AO634" s="1">
        <v>455095</v>
      </c>
      <c r="AP634" s="1"/>
      <c r="AQ634" s="1">
        <v>233985</v>
      </c>
      <c r="AR634" s="1"/>
      <c r="AS634" s="1"/>
      <c r="AT634" s="1"/>
      <c r="AU634" s="1">
        <v>0</v>
      </c>
      <c r="AV634" s="1"/>
      <c r="AW634" s="1">
        <f t="shared" si="50"/>
        <v>14948415</v>
      </c>
      <c r="AY634" s="1">
        <v>-181886</v>
      </c>
      <c r="BA634" s="1">
        <v>15230637</v>
      </c>
      <c r="BC634" s="1">
        <f>+AY634+BA634</f>
        <v>15048751</v>
      </c>
      <c r="BE634" s="1">
        <f>+'St of Net Assets - GA'!AA634-'St of Activities - GA Exp'!BC634</f>
        <v>0</v>
      </c>
    </row>
    <row r="635" spans="1:57">
      <c r="A635" s="17" t="s">
        <v>516</v>
      </c>
      <c r="B635" s="17"/>
      <c r="C635" s="17" t="s">
        <v>51</v>
      </c>
      <c r="D635" s="17"/>
      <c r="E635" s="13">
        <v>45179</v>
      </c>
      <c r="G635" s="1">
        <v>16575677</v>
      </c>
      <c r="H635" s="1"/>
      <c r="I635" s="1">
        <v>7155412</v>
      </c>
      <c r="J635" s="1"/>
      <c r="K635" s="1">
        <v>442511</v>
      </c>
      <c r="L635" s="1"/>
      <c r="M635" s="1">
        <v>223995</v>
      </c>
      <c r="N635" s="1"/>
      <c r="O635" s="1">
        <v>2575977</v>
      </c>
      <c r="P635" s="1"/>
      <c r="Q635" s="1">
        <v>3862591</v>
      </c>
      <c r="R635" s="1"/>
      <c r="S635" s="1">
        <v>108384</v>
      </c>
      <c r="T635" s="1"/>
      <c r="U635" s="1">
        <v>2363841</v>
      </c>
      <c r="V635" s="1"/>
      <c r="W635" s="1">
        <v>713513</v>
      </c>
      <c r="X635" s="1"/>
      <c r="Y635" s="1">
        <v>0</v>
      </c>
      <c r="Z635" s="1"/>
      <c r="AA635" s="1">
        <v>3594725</v>
      </c>
      <c r="AB635" s="1"/>
      <c r="AC635" s="1">
        <v>1311564</v>
      </c>
      <c r="AD635" s="1"/>
      <c r="AE635" s="1">
        <v>646037</v>
      </c>
      <c r="AF635" s="1"/>
      <c r="AG635" s="1">
        <v>1879408</v>
      </c>
      <c r="AH635" s="1"/>
      <c r="AI635" s="1">
        <v>279817</v>
      </c>
      <c r="AJ635" s="1"/>
      <c r="AK635" s="17" t="s">
        <v>516</v>
      </c>
      <c r="AL635" s="17"/>
      <c r="AM635" s="17" t="s">
        <v>51</v>
      </c>
      <c r="AN635" s="17"/>
      <c r="AO635" s="1">
        <v>563974</v>
      </c>
      <c r="AP635" s="1"/>
      <c r="AQ635" s="1">
        <v>1523716</v>
      </c>
      <c r="AR635" s="1"/>
      <c r="AS635" s="1"/>
      <c r="AT635" s="1"/>
      <c r="AU635" s="1">
        <v>0</v>
      </c>
      <c r="AV635" s="1"/>
      <c r="AW635" s="1">
        <f t="shared" si="50"/>
        <v>43821142</v>
      </c>
      <c r="AY635" s="1">
        <v>3341311</v>
      </c>
      <c r="BA635" s="1">
        <v>69244317</v>
      </c>
      <c r="BC635" s="1">
        <f>+AY635+BA635</f>
        <v>72585628</v>
      </c>
      <c r="BE635" s="1">
        <f>+'St of Net Assets - GA'!AA635-'St of Activities - GA Exp'!BC635</f>
        <v>0</v>
      </c>
    </row>
    <row r="636" spans="1:57">
      <c r="A636" s="17"/>
      <c r="B636" s="17"/>
      <c r="C636" s="17"/>
      <c r="D636" s="1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57"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20" t="s">
        <v>709</v>
      </c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57"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57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57"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>
      <c r="A642" s="1"/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7:48"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7:48"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7:48"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7:48"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7:48"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7:48"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7:48"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7:48"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7:48"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7:48"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7:48"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7:48"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7:48"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7:48"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7:48"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7:48"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7:48"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7:48"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7:48"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7:48"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7:48"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7:48"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7:48"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7:48"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7:48"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7:48"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7:48"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7:48"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7:48"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7:48"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7:48"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7:48"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7:48"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7:48"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7:48"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7:48"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7:48"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7:48"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7:48"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7:48"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7:48"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7:48"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7:48"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7:48"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7:48"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7:48"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7:48"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7:48"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7:48"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7:48"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7:48"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7:48"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7:48"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7:48"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7:48"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7:48"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7:48"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7:48"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7:48"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7:48"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7:48"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7:48"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7:48"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7:48"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7:48"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7:48"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7:48"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7:48"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7:48"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7:48"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7:48"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7:48"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7:48"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7:48"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7:48"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7:48"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7:48"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7:48"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7:48"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7:48"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7:48"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7:48"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7:48"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7:48"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7:48"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7:48"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7:48"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7:48"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7:48"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7:48"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7:48"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7:48"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7:48"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7:48"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7:48"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7:48"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7:48"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7:48"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7:48"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7:48"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7:48"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7:48"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7:48"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7:48"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7:48"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7:48"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7:48"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7:48"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7:48"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7:48"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7:48"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7:48"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7:48"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7:48"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7:48"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7:48"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7:48"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7:48"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7:48"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7:48"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7:48"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7:48"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7:48"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7:48"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7:48"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7:48"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7:48"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7:48"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7:48"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7:48"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7:48"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7:48"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7:48"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7:48"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7:48"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7:48"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7:48"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7:48"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7:48"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7:48"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7:48"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7:48"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7:48"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7:48"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7:48"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7:48"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7:48"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7:48"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7:48"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7:48"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7:48"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7:48"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7:48"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7:48"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7:48"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7:48"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7:48"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7:48"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7:48"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7:48"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7:48"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7:48"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7:48"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7:48"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7:48"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7:48"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7:48"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7:48"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7:48"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7:48"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7:48"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7:48"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7:48"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7:48"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7:48"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7:48"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7:48"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7:48"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7:48"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7:48"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7:48"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7:48"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7:48"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7:48"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7:48"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7:48"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7:48"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7:48"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7:48"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7:48"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7:48"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7:48"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7:48"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7:48"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7:48"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7:48"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7:48"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7:48"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7:48"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7:48"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7:48"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7:48"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7:48"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7:48"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7:48"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7:48"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7:48"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7:48"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7:48"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7:48"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7:48"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7:48"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7:48"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7:48"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7:48"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7:48"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7:48"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7:48"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7:48"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7:48"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7:48"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7:48"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7:48"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7:48"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7:48"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7:48"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7:48"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7:48"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7:48"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7:48"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7:48"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7:48"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7:48"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7:48"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7:48"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7:48"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7:48"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7:48"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7:48"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7:48"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7:48"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7:48"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7:48"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7:48"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7:48"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7:48"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7:48"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7:48"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7:48"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7:48"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7:48"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7:48"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7:48"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7:48"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7:48"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7:48"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7:48"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7:48"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7:48"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7:48"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7:48"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7:48"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7:48"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7:48"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7:48"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7:48"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7:48"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7:48"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7:48"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7:48"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7:48"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7:48"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7:48"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7:48"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7:48"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7:48"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7:48"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7:48"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7:48"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7:48"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7:48"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7:48"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7:48"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7:48"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7:48"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7:48"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7:48"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7:48"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7:48"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7:48"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7:48"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7:48"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7:48"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7:48"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7:48"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7:48"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7:48"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7:48"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7:48"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7:48"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7:48"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7:48"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7:48"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7:48"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7:48"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7:48"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7:48"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7:48"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7:48"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7:48"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7:48"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7:48"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7:48"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7:48"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7:48"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7:48"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7:48"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7:48"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7:48"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7:48"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7:48"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7:48"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7:48"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7:48"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7:48"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7:48"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7:48"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7:48"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7:48"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7:48"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7:48"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7:48"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7:48"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7:48"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7:48"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7:48"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7:48"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7:48"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7:48"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7:48"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7:48"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7:48"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7:48"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7:48"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  <row r="1001" spans="7:48"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</row>
    <row r="1002" spans="7:48"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</row>
    <row r="1003" spans="7:48"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</row>
    <row r="1004" spans="7:48"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</row>
    <row r="1005" spans="7:48"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</row>
    <row r="1006" spans="7:48"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</row>
    <row r="1007" spans="7:48"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</row>
    <row r="1008" spans="7:48"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</row>
    <row r="1009" spans="7:48"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</row>
    <row r="1010" spans="7:48"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</row>
    <row r="1011" spans="7:48"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</row>
    <row r="1012" spans="7:48"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</row>
    <row r="1013" spans="7:48"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</row>
    <row r="1014" spans="7:48"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</row>
    <row r="1015" spans="7:48"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</row>
    <row r="1016" spans="7:48"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</row>
    <row r="1017" spans="7:48"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</row>
    <row r="1018" spans="7:48"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</row>
    <row r="1019" spans="7:48"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</row>
    <row r="1020" spans="7:48"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</row>
    <row r="1021" spans="7:48"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</row>
    <row r="1022" spans="7:48"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</row>
    <row r="1023" spans="7:48"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</row>
    <row r="1024" spans="7:48"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</row>
    <row r="1025" spans="7:48"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</row>
    <row r="1026" spans="7:48"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</row>
    <row r="1027" spans="7:48"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</row>
  </sheetData>
  <mergeCells count="6">
    <mergeCell ref="A1:L1"/>
    <mergeCell ref="A643:O643"/>
    <mergeCell ref="AK1:AR1"/>
    <mergeCell ref="AG6:AI6"/>
    <mergeCell ref="O6:Q6"/>
    <mergeCell ref="S6:AE6"/>
  </mergeCells>
  <phoneticPr fontId="3" type="noConversion"/>
  <pageMargins left="0.9" right="0.75" top="0.5" bottom="0.5" header="0.25" footer="0.25"/>
  <pageSetup scale="77" firstPageNumber="40" pageOrder="overThenDown" orientation="portrait" useFirstPageNumber="1" r:id="rId1"/>
  <headerFooter scaleWithDoc="0" alignWithMargins="0">
    <oddFooter>&amp;C&amp;"Times New Roman,Regular"&amp;11&amp;P</oddFooter>
  </headerFooter>
  <colBreaks count="1" manualBreakCount="1">
    <brk id="36" max="6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D637"/>
  <sheetViews>
    <sheetView zoomScaleNormal="100" zoomScaleSheetLayoutView="100" workbookViewId="0">
      <pane xSplit="6" ySplit="9" topLeftCell="R10" activePane="bottomRight" state="frozen"/>
      <selection pane="topRight" activeCell="G1" sqref="G1"/>
      <selection pane="bottomLeft" activeCell="A10" sqref="A10"/>
      <selection pane="bottomRight" activeCell="AE16" sqref="AE16"/>
    </sheetView>
  </sheetViews>
  <sheetFormatPr defaultColWidth="9.140625" defaultRowHeight="12"/>
  <cols>
    <col min="1" max="1" width="35.5703125" style="18" customWidth="1"/>
    <col min="2" max="2" width="1.7109375" style="18" customWidth="1"/>
    <col min="3" max="3" width="10.140625" style="18" bestFit="1" customWidth="1"/>
    <col min="4" max="4" width="1.7109375" style="18" hidden="1" customWidth="1"/>
    <col min="5" max="5" width="2.7109375" style="3" hidden="1" customWidth="1"/>
    <col min="6" max="6" width="1.7109375" style="18" customWidth="1"/>
    <col min="7" max="7" width="14.140625" style="1" customWidth="1"/>
    <col min="8" max="8" width="1.7109375" style="1" customWidth="1"/>
    <col min="9" max="9" width="13.85546875" style="1" customWidth="1"/>
    <col min="10" max="10" width="1.7109375" style="1" customWidth="1"/>
    <col min="11" max="11" width="14.28515625" style="1" customWidth="1"/>
    <col min="12" max="12" width="1.7109375" style="1" customWidth="1"/>
    <col min="13" max="13" width="14.28515625" style="1" customWidth="1"/>
    <col min="14" max="14" width="1.7109375" style="1" hidden="1" customWidth="1"/>
    <col min="15" max="15" width="11.7109375" style="1" customWidth="1"/>
    <col min="16" max="16" width="1.7109375" style="1" customWidth="1"/>
    <col min="17" max="17" width="11.7109375" style="1" customWidth="1"/>
    <col min="18" max="18" width="1.7109375" style="1" customWidth="1"/>
    <col min="19" max="19" width="11.7109375" style="1" customWidth="1"/>
    <col min="20" max="20" width="1.7109375" style="1" customWidth="1"/>
    <col min="21" max="21" width="11.7109375" style="1" customWidth="1"/>
    <col min="22" max="22" width="1.7109375" style="1" customWidth="1"/>
    <col min="23" max="23" width="11.7109375" style="1" customWidth="1"/>
    <col min="24" max="24" width="1.7109375" style="1" customWidth="1"/>
    <col min="25" max="25" width="11.7109375" style="1" customWidth="1"/>
    <col min="26" max="26" width="1.7109375" style="1" customWidth="1"/>
    <col min="27" max="27" width="11.7109375" style="1" customWidth="1"/>
    <col min="28" max="28" width="1.7109375" style="18" customWidth="1"/>
    <col min="29" max="29" width="11.7109375" style="1" customWidth="1"/>
    <col min="30" max="30" width="1.7109375" style="18" customWidth="1"/>
    <col min="31" max="16384" width="9.140625" style="18"/>
  </cols>
  <sheetData>
    <row r="1" spans="1:29">
      <c r="A1" s="88" t="s">
        <v>119</v>
      </c>
      <c r="B1" s="88"/>
      <c r="C1" s="88"/>
      <c r="D1" s="88"/>
      <c r="E1" s="36"/>
      <c r="F1" s="88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88"/>
    </row>
    <row r="2" spans="1:29">
      <c r="A2" s="88" t="s">
        <v>918</v>
      </c>
      <c r="B2" s="88"/>
      <c r="C2" s="88"/>
      <c r="D2" s="88"/>
      <c r="E2" s="36"/>
      <c r="F2" s="88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88"/>
    </row>
    <row r="3" spans="1:29">
      <c r="A3" s="35"/>
      <c r="B3" s="88"/>
      <c r="C3" s="88"/>
      <c r="D3" s="88"/>
      <c r="E3" s="36"/>
      <c r="F3" s="88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88"/>
    </row>
    <row r="4" spans="1:29">
      <c r="A4" s="5" t="s">
        <v>171</v>
      </c>
      <c r="B4" s="5"/>
      <c r="C4" s="5"/>
      <c r="D4" s="5"/>
      <c r="E4" s="21"/>
      <c r="F4" s="25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AB4" s="89"/>
      <c r="AC4" s="18"/>
    </row>
    <row r="5" spans="1:29" s="1" customFormat="1">
      <c r="A5" s="2"/>
      <c r="E5" s="3"/>
      <c r="Q5" s="102"/>
    </row>
    <row r="6" spans="1:29" s="2" customFormat="1">
      <c r="B6" s="8"/>
      <c r="C6" s="8"/>
      <c r="D6" s="8"/>
      <c r="E6" s="66"/>
      <c r="F6" s="100"/>
      <c r="G6" s="105" t="s">
        <v>87</v>
      </c>
      <c r="H6" s="105"/>
      <c r="I6" s="105"/>
      <c r="J6" s="105"/>
      <c r="K6" s="105"/>
      <c r="L6" s="100"/>
      <c r="M6" s="100"/>
      <c r="N6" s="100"/>
      <c r="O6" s="105" t="s">
        <v>93</v>
      </c>
      <c r="P6" s="105"/>
      <c r="Q6" s="105"/>
      <c r="R6" s="100"/>
      <c r="S6" s="100"/>
      <c r="T6" s="100"/>
      <c r="U6" s="105" t="s">
        <v>960</v>
      </c>
      <c r="V6" s="105"/>
      <c r="W6" s="105"/>
      <c r="X6" s="105"/>
      <c r="Y6" s="105"/>
    </row>
    <row r="7" spans="1:29">
      <c r="A7" s="5"/>
      <c r="B7" s="5"/>
      <c r="C7" s="5"/>
      <c r="D7" s="5"/>
      <c r="E7" s="21"/>
      <c r="F7" s="25"/>
      <c r="L7" s="102"/>
      <c r="M7" s="102"/>
      <c r="N7" s="102"/>
      <c r="R7" s="102"/>
      <c r="S7" s="102"/>
      <c r="T7" s="102"/>
      <c r="V7" s="102"/>
      <c r="W7" s="102" t="s">
        <v>713</v>
      </c>
      <c r="X7" s="102"/>
      <c r="Y7" s="102" t="s">
        <v>713</v>
      </c>
      <c r="Z7" s="102"/>
      <c r="AA7" s="102"/>
      <c r="AB7" s="89"/>
      <c r="AC7" s="103" t="s">
        <v>135</v>
      </c>
    </row>
    <row r="8" spans="1:29">
      <c r="A8" s="25"/>
      <c r="B8" s="25"/>
      <c r="C8" s="25"/>
      <c r="D8" s="25"/>
      <c r="E8" s="26"/>
      <c r="F8" s="25"/>
      <c r="G8" s="102" t="s">
        <v>89</v>
      </c>
      <c r="H8" s="102"/>
      <c r="I8" s="102" t="s">
        <v>104</v>
      </c>
      <c r="J8" s="102"/>
      <c r="K8" s="102" t="s">
        <v>82</v>
      </c>
      <c r="L8" s="102"/>
      <c r="M8" s="102" t="s">
        <v>3</v>
      </c>
      <c r="N8" s="102"/>
      <c r="O8" s="102"/>
      <c r="P8" s="102"/>
      <c r="Q8" s="102" t="s">
        <v>90</v>
      </c>
      <c r="R8" s="102"/>
      <c r="S8" s="102" t="s">
        <v>3</v>
      </c>
      <c r="T8" s="102"/>
      <c r="U8" s="102" t="s">
        <v>88</v>
      </c>
      <c r="V8" s="102"/>
      <c r="W8" s="102" t="s">
        <v>693</v>
      </c>
      <c r="X8" s="102"/>
      <c r="Y8" s="102" t="s">
        <v>712</v>
      </c>
      <c r="Z8" s="102"/>
      <c r="AA8" s="102" t="s">
        <v>3</v>
      </c>
      <c r="AB8" s="89"/>
      <c r="AC8" s="103" t="s">
        <v>136</v>
      </c>
    </row>
    <row r="9" spans="1:29" s="89" customFormat="1">
      <c r="A9" s="27" t="s">
        <v>202</v>
      </c>
      <c r="B9" s="24"/>
      <c r="C9" s="27" t="s">
        <v>4</v>
      </c>
      <c r="D9" s="24"/>
      <c r="E9" s="11" t="s">
        <v>201</v>
      </c>
      <c r="F9" s="25"/>
      <c r="G9" s="101" t="s">
        <v>92</v>
      </c>
      <c r="H9" s="102"/>
      <c r="I9" s="101" t="s">
        <v>87</v>
      </c>
      <c r="J9" s="102"/>
      <c r="K9" s="101" t="s">
        <v>87</v>
      </c>
      <c r="L9" s="102"/>
      <c r="M9" s="101" t="s">
        <v>87</v>
      </c>
      <c r="N9" s="102"/>
      <c r="O9" s="101" t="s">
        <v>93</v>
      </c>
      <c r="P9" s="102"/>
      <c r="Q9" s="101" t="s">
        <v>8</v>
      </c>
      <c r="R9" s="102"/>
      <c r="S9" s="101" t="s">
        <v>93</v>
      </c>
      <c r="T9" s="102"/>
      <c r="U9" s="101" t="s">
        <v>94</v>
      </c>
      <c r="V9" s="102"/>
      <c r="W9" s="101" t="s">
        <v>94</v>
      </c>
      <c r="X9" s="102"/>
      <c r="Y9" s="101" t="s">
        <v>94</v>
      </c>
      <c r="Z9" s="102"/>
      <c r="AA9" s="101" t="s">
        <v>94</v>
      </c>
      <c r="AC9" s="101" t="s">
        <v>137</v>
      </c>
    </row>
    <row r="10" spans="1:29">
      <c r="A10" s="17"/>
      <c r="B10" s="17"/>
      <c r="C10" s="17"/>
      <c r="D10" s="17"/>
      <c r="E10" s="13"/>
      <c r="F10" s="25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89"/>
    </row>
    <row r="11" spans="1:29" s="16" customFormat="1">
      <c r="A11" s="14" t="s">
        <v>920</v>
      </c>
      <c r="B11" s="14"/>
      <c r="C11" s="14" t="s">
        <v>203</v>
      </c>
      <c r="D11" s="14"/>
      <c r="E11" s="13">
        <v>61903</v>
      </c>
      <c r="F11" s="15"/>
      <c r="G11" s="16">
        <v>3190211</v>
      </c>
      <c r="I11" s="16">
        <v>12338</v>
      </c>
      <c r="K11" s="59">
        <f>+M11-I11-G11</f>
        <v>8999603</v>
      </c>
      <c r="M11" s="16">
        <v>12202152</v>
      </c>
      <c r="O11" s="59">
        <f>+S11-Q11</f>
        <v>3866283</v>
      </c>
      <c r="Q11" s="16">
        <v>8182778</v>
      </c>
      <c r="S11" s="16">
        <v>12049061</v>
      </c>
      <c r="U11" s="16">
        <f>210716+566538+12338</f>
        <v>789592</v>
      </c>
      <c r="W11" s="16">
        <v>0</v>
      </c>
      <c r="Y11" s="16">
        <v>-636501</v>
      </c>
      <c r="AA11" s="58">
        <f t="shared" ref="AA11:AA78" si="0">+Y11+W11++U11</f>
        <v>153091</v>
      </c>
      <c r="AC11" s="1">
        <f t="shared" ref="AC11:AC78" si="1">+G11+I11+K11-O11-Q11-Y11-W11-U11</f>
        <v>0</v>
      </c>
    </row>
    <row r="12" spans="1:29">
      <c r="A12" s="17" t="s">
        <v>549</v>
      </c>
      <c r="B12" s="17"/>
      <c r="C12" s="17" t="s">
        <v>58</v>
      </c>
      <c r="D12" s="17"/>
      <c r="E12" s="13">
        <v>49494</v>
      </c>
      <c r="G12" s="1">
        <v>3314367</v>
      </c>
      <c r="I12" s="1">
        <v>695264</v>
      </c>
      <c r="K12" s="41">
        <f t="shared" ref="K12:K78" si="2">+M12-I12-G12</f>
        <v>2268796</v>
      </c>
      <c r="M12" s="1">
        <v>6278427</v>
      </c>
      <c r="O12" s="41">
        <f t="shared" ref="O12:O78" si="3">+S12-Q12</f>
        <v>1095885</v>
      </c>
      <c r="Q12" s="1">
        <v>1532273</v>
      </c>
      <c r="S12" s="1">
        <v>2628158</v>
      </c>
      <c r="U12" s="1">
        <f>71392+321274+610654+84610</f>
        <v>1087930</v>
      </c>
      <c r="W12" s="1">
        <v>0</v>
      </c>
      <c r="Y12" s="1">
        <v>2562339</v>
      </c>
      <c r="AA12" s="58">
        <f t="shared" si="0"/>
        <v>3650269</v>
      </c>
      <c r="AB12" s="1"/>
      <c r="AC12" s="1">
        <f t="shared" si="1"/>
        <v>0</v>
      </c>
    </row>
    <row r="13" spans="1:29">
      <c r="A13" s="17" t="s">
        <v>586</v>
      </c>
      <c r="B13" s="17"/>
      <c r="C13" s="17" t="s">
        <v>63</v>
      </c>
      <c r="D13" s="17"/>
      <c r="E13" s="13">
        <v>43489</v>
      </c>
      <c r="G13" s="1">
        <v>22410058</v>
      </c>
      <c r="I13" s="1">
        <v>20148120</v>
      </c>
      <c r="K13" s="41">
        <f t="shared" si="2"/>
        <v>118596249</v>
      </c>
      <c r="M13" s="1">
        <v>161154427</v>
      </c>
      <c r="O13" s="41">
        <f t="shared" si="3"/>
        <v>24596966</v>
      </c>
      <c r="Q13" s="1">
        <v>106182853</v>
      </c>
      <c r="S13" s="1">
        <v>130779819</v>
      </c>
      <c r="U13" s="1">
        <f>567540+10433567</f>
        <v>11001107</v>
      </c>
      <c r="W13" s="1">
        <v>0</v>
      </c>
      <c r="Y13" s="1">
        <v>19373501</v>
      </c>
      <c r="AA13" s="58">
        <f t="shared" si="0"/>
        <v>30374608</v>
      </c>
      <c r="AB13" s="1"/>
      <c r="AC13" s="1">
        <f t="shared" si="1"/>
        <v>0</v>
      </c>
    </row>
    <row r="14" spans="1:29" hidden="1">
      <c r="A14" s="12" t="s">
        <v>738</v>
      </c>
      <c r="B14" s="17"/>
      <c r="C14" s="17" t="s">
        <v>13</v>
      </c>
      <c r="D14" s="17"/>
      <c r="E14" s="13">
        <v>45906</v>
      </c>
      <c r="K14" s="41">
        <f t="shared" si="2"/>
        <v>0</v>
      </c>
      <c r="O14" s="41">
        <f t="shared" si="3"/>
        <v>0</v>
      </c>
      <c r="AA14" s="58">
        <f t="shared" si="0"/>
        <v>0</v>
      </c>
      <c r="AB14" s="1"/>
      <c r="AC14" s="1">
        <f t="shared" si="1"/>
        <v>0</v>
      </c>
    </row>
    <row r="15" spans="1:29">
      <c r="A15" s="17" t="s">
        <v>572</v>
      </c>
      <c r="B15" s="17"/>
      <c r="C15" s="17" t="s">
        <v>62</v>
      </c>
      <c r="D15" s="17"/>
      <c r="E15" s="13">
        <v>43497</v>
      </c>
      <c r="G15" s="1">
        <v>5114677</v>
      </c>
      <c r="I15" s="1">
        <v>328196</v>
      </c>
      <c r="K15" s="41">
        <f t="shared" si="2"/>
        <v>7886500</v>
      </c>
      <c r="M15" s="1">
        <v>13329373</v>
      </c>
      <c r="O15" s="41">
        <f t="shared" si="3"/>
        <v>3868631</v>
      </c>
      <c r="Q15" s="1">
        <v>7517103</v>
      </c>
      <c r="S15" s="1">
        <v>11385734</v>
      </c>
      <c r="U15" s="1">
        <f>325467+269439+328196</f>
        <v>923102</v>
      </c>
      <c r="W15" s="1">
        <v>0</v>
      </c>
      <c r="Y15" s="1">
        <v>1020537</v>
      </c>
      <c r="AA15" s="58">
        <f t="shared" si="0"/>
        <v>1943639</v>
      </c>
      <c r="AB15" s="1"/>
      <c r="AC15" s="1">
        <f t="shared" si="1"/>
        <v>0</v>
      </c>
    </row>
    <row r="16" spans="1:29">
      <c r="A16" s="17" t="s">
        <v>321</v>
      </c>
      <c r="B16" s="17"/>
      <c r="C16" s="17" t="s">
        <v>25</v>
      </c>
      <c r="D16" s="17"/>
      <c r="E16" s="13">
        <v>46847</v>
      </c>
      <c r="G16" s="1">
        <v>1336242</v>
      </c>
      <c r="I16" s="1">
        <v>22247</v>
      </c>
      <c r="K16" s="41">
        <f t="shared" si="2"/>
        <v>2970076</v>
      </c>
      <c r="M16" s="1">
        <v>4328565</v>
      </c>
      <c r="O16" s="41">
        <f t="shared" si="3"/>
        <v>1774211</v>
      </c>
      <c r="Q16" s="1">
        <v>2593558</v>
      </c>
      <c r="S16" s="1">
        <v>4367769</v>
      </c>
      <c r="U16" s="1">
        <f>28911+333184+22247</f>
        <v>384342</v>
      </c>
      <c r="W16" s="1">
        <v>0</v>
      </c>
      <c r="Y16" s="1">
        <v>-423546</v>
      </c>
      <c r="AA16" s="58">
        <f t="shared" si="0"/>
        <v>-39204</v>
      </c>
      <c r="AB16" s="1"/>
      <c r="AC16" s="1">
        <f t="shared" si="1"/>
        <v>0</v>
      </c>
    </row>
    <row r="17" spans="1:29" s="1" customFormat="1">
      <c r="A17" s="12" t="s">
        <v>685</v>
      </c>
      <c r="B17" s="12"/>
      <c r="C17" s="12" t="s">
        <v>44</v>
      </c>
      <c r="D17" s="12"/>
      <c r="E17" s="13">
        <v>45195</v>
      </c>
      <c r="F17" s="102"/>
      <c r="G17" s="1">
        <v>5188425</v>
      </c>
      <c r="I17" s="1">
        <v>377297</v>
      </c>
      <c r="K17" s="41">
        <f>+M17-I17-G17</f>
        <v>15865705</v>
      </c>
      <c r="M17" s="1">
        <v>21431427</v>
      </c>
      <c r="O17" s="41">
        <f>+S17-Q17</f>
        <v>5111503</v>
      </c>
      <c r="Q17" s="1">
        <v>13471845</v>
      </c>
      <c r="S17" s="1">
        <v>18583348</v>
      </c>
      <c r="U17" s="1">
        <f>273379+1817203+190223+187074</f>
        <v>2467879</v>
      </c>
      <c r="W17" s="1">
        <v>0</v>
      </c>
      <c r="Y17" s="1">
        <v>380200</v>
      </c>
      <c r="AA17" s="58">
        <f>+Y17+W17++U17</f>
        <v>2848079</v>
      </c>
      <c r="AC17" s="1">
        <f>+G17+I17+K17-O17-Q17-Y17-W17-U17</f>
        <v>0</v>
      </c>
    </row>
    <row r="18" spans="1:29" hidden="1">
      <c r="A18" s="12" t="s">
        <v>921</v>
      </c>
      <c r="B18" s="17"/>
      <c r="C18" s="17" t="s">
        <v>61</v>
      </c>
      <c r="D18" s="17"/>
      <c r="E18" s="13">
        <v>49759</v>
      </c>
      <c r="K18" s="41">
        <f t="shared" si="2"/>
        <v>0</v>
      </c>
      <c r="O18" s="41">
        <f t="shared" si="3"/>
        <v>0</v>
      </c>
      <c r="AA18" s="58">
        <f t="shared" si="0"/>
        <v>0</v>
      </c>
      <c r="AB18" s="1"/>
      <c r="AC18" s="1">
        <f t="shared" si="1"/>
        <v>0</v>
      </c>
    </row>
    <row r="19" spans="1:29" hidden="1">
      <c r="A19" s="12" t="s">
        <v>860</v>
      </c>
      <c r="B19" s="12"/>
      <c r="C19" s="12" t="s">
        <v>718</v>
      </c>
      <c r="D19" s="17"/>
      <c r="E19" s="13"/>
      <c r="K19" s="41">
        <f t="shared" si="2"/>
        <v>0</v>
      </c>
      <c r="O19" s="41"/>
      <c r="AA19" s="58">
        <f t="shared" si="0"/>
        <v>0</v>
      </c>
      <c r="AB19" s="1"/>
      <c r="AC19" s="1">
        <f t="shared" si="1"/>
        <v>0</v>
      </c>
    </row>
    <row r="20" spans="1:29">
      <c r="A20" s="17" t="s">
        <v>449</v>
      </c>
      <c r="B20" s="17"/>
      <c r="C20" s="17" t="s">
        <v>117</v>
      </c>
      <c r="D20" s="17"/>
      <c r="E20" s="13">
        <v>48207</v>
      </c>
      <c r="G20" s="1">
        <v>6084938</v>
      </c>
      <c r="I20" s="1">
        <v>34698</v>
      </c>
      <c r="K20" s="41">
        <f t="shared" si="2"/>
        <v>21563544</v>
      </c>
      <c r="M20" s="1">
        <v>27683180</v>
      </c>
      <c r="O20" s="41">
        <f t="shared" si="3"/>
        <v>23797434</v>
      </c>
      <c r="Q20" s="1">
        <v>672027</v>
      </c>
      <c r="S20" s="1">
        <v>24469461</v>
      </c>
      <c r="U20" s="1">
        <f>446448+62194+111599+967184+34698</f>
        <v>1622123</v>
      </c>
      <c r="W20" s="1">
        <v>0</v>
      </c>
      <c r="Y20" s="1">
        <v>1591596</v>
      </c>
      <c r="AA20" s="58">
        <f t="shared" si="0"/>
        <v>3213719</v>
      </c>
      <c r="AB20" s="1"/>
      <c r="AC20" s="1">
        <f t="shared" si="1"/>
        <v>0</v>
      </c>
    </row>
    <row r="21" spans="1:29">
      <c r="A21" s="17" t="s">
        <v>378</v>
      </c>
      <c r="B21" s="17"/>
      <c r="C21" s="17" t="s">
        <v>33</v>
      </c>
      <c r="D21" s="17"/>
      <c r="E21" s="13">
        <v>47415</v>
      </c>
      <c r="G21" s="1">
        <v>2894803</v>
      </c>
      <c r="I21" s="1">
        <v>71777</v>
      </c>
      <c r="K21" s="41">
        <f t="shared" si="2"/>
        <v>2330562</v>
      </c>
      <c r="M21" s="1">
        <v>5297142</v>
      </c>
      <c r="O21" s="41">
        <f t="shared" si="3"/>
        <v>686622</v>
      </c>
      <c r="Q21" s="1">
        <v>1935873</v>
      </c>
      <c r="S21" s="1">
        <v>2622495</v>
      </c>
      <c r="U21" s="1">
        <f>132477+68212+3565+24843</f>
        <v>229097</v>
      </c>
      <c r="W21" s="1">
        <v>0</v>
      </c>
      <c r="Y21" s="1">
        <v>2445550</v>
      </c>
      <c r="AA21" s="58">
        <f t="shared" si="0"/>
        <v>2674647</v>
      </c>
      <c r="AB21" s="1"/>
      <c r="AC21" s="1">
        <f t="shared" si="1"/>
        <v>0</v>
      </c>
    </row>
    <row r="22" spans="1:29" hidden="1">
      <c r="A22" s="12" t="s">
        <v>823</v>
      </c>
      <c r="B22" s="17"/>
      <c r="C22" s="17" t="s">
        <v>21</v>
      </c>
      <c r="D22" s="17"/>
      <c r="E22" s="13">
        <v>46631</v>
      </c>
      <c r="K22" s="41">
        <f t="shared" si="2"/>
        <v>0</v>
      </c>
      <c r="O22" s="41">
        <f t="shared" si="3"/>
        <v>0</v>
      </c>
      <c r="AA22" s="58">
        <f t="shared" si="0"/>
        <v>0</v>
      </c>
      <c r="AB22" s="1"/>
      <c r="AC22" s="1">
        <f t="shared" si="1"/>
        <v>0</v>
      </c>
    </row>
    <row r="23" spans="1:29">
      <c r="A23" s="12" t="s">
        <v>922</v>
      </c>
      <c r="B23" s="17"/>
      <c r="C23" s="17" t="s">
        <v>28</v>
      </c>
      <c r="D23" s="17"/>
      <c r="E23" s="13">
        <v>47043</v>
      </c>
      <c r="G23" s="1">
        <v>4733700</v>
      </c>
      <c r="I23" s="1">
        <v>0</v>
      </c>
      <c r="K23" s="41">
        <f t="shared" si="2"/>
        <v>6166177</v>
      </c>
      <c r="M23" s="1">
        <v>10899877</v>
      </c>
      <c r="O23" s="41">
        <f t="shared" si="3"/>
        <v>1309739</v>
      </c>
      <c r="Q23" s="1">
        <v>5709829</v>
      </c>
      <c r="S23" s="1">
        <v>7019568</v>
      </c>
      <c r="U23" s="1">
        <f>73414+286173</f>
        <v>359587</v>
      </c>
      <c r="W23" s="1">
        <v>0</v>
      </c>
      <c r="Y23" s="1">
        <v>3520722</v>
      </c>
      <c r="AA23" s="58">
        <f t="shared" si="0"/>
        <v>3880309</v>
      </c>
      <c r="AB23" s="1"/>
      <c r="AC23" s="1">
        <f t="shared" si="1"/>
        <v>0</v>
      </c>
    </row>
    <row r="24" spans="1:29">
      <c r="A24" s="17" t="s">
        <v>379</v>
      </c>
      <c r="B24" s="17"/>
      <c r="C24" s="17" t="s">
        <v>33</v>
      </c>
      <c r="D24" s="17"/>
      <c r="E24" s="13">
        <v>47423</v>
      </c>
      <c r="G24" s="1">
        <v>2359371</v>
      </c>
      <c r="I24" s="1">
        <v>308076</v>
      </c>
      <c r="K24" s="41">
        <f t="shared" si="2"/>
        <v>1588906</v>
      </c>
      <c r="M24" s="1">
        <v>4256353</v>
      </c>
      <c r="O24" s="41">
        <f t="shared" si="3"/>
        <v>689719</v>
      </c>
      <c r="Q24" s="1">
        <v>1185525</v>
      </c>
      <c r="S24" s="1">
        <v>1875244</v>
      </c>
      <c r="U24" s="1">
        <f>67000+10739+297337+39752</f>
        <v>414828</v>
      </c>
      <c r="W24" s="1">
        <v>0</v>
      </c>
      <c r="Y24" s="1">
        <v>1966281</v>
      </c>
      <c r="AA24" s="58">
        <f t="shared" si="0"/>
        <v>2381109</v>
      </c>
      <c r="AB24" s="1"/>
      <c r="AC24" s="1">
        <f t="shared" si="1"/>
        <v>0</v>
      </c>
    </row>
    <row r="25" spans="1:29">
      <c r="A25" s="17" t="s">
        <v>206</v>
      </c>
      <c r="B25" s="17"/>
      <c r="C25" s="17" t="s">
        <v>11</v>
      </c>
      <c r="D25" s="17"/>
      <c r="E25" s="13">
        <v>43505</v>
      </c>
      <c r="G25" s="1">
        <v>8360015</v>
      </c>
      <c r="I25" s="1">
        <v>0</v>
      </c>
      <c r="K25" s="41">
        <f t="shared" si="2"/>
        <v>14719278</v>
      </c>
      <c r="M25" s="1">
        <v>23079293</v>
      </c>
      <c r="O25" s="41">
        <f t="shared" si="3"/>
        <v>4210193</v>
      </c>
      <c r="Q25" s="1">
        <v>10937832</v>
      </c>
      <c r="S25" s="1">
        <v>15148025</v>
      </c>
      <c r="U25" s="1">
        <f>153560+3764072</f>
        <v>3917632</v>
      </c>
      <c r="W25" s="1">
        <v>0</v>
      </c>
      <c r="Y25" s="1">
        <v>4013636</v>
      </c>
      <c r="AA25" s="58">
        <f t="shared" si="0"/>
        <v>7931268</v>
      </c>
      <c r="AB25" s="1"/>
      <c r="AC25" s="1">
        <f t="shared" si="1"/>
        <v>0</v>
      </c>
    </row>
    <row r="26" spans="1:29">
      <c r="A26" s="12" t="s">
        <v>672</v>
      </c>
      <c r="B26" s="12"/>
      <c r="C26" s="12" t="s">
        <v>12</v>
      </c>
      <c r="D26" s="12"/>
      <c r="E26" s="13">
        <v>43513</v>
      </c>
      <c r="G26" s="1">
        <v>155077</v>
      </c>
      <c r="I26" s="1">
        <v>0</v>
      </c>
      <c r="K26" s="41">
        <f t="shared" si="2"/>
        <v>10957005</v>
      </c>
      <c r="M26" s="1">
        <v>11112082</v>
      </c>
      <c r="O26" s="41">
        <f t="shared" si="3"/>
        <v>4015090</v>
      </c>
      <c r="Q26" s="1">
        <v>5058161</v>
      </c>
      <c r="S26" s="1">
        <v>9073251</v>
      </c>
      <c r="U26" s="1">
        <f>55390+4132458</f>
        <v>4187848</v>
      </c>
      <c r="W26" s="1">
        <v>0</v>
      </c>
      <c r="Y26" s="1">
        <v>-2149017</v>
      </c>
      <c r="AA26" s="58">
        <f t="shared" si="0"/>
        <v>2038831</v>
      </c>
      <c r="AB26" s="1"/>
      <c r="AC26" s="1">
        <f t="shared" si="1"/>
        <v>0</v>
      </c>
    </row>
    <row r="27" spans="1:29">
      <c r="A27" s="17" t="s">
        <v>214</v>
      </c>
      <c r="B27" s="17"/>
      <c r="C27" s="17" t="s">
        <v>13</v>
      </c>
      <c r="D27" s="17"/>
      <c r="E27" s="13">
        <v>43521</v>
      </c>
      <c r="G27" s="1">
        <v>8926591</v>
      </c>
      <c r="I27" s="1">
        <v>0</v>
      </c>
      <c r="K27" s="41">
        <f t="shared" si="2"/>
        <v>13704283</v>
      </c>
      <c r="M27" s="1">
        <v>22630874</v>
      </c>
      <c r="O27" s="41">
        <f t="shared" si="3"/>
        <v>3853089</v>
      </c>
      <c r="Q27" s="1">
        <v>11441626</v>
      </c>
      <c r="S27" s="1">
        <v>15294715</v>
      </c>
      <c r="U27" s="1">
        <f>409368+1038911</f>
        <v>1448279</v>
      </c>
      <c r="W27" s="1">
        <v>0</v>
      </c>
      <c r="Y27" s="1">
        <v>5887880</v>
      </c>
      <c r="AA27" s="58">
        <f t="shared" si="0"/>
        <v>7336159</v>
      </c>
      <c r="AB27" s="1"/>
      <c r="AC27" s="1">
        <f t="shared" si="1"/>
        <v>0</v>
      </c>
    </row>
    <row r="28" spans="1:29">
      <c r="A28" s="17" t="s">
        <v>532</v>
      </c>
      <c r="B28" s="17"/>
      <c r="C28" s="17" t="s">
        <v>56</v>
      </c>
      <c r="D28" s="17"/>
      <c r="E28" s="13">
        <v>49171</v>
      </c>
      <c r="G28" s="1">
        <v>4534863</v>
      </c>
      <c r="I28" s="1">
        <v>884865</v>
      </c>
      <c r="K28" s="41">
        <f t="shared" si="2"/>
        <v>23548030</v>
      </c>
      <c r="M28" s="1">
        <v>28967758</v>
      </c>
      <c r="O28" s="41">
        <f t="shared" si="3"/>
        <v>3963063</v>
      </c>
      <c r="Q28" s="1">
        <v>21892723</v>
      </c>
      <c r="S28" s="1">
        <v>25855786</v>
      </c>
      <c r="U28" s="1">
        <f>381538+884865+1566998</f>
        <v>2833401</v>
      </c>
      <c r="W28" s="1">
        <v>0</v>
      </c>
      <c r="Y28" s="1">
        <v>278571</v>
      </c>
      <c r="AA28" s="58">
        <f t="shared" si="0"/>
        <v>3111972</v>
      </c>
      <c r="AB28" s="1"/>
      <c r="AC28" s="1">
        <f t="shared" si="1"/>
        <v>0</v>
      </c>
    </row>
    <row r="29" spans="1:29">
      <c r="A29" s="17" t="s">
        <v>461</v>
      </c>
      <c r="B29" s="17"/>
      <c r="C29" s="17" t="s">
        <v>45</v>
      </c>
      <c r="D29" s="17"/>
      <c r="E29" s="13">
        <v>48298</v>
      </c>
      <c r="G29" s="1">
        <v>5335863</v>
      </c>
      <c r="I29" s="1">
        <v>73043</v>
      </c>
      <c r="K29" s="41">
        <f t="shared" si="2"/>
        <v>18083544</v>
      </c>
      <c r="M29" s="1">
        <v>23492450</v>
      </c>
      <c r="O29" s="41">
        <f t="shared" si="3"/>
        <v>20737816</v>
      </c>
      <c r="Q29" s="1">
        <v>2352196</v>
      </c>
      <c r="S29" s="1">
        <v>23090012</v>
      </c>
      <c r="U29" s="1">
        <f>77725+35824+73043</f>
        <v>186592</v>
      </c>
      <c r="W29" s="1">
        <v>128000</v>
      </c>
      <c r="Y29" s="1">
        <v>87846</v>
      </c>
      <c r="AA29" s="58">
        <f t="shared" si="0"/>
        <v>402438</v>
      </c>
      <c r="AB29" s="1"/>
      <c r="AC29" s="1">
        <f t="shared" si="1"/>
        <v>0</v>
      </c>
    </row>
    <row r="30" spans="1:29">
      <c r="A30" s="17" t="s">
        <v>436</v>
      </c>
      <c r="B30" s="17"/>
      <c r="C30" s="17" t="s">
        <v>44</v>
      </c>
      <c r="D30" s="17"/>
      <c r="E30" s="13">
        <v>48124</v>
      </c>
      <c r="G30" s="1">
        <v>17560665</v>
      </c>
      <c r="I30" s="1">
        <v>113990</v>
      </c>
      <c r="K30" s="41">
        <f t="shared" si="2"/>
        <v>28994131</v>
      </c>
      <c r="M30" s="1">
        <v>46668786</v>
      </c>
      <c r="O30" s="41">
        <f t="shared" si="3"/>
        <v>4746248</v>
      </c>
      <c r="Q30" s="1">
        <v>27771264</v>
      </c>
      <c r="S30" s="1">
        <v>32517512</v>
      </c>
      <c r="U30" s="1">
        <f>32990+1347640+1171396+113990</f>
        <v>2666016</v>
      </c>
      <c r="W30" s="1">
        <v>0</v>
      </c>
      <c r="Y30" s="1">
        <v>11485258</v>
      </c>
      <c r="AA30" s="58">
        <f t="shared" si="0"/>
        <v>14151274</v>
      </c>
      <c r="AB30" s="1"/>
      <c r="AC30" s="1">
        <f t="shared" si="1"/>
        <v>0</v>
      </c>
    </row>
    <row r="31" spans="1:29">
      <c r="A31" s="17" t="s">
        <v>437</v>
      </c>
      <c r="B31" s="17"/>
      <c r="C31" s="17" t="s">
        <v>44</v>
      </c>
      <c r="D31" s="17"/>
      <c r="E31" s="13">
        <v>48116</v>
      </c>
      <c r="G31" s="1">
        <v>5376442</v>
      </c>
      <c r="I31" s="1">
        <v>0</v>
      </c>
      <c r="K31" s="41">
        <f t="shared" si="2"/>
        <v>21136466</v>
      </c>
      <c r="M31" s="1">
        <v>26512908</v>
      </c>
      <c r="O31" s="41">
        <f t="shared" si="3"/>
        <v>3594767</v>
      </c>
      <c r="Q31" s="1">
        <v>20126057</v>
      </c>
      <c r="S31" s="1">
        <v>23720824</v>
      </c>
      <c r="U31" s="1">
        <f>994264+691514</f>
        <v>1685778</v>
      </c>
      <c r="W31" s="1">
        <v>0</v>
      </c>
      <c r="Y31" s="1">
        <v>1106306</v>
      </c>
      <c r="AA31" s="58">
        <f t="shared" si="0"/>
        <v>2792084</v>
      </c>
      <c r="AB31" s="1"/>
      <c r="AC31" s="1">
        <f t="shared" si="1"/>
        <v>0</v>
      </c>
    </row>
    <row r="32" spans="1:29">
      <c r="A32" s="17" t="s">
        <v>310</v>
      </c>
      <c r="B32" s="17"/>
      <c r="C32" s="17" t="s">
        <v>22</v>
      </c>
      <c r="D32" s="17"/>
      <c r="E32" s="13">
        <v>46706</v>
      </c>
      <c r="G32" s="1">
        <v>3109537</v>
      </c>
      <c r="I32" s="1">
        <v>1056</v>
      </c>
      <c r="K32" s="41">
        <f t="shared" si="2"/>
        <v>2665577</v>
      </c>
      <c r="M32" s="1">
        <v>5776170</v>
      </c>
      <c r="O32" s="41">
        <f t="shared" si="3"/>
        <v>905178</v>
      </c>
      <c r="Q32" s="1">
        <v>2143573</v>
      </c>
      <c r="S32" s="1">
        <v>3048751</v>
      </c>
      <c r="U32" s="1">
        <f>127070+20314+13812+161875+1056</f>
        <v>324127</v>
      </c>
      <c r="W32" s="1">
        <v>0</v>
      </c>
      <c r="Y32" s="1">
        <v>2403292</v>
      </c>
      <c r="AA32" s="58">
        <f t="shared" si="0"/>
        <v>2727419</v>
      </c>
      <c r="AB32" s="1"/>
      <c r="AC32" s="1">
        <f t="shared" si="1"/>
        <v>0</v>
      </c>
    </row>
    <row r="33" spans="1:29">
      <c r="A33" s="17" t="s">
        <v>587</v>
      </c>
      <c r="B33" s="17"/>
      <c r="C33" s="17" t="s">
        <v>63</v>
      </c>
      <c r="D33" s="17"/>
      <c r="E33" s="13">
        <v>43539</v>
      </c>
      <c r="G33" s="1">
        <v>4976125</v>
      </c>
      <c r="I33" s="1">
        <v>0</v>
      </c>
      <c r="K33" s="41">
        <f t="shared" si="2"/>
        <v>14494174</v>
      </c>
      <c r="M33" s="1">
        <v>19470299</v>
      </c>
      <c r="O33" s="41">
        <f t="shared" si="3"/>
        <v>5421209</v>
      </c>
      <c r="Q33" s="1">
        <v>8391288</v>
      </c>
      <c r="S33" s="1">
        <v>13812497</v>
      </c>
      <c r="U33" s="1">
        <f>508920+80378+1635827</f>
        <v>2225125</v>
      </c>
      <c r="W33" s="1">
        <v>0</v>
      </c>
      <c r="Y33" s="1">
        <v>3432677</v>
      </c>
      <c r="AA33" s="58">
        <f t="shared" si="0"/>
        <v>5657802</v>
      </c>
      <c r="AB33" s="1"/>
      <c r="AC33" s="1">
        <f t="shared" si="1"/>
        <v>0</v>
      </c>
    </row>
    <row r="34" spans="1:29">
      <c r="A34" s="17" t="s">
        <v>719</v>
      </c>
      <c r="B34" s="17"/>
      <c r="C34" s="17" t="s">
        <v>15</v>
      </c>
      <c r="D34" s="17"/>
      <c r="E34" s="13"/>
      <c r="G34" s="1">
        <v>2560704</v>
      </c>
      <c r="I34" s="1">
        <v>9036</v>
      </c>
      <c r="K34" s="41">
        <f t="shared" si="2"/>
        <v>2131817</v>
      </c>
      <c r="M34" s="1">
        <v>4701557</v>
      </c>
      <c r="O34" s="41">
        <f t="shared" si="3"/>
        <v>834564</v>
      </c>
      <c r="Q34" s="1">
        <v>1907545</v>
      </c>
      <c r="S34" s="1">
        <v>2742109</v>
      </c>
      <c r="U34" s="1">
        <f>209403+198348+9036</f>
        <v>416787</v>
      </c>
      <c r="W34" s="1">
        <v>0</v>
      </c>
      <c r="Y34" s="1">
        <v>1542661</v>
      </c>
      <c r="AA34" s="58">
        <f t="shared" si="0"/>
        <v>1959448</v>
      </c>
      <c r="AB34" s="1"/>
      <c r="AC34" s="1">
        <f t="shared" si="1"/>
        <v>0</v>
      </c>
    </row>
    <row r="35" spans="1:29">
      <c r="A35" s="17" t="s">
        <v>251</v>
      </c>
      <c r="B35" s="17"/>
      <c r="C35" s="17" t="s">
        <v>115</v>
      </c>
      <c r="D35" s="17"/>
      <c r="E35" s="13">
        <v>46300</v>
      </c>
      <c r="G35" s="1">
        <v>598870</v>
      </c>
      <c r="I35" s="1">
        <v>78607</v>
      </c>
      <c r="K35" s="41">
        <f t="shared" si="2"/>
        <v>7642045</v>
      </c>
      <c r="M35" s="1">
        <v>8319522</v>
      </c>
      <c r="O35" s="41">
        <f t="shared" si="3"/>
        <v>1946824</v>
      </c>
      <c r="Q35" s="1">
        <v>6346952</v>
      </c>
      <c r="S35" s="1">
        <v>8293776</v>
      </c>
      <c r="U35" s="1">
        <f>344973+78607+865900</f>
        <v>1289480</v>
      </c>
      <c r="W35" s="1">
        <v>0</v>
      </c>
      <c r="Y35" s="1">
        <v>-1263734</v>
      </c>
      <c r="AA35" s="58">
        <f t="shared" si="0"/>
        <v>25746</v>
      </c>
      <c r="AB35" s="1"/>
      <c r="AC35" s="1">
        <f t="shared" si="1"/>
        <v>0</v>
      </c>
    </row>
    <row r="36" spans="1:29" hidden="1">
      <c r="A36" s="12" t="s">
        <v>824</v>
      </c>
      <c r="B36" s="17"/>
      <c r="C36" s="17" t="s">
        <v>10</v>
      </c>
      <c r="D36" s="17"/>
      <c r="E36" s="13">
        <v>45765</v>
      </c>
      <c r="K36" s="41">
        <f t="shared" si="2"/>
        <v>0</v>
      </c>
      <c r="O36" s="41">
        <f t="shared" si="3"/>
        <v>0</v>
      </c>
      <c r="AA36" s="58">
        <f t="shared" si="0"/>
        <v>0</v>
      </c>
      <c r="AB36" s="1"/>
      <c r="AC36" s="1">
        <f t="shared" si="1"/>
        <v>0</v>
      </c>
    </row>
    <row r="37" spans="1:29">
      <c r="A37" s="17" t="s">
        <v>280</v>
      </c>
      <c r="B37" s="17"/>
      <c r="C37" s="17" t="s">
        <v>20</v>
      </c>
      <c r="D37" s="17"/>
      <c r="E37" s="13">
        <v>43547</v>
      </c>
      <c r="G37" s="1">
        <v>5826324</v>
      </c>
      <c r="I37" s="1">
        <v>0</v>
      </c>
      <c r="K37" s="41">
        <f t="shared" si="2"/>
        <v>19851847</v>
      </c>
      <c r="M37" s="1">
        <v>25678171</v>
      </c>
      <c r="O37" s="41">
        <f t="shared" si="3"/>
        <v>3757450</v>
      </c>
      <c r="Q37" s="1">
        <v>17126175</v>
      </c>
      <c r="S37" s="1">
        <v>20883625</v>
      </c>
      <c r="U37" s="1">
        <f>2691473+33353+846+334052</f>
        <v>3059724</v>
      </c>
      <c r="W37" s="1">
        <v>0</v>
      </c>
      <c r="Y37" s="1">
        <v>1734822</v>
      </c>
      <c r="AA37" s="58">
        <f t="shared" si="0"/>
        <v>4794546</v>
      </c>
      <c r="AB37" s="1"/>
      <c r="AC37" s="1">
        <f t="shared" si="1"/>
        <v>0</v>
      </c>
    </row>
    <row r="38" spans="1:29">
      <c r="A38" s="17" t="s">
        <v>281</v>
      </c>
      <c r="B38" s="17"/>
      <c r="C38" s="17" t="s">
        <v>20</v>
      </c>
      <c r="D38" s="17"/>
      <c r="E38" s="13">
        <v>43554</v>
      </c>
      <c r="G38" s="1">
        <v>15936541</v>
      </c>
      <c r="I38" s="1">
        <v>134873</v>
      </c>
      <c r="K38" s="41">
        <f t="shared" si="2"/>
        <v>26313499</v>
      </c>
      <c r="M38" s="1">
        <v>42384913</v>
      </c>
      <c r="O38" s="41">
        <f t="shared" si="3"/>
        <v>3062144</v>
      </c>
      <c r="Q38" s="1">
        <v>21367210</v>
      </c>
      <c r="S38" s="1">
        <v>24429354</v>
      </c>
      <c r="U38" s="1">
        <f>148076+77659+3523453+134873</f>
        <v>3884061</v>
      </c>
      <c r="W38" s="1">
        <v>0</v>
      </c>
      <c r="Y38" s="1">
        <v>14071498</v>
      </c>
      <c r="AA38" s="58">
        <f t="shared" si="0"/>
        <v>17955559</v>
      </c>
      <c r="AB38" s="1"/>
      <c r="AC38" s="1">
        <f t="shared" si="1"/>
        <v>0</v>
      </c>
    </row>
    <row r="39" spans="1:29">
      <c r="A39" s="17" t="s">
        <v>263</v>
      </c>
      <c r="B39" s="17"/>
      <c r="C39" s="17" t="s">
        <v>114</v>
      </c>
      <c r="D39" s="17"/>
      <c r="E39" s="13">
        <v>46425</v>
      </c>
      <c r="G39" s="1">
        <v>292774</v>
      </c>
      <c r="I39" s="1">
        <v>0</v>
      </c>
      <c r="K39" s="41">
        <f t="shared" si="2"/>
        <v>5931890</v>
      </c>
      <c r="M39" s="1">
        <v>6224664</v>
      </c>
      <c r="O39" s="41">
        <f t="shared" si="3"/>
        <v>1916811</v>
      </c>
      <c r="Q39" s="1">
        <v>5371886</v>
      </c>
      <c r="S39" s="1">
        <v>7288697</v>
      </c>
      <c r="U39" s="1">
        <f>14517+501362</f>
        <v>515879</v>
      </c>
      <c r="W39" s="1">
        <v>0</v>
      </c>
      <c r="Y39" s="1">
        <v>-1579912</v>
      </c>
      <c r="AA39" s="58">
        <f t="shared" si="0"/>
        <v>-1064033</v>
      </c>
      <c r="AB39" s="1"/>
      <c r="AC39" s="1">
        <f t="shared" si="1"/>
        <v>0</v>
      </c>
    </row>
    <row r="40" spans="1:29">
      <c r="A40" s="17" t="s">
        <v>357</v>
      </c>
      <c r="B40" s="17"/>
      <c r="C40" s="17" t="s">
        <v>116</v>
      </c>
      <c r="D40" s="17"/>
      <c r="E40" s="13">
        <v>47241</v>
      </c>
      <c r="G40" s="1">
        <v>31454324</v>
      </c>
      <c r="I40" s="1">
        <v>0</v>
      </c>
      <c r="K40" s="41">
        <f t="shared" si="2"/>
        <v>42569271</v>
      </c>
      <c r="M40" s="1">
        <v>74023595</v>
      </c>
      <c r="O40" s="41">
        <f t="shared" si="3"/>
        <v>8232983</v>
      </c>
      <c r="Q40" s="1">
        <v>38585768</v>
      </c>
      <c r="S40" s="1">
        <v>46818751</v>
      </c>
      <c r="U40" s="1">
        <f>218410+10022+3512305</f>
        <v>3740737</v>
      </c>
      <c r="W40" s="1">
        <v>0</v>
      </c>
      <c r="Y40" s="1">
        <v>23464107</v>
      </c>
      <c r="AA40" s="58">
        <f t="shared" si="0"/>
        <v>27204844</v>
      </c>
      <c r="AB40" s="1"/>
      <c r="AC40" s="1">
        <f t="shared" si="1"/>
        <v>0</v>
      </c>
    </row>
    <row r="41" spans="1:29">
      <c r="A41" s="17" t="s">
        <v>282</v>
      </c>
      <c r="B41" s="17"/>
      <c r="C41" s="17" t="s">
        <v>20</v>
      </c>
      <c r="D41" s="17"/>
      <c r="E41" s="13">
        <v>43562</v>
      </c>
      <c r="G41" s="1">
        <v>14625957</v>
      </c>
      <c r="I41" s="1">
        <v>41998</v>
      </c>
      <c r="K41" s="41">
        <f t="shared" si="2"/>
        <v>30695492</v>
      </c>
      <c r="M41" s="1">
        <v>45363447</v>
      </c>
      <c r="O41" s="41">
        <f t="shared" si="3"/>
        <v>5329163</v>
      </c>
      <c r="Q41" s="1">
        <v>26139567</v>
      </c>
      <c r="S41" s="1">
        <v>31468730</v>
      </c>
      <c r="U41" s="1">
        <f>648703+3386558+41998</f>
        <v>4077259</v>
      </c>
      <c r="W41" s="1">
        <v>0</v>
      </c>
      <c r="Y41" s="1">
        <v>9817458</v>
      </c>
      <c r="AA41" s="58">
        <f t="shared" si="0"/>
        <v>13894717</v>
      </c>
      <c r="AB41" s="1"/>
      <c r="AC41" s="1">
        <f t="shared" si="1"/>
        <v>0</v>
      </c>
    </row>
    <row r="42" spans="1:29">
      <c r="A42" s="17" t="s">
        <v>219</v>
      </c>
      <c r="B42" s="17"/>
      <c r="C42" s="17" t="s">
        <v>15</v>
      </c>
      <c r="D42" s="17"/>
      <c r="E42" s="13">
        <v>43570</v>
      </c>
      <c r="G42" s="1">
        <v>151333</v>
      </c>
      <c r="I42" s="1">
        <v>55562</v>
      </c>
      <c r="K42" s="41">
        <f t="shared" si="2"/>
        <v>2659564</v>
      </c>
      <c r="M42" s="1">
        <v>2866459</v>
      </c>
      <c r="O42" s="41">
        <f t="shared" si="3"/>
        <v>5787573</v>
      </c>
      <c r="Q42" s="1">
        <v>2207121</v>
      </c>
      <c r="S42" s="1">
        <v>7994694</v>
      </c>
      <c r="U42" s="1">
        <f>71177+161779+55562</f>
        <v>288518</v>
      </c>
      <c r="W42" s="1">
        <v>0</v>
      </c>
      <c r="Y42" s="1">
        <v>-5416753</v>
      </c>
      <c r="AA42" s="58">
        <f t="shared" si="0"/>
        <v>-5128235</v>
      </c>
      <c r="AB42" s="1"/>
      <c r="AC42" s="1">
        <f t="shared" si="1"/>
        <v>0</v>
      </c>
    </row>
    <row r="43" spans="1:29">
      <c r="A43" s="17" t="s">
        <v>951</v>
      </c>
      <c r="B43" s="17"/>
      <c r="C43" s="17" t="s">
        <v>116</v>
      </c>
      <c r="D43" s="17"/>
      <c r="E43" s="13">
        <v>47274</v>
      </c>
      <c r="G43" s="1">
        <v>634025</v>
      </c>
      <c r="I43" s="1">
        <v>0</v>
      </c>
      <c r="K43" s="41">
        <f t="shared" si="2"/>
        <v>14483958</v>
      </c>
      <c r="M43" s="1">
        <v>15117983</v>
      </c>
      <c r="O43" s="41">
        <f t="shared" si="3"/>
        <v>2903845</v>
      </c>
      <c r="Q43" s="1">
        <v>13588284</v>
      </c>
      <c r="S43" s="1">
        <v>16492129</v>
      </c>
      <c r="U43" s="1">
        <f>261830+824979</f>
        <v>1086809</v>
      </c>
      <c r="W43" s="1">
        <v>0</v>
      </c>
      <c r="Y43" s="1">
        <v>-2460955</v>
      </c>
      <c r="AA43" s="58">
        <f t="shared" si="0"/>
        <v>-1374146</v>
      </c>
      <c r="AB43" s="1"/>
      <c r="AC43" s="1">
        <f t="shared" si="1"/>
        <v>0</v>
      </c>
    </row>
    <row r="44" spans="1:29">
      <c r="A44" s="17" t="s">
        <v>403</v>
      </c>
      <c r="B44" s="17"/>
      <c r="C44" s="17" t="s">
        <v>37</v>
      </c>
      <c r="D44" s="17"/>
      <c r="E44" s="13">
        <v>43596</v>
      </c>
      <c r="G44" s="1">
        <v>3408940</v>
      </c>
      <c r="I44" s="1">
        <v>0</v>
      </c>
      <c r="K44" s="41">
        <f t="shared" si="2"/>
        <v>7506024</v>
      </c>
      <c r="M44" s="1">
        <v>10914964</v>
      </c>
      <c r="O44" s="41">
        <f t="shared" si="3"/>
        <v>2186051</v>
      </c>
      <c r="Q44" s="1">
        <f>518543+4824334</f>
        <v>5342877</v>
      </c>
      <c r="S44" s="1">
        <v>7528928</v>
      </c>
      <c r="U44" s="1">
        <f>357743+101014+1444377+49677</f>
        <v>1952811</v>
      </c>
      <c r="W44" s="1">
        <v>0</v>
      </c>
      <c r="Y44" s="1">
        <v>1433225</v>
      </c>
      <c r="AA44" s="58">
        <f t="shared" si="0"/>
        <v>3386036</v>
      </c>
      <c r="AB44" s="1"/>
      <c r="AC44" s="1">
        <f t="shared" si="1"/>
        <v>0</v>
      </c>
    </row>
    <row r="45" spans="1:29">
      <c r="A45" s="17" t="s">
        <v>636</v>
      </c>
      <c r="B45" s="17"/>
      <c r="C45" s="17" t="s">
        <v>70</v>
      </c>
      <c r="D45" s="17"/>
      <c r="E45" s="13">
        <v>43604</v>
      </c>
      <c r="G45" s="1">
        <v>1335574</v>
      </c>
      <c r="I45" s="1">
        <v>213024</v>
      </c>
      <c r="K45" s="41">
        <f t="shared" si="2"/>
        <v>3875910</v>
      </c>
      <c r="M45" s="1">
        <v>5424508</v>
      </c>
      <c r="O45" s="41">
        <f t="shared" si="3"/>
        <v>1320682</v>
      </c>
      <c r="Q45" s="1">
        <v>3564936</v>
      </c>
      <c r="S45" s="1">
        <v>4885618</v>
      </c>
      <c r="U45" s="1">
        <f>73859+247754+5944+22171+183119+1790</f>
        <v>534637</v>
      </c>
      <c r="W45" s="1">
        <v>276911</v>
      </c>
      <c r="Y45" s="1">
        <v>-272658</v>
      </c>
      <c r="AA45" s="58">
        <f t="shared" si="0"/>
        <v>538890</v>
      </c>
      <c r="AB45" s="1"/>
      <c r="AC45" s="1">
        <f t="shared" si="1"/>
        <v>0</v>
      </c>
    </row>
    <row r="46" spans="1:29">
      <c r="A46" s="17" t="s">
        <v>519</v>
      </c>
      <c r="B46" s="17"/>
      <c r="C46" s="17" t="s">
        <v>53</v>
      </c>
      <c r="D46" s="17"/>
      <c r="E46" s="13">
        <v>48926</v>
      </c>
      <c r="G46" s="1">
        <v>3984454</v>
      </c>
      <c r="I46" s="1">
        <v>508631</v>
      </c>
      <c r="K46" s="41">
        <f t="shared" si="2"/>
        <v>8492953</v>
      </c>
      <c r="M46" s="1">
        <v>12986038</v>
      </c>
      <c r="O46" s="41">
        <f t="shared" si="3"/>
        <v>2616059</v>
      </c>
      <c r="Q46" s="1">
        <f>454888+7338182</f>
        <v>7793070</v>
      </c>
      <c r="S46" s="1">
        <v>10409129</v>
      </c>
      <c r="U46" s="1">
        <f>244956+675575+21422+15616+493015</f>
        <v>1450584</v>
      </c>
      <c r="W46" s="1">
        <v>0</v>
      </c>
      <c r="Y46" s="1">
        <v>1126325</v>
      </c>
      <c r="AA46" s="58">
        <f t="shared" si="0"/>
        <v>2576909</v>
      </c>
      <c r="AB46" s="1"/>
      <c r="AC46" s="1">
        <f t="shared" si="1"/>
        <v>0</v>
      </c>
    </row>
    <row r="47" spans="1:29">
      <c r="A47" s="17" t="s">
        <v>283</v>
      </c>
      <c r="B47" s="17"/>
      <c r="C47" s="17" t="s">
        <v>20</v>
      </c>
      <c r="D47" s="17"/>
      <c r="E47" s="13">
        <v>43612</v>
      </c>
      <c r="G47" s="1">
        <v>25039470</v>
      </c>
      <c r="I47" s="1">
        <v>229621</v>
      </c>
      <c r="K47" s="41">
        <f t="shared" si="2"/>
        <v>56556592</v>
      </c>
      <c r="M47" s="1">
        <v>81825683</v>
      </c>
      <c r="O47" s="41">
        <f t="shared" si="3"/>
        <v>9116793</v>
      </c>
      <c r="Q47" s="1">
        <v>43522627</v>
      </c>
      <c r="S47" s="1">
        <v>52639420</v>
      </c>
      <c r="U47" s="1">
        <f>861862+229621+18918+7234372</f>
        <v>8344773</v>
      </c>
      <c r="W47" s="1">
        <v>0</v>
      </c>
      <c r="Y47" s="1">
        <v>20841490</v>
      </c>
      <c r="AA47" s="58">
        <f t="shared" si="0"/>
        <v>29186263</v>
      </c>
      <c r="AB47" s="1"/>
      <c r="AC47" s="1">
        <f t="shared" si="1"/>
        <v>0</v>
      </c>
    </row>
    <row r="48" spans="1:29">
      <c r="A48" s="17" t="s">
        <v>351</v>
      </c>
      <c r="B48" s="17"/>
      <c r="C48" s="17" t="s">
        <v>30</v>
      </c>
      <c r="D48" s="17"/>
      <c r="E48" s="13">
        <v>47167</v>
      </c>
      <c r="G48" s="1">
        <v>2742645</v>
      </c>
      <c r="I48" s="1">
        <v>39468</v>
      </c>
      <c r="K48" s="41">
        <f t="shared" si="2"/>
        <v>4805835</v>
      </c>
      <c r="M48" s="1">
        <v>7587948</v>
      </c>
      <c r="O48" s="41">
        <f t="shared" si="3"/>
        <v>1336056</v>
      </c>
      <c r="Q48" s="1">
        <v>3797642</v>
      </c>
      <c r="S48" s="1">
        <v>5133698</v>
      </c>
      <c r="U48" s="1">
        <f>22025+351017+39468</f>
        <v>412510</v>
      </c>
      <c r="W48" s="1">
        <v>0</v>
      </c>
      <c r="Y48" s="1">
        <v>2041740</v>
      </c>
      <c r="AA48" s="58">
        <f t="shared" si="0"/>
        <v>2454250</v>
      </c>
      <c r="AB48" s="1"/>
      <c r="AC48" s="1">
        <f t="shared" si="1"/>
        <v>0</v>
      </c>
    </row>
    <row r="49" spans="1:29">
      <c r="A49" s="17" t="s">
        <v>314</v>
      </c>
      <c r="B49" s="17"/>
      <c r="C49" s="17" t="s">
        <v>24</v>
      </c>
      <c r="D49" s="17"/>
      <c r="E49" s="13">
        <v>46789</v>
      </c>
      <c r="G49" s="1">
        <v>4291974</v>
      </c>
      <c r="I49" s="1">
        <v>14127</v>
      </c>
      <c r="K49" s="41">
        <f t="shared" si="2"/>
        <v>7619710</v>
      </c>
      <c r="M49" s="1">
        <v>11925811</v>
      </c>
      <c r="O49" s="41">
        <f t="shared" si="3"/>
        <v>1600560</v>
      </c>
      <c r="Q49" s="1">
        <f>520662+6320401</f>
        <v>6841063</v>
      </c>
      <c r="S49" s="1">
        <v>8441623</v>
      </c>
      <c r="U49" s="1">
        <f>317879+23576+31590+722249+14127</f>
        <v>1109421</v>
      </c>
      <c r="W49" s="1">
        <v>0</v>
      </c>
      <c r="Y49" s="1">
        <v>2374767</v>
      </c>
      <c r="AA49" s="58">
        <f t="shared" si="0"/>
        <v>3484188</v>
      </c>
      <c r="AB49" s="1"/>
      <c r="AC49" s="1">
        <f t="shared" si="1"/>
        <v>0</v>
      </c>
    </row>
    <row r="50" spans="1:29">
      <c r="A50" s="17" t="s">
        <v>322</v>
      </c>
      <c r="B50" s="17"/>
      <c r="C50" s="17" t="s">
        <v>25</v>
      </c>
      <c r="D50" s="17"/>
      <c r="E50" s="13">
        <v>46854</v>
      </c>
      <c r="G50" s="1">
        <v>1723383</v>
      </c>
      <c r="I50" s="1">
        <v>122856</v>
      </c>
      <c r="K50" s="41">
        <f t="shared" si="2"/>
        <v>3004185</v>
      </c>
      <c r="M50" s="1">
        <v>4850424</v>
      </c>
      <c r="O50" s="41">
        <f t="shared" si="3"/>
        <v>874509</v>
      </c>
      <c r="Q50" s="1">
        <v>2479072</v>
      </c>
      <c r="S50" s="1">
        <v>3353581</v>
      </c>
      <c r="U50" s="1">
        <f>107119+178078+100000+22856</f>
        <v>408053</v>
      </c>
      <c r="W50" s="1">
        <v>0</v>
      </c>
      <c r="Y50" s="1">
        <v>1088790</v>
      </c>
      <c r="AA50" s="58">
        <f t="shared" si="0"/>
        <v>1496843</v>
      </c>
      <c r="AB50" s="1"/>
      <c r="AC50" s="1">
        <f t="shared" si="1"/>
        <v>0</v>
      </c>
    </row>
    <row r="51" spans="1:29">
      <c r="A51" s="17" t="s">
        <v>487</v>
      </c>
      <c r="B51" s="17"/>
      <c r="C51" s="17" t="s">
        <v>48</v>
      </c>
      <c r="D51" s="17"/>
      <c r="E51" s="13">
        <v>48611</v>
      </c>
      <c r="G51" s="1">
        <v>1081679</v>
      </c>
      <c r="I51" s="1">
        <v>0</v>
      </c>
      <c r="K51" s="41">
        <f t="shared" si="2"/>
        <v>3214254</v>
      </c>
      <c r="M51" s="1">
        <v>4295933</v>
      </c>
      <c r="O51" s="41">
        <f t="shared" si="3"/>
        <v>738543</v>
      </c>
      <c r="Q51" s="1">
        <v>2907527</v>
      </c>
      <c r="S51" s="1">
        <v>3646070</v>
      </c>
      <c r="U51" s="1">
        <f>54050+2552+259227</f>
        <v>315829</v>
      </c>
      <c r="W51" s="1">
        <v>0</v>
      </c>
      <c r="Y51" s="1">
        <v>334034</v>
      </c>
      <c r="AA51" s="58">
        <f t="shared" si="0"/>
        <v>649863</v>
      </c>
      <c r="AB51" s="1"/>
      <c r="AC51" s="1">
        <f t="shared" si="1"/>
        <v>0</v>
      </c>
    </row>
    <row r="52" spans="1:29">
      <c r="A52" s="17" t="s">
        <v>252</v>
      </c>
      <c r="B52" s="17"/>
      <c r="C52" s="17" t="s">
        <v>115</v>
      </c>
      <c r="D52" s="17"/>
      <c r="E52" s="13">
        <v>46318</v>
      </c>
      <c r="G52" s="1">
        <v>1543390</v>
      </c>
      <c r="I52" s="1">
        <v>498476</v>
      </c>
      <c r="K52" s="41">
        <f t="shared" si="2"/>
        <v>3407775</v>
      </c>
      <c r="M52" s="1">
        <v>5449641</v>
      </c>
      <c r="O52" s="41">
        <f t="shared" si="3"/>
        <v>1472274</v>
      </c>
      <c r="Q52" s="1">
        <v>3016952</v>
      </c>
      <c r="S52" s="1">
        <v>4489226</v>
      </c>
      <c r="U52" s="1">
        <f>80475+359300+498476</f>
        <v>938251</v>
      </c>
      <c r="W52" s="1">
        <v>0</v>
      </c>
      <c r="Y52" s="1">
        <v>22164</v>
      </c>
      <c r="AA52" s="58">
        <f t="shared" si="0"/>
        <v>960415</v>
      </c>
      <c r="AB52" s="1"/>
      <c r="AC52" s="1">
        <f t="shared" si="1"/>
        <v>0</v>
      </c>
    </row>
    <row r="53" spans="1:29" hidden="1">
      <c r="A53" s="12" t="s">
        <v>825</v>
      </c>
      <c r="B53" s="17"/>
      <c r="C53" s="17" t="s">
        <v>60</v>
      </c>
      <c r="D53" s="17"/>
      <c r="E53" s="13">
        <v>49692</v>
      </c>
      <c r="K53" s="41">
        <f t="shared" si="2"/>
        <v>0</v>
      </c>
      <c r="O53" s="41">
        <f t="shared" si="3"/>
        <v>0</v>
      </c>
      <c r="AA53" s="58">
        <f t="shared" si="0"/>
        <v>0</v>
      </c>
      <c r="AB53" s="1"/>
      <c r="AC53" s="1">
        <f t="shared" si="1"/>
        <v>0</v>
      </c>
    </row>
    <row r="54" spans="1:29">
      <c r="A54" s="17" t="s">
        <v>329</v>
      </c>
      <c r="B54" s="17"/>
      <c r="C54" s="17" t="s">
        <v>27</v>
      </c>
      <c r="D54" s="17"/>
      <c r="E54" s="13">
        <v>43620</v>
      </c>
      <c r="G54" s="1">
        <v>17467283</v>
      </c>
      <c r="I54" s="1">
        <v>0</v>
      </c>
      <c r="K54" s="41">
        <f t="shared" si="2"/>
        <v>18262466</v>
      </c>
      <c r="M54" s="1">
        <v>35729749</v>
      </c>
      <c r="O54" s="41">
        <f t="shared" si="3"/>
        <v>3829614</v>
      </c>
      <c r="Q54" s="1">
        <v>11010375</v>
      </c>
      <c r="S54" s="1">
        <v>14839989</v>
      </c>
      <c r="U54" s="1">
        <f>7091869+528193+10765</f>
        <v>7630827</v>
      </c>
      <c r="W54" s="1">
        <v>0</v>
      </c>
      <c r="Y54" s="1">
        <v>13258933</v>
      </c>
      <c r="AA54" s="58">
        <f t="shared" si="0"/>
        <v>20889760</v>
      </c>
      <c r="AB54" s="1"/>
      <c r="AC54" s="1">
        <f t="shared" si="1"/>
        <v>0</v>
      </c>
    </row>
    <row r="55" spans="1:29">
      <c r="A55" s="17" t="s">
        <v>311</v>
      </c>
      <c r="B55" s="17"/>
      <c r="C55" s="17" t="s">
        <v>23</v>
      </c>
      <c r="D55" s="17"/>
      <c r="E55" s="13">
        <v>46748</v>
      </c>
      <c r="G55" s="1">
        <v>-370862</v>
      </c>
      <c r="I55" s="1">
        <v>0</v>
      </c>
      <c r="K55" s="41">
        <f t="shared" si="2"/>
        <v>14647557</v>
      </c>
      <c r="M55" s="1">
        <v>14276695</v>
      </c>
      <c r="O55" s="41">
        <f t="shared" si="3"/>
        <v>3473188</v>
      </c>
      <c r="Q55" s="1">
        <v>11453434</v>
      </c>
      <c r="S55" s="1">
        <v>14926622</v>
      </c>
      <c r="U55" s="1">
        <f>1265398+112378+27131+3830</f>
        <v>1408737</v>
      </c>
      <c r="W55" s="1">
        <v>0</v>
      </c>
      <c r="Y55" s="1">
        <v>-2058664</v>
      </c>
      <c r="AA55" s="58">
        <f t="shared" si="0"/>
        <v>-649927</v>
      </c>
      <c r="AB55" s="1"/>
      <c r="AC55" s="1">
        <f t="shared" si="1"/>
        <v>0</v>
      </c>
    </row>
    <row r="56" spans="1:29">
      <c r="A56" s="17" t="s">
        <v>478</v>
      </c>
      <c r="B56" s="17"/>
      <c r="C56" s="17" t="s">
        <v>47</v>
      </c>
      <c r="D56" s="17"/>
      <c r="E56" s="13">
        <v>48462</v>
      </c>
      <c r="G56" s="1">
        <v>38225</v>
      </c>
      <c r="I56" s="1">
        <v>0</v>
      </c>
      <c r="K56" s="41">
        <f t="shared" si="2"/>
        <v>4796088</v>
      </c>
      <c r="M56" s="1">
        <v>4834313</v>
      </c>
      <c r="O56" s="41">
        <f t="shared" si="3"/>
        <v>1901607</v>
      </c>
      <c r="Q56" s="1">
        <v>4157082</v>
      </c>
      <c r="S56" s="1">
        <v>6058689</v>
      </c>
      <c r="U56" s="1">
        <f>132128+233528+32880+342688+38225</f>
        <v>779449</v>
      </c>
      <c r="W56" s="1">
        <v>0</v>
      </c>
      <c r="Y56" s="1">
        <v>-2003825</v>
      </c>
      <c r="AA56" s="58">
        <f t="shared" si="0"/>
        <v>-1224376</v>
      </c>
      <c r="AB56" s="1"/>
      <c r="AC56" s="1">
        <f t="shared" si="1"/>
        <v>0</v>
      </c>
    </row>
    <row r="57" spans="1:29">
      <c r="A57" s="17" t="s">
        <v>259</v>
      </c>
      <c r="B57" s="17"/>
      <c r="C57" s="17" t="s">
        <v>18</v>
      </c>
      <c r="D57" s="17"/>
      <c r="E57" s="13">
        <v>46383</v>
      </c>
      <c r="G57" s="1">
        <v>1318529</v>
      </c>
      <c r="I57" s="1">
        <v>526922</v>
      </c>
      <c r="K57" s="41">
        <f t="shared" si="2"/>
        <v>3474661</v>
      </c>
      <c r="M57" s="1">
        <v>5320112</v>
      </c>
      <c r="O57" s="41">
        <f t="shared" si="3"/>
        <v>1516190</v>
      </c>
      <c r="Q57" s="1">
        <v>3087285</v>
      </c>
      <c r="S57" s="1">
        <v>4603475</v>
      </c>
      <c r="U57" s="1">
        <f>5457+189134+526922</f>
        <v>721513</v>
      </c>
      <c r="W57" s="1">
        <v>0</v>
      </c>
      <c r="Y57" s="1">
        <v>-4876</v>
      </c>
      <c r="AA57" s="58">
        <f t="shared" si="0"/>
        <v>716637</v>
      </c>
      <c r="AB57" s="1"/>
      <c r="AC57" s="1">
        <f t="shared" si="1"/>
        <v>0</v>
      </c>
    </row>
    <row r="58" spans="1:29">
      <c r="A58" s="17" t="s">
        <v>323</v>
      </c>
      <c r="B58" s="17"/>
      <c r="C58" s="17" t="s">
        <v>25</v>
      </c>
      <c r="D58" s="17"/>
      <c r="E58" s="13">
        <v>46862</v>
      </c>
      <c r="G58" s="1">
        <v>2227966</v>
      </c>
      <c r="I58" s="1">
        <v>24610</v>
      </c>
      <c r="K58" s="41">
        <f t="shared" si="2"/>
        <v>6567833</v>
      </c>
      <c r="M58" s="1">
        <v>8820409</v>
      </c>
      <c r="O58" s="41">
        <f t="shared" si="3"/>
        <v>1819289</v>
      </c>
      <c r="Q58" s="1">
        <v>4868759</v>
      </c>
      <c r="S58" s="1">
        <v>6688048</v>
      </c>
      <c r="U58" s="1">
        <f>57988+524690+5433+24610</f>
        <v>612721</v>
      </c>
      <c r="W58" s="1">
        <v>0</v>
      </c>
      <c r="Y58" s="1">
        <v>1519640</v>
      </c>
      <c r="AA58" s="58">
        <f t="shared" si="0"/>
        <v>2132361</v>
      </c>
      <c r="AB58" s="1"/>
      <c r="AC58" s="1">
        <f t="shared" si="1"/>
        <v>0</v>
      </c>
    </row>
    <row r="59" spans="1:29">
      <c r="A59" s="17" t="s">
        <v>599</v>
      </c>
      <c r="B59" s="17"/>
      <c r="C59" s="17" t="s">
        <v>64</v>
      </c>
      <c r="D59" s="17"/>
      <c r="E59" s="13">
        <v>50096</v>
      </c>
      <c r="G59" s="1">
        <v>642354</v>
      </c>
      <c r="I59" s="1">
        <v>15949</v>
      </c>
      <c r="K59" s="41">
        <f t="shared" si="2"/>
        <v>1220197</v>
      </c>
      <c r="M59" s="1">
        <v>1878500</v>
      </c>
      <c r="O59" s="41">
        <f t="shared" si="3"/>
        <v>342317</v>
      </c>
      <c r="Q59" s="1">
        <f>224133+963578</f>
        <v>1187711</v>
      </c>
      <c r="S59" s="1">
        <v>1530028</v>
      </c>
      <c r="U59" s="1">
        <f>750+8981+22321+13233+2716</f>
        <v>48001</v>
      </c>
      <c r="W59" s="1">
        <v>0</v>
      </c>
      <c r="Y59" s="1">
        <v>300471</v>
      </c>
      <c r="AA59" s="58">
        <f t="shared" si="0"/>
        <v>348472</v>
      </c>
      <c r="AB59" s="1"/>
      <c r="AC59" s="1">
        <f t="shared" si="1"/>
        <v>0</v>
      </c>
    </row>
    <row r="60" spans="1:29">
      <c r="A60" s="17" t="s">
        <v>559</v>
      </c>
      <c r="B60" s="17"/>
      <c r="C60" s="17" t="s">
        <v>59</v>
      </c>
      <c r="D60" s="17"/>
      <c r="E60" s="13">
        <v>49593</v>
      </c>
      <c r="G60" s="1">
        <v>900988</v>
      </c>
      <c r="I60" s="1">
        <v>153368</v>
      </c>
      <c r="K60" s="41">
        <f>+M60-I60-G60</f>
        <v>1318181</v>
      </c>
      <c r="M60" s="1">
        <v>2372537</v>
      </c>
      <c r="O60" s="41">
        <f>+S60-Q60</f>
        <v>785515</v>
      </c>
      <c r="Q60" s="1">
        <v>1160393</v>
      </c>
      <c r="S60" s="1">
        <v>1945908</v>
      </c>
      <c r="U60" s="1">
        <f>42422+138035+79651+55826+14863+3028</f>
        <v>333825</v>
      </c>
      <c r="W60" s="1">
        <v>0</v>
      </c>
      <c r="Y60" s="1">
        <v>92804</v>
      </c>
      <c r="AA60" s="58">
        <f>+Y60+W60++U60</f>
        <v>426629</v>
      </c>
      <c r="AB60" s="1"/>
      <c r="AC60" s="1">
        <f>+G60+I60+K60-O60-Q60-Y60-W60-U60</f>
        <v>0</v>
      </c>
    </row>
    <row r="61" spans="1:29" hidden="1">
      <c r="A61" s="12" t="s">
        <v>791</v>
      </c>
      <c r="B61" s="17"/>
      <c r="C61" s="17" t="s">
        <v>10</v>
      </c>
      <c r="D61" s="17"/>
      <c r="E61" s="13">
        <v>49593</v>
      </c>
      <c r="K61" s="41">
        <f>+M61-I61-G61</f>
        <v>0</v>
      </c>
      <c r="O61" s="41">
        <f>+S61-Q61</f>
        <v>0</v>
      </c>
      <c r="AA61" s="58">
        <f>+Y61+W61++U61</f>
        <v>0</v>
      </c>
      <c r="AB61" s="1"/>
      <c r="AC61" s="1">
        <f>+G61+I61+K61-O61-Q61-Y61-W61-U61</f>
        <v>0</v>
      </c>
    </row>
    <row r="62" spans="1:29">
      <c r="A62" s="17" t="s">
        <v>462</v>
      </c>
      <c r="B62" s="17"/>
      <c r="C62" s="17" t="s">
        <v>45</v>
      </c>
      <c r="D62" s="17"/>
      <c r="E62" s="13">
        <v>48306</v>
      </c>
      <c r="G62" s="1">
        <v>10404403</v>
      </c>
      <c r="I62" s="1">
        <v>233898</v>
      </c>
      <c r="K62" s="41">
        <f t="shared" si="2"/>
        <v>31113138</v>
      </c>
      <c r="M62" s="1">
        <v>41751439</v>
      </c>
      <c r="O62" s="41">
        <f t="shared" si="3"/>
        <v>5349383</v>
      </c>
      <c r="Q62" s="1">
        <v>30960301</v>
      </c>
      <c r="S62" s="1">
        <v>36309684</v>
      </c>
      <c r="U62" s="1">
        <f>136783+233898</f>
        <v>370681</v>
      </c>
      <c r="W62" s="1">
        <v>0</v>
      </c>
      <c r="Y62" s="1">
        <v>5071074</v>
      </c>
      <c r="AA62" s="58">
        <f t="shared" si="0"/>
        <v>5441755</v>
      </c>
      <c r="AB62" s="1"/>
      <c r="AC62" s="1">
        <f t="shared" si="1"/>
        <v>0</v>
      </c>
    </row>
    <row r="63" spans="1:29" hidden="1">
      <c r="A63" s="12" t="s">
        <v>923</v>
      </c>
      <c r="B63" s="17"/>
      <c r="C63" s="17" t="s">
        <v>61</v>
      </c>
      <c r="D63" s="17"/>
      <c r="E63" s="13">
        <v>49767</v>
      </c>
      <c r="K63" s="41">
        <f t="shared" si="2"/>
        <v>0</v>
      </c>
      <c r="O63" s="41">
        <f t="shared" si="3"/>
        <v>0</v>
      </c>
      <c r="AA63" s="58">
        <f t="shared" si="0"/>
        <v>0</v>
      </c>
      <c r="AB63" s="1"/>
      <c r="AC63" s="1">
        <f t="shared" si="1"/>
        <v>0</v>
      </c>
    </row>
    <row r="64" spans="1:29">
      <c r="A64" s="17" t="s">
        <v>646</v>
      </c>
      <c r="B64" s="17"/>
      <c r="C64" s="17" t="s">
        <v>72</v>
      </c>
      <c r="D64" s="17"/>
      <c r="E64" s="13">
        <v>43638</v>
      </c>
      <c r="G64" s="1">
        <v>2349571</v>
      </c>
      <c r="I64" s="1">
        <v>3000</v>
      </c>
      <c r="K64" s="41">
        <f t="shared" si="2"/>
        <v>21712398</v>
      </c>
      <c r="M64" s="1">
        <v>24064969</v>
      </c>
      <c r="O64" s="41">
        <f t="shared" si="3"/>
        <v>3557964</v>
      </c>
      <c r="Q64" s="1">
        <v>12648742</v>
      </c>
      <c r="S64" s="1">
        <v>16206706</v>
      </c>
      <c r="U64" s="1">
        <f>343907+91975+98442+2370878</f>
        <v>2905202</v>
      </c>
      <c r="W64" s="1">
        <v>0</v>
      </c>
      <c r="Y64" s="1">
        <v>4953061</v>
      </c>
      <c r="AA64" s="58">
        <f t="shared" si="0"/>
        <v>7858263</v>
      </c>
      <c r="AB64" s="1"/>
      <c r="AC64" s="1">
        <f t="shared" si="1"/>
        <v>0</v>
      </c>
    </row>
    <row r="65" spans="1:29" hidden="1">
      <c r="A65" s="12" t="s">
        <v>832</v>
      </c>
      <c r="B65" s="17"/>
      <c r="C65" s="17" t="s">
        <v>48</v>
      </c>
      <c r="D65" s="17"/>
      <c r="E65" s="13">
        <v>43646</v>
      </c>
      <c r="K65" s="41">
        <f>+M65-I65-G65</f>
        <v>0</v>
      </c>
      <c r="O65" s="41">
        <f>+S65-Q65</f>
        <v>0</v>
      </c>
      <c r="AA65" s="58">
        <f>+Y65+W65++U65</f>
        <v>0</v>
      </c>
      <c r="AB65" s="1"/>
      <c r="AC65" s="1">
        <f>+G65+I65+K65-O65-Q65-Y65-W65-U65</f>
        <v>0</v>
      </c>
    </row>
    <row r="66" spans="1:29">
      <c r="A66" s="17" t="s">
        <v>772</v>
      </c>
      <c r="B66" s="17"/>
      <c r="C66" s="17" t="s">
        <v>20</v>
      </c>
      <c r="D66" s="17"/>
      <c r="E66" s="13">
        <v>43646</v>
      </c>
      <c r="G66" s="1">
        <v>12488404</v>
      </c>
      <c r="I66" s="1">
        <v>0</v>
      </c>
      <c r="K66" s="41">
        <f t="shared" si="2"/>
        <v>33273942</v>
      </c>
      <c r="M66" s="1">
        <v>45762346</v>
      </c>
      <c r="O66" s="41">
        <f t="shared" si="3"/>
        <v>6683902</v>
      </c>
      <c r="Q66" s="1">
        <v>29302332</v>
      </c>
      <c r="S66" s="1">
        <v>35986234</v>
      </c>
      <c r="U66" s="1">
        <f>24555+7213+254811</f>
        <v>286579</v>
      </c>
      <c r="W66" s="1">
        <v>0</v>
      </c>
      <c r="Y66" s="1">
        <v>9489533</v>
      </c>
      <c r="AA66" s="58">
        <f t="shared" si="0"/>
        <v>9776112</v>
      </c>
      <c r="AB66" s="1"/>
      <c r="AC66" s="1">
        <f t="shared" si="1"/>
        <v>0</v>
      </c>
    </row>
    <row r="67" spans="1:29">
      <c r="A67" s="17" t="s">
        <v>220</v>
      </c>
      <c r="B67" s="17"/>
      <c r="C67" s="17" t="s">
        <v>15</v>
      </c>
      <c r="D67" s="17"/>
      <c r="E67" s="13">
        <v>45237</v>
      </c>
      <c r="G67" s="1">
        <v>620475</v>
      </c>
      <c r="I67" s="1">
        <v>47252</v>
      </c>
      <c r="K67" s="41">
        <f t="shared" si="2"/>
        <v>1704695</v>
      </c>
      <c r="M67" s="1">
        <v>2372422</v>
      </c>
      <c r="O67" s="41">
        <f t="shared" si="3"/>
        <v>901367</v>
      </c>
      <c r="Q67" s="1">
        <f>298298+1123239</f>
        <v>1421537</v>
      </c>
      <c r="S67" s="1">
        <v>2322904</v>
      </c>
      <c r="U67" s="1">
        <f>62314+22084+2983+205261+34439+12813</f>
        <v>339894</v>
      </c>
      <c r="W67" s="1">
        <v>0</v>
      </c>
      <c r="Y67" s="1">
        <v>-290376</v>
      </c>
      <c r="AA67" s="58">
        <f t="shared" si="0"/>
        <v>49518</v>
      </c>
      <c r="AB67" s="1"/>
      <c r="AC67" s="1">
        <f t="shared" si="1"/>
        <v>0</v>
      </c>
    </row>
    <row r="68" spans="1:29">
      <c r="A68" s="17" t="s">
        <v>394</v>
      </c>
      <c r="B68" s="17"/>
      <c r="C68" s="17" t="s">
        <v>395</v>
      </c>
      <c r="D68" s="17"/>
      <c r="E68" s="13">
        <v>47613</v>
      </c>
      <c r="G68" s="1">
        <v>1512364</v>
      </c>
      <c r="I68" s="1">
        <v>22449</v>
      </c>
      <c r="K68" s="41">
        <f t="shared" si="2"/>
        <v>1610582</v>
      </c>
      <c r="M68" s="1">
        <v>3145395</v>
      </c>
      <c r="O68" s="41">
        <f t="shared" si="3"/>
        <v>818376</v>
      </c>
      <c r="Q68" s="1">
        <v>1436410</v>
      </c>
      <c r="S68" s="1">
        <v>2254786</v>
      </c>
      <c r="U68" s="1">
        <f>134231+168215+22449</f>
        <v>324895</v>
      </c>
      <c r="W68" s="1">
        <v>0</v>
      </c>
      <c r="Y68" s="1">
        <v>565714</v>
      </c>
      <c r="AA68" s="58">
        <f t="shared" si="0"/>
        <v>890609</v>
      </c>
      <c r="AB68" s="1"/>
      <c r="AC68" s="1">
        <f t="shared" si="1"/>
        <v>0</v>
      </c>
    </row>
    <row r="69" spans="1:29">
      <c r="A69" s="17" t="s">
        <v>600</v>
      </c>
      <c r="B69" s="17"/>
      <c r="C69" s="17" t="s">
        <v>64</v>
      </c>
      <c r="D69" s="17"/>
      <c r="E69" s="13">
        <v>50112</v>
      </c>
      <c r="G69" s="1">
        <v>1897607</v>
      </c>
      <c r="I69" s="1">
        <v>204563</v>
      </c>
      <c r="K69" s="41">
        <f t="shared" si="2"/>
        <v>1946429</v>
      </c>
      <c r="M69" s="1">
        <v>4048599</v>
      </c>
      <c r="O69" s="41">
        <f t="shared" si="3"/>
        <v>691361</v>
      </c>
      <c r="Q69" s="1">
        <f>248968+1585404</f>
        <v>1834372</v>
      </c>
      <c r="S69" s="1">
        <v>2525733</v>
      </c>
      <c r="U69" s="1">
        <f>7952+31282+8646+204563</f>
        <v>252443</v>
      </c>
      <c r="W69" s="1">
        <v>0</v>
      </c>
      <c r="Y69" s="1">
        <v>1270423</v>
      </c>
      <c r="AA69" s="58">
        <f t="shared" si="0"/>
        <v>1522866</v>
      </c>
      <c r="AB69" s="1"/>
      <c r="AC69" s="1">
        <f t="shared" si="1"/>
        <v>0</v>
      </c>
    </row>
    <row r="70" spans="1:29">
      <c r="A70" s="12" t="s">
        <v>601</v>
      </c>
      <c r="B70" s="17"/>
      <c r="C70" s="17" t="s">
        <v>64</v>
      </c>
      <c r="D70" s="17"/>
      <c r="E70" s="13">
        <v>50120</v>
      </c>
      <c r="G70" s="1">
        <v>181332</v>
      </c>
      <c r="I70" s="1">
        <v>0</v>
      </c>
      <c r="K70" s="41">
        <f t="shared" si="2"/>
        <v>3408690</v>
      </c>
      <c r="M70" s="1">
        <v>3590022</v>
      </c>
      <c r="O70" s="41">
        <f t="shared" si="3"/>
        <v>1266189</v>
      </c>
      <c r="Q70" s="1">
        <f>689768+2674793</f>
        <v>3364561</v>
      </c>
      <c r="S70" s="1">
        <v>4630750</v>
      </c>
      <c r="U70" s="1">
        <v>39627</v>
      </c>
      <c r="W70" s="1">
        <v>0</v>
      </c>
      <c r="Y70" s="1">
        <v>-1080355</v>
      </c>
      <c r="AA70" s="58">
        <f t="shared" si="0"/>
        <v>-1040728</v>
      </c>
      <c r="AB70" s="1"/>
      <c r="AC70" s="1">
        <f t="shared" si="1"/>
        <v>0</v>
      </c>
    </row>
    <row r="71" spans="1:29">
      <c r="A71" s="17" t="s">
        <v>284</v>
      </c>
      <c r="B71" s="17"/>
      <c r="C71" s="17" t="s">
        <v>20</v>
      </c>
      <c r="D71" s="17"/>
      <c r="E71" s="13">
        <v>43653</v>
      </c>
      <c r="G71" s="1">
        <v>3023034</v>
      </c>
      <c r="I71" s="1">
        <v>13341</v>
      </c>
      <c r="K71" s="41">
        <f t="shared" si="2"/>
        <v>12351977</v>
      </c>
      <c r="M71" s="1">
        <v>15388352</v>
      </c>
      <c r="O71" s="41">
        <f t="shared" si="3"/>
        <v>1320764</v>
      </c>
      <c r="Q71" s="1">
        <v>10880049</v>
      </c>
      <c r="S71" s="1">
        <v>12200813</v>
      </c>
      <c r="U71" s="1">
        <f>1187872+13341</f>
        <v>1201213</v>
      </c>
      <c r="W71" s="1">
        <v>0</v>
      </c>
      <c r="Y71" s="1">
        <v>1986326</v>
      </c>
      <c r="AA71" s="58">
        <f t="shared" si="0"/>
        <v>3187539</v>
      </c>
      <c r="AB71" s="1"/>
      <c r="AC71" s="1">
        <f t="shared" si="1"/>
        <v>0</v>
      </c>
    </row>
    <row r="72" spans="1:29">
      <c r="A72" s="12" t="s">
        <v>828</v>
      </c>
      <c r="B72" s="17"/>
      <c r="C72" s="17" t="s">
        <v>50</v>
      </c>
      <c r="D72" s="17"/>
      <c r="E72" s="13">
        <v>48678</v>
      </c>
      <c r="G72" s="1">
        <v>4191190</v>
      </c>
      <c r="I72" s="1">
        <v>542722</v>
      </c>
      <c r="K72" s="41">
        <f t="shared" si="2"/>
        <v>5175497</v>
      </c>
      <c r="M72" s="1">
        <v>9909409</v>
      </c>
      <c r="O72" s="41">
        <f t="shared" si="3"/>
        <v>1499064</v>
      </c>
      <c r="Q72" s="1">
        <v>4852012</v>
      </c>
      <c r="S72" s="1">
        <v>6351076</v>
      </c>
      <c r="U72" s="1">
        <f>142964+90067+216048+542722</f>
        <v>991801</v>
      </c>
      <c r="W72" s="1">
        <v>0</v>
      </c>
      <c r="Y72" s="1">
        <v>2566532</v>
      </c>
      <c r="AA72" s="58">
        <f t="shared" si="0"/>
        <v>3558333</v>
      </c>
      <c r="AB72" s="1"/>
      <c r="AC72" s="1">
        <f t="shared" si="1"/>
        <v>0</v>
      </c>
    </row>
    <row r="73" spans="1:29">
      <c r="A73" s="17" t="s">
        <v>237</v>
      </c>
      <c r="B73" s="17"/>
      <c r="C73" s="17" t="s">
        <v>16</v>
      </c>
      <c r="D73" s="17"/>
      <c r="E73" s="13">
        <v>46177</v>
      </c>
      <c r="G73" s="1">
        <v>2554473</v>
      </c>
      <c r="I73" s="1">
        <v>3508</v>
      </c>
      <c r="K73" s="41">
        <f t="shared" si="2"/>
        <v>2771949</v>
      </c>
      <c r="M73" s="1">
        <v>5329930</v>
      </c>
      <c r="O73" s="41">
        <f t="shared" si="3"/>
        <v>658012</v>
      </c>
      <c r="Q73" s="1">
        <v>2709477</v>
      </c>
      <c r="S73" s="1">
        <v>3367489</v>
      </c>
      <c r="U73" s="1">
        <f>3508+207240+42929</f>
        <v>253677</v>
      </c>
      <c r="W73" s="1">
        <v>0</v>
      </c>
      <c r="Y73" s="1">
        <v>1708764</v>
      </c>
      <c r="AA73" s="58">
        <f t="shared" si="0"/>
        <v>1962441</v>
      </c>
      <c r="AB73" s="1"/>
      <c r="AC73" s="1">
        <f t="shared" si="1"/>
        <v>0</v>
      </c>
    </row>
    <row r="74" spans="1:29">
      <c r="A74" s="17" t="s">
        <v>479</v>
      </c>
      <c r="B74" s="17"/>
      <c r="C74" s="17" t="s">
        <v>47</v>
      </c>
      <c r="D74" s="17"/>
      <c r="E74" s="13">
        <v>43661</v>
      </c>
      <c r="G74" s="1">
        <v>13188707</v>
      </c>
      <c r="I74" s="1">
        <v>96531</v>
      </c>
      <c r="K74" s="41">
        <f t="shared" si="2"/>
        <v>35295392</v>
      </c>
      <c r="M74" s="1">
        <v>48580630</v>
      </c>
      <c r="O74" s="41">
        <f t="shared" si="3"/>
        <v>8633798</v>
      </c>
      <c r="Q74" s="1">
        <v>30134697</v>
      </c>
      <c r="S74" s="1">
        <v>38768495</v>
      </c>
      <c r="U74" s="1">
        <f>1088958+4833453+96531</f>
        <v>6018942</v>
      </c>
      <c r="W74" s="1">
        <v>0</v>
      </c>
      <c r="Y74" s="1">
        <v>3793193</v>
      </c>
      <c r="AA74" s="58">
        <f t="shared" si="0"/>
        <v>9812135</v>
      </c>
      <c r="AB74" s="1"/>
      <c r="AC74" s="1">
        <f t="shared" si="1"/>
        <v>0</v>
      </c>
    </row>
    <row r="75" spans="1:29" hidden="1">
      <c r="A75" s="12" t="s">
        <v>829</v>
      </c>
      <c r="B75" s="17"/>
      <c r="C75" s="17" t="s">
        <v>643</v>
      </c>
      <c r="D75" s="17"/>
      <c r="E75" s="13">
        <v>43679</v>
      </c>
      <c r="K75" s="41">
        <f t="shared" si="2"/>
        <v>0</v>
      </c>
      <c r="O75" s="41">
        <f t="shared" si="3"/>
        <v>0</v>
      </c>
      <c r="AA75" s="58">
        <f t="shared" si="0"/>
        <v>0</v>
      </c>
      <c r="AB75" s="1"/>
      <c r="AC75" s="1">
        <f t="shared" si="1"/>
        <v>0</v>
      </c>
    </row>
    <row r="76" spans="1:29">
      <c r="A76" s="17" t="s">
        <v>275</v>
      </c>
      <c r="B76" s="17"/>
      <c r="C76" s="17" t="s">
        <v>113</v>
      </c>
      <c r="D76" s="17"/>
      <c r="E76" s="13">
        <v>46508</v>
      </c>
      <c r="G76" s="1">
        <v>2487197</v>
      </c>
      <c r="I76" s="1">
        <v>0</v>
      </c>
      <c r="K76" s="41">
        <f t="shared" si="2"/>
        <v>2260233</v>
      </c>
      <c r="M76" s="1">
        <v>4747430</v>
      </c>
      <c r="O76" s="41">
        <f t="shared" si="3"/>
        <v>897838</v>
      </c>
      <c r="Q76" s="1">
        <f>1244555+73678</f>
        <v>1318233</v>
      </c>
      <c r="S76" s="1">
        <v>2216071</v>
      </c>
      <c r="U76" s="1">
        <f>121081+11154+470445</f>
        <v>602680</v>
      </c>
      <c r="W76" s="1">
        <v>0</v>
      </c>
      <c r="Y76" s="1">
        <v>1928679</v>
      </c>
      <c r="AA76" s="58">
        <f t="shared" si="0"/>
        <v>2531359</v>
      </c>
      <c r="AB76" s="1"/>
      <c r="AC76" s="1">
        <f t="shared" si="1"/>
        <v>0</v>
      </c>
    </row>
    <row r="77" spans="1:29">
      <c r="A77" s="17" t="s">
        <v>209</v>
      </c>
      <c r="B77" s="17"/>
      <c r="C77" s="17" t="s">
        <v>12</v>
      </c>
      <c r="D77" s="17"/>
      <c r="E77" s="13">
        <v>45856</v>
      </c>
      <c r="G77" s="1">
        <v>4422147</v>
      </c>
      <c r="I77" s="1">
        <v>156424</v>
      </c>
      <c r="K77" s="41">
        <f t="shared" si="2"/>
        <v>7256954</v>
      </c>
      <c r="M77" s="1">
        <v>11835525</v>
      </c>
      <c r="O77" s="41">
        <f t="shared" si="3"/>
        <v>2325925</v>
      </c>
      <c r="Q77" s="1">
        <v>4139789</v>
      </c>
      <c r="S77" s="1">
        <v>6465714</v>
      </c>
      <c r="U77" s="1">
        <f>239663+156424+2985353</f>
        <v>3381440</v>
      </c>
      <c r="W77" s="1">
        <v>0</v>
      </c>
      <c r="Y77" s="1">
        <v>1988371</v>
      </c>
      <c r="AA77" s="58">
        <f t="shared" si="0"/>
        <v>5369811</v>
      </c>
      <c r="AB77" s="1"/>
      <c r="AC77" s="1">
        <f t="shared" si="1"/>
        <v>0</v>
      </c>
    </row>
    <row r="78" spans="1:29">
      <c r="A78" s="17" t="s">
        <v>209</v>
      </c>
      <c r="B78" s="17"/>
      <c r="C78" s="17" t="s">
        <v>39</v>
      </c>
      <c r="D78" s="17"/>
      <c r="E78" s="13">
        <v>47787</v>
      </c>
      <c r="G78" s="1">
        <f>224897+402266+95465</f>
        <v>722628</v>
      </c>
      <c r="I78" s="1">
        <v>133452</v>
      </c>
      <c r="K78" s="41">
        <f t="shared" si="2"/>
        <v>6928336</v>
      </c>
      <c r="M78" s="1">
        <v>7784416</v>
      </c>
      <c r="O78" s="41">
        <f t="shared" si="3"/>
        <v>2348993</v>
      </c>
      <c r="Q78" s="1">
        <v>6446080</v>
      </c>
      <c r="S78" s="1">
        <v>8795073</v>
      </c>
      <c r="U78" s="1">
        <f>358786+115961+5959+11532</f>
        <v>492238</v>
      </c>
      <c r="W78" s="1">
        <v>0</v>
      </c>
      <c r="Y78" s="1">
        <v>-1502895</v>
      </c>
      <c r="AA78" s="58">
        <f t="shared" si="0"/>
        <v>-1010657</v>
      </c>
      <c r="AB78" s="1"/>
      <c r="AC78" s="1">
        <f t="shared" si="1"/>
        <v>0</v>
      </c>
    </row>
    <row r="79" spans="1:29">
      <c r="A79" s="12" t="s">
        <v>830</v>
      </c>
      <c r="B79" s="17"/>
      <c r="C79" s="17" t="s">
        <v>47</v>
      </c>
      <c r="D79" s="17"/>
      <c r="E79" s="13">
        <v>48470</v>
      </c>
      <c r="G79" s="1">
        <v>1426811</v>
      </c>
      <c r="I79" s="1">
        <v>0</v>
      </c>
      <c r="K79" s="41">
        <f t="shared" ref="K79:K90" si="4">+M79-I79-G79</f>
        <v>9033320</v>
      </c>
      <c r="M79" s="1">
        <v>10460131</v>
      </c>
      <c r="O79" s="41">
        <f t="shared" ref="O79:O91" si="5">+S79-Q79</f>
        <v>2543431</v>
      </c>
      <c r="Q79" s="1">
        <v>7821667</v>
      </c>
      <c r="S79" s="1">
        <v>10365098</v>
      </c>
      <c r="U79" s="1">
        <f>247000+1068900</f>
        <v>1315900</v>
      </c>
      <c r="W79" s="1">
        <v>0</v>
      </c>
      <c r="Y79" s="1">
        <v>-1220867</v>
      </c>
      <c r="AA79" s="58">
        <f t="shared" ref="AA79:AA91" si="6">+Y79+W79++U79</f>
        <v>95033</v>
      </c>
      <c r="AB79" s="1"/>
      <c r="AC79" s="1">
        <f t="shared" ref="AC79:AC91" si="7">+G79+I79+K79-O79-Q79-Y79-W79-U79</f>
        <v>0</v>
      </c>
    </row>
    <row r="80" spans="1:29">
      <c r="A80" s="1" t="s">
        <v>775</v>
      </c>
      <c r="B80" s="17"/>
      <c r="C80" s="17" t="s">
        <v>114</v>
      </c>
      <c r="D80" s="17"/>
      <c r="E80" s="13">
        <v>46755</v>
      </c>
      <c r="G80" s="1">
        <v>423980</v>
      </c>
      <c r="I80" s="1">
        <v>0</v>
      </c>
      <c r="K80" s="41">
        <f t="shared" si="4"/>
        <v>4424864</v>
      </c>
      <c r="M80" s="1">
        <v>4848844</v>
      </c>
      <c r="O80" s="41">
        <f t="shared" si="5"/>
        <v>456840</v>
      </c>
      <c r="Q80" s="1">
        <v>924041</v>
      </c>
      <c r="S80" s="1">
        <v>1380881</v>
      </c>
      <c r="U80" s="1">
        <v>2776288</v>
      </c>
      <c r="W80" s="1">
        <v>409215</v>
      </c>
      <c r="Y80" s="1">
        <v>282460</v>
      </c>
      <c r="AA80" s="58">
        <f t="shared" si="6"/>
        <v>3467963</v>
      </c>
      <c r="AB80" s="1"/>
      <c r="AC80" s="1">
        <f t="shared" si="7"/>
        <v>0</v>
      </c>
    </row>
    <row r="81" spans="1:29">
      <c r="A81" s="17" t="s">
        <v>312</v>
      </c>
      <c r="B81" s="17"/>
      <c r="C81" s="17" t="s">
        <v>23</v>
      </c>
      <c r="D81" s="17"/>
      <c r="E81" s="13">
        <v>46755</v>
      </c>
      <c r="G81" s="1">
        <v>3037285</v>
      </c>
      <c r="I81" s="1">
        <v>0</v>
      </c>
      <c r="K81" s="41">
        <f t="shared" si="4"/>
        <v>10961176</v>
      </c>
      <c r="M81" s="1">
        <v>13998461</v>
      </c>
      <c r="O81" s="41">
        <f t="shared" si="5"/>
        <v>2354704</v>
      </c>
      <c r="Q81" s="1">
        <f>368357+7844660</f>
        <v>8213017</v>
      </c>
      <c r="S81" s="1">
        <v>10567721</v>
      </c>
      <c r="U81" s="1">
        <f>147934+10468+974599+3102</f>
        <v>1136103</v>
      </c>
      <c r="W81" s="1">
        <v>0</v>
      </c>
      <c r="Y81" s="1">
        <v>2294637</v>
      </c>
      <c r="AA81" s="58">
        <f t="shared" si="6"/>
        <v>3430740</v>
      </c>
      <c r="AB81" s="1"/>
      <c r="AC81" s="1">
        <f t="shared" si="7"/>
        <v>0</v>
      </c>
    </row>
    <row r="82" spans="1:29">
      <c r="A82" s="17" t="s">
        <v>276</v>
      </c>
      <c r="B82" s="17"/>
      <c r="C82" s="17" t="s">
        <v>113</v>
      </c>
      <c r="D82" s="17"/>
      <c r="E82" s="13">
        <v>43687</v>
      </c>
      <c r="G82" s="1">
        <v>6728093</v>
      </c>
      <c r="I82" s="1">
        <v>73427</v>
      </c>
      <c r="K82" s="41">
        <f t="shared" si="4"/>
        <v>4355632</v>
      </c>
      <c r="M82" s="1">
        <v>11157152</v>
      </c>
      <c r="O82" s="41">
        <f t="shared" si="5"/>
        <v>1926455</v>
      </c>
      <c r="Q82" s="1">
        <v>2719963</v>
      </c>
      <c r="S82" s="1">
        <v>4646418</v>
      </c>
      <c r="U82" s="1">
        <f>1605952+67822+5605+250925</f>
        <v>1930304</v>
      </c>
      <c r="W82" s="1">
        <v>0</v>
      </c>
      <c r="Y82" s="1">
        <v>4580430</v>
      </c>
      <c r="AA82" s="58">
        <f t="shared" si="6"/>
        <v>6510734</v>
      </c>
      <c r="AB82" s="1"/>
      <c r="AC82" s="1">
        <f t="shared" si="7"/>
        <v>0</v>
      </c>
    </row>
    <row r="83" spans="1:29">
      <c r="A83" s="17" t="s">
        <v>517</v>
      </c>
      <c r="B83" s="17"/>
      <c r="C83" s="17" t="s">
        <v>52</v>
      </c>
      <c r="D83" s="17"/>
      <c r="E83" s="13">
        <v>45252</v>
      </c>
      <c r="G83" s="1">
        <v>1292166</v>
      </c>
      <c r="I83" s="1">
        <v>86930</v>
      </c>
      <c r="K83" s="41">
        <f t="shared" ref="K83" si="8">+M83-I83-G83</f>
        <v>2923529</v>
      </c>
      <c r="M83" s="1">
        <v>4302625</v>
      </c>
      <c r="O83" s="41">
        <f t="shared" si="5"/>
        <v>927486</v>
      </c>
      <c r="Q83" s="1">
        <v>2576335</v>
      </c>
      <c r="S83" s="1">
        <v>3503821</v>
      </c>
      <c r="U83" s="1">
        <f>134446+177+28284+58469+335479</f>
        <v>556855</v>
      </c>
      <c r="W83" s="1">
        <v>40000</v>
      </c>
      <c r="Y83" s="1">
        <v>201949</v>
      </c>
      <c r="AA83" s="58">
        <f t="shared" ref="AA83" si="9">+Y83+W83++U83</f>
        <v>798804</v>
      </c>
      <c r="AB83" s="1"/>
      <c r="AC83" s="1">
        <f t="shared" si="7"/>
        <v>0</v>
      </c>
    </row>
    <row r="84" spans="1:29">
      <c r="A84" s="17" t="s">
        <v>360</v>
      </c>
      <c r="B84" s="17"/>
      <c r="C84" s="17" t="s">
        <v>31</v>
      </c>
      <c r="D84" s="17"/>
      <c r="E84" s="13">
        <v>43695</v>
      </c>
      <c r="G84" s="1">
        <v>1211244</v>
      </c>
      <c r="I84" s="1">
        <f>15449+27499</f>
        <v>42948</v>
      </c>
      <c r="K84" s="41">
        <f t="shared" si="4"/>
        <v>6155607</v>
      </c>
      <c r="M84" s="1">
        <v>7409799</v>
      </c>
      <c r="O84" s="41">
        <f t="shared" si="5"/>
        <v>2414696</v>
      </c>
      <c r="Q84" s="1">
        <v>4826571</v>
      </c>
      <c r="S84" s="1">
        <v>7241267</v>
      </c>
      <c r="U84" s="1">
        <f>477605+1155000+16843+10656</f>
        <v>1660104</v>
      </c>
      <c r="W84" s="1">
        <v>0</v>
      </c>
      <c r="Y84" s="1">
        <v>-1491572</v>
      </c>
      <c r="AA84" s="58">
        <f t="shared" si="6"/>
        <v>168532</v>
      </c>
      <c r="AB84" s="1"/>
      <c r="AC84" s="1">
        <f t="shared" si="7"/>
        <v>0</v>
      </c>
    </row>
    <row r="85" spans="1:29">
      <c r="A85" s="17" t="s">
        <v>463</v>
      </c>
      <c r="B85" s="17"/>
      <c r="C85" s="17" t="s">
        <v>45</v>
      </c>
      <c r="D85" s="17"/>
      <c r="E85" s="13">
        <v>43703</v>
      </c>
      <c r="G85" s="1">
        <v>1117403</v>
      </c>
      <c r="I85" s="1">
        <v>103351</v>
      </c>
      <c r="K85" s="41">
        <f t="shared" si="4"/>
        <v>2908695</v>
      </c>
      <c r="M85" s="1">
        <v>4129449</v>
      </c>
      <c r="O85" s="41">
        <f t="shared" si="5"/>
        <v>1696236</v>
      </c>
      <c r="Q85" s="1">
        <v>2601851</v>
      </c>
      <c r="S85" s="1">
        <v>4298087</v>
      </c>
      <c r="U85" s="1">
        <f>131967+23159+80192</f>
        <v>235318</v>
      </c>
      <c r="W85" s="1">
        <v>0</v>
      </c>
      <c r="Y85" s="1">
        <v>-403956</v>
      </c>
      <c r="AA85" s="58">
        <f t="shared" si="6"/>
        <v>-168638</v>
      </c>
      <c r="AB85" s="1"/>
      <c r="AC85" s="1">
        <f t="shared" si="7"/>
        <v>0</v>
      </c>
    </row>
    <row r="86" spans="1:29">
      <c r="A86" s="17" t="s">
        <v>330</v>
      </c>
      <c r="B86" s="17"/>
      <c r="C86" s="17" t="s">
        <v>27</v>
      </c>
      <c r="D86" s="17"/>
      <c r="E86" s="13">
        <v>46946</v>
      </c>
      <c r="G86" s="1">
        <v>3799107</v>
      </c>
      <c r="I86" s="1">
        <v>0</v>
      </c>
      <c r="K86" s="41">
        <f t="shared" si="4"/>
        <v>18549481</v>
      </c>
      <c r="M86" s="1">
        <v>22348588</v>
      </c>
      <c r="O86" s="41">
        <f t="shared" si="5"/>
        <v>4594903</v>
      </c>
      <c r="Q86" s="1">
        <f>1109014+10897859</f>
        <v>12006873</v>
      </c>
      <c r="S86" s="1">
        <v>16601776</v>
      </c>
      <c r="U86" s="1">
        <f>607444+5246509</f>
        <v>5853953</v>
      </c>
      <c r="W86" s="1">
        <v>0</v>
      </c>
      <c r="Y86" s="1">
        <v>-107141</v>
      </c>
      <c r="AA86" s="58">
        <f t="shared" si="6"/>
        <v>5746812</v>
      </c>
      <c r="AB86" s="1"/>
      <c r="AC86" s="1">
        <f t="shared" si="7"/>
        <v>0</v>
      </c>
    </row>
    <row r="87" spans="1:29">
      <c r="A87" s="17"/>
      <c r="B87" s="17"/>
      <c r="C87" s="17"/>
      <c r="D87" s="17"/>
      <c r="E87" s="13"/>
      <c r="K87" s="41"/>
      <c r="O87" s="41"/>
      <c r="AA87" s="58"/>
      <c r="AB87" s="1"/>
    </row>
    <row r="88" spans="1:29">
      <c r="A88" s="17"/>
      <c r="B88" s="17"/>
      <c r="C88" s="17"/>
      <c r="D88" s="17"/>
      <c r="E88" s="13"/>
      <c r="K88" s="41"/>
      <c r="O88" s="41"/>
      <c r="AA88" s="41" t="s">
        <v>709</v>
      </c>
      <c r="AB88" s="1"/>
    </row>
    <row r="89" spans="1:29">
      <c r="A89" s="17"/>
      <c r="B89" s="17"/>
      <c r="C89" s="17"/>
      <c r="D89" s="17"/>
      <c r="E89" s="13"/>
      <c r="K89" s="41"/>
      <c r="O89" s="41"/>
      <c r="AA89" s="58"/>
      <c r="AB89" s="1"/>
    </row>
    <row r="90" spans="1:29">
      <c r="A90" s="17" t="s">
        <v>464</v>
      </c>
      <c r="B90" s="17"/>
      <c r="C90" s="17" t="s">
        <v>45</v>
      </c>
      <c r="D90" s="17"/>
      <c r="E90" s="13">
        <v>48314</v>
      </c>
      <c r="G90" s="16">
        <v>6034287</v>
      </c>
      <c r="H90" s="16"/>
      <c r="I90" s="16">
        <v>867642</v>
      </c>
      <c r="J90" s="16"/>
      <c r="K90" s="59">
        <f t="shared" si="4"/>
        <v>15942266</v>
      </c>
      <c r="L90" s="16"/>
      <c r="M90" s="16">
        <v>22844195</v>
      </c>
      <c r="N90" s="16"/>
      <c r="O90" s="59">
        <f t="shared" si="5"/>
        <v>2250669</v>
      </c>
      <c r="P90" s="16"/>
      <c r="Q90" s="16">
        <v>15856881</v>
      </c>
      <c r="R90" s="16"/>
      <c r="S90" s="16">
        <v>18107550</v>
      </c>
      <c r="T90" s="16"/>
      <c r="U90" s="16">
        <f>646+867642</f>
        <v>868288</v>
      </c>
      <c r="V90" s="16"/>
      <c r="W90" s="16">
        <v>0</v>
      </c>
      <c r="X90" s="16"/>
      <c r="Y90" s="16">
        <v>3868357</v>
      </c>
      <c r="Z90" s="16"/>
      <c r="AA90" s="90">
        <f t="shared" si="6"/>
        <v>4736645</v>
      </c>
      <c r="AB90" s="1"/>
      <c r="AC90" s="1">
        <f t="shared" si="7"/>
        <v>0</v>
      </c>
    </row>
    <row r="91" spans="1:29">
      <c r="A91" s="12" t="s">
        <v>574</v>
      </c>
      <c r="B91" s="17"/>
      <c r="C91" s="17" t="s">
        <v>62</v>
      </c>
      <c r="D91" s="17"/>
      <c r="E91" s="13">
        <v>43711</v>
      </c>
      <c r="G91" s="1">
        <v>0</v>
      </c>
      <c r="I91" s="1">
        <v>0</v>
      </c>
      <c r="K91" s="41">
        <f>+M91-I91-G91</f>
        <v>8554976</v>
      </c>
      <c r="M91" s="1">
        <v>8554976</v>
      </c>
      <c r="O91" s="41">
        <f t="shared" si="5"/>
        <v>3652547</v>
      </c>
      <c r="Q91" s="1">
        <f>7333625+713160</f>
        <v>8046785</v>
      </c>
      <c r="S91" s="1">
        <v>11699332</v>
      </c>
      <c r="U91" s="1">
        <f>53466+211200</f>
        <v>264666</v>
      </c>
      <c r="W91" s="1">
        <v>0</v>
      </c>
      <c r="Y91" s="1">
        <v>-3409022</v>
      </c>
      <c r="AA91" s="58">
        <f t="shared" si="6"/>
        <v>-3144356</v>
      </c>
      <c r="AB91" s="1"/>
      <c r="AC91" s="1">
        <f t="shared" si="7"/>
        <v>0</v>
      </c>
    </row>
    <row r="92" spans="1:29" s="1" customFormat="1">
      <c r="A92" s="12" t="s">
        <v>573</v>
      </c>
      <c r="B92" s="12"/>
      <c r="C92" s="12" t="s">
        <v>62</v>
      </c>
      <c r="D92" s="12"/>
      <c r="E92" s="13">
        <v>49833</v>
      </c>
      <c r="G92" s="1">
        <v>11047000</v>
      </c>
      <c r="I92" s="1">
        <v>604000</v>
      </c>
      <c r="K92" s="41">
        <f t="shared" ref="K92:K157" si="10">+M92-I92-G92</f>
        <v>28904000</v>
      </c>
      <c r="M92" s="1">
        <v>40555000</v>
      </c>
      <c r="O92" s="41">
        <f t="shared" ref="O92:O158" si="11">+S92-Q92</f>
        <v>14835000</v>
      </c>
      <c r="Q92" s="1">
        <f>5060000+21275000</f>
        <v>26335000</v>
      </c>
      <c r="S92" s="1">
        <v>41170000</v>
      </c>
      <c r="U92" s="1">
        <f>1642000+604000+183000+1021000+57000</f>
        <v>3507000</v>
      </c>
      <c r="W92" s="1">
        <v>0</v>
      </c>
      <c r="Y92" s="1">
        <v>-4122000</v>
      </c>
      <c r="AA92" s="58">
        <f t="shared" ref="AA92:AA157" si="12">+Y92+W92++U92</f>
        <v>-615000</v>
      </c>
      <c r="AC92" s="1">
        <f t="shared" ref="AC92:AC154" si="13">+G92+I92+K92-O92-Q92-Y92-W92-U92</f>
        <v>0</v>
      </c>
    </row>
    <row r="93" spans="1:29">
      <c r="A93" s="17" t="s">
        <v>352</v>
      </c>
      <c r="B93" s="17"/>
      <c r="C93" s="17" t="s">
        <v>30</v>
      </c>
      <c r="D93" s="17"/>
      <c r="E93" s="13">
        <v>47175</v>
      </c>
      <c r="G93" s="1">
        <v>474631</v>
      </c>
      <c r="I93" s="1">
        <v>598532</v>
      </c>
      <c r="K93" s="41">
        <f t="shared" si="10"/>
        <v>6527974</v>
      </c>
      <c r="M93" s="1">
        <v>7601137</v>
      </c>
      <c r="O93" s="41">
        <f t="shared" si="11"/>
        <v>1769703</v>
      </c>
      <c r="Q93" s="1">
        <v>5758579</v>
      </c>
      <c r="S93" s="1">
        <v>7528282</v>
      </c>
      <c r="U93" s="1">
        <f>15474+500170+598532</f>
        <v>1114176</v>
      </c>
      <c r="W93" s="1">
        <v>0</v>
      </c>
      <c r="Y93" s="1">
        <v>-1041321</v>
      </c>
      <c r="AA93" s="58">
        <f t="shared" si="12"/>
        <v>72855</v>
      </c>
      <c r="AB93" s="1"/>
      <c r="AC93" s="1">
        <f t="shared" si="13"/>
        <v>0</v>
      </c>
    </row>
    <row r="94" spans="1:29">
      <c r="A94" s="12" t="s">
        <v>924</v>
      </c>
      <c r="B94" s="17"/>
      <c r="C94" s="17" t="s">
        <v>78</v>
      </c>
      <c r="D94" s="17"/>
      <c r="E94" s="13">
        <v>48793</v>
      </c>
      <c r="G94" s="1">
        <v>988905</v>
      </c>
      <c r="I94" s="1">
        <v>28476</v>
      </c>
      <c r="K94" s="41">
        <f t="shared" si="10"/>
        <v>2233613</v>
      </c>
      <c r="M94" s="1">
        <v>3250994</v>
      </c>
      <c r="O94" s="41">
        <f t="shared" si="11"/>
        <v>1144467</v>
      </c>
      <c r="Q94" s="1">
        <f>1483337+216191</f>
        <v>1699528</v>
      </c>
      <c r="S94" s="1">
        <v>2843995</v>
      </c>
      <c r="U94" s="1">
        <f>34755+18016+459347+28476</f>
        <v>540594</v>
      </c>
      <c r="W94" s="1">
        <v>0</v>
      </c>
      <c r="Y94" s="1">
        <v>-133595</v>
      </c>
      <c r="AA94" s="58">
        <f t="shared" si="12"/>
        <v>406999</v>
      </c>
      <c r="AB94" s="1"/>
      <c r="AC94" s="1">
        <f t="shared" si="13"/>
        <v>0</v>
      </c>
    </row>
    <row r="95" spans="1:29" hidden="1">
      <c r="A95" s="12" t="s">
        <v>739</v>
      </c>
      <c r="B95" s="17"/>
      <c r="C95" s="17" t="s">
        <v>653</v>
      </c>
      <c r="D95" s="17"/>
      <c r="E95" s="13">
        <v>45260</v>
      </c>
      <c r="K95" s="41">
        <f t="shared" si="10"/>
        <v>0</v>
      </c>
      <c r="O95" s="41">
        <f t="shared" si="11"/>
        <v>0</v>
      </c>
      <c r="AA95" s="58">
        <f t="shared" si="12"/>
        <v>0</v>
      </c>
      <c r="AB95" s="1"/>
      <c r="AC95" s="1">
        <f t="shared" si="13"/>
        <v>0</v>
      </c>
    </row>
    <row r="96" spans="1:29">
      <c r="A96" s="17" t="s">
        <v>631</v>
      </c>
      <c r="B96" s="17"/>
      <c r="C96" s="17" t="s">
        <v>69</v>
      </c>
      <c r="D96" s="17"/>
      <c r="E96" s="13">
        <v>50419</v>
      </c>
      <c r="G96" s="1">
        <v>1571569</v>
      </c>
      <c r="I96" s="1">
        <v>0</v>
      </c>
      <c r="K96" s="41">
        <f t="shared" si="10"/>
        <v>5105010</v>
      </c>
      <c r="M96" s="1">
        <v>6676579</v>
      </c>
      <c r="O96" s="41">
        <f t="shared" si="11"/>
        <v>1873426</v>
      </c>
      <c r="Q96" s="1">
        <v>4049922</v>
      </c>
      <c r="S96" s="1">
        <v>5923348</v>
      </c>
      <c r="U96" s="1">
        <v>288196</v>
      </c>
      <c r="W96" s="1">
        <v>0</v>
      </c>
      <c r="Y96" s="1">
        <v>465035</v>
      </c>
      <c r="AA96" s="58">
        <f t="shared" si="12"/>
        <v>753231</v>
      </c>
      <c r="AB96" s="1"/>
      <c r="AC96" s="1">
        <f t="shared" si="13"/>
        <v>0</v>
      </c>
    </row>
    <row r="97" spans="1:29">
      <c r="A97" s="17" t="s">
        <v>238</v>
      </c>
      <c r="B97" s="17"/>
      <c r="C97" s="17" t="s">
        <v>16</v>
      </c>
      <c r="D97" s="17"/>
      <c r="E97" s="13">
        <v>45278</v>
      </c>
      <c r="G97" s="1">
        <v>4789252</v>
      </c>
      <c r="I97" s="1">
        <v>0</v>
      </c>
      <c r="K97" s="41">
        <f t="shared" si="10"/>
        <v>6120442</v>
      </c>
      <c r="M97" s="1">
        <v>10909694</v>
      </c>
      <c r="O97" s="41">
        <f t="shared" si="11"/>
        <v>1996409</v>
      </c>
      <c r="Q97" s="1">
        <v>5552710</v>
      </c>
      <c r="S97" s="1">
        <v>7549119</v>
      </c>
      <c r="U97" s="1">
        <f>474148+325800</f>
        <v>799948</v>
      </c>
      <c r="W97" s="1">
        <v>0</v>
      </c>
      <c r="Y97" s="1">
        <v>2560627</v>
      </c>
      <c r="AA97" s="58">
        <f t="shared" si="12"/>
        <v>3360575</v>
      </c>
      <c r="AB97" s="1"/>
      <c r="AC97" s="1">
        <f t="shared" si="13"/>
        <v>0</v>
      </c>
    </row>
    <row r="98" spans="1:29" hidden="1">
      <c r="A98" s="12" t="s">
        <v>925</v>
      </c>
      <c r="B98" s="17"/>
      <c r="C98" s="17" t="s">
        <v>116</v>
      </c>
      <c r="D98" s="17"/>
      <c r="E98" s="13">
        <v>47258</v>
      </c>
      <c r="K98" s="41">
        <f t="shared" si="10"/>
        <v>0</v>
      </c>
      <c r="O98" s="41">
        <f t="shared" si="11"/>
        <v>0</v>
      </c>
      <c r="AA98" s="58">
        <f t="shared" si="12"/>
        <v>0</v>
      </c>
      <c r="AB98" s="1"/>
      <c r="AC98" s="1">
        <f t="shared" si="13"/>
        <v>0</v>
      </c>
    </row>
    <row r="99" spans="1:29" hidden="1">
      <c r="A99" s="12" t="s">
        <v>740</v>
      </c>
      <c r="B99" s="17"/>
      <c r="C99" s="17" t="s">
        <v>486</v>
      </c>
      <c r="D99" s="17"/>
      <c r="E99" s="13">
        <v>43729</v>
      </c>
      <c r="K99" s="41">
        <f t="shared" si="10"/>
        <v>0</v>
      </c>
      <c r="O99" s="41">
        <f t="shared" si="11"/>
        <v>0</v>
      </c>
      <c r="AA99" s="58">
        <f t="shared" si="12"/>
        <v>0</v>
      </c>
      <c r="AB99" s="1"/>
      <c r="AC99" s="1">
        <f t="shared" si="13"/>
        <v>0</v>
      </c>
    </row>
    <row r="100" spans="1:29">
      <c r="A100" s="12" t="s">
        <v>414</v>
      </c>
      <c r="B100" s="17"/>
      <c r="C100" s="17" t="s">
        <v>40</v>
      </c>
      <c r="D100" s="17"/>
      <c r="E100" s="13">
        <v>47829</v>
      </c>
      <c r="G100" s="1">
        <v>3286330</v>
      </c>
      <c r="I100" s="1">
        <v>381984</v>
      </c>
      <c r="K100" s="41">
        <f t="shared" si="10"/>
        <v>2650717</v>
      </c>
      <c r="M100" s="1">
        <v>6319031</v>
      </c>
      <c r="O100" s="41">
        <f t="shared" si="11"/>
        <v>869503</v>
      </c>
      <c r="Q100" s="1">
        <v>1415786</v>
      </c>
      <c r="S100" s="1">
        <v>2285289</v>
      </c>
      <c r="U100" s="1">
        <f>247966+879928+98263+283721</f>
        <v>1509878</v>
      </c>
      <c r="W100" s="1">
        <v>0</v>
      </c>
      <c r="Y100" s="1">
        <v>2523864</v>
      </c>
      <c r="AA100" s="58">
        <f t="shared" si="12"/>
        <v>4033742</v>
      </c>
      <c r="AB100" s="1"/>
      <c r="AC100" s="1">
        <f t="shared" si="13"/>
        <v>0</v>
      </c>
    </row>
    <row r="101" spans="1:29">
      <c r="A101" s="14" t="s">
        <v>795</v>
      </c>
      <c r="B101" s="17"/>
      <c r="C101" s="17" t="s">
        <v>50</v>
      </c>
      <c r="D101" s="17"/>
      <c r="E101" s="13">
        <v>43737</v>
      </c>
      <c r="G101" s="1">
        <v>18529378</v>
      </c>
      <c r="I101" s="1">
        <v>141886</v>
      </c>
      <c r="K101" s="41">
        <f t="shared" si="10"/>
        <v>54354236</v>
      </c>
      <c r="M101" s="1">
        <v>73025500</v>
      </c>
      <c r="O101" s="41">
        <f t="shared" si="11"/>
        <v>9446891</v>
      </c>
      <c r="Q101" s="1">
        <v>50788115</v>
      </c>
      <c r="S101" s="1">
        <v>60235006</v>
      </c>
      <c r="U101" s="1">
        <f>252555+3383233+141886</f>
        <v>3777674</v>
      </c>
      <c r="W101" s="1">
        <v>0</v>
      </c>
      <c r="Y101" s="1">
        <v>9012820</v>
      </c>
      <c r="AA101" s="58">
        <f t="shared" si="12"/>
        <v>12790494</v>
      </c>
      <c r="AB101" s="1"/>
      <c r="AC101" s="1">
        <f t="shared" si="13"/>
        <v>0</v>
      </c>
    </row>
    <row r="102" spans="1:29" hidden="1">
      <c r="A102" s="12" t="s">
        <v>926</v>
      </c>
      <c r="B102" s="17"/>
      <c r="C102" s="17" t="s">
        <v>22</v>
      </c>
      <c r="D102" s="17"/>
      <c r="E102" s="13">
        <v>46714</v>
      </c>
      <c r="I102" s="1">
        <v>0</v>
      </c>
      <c r="K102" s="41">
        <f t="shared" si="10"/>
        <v>0</v>
      </c>
      <c r="O102" s="41">
        <f t="shared" si="11"/>
        <v>0</v>
      </c>
      <c r="AA102" s="58">
        <f t="shared" si="12"/>
        <v>0</v>
      </c>
      <c r="AB102" s="1"/>
      <c r="AC102" s="1">
        <f t="shared" si="13"/>
        <v>0</v>
      </c>
    </row>
    <row r="103" spans="1:29">
      <c r="A103" s="17" t="s">
        <v>285</v>
      </c>
      <c r="B103" s="17"/>
      <c r="C103" s="17" t="s">
        <v>20</v>
      </c>
      <c r="D103" s="17"/>
      <c r="E103" s="13">
        <v>45286</v>
      </c>
      <c r="G103" s="1">
        <v>6146206</v>
      </c>
      <c r="I103" s="1">
        <v>0</v>
      </c>
      <c r="K103" s="41">
        <f t="shared" si="10"/>
        <v>18644798</v>
      </c>
      <c r="M103" s="1">
        <v>24791004</v>
      </c>
      <c r="O103" s="41">
        <f t="shared" si="11"/>
        <v>2755923</v>
      </c>
      <c r="Q103" s="1">
        <v>16415864</v>
      </c>
      <c r="S103" s="1">
        <v>19171787</v>
      </c>
      <c r="U103" s="1">
        <f>89194+2191653</f>
        <v>2280847</v>
      </c>
      <c r="W103" s="1">
        <v>0</v>
      </c>
      <c r="Y103" s="1">
        <v>3338370</v>
      </c>
      <c r="AA103" s="58">
        <f t="shared" si="12"/>
        <v>5619217</v>
      </c>
      <c r="AB103" s="1"/>
      <c r="AC103" s="1">
        <f t="shared" si="13"/>
        <v>0</v>
      </c>
    </row>
    <row r="104" spans="1:29">
      <c r="A104" s="17" t="s">
        <v>602</v>
      </c>
      <c r="B104" s="17"/>
      <c r="C104" s="17" t="s">
        <v>64</v>
      </c>
      <c r="D104" s="17"/>
      <c r="E104" s="13">
        <v>50138</v>
      </c>
      <c r="G104" s="1">
        <v>531006</v>
      </c>
      <c r="I104" s="1">
        <v>0</v>
      </c>
      <c r="K104" s="41">
        <f t="shared" si="10"/>
        <v>4022770</v>
      </c>
      <c r="M104" s="1">
        <v>4553776</v>
      </c>
      <c r="O104" s="41">
        <f t="shared" si="11"/>
        <v>1370959</v>
      </c>
      <c r="Q104" s="1">
        <f>3049288+895809</f>
        <v>3945097</v>
      </c>
      <c r="S104" s="1">
        <v>5316056</v>
      </c>
      <c r="U104" s="1">
        <f>46218+3654+23031+50272</f>
        <v>123175</v>
      </c>
      <c r="W104" s="1">
        <v>0</v>
      </c>
      <c r="Y104" s="1">
        <v>-885455</v>
      </c>
      <c r="AA104" s="58">
        <f t="shared" si="12"/>
        <v>-762280</v>
      </c>
      <c r="AB104" s="1"/>
      <c r="AC104" s="1">
        <f t="shared" si="13"/>
        <v>0</v>
      </c>
    </row>
    <row r="105" spans="1:29" hidden="1">
      <c r="A105" s="12" t="s">
        <v>927</v>
      </c>
      <c r="B105" s="17"/>
      <c r="C105" s="17" t="s">
        <v>30</v>
      </c>
      <c r="D105" s="17"/>
      <c r="E105" s="13">
        <v>47183</v>
      </c>
      <c r="K105" s="41">
        <f t="shared" si="10"/>
        <v>0</v>
      </c>
      <c r="O105" s="41">
        <f t="shared" si="11"/>
        <v>0</v>
      </c>
      <c r="AA105" s="58">
        <f t="shared" si="12"/>
        <v>0</v>
      </c>
      <c r="AB105" s="1"/>
      <c r="AC105" s="1">
        <f t="shared" si="13"/>
        <v>0</v>
      </c>
    </row>
    <row r="106" spans="1:29">
      <c r="A106" s="17" t="s">
        <v>419</v>
      </c>
      <c r="B106" s="17"/>
      <c r="C106" s="17" t="s">
        <v>420</v>
      </c>
      <c r="D106" s="17"/>
      <c r="E106" s="13">
        <v>45294</v>
      </c>
      <c r="G106" s="1">
        <v>694311</v>
      </c>
      <c r="I106" s="1">
        <v>702441</v>
      </c>
      <c r="K106" s="41">
        <f t="shared" si="10"/>
        <v>2331055</v>
      </c>
      <c r="M106" s="1">
        <v>3727807</v>
      </c>
      <c r="O106" s="41">
        <f t="shared" si="11"/>
        <v>1455661</v>
      </c>
      <c r="Q106" s="1">
        <v>2065297</v>
      </c>
      <c r="S106" s="1">
        <v>3520958</v>
      </c>
      <c r="U106" s="1">
        <f>120604+255444+541843+41685+118913</f>
        <v>1078489</v>
      </c>
      <c r="W106" s="1">
        <v>0</v>
      </c>
      <c r="Y106" s="1">
        <v>-871640</v>
      </c>
      <c r="AA106" s="58">
        <f t="shared" si="12"/>
        <v>206849</v>
      </c>
      <c r="AB106" s="1"/>
      <c r="AC106" s="1">
        <f t="shared" si="13"/>
        <v>0</v>
      </c>
    </row>
    <row r="107" spans="1:29">
      <c r="A107" s="17" t="s">
        <v>550</v>
      </c>
      <c r="B107" s="17"/>
      <c r="C107" s="17" t="s">
        <v>58</v>
      </c>
      <c r="D107" s="17"/>
      <c r="E107" s="13">
        <v>43745</v>
      </c>
      <c r="G107" s="1">
        <v>4121488</v>
      </c>
      <c r="I107" s="1">
        <v>492</v>
      </c>
      <c r="K107" s="41">
        <f t="shared" si="10"/>
        <v>10420826</v>
      </c>
      <c r="M107" s="1">
        <v>14542806</v>
      </c>
      <c r="O107" s="41">
        <f t="shared" si="11"/>
        <v>2865597</v>
      </c>
      <c r="Q107" s="1">
        <v>8476787</v>
      </c>
      <c r="S107" s="1">
        <v>11342384</v>
      </c>
      <c r="U107" s="1">
        <f>105095+1683400+492</f>
        <v>1788987</v>
      </c>
      <c r="W107" s="1">
        <v>221423</v>
      </c>
      <c r="Y107" s="1">
        <v>1190012</v>
      </c>
      <c r="AA107" s="58">
        <f t="shared" si="12"/>
        <v>3200422</v>
      </c>
      <c r="AB107" s="1"/>
      <c r="AC107" s="1">
        <f t="shared" si="13"/>
        <v>0</v>
      </c>
    </row>
    <row r="108" spans="1:29">
      <c r="A108" s="12" t="s">
        <v>640</v>
      </c>
      <c r="B108" s="17"/>
      <c r="C108" s="17" t="s">
        <v>71</v>
      </c>
      <c r="D108" s="17"/>
      <c r="E108" s="13">
        <v>50534</v>
      </c>
      <c r="G108" s="1">
        <v>4376142</v>
      </c>
      <c r="I108" s="1">
        <v>43205</v>
      </c>
      <c r="K108" s="41">
        <f t="shared" si="10"/>
        <v>4242056</v>
      </c>
      <c r="M108" s="1">
        <v>8661403</v>
      </c>
      <c r="O108" s="41">
        <f t="shared" si="11"/>
        <v>1274096</v>
      </c>
      <c r="Q108" s="1">
        <f>61107+3030020</f>
        <v>3091127</v>
      </c>
      <c r="S108" s="1">
        <v>4365223</v>
      </c>
      <c r="U108" s="1">
        <f>155982+25031+125150+308880+43205</f>
        <v>658248</v>
      </c>
      <c r="W108" s="1">
        <v>150386</v>
      </c>
      <c r="Y108" s="1">
        <v>3487546</v>
      </c>
      <c r="AA108" s="58">
        <f t="shared" si="12"/>
        <v>4296180</v>
      </c>
      <c r="AB108" s="1"/>
      <c r="AC108" s="1">
        <f t="shared" si="13"/>
        <v>0</v>
      </c>
    </row>
    <row r="109" spans="1:29">
      <c r="A109" s="12" t="s">
        <v>928</v>
      </c>
      <c r="B109" s="17"/>
      <c r="C109" s="17" t="s">
        <v>32</v>
      </c>
      <c r="D109" s="17"/>
      <c r="E109" s="13">
        <v>43752</v>
      </c>
      <c r="G109" s="1">
        <v>90266123</v>
      </c>
      <c r="I109" s="1">
        <v>1420826</v>
      </c>
      <c r="K109" s="41">
        <f t="shared" si="10"/>
        <v>312529079</v>
      </c>
      <c r="M109" s="1">
        <v>404216028</v>
      </c>
      <c r="O109" s="41">
        <f t="shared" si="11"/>
        <v>39251262</v>
      </c>
      <c r="Q109" s="1">
        <f>246259777+21634</f>
        <v>246281411</v>
      </c>
      <c r="S109" s="1">
        <v>285532673</v>
      </c>
      <c r="U109" s="1">
        <f>6826802+63952348+1420826+601073</f>
        <v>72801049</v>
      </c>
      <c r="W109" s="1">
        <v>0</v>
      </c>
      <c r="Y109" s="1">
        <v>45882306</v>
      </c>
      <c r="AA109" s="58">
        <f t="shared" si="12"/>
        <v>118683355</v>
      </c>
      <c r="AB109" s="1"/>
      <c r="AC109" s="1">
        <f t="shared" si="13"/>
        <v>0</v>
      </c>
    </row>
    <row r="110" spans="1:29" s="16" customFormat="1">
      <c r="A110" s="14" t="s">
        <v>525</v>
      </c>
      <c r="B110" s="14"/>
      <c r="C110" s="14" t="s">
        <v>54</v>
      </c>
      <c r="D110" s="14"/>
      <c r="E110" s="13">
        <v>43760</v>
      </c>
      <c r="G110" s="1">
        <v>13548990</v>
      </c>
      <c r="H110" s="1"/>
      <c r="I110" s="1">
        <v>104324</v>
      </c>
      <c r="J110" s="1"/>
      <c r="K110" s="41">
        <f t="shared" si="10"/>
        <v>9019334</v>
      </c>
      <c r="L110" s="1"/>
      <c r="M110" s="1">
        <v>22672648</v>
      </c>
      <c r="N110" s="1"/>
      <c r="O110" s="41">
        <f t="shared" si="11"/>
        <v>2728830</v>
      </c>
      <c r="P110" s="1"/>
      <c r="Q110" s="1">
        <f>6615267+465229</f>
        <v>7080496</v>
      </c>
      <c r="R110" s="1"/>
      <c r="S110" s="1">
        <v>9809326</v>
      </c>
      <c r="T110" s="1"/>
      <c r="U110" s="1">
        <f>147752+16734+920106+82071+22253</f>
        <v>1188916</v>
      </c>
      <c r="V110" s="1"/>
      <c r="W110" s="1">
        <v>0</v>
      </c>
      <c r="X110" s="1"/>
      <c r="Y110" s="1">
        <v>11674406</v>
      </c>
      <c r="Z110" s="1"/>
      <c r="AA110" s="58">
        <f t="shared" si="12"/>
        <v>12863322</v>
      </c>
      <c r="AB110" s="1"/>
      <c r="AC110" s="1">
        <f t="shared" si="13"/>
        <v>0</v>
      </c>
    </row>
    <row r="111" spans="1:29">
      <c r="A111" s="17" t="s">
        <v>245</v>
      </c>
      <c r="B111" s="17"/>
      <c r="C111" s="17" t="s">
        <v>17</v>
      </c>
      <c r="D111" s="17"/>
      <c r="E111" s="13">
        <v>46284</v>
      </c>
      <c r="G111" s="1">
        <v>2590981</v>
      </c>
      <c r="I111" s="1">
        <v>21270</v>
      </c>
      <c r="K111" s="41">
        <f t="shared" si="10"/>
        <v>10780295</v>
      </c>
      <c r="M111" s="1">
        <v>13392546</v>
      </c>
      <c r="O111" s="41">
        <f t="shared" si="11"/>
        <v>2369067</v>
      </c>
      <c r="Q111" s="1">
        <v>8497720</v>
      </c>
      <c r="S111" s="1">
        <v>10866787</v>
      </c>
      <c r="U111" s="1">
        <f>118270+2369910+21270</f>
        <v>2509450</v>
      </c>
      <c r="W111" s="1">
        <v>0</v>
      </c>
      <c r="Y111" s="1">
        <v>16309</v>
      </c>
      <c r="AA111" s="58">
        <f t="shared" si="12"/>
        <v>2525759</v>
      </c>
      <c r="AB111" s="1"/>
      <c r="AC111" s="1">
        <f t="shared" si="13"/>
        <v>0</v>
      </c>
    </row>
    <row r="112" spans="1:29">
      <c r="A112" s="17" t="s">
        <v>560</v>
      </c>
      <c r="B112" s="17"/>
      <c r="C112" s="17" t="s">
        <v>59</v>
      </c>
      <c r="D112" s="17"/>
      <c r="E112" s="13">
        <v>49601</v>
      </c>
      <c r="G112" s="1">
        <v>482530</v>
      </c>
      <c r="I112" s="1">
        <v>0</v>
      </c>
      <c r="K112" s="41">
        <f t="shared" si="10"/>
        <v>1108190</v>
      </c>
      <c r="M112" s="1">
        <v>1590720</v>
      </c>
      <c r="O112" s="41">
        <f t="shared" si="11"/>
        <v>521623</v>
      </c>
      <c r="Q112" s="1">
        <v>1005127</v>
      </c>
      <c r="S112" s="1">
        <v>1526750</v>
      </c>
      <c r="U112" s="1">
        <f>32771+78798</f>
        <v>111569</v>
      </c>
      <c r="W112" s="1">
        <v>0</v>
      </c>
      <c r="Y112" s="1">
        <v>-47599</v>
      </c>
      <c r="AA112" s="58">
        <f t="shared" si="12"/>
        <v>63970</v>
      </c>
      <c r="AB112" s="1"/>
      <c r="AC112" s="1">
        <f t="shared" si="13"/>
        <v>0</v>
      </c>
    </row>
    <row r="113" spans="1:29">
      <c r="A113" s="17" t="s">
        <v>618</v>
      </c>
      <c r="B113" s="17"/>
      <c r="C113" s="17" t="s">
        <v>65</v>
      </c>
      <c r="D113" s="17"/>
      <c r="E113" s="13">
        <v>43778</v>
      </c>
      <c r="G113" s="1">
        <v>2914618</v>
      </c>
      <c r="I113" s="1">
        <v>197257</v>
      </c>
      <c r="K113" s="41">
        <f t="shared" si="10"/>
        <v>3683488</v>
      </c>
      <c r="M113" s="1">
        <v>6795363</v>
      </c>
      <c r="O113" s="41">
        <f t="shared" si="11"/>
        <v>2075432</v>
      </c>
      <c r="Q113" s="1">
        <f>502426+2686513</f>
        <v>3188939</v>
      </c>
      <c r="S113" s="1">
        <v>5264371</v>
      </c>
      <c r="U113" s="1">
        <f>1092909+16680+257807+185767+11490</f>
        <v>1564653</v>
      </c>
      <c r="W113" s="1">
        <v>0</v>
      </c>
      <c r="Y113" s="1">
        <v>-33661</v>
      </c>
      <c r="AA113" s="58">
        <f t="shared" si="12"/>
        <v>1530992</v>
      </c>
      <c r="AB113" s="1"/>
      <c r="AC113" s="1">
        <f t="shared" si="13"/>
        <v>0</v>
      </c>
    </row>
    <row r="114" spans="1:29">
      <c r="A114" s="17" t="s">
        <v>543</v>
      </c>
      <c r="B114" s="17"/>
      <c r="C114" s="17" t="s">
        <v>112</v>
      </c>
      <c r="D114" s="17"/>
      <c r="E114" s="13">
        <v>49411</v>
      </c>
      <c r="G114" s="1">
        <v>6491136</v>
      </c>
      <c r="I114" s="1">
        <v>1112</v>
      </c>
      <c r="K114" s="41">
        <f t="shared" si="10"/>
        <v>4063662</v>
      </c>
      <c r="M114" s="1">
        <v>10555910</v>
      </c>
      <c r="O114" s="41">
        <f t="shared" si="11"/>
        <v>1447800</v>
      </c>
      <c r="Q114" s="1">
        <f>373853+2849048</f>
        <v>3222901</v>
      </c>
      <c r="S114" s="1">
        <v>4670701</v>
      </c>
      <c r="U114" s="1">
        <f>12303+17620+215006+586577</f>
        <v>831506</v>
      </c>
      <c r="W114" s="1">
        <v>0</v>
      </c>
      <c r="Y114" s="1">
        <v>5053703</v>
      </c>
      <c r="AA114" s="58">
        <f t="shared" si="12"/>
        <v>5885209</v>
      </c>
      <c r="AB114" s="1"/>
      <c r="AC114" s="1">
        <f t="shared" si="13"/>
        <v>0</v>
      </c>
    </row>
    <row r="115" spans="1:29">
      <c r="A115" s="17" t="s">
        <v>438</v>
      </c>
      <c r="B115" s="17"/>
      <c r="C115" s="17" t="s">
        <v>44</v>
      </c>
      <c r="D115" s="17"/>
      <c r="E115" s="13">
        <v>48132</v>
      </c>
      <c r="G115" s="1">
        <v>1261371</v>
      </c>
      <c r="I115" s="1">
        <v>251559</v>
      </c>
      <c r="K115" s="41">
        <f t="shared" si="10"/>
        <v>3222476</v>
      </c>
      <c r="M115" s="1">
        <v>4735406</v>
      </c>
      <c r="O115" s="41">
        <f t="shared" si="11"/>
        <v>2009073</v>
      </c>
      <c r="Q115" s="1">
        <v>2998922</v>
      </c>
      <c r="S115" s="1">
        <v>5007995</v>
      </c>
      <c r="U115" s="1">
        <f>8909+242650+141554+102239</f>
        <v>495352</v>
      </c>
      <c r="W115" s="1">
        <v>0</v>
      </c>
      <c r="Y115" s="1">
        <v>-767941</v>
      </c>
      <c r="AA115" s="58">
        <f t="shared" si="12"/>
        <v>-272589</v>
      </c>
      <c r="AB115" s="1"/>
      <c r="AC115" s="1">
        <f t="shared" si="13"/>
        <v>0</v>
      </c>
    </row>
    <row r="116" spans="1:29">
      <c r="A116" s="17" t="s">
        <v>797</v>
      </c>
      <c r="B116" s="17"/>
      <c r="C116" s="17" t="s">
        <v>115</v>
      </c>
      <c r="D116" s="17"/>
      <c r="E116" s="13"/>
      <c r="G116" s="1">
        <v>229312</v>
      </c>
      <c r="I116" s="1">
        <v>0</v>
      </c>
      <c r="K116" s="41">
        <f t="shared" si="10"/>
        <v>6564453</v>
      </c>
      <c r="M116" s="1">
        <v>6793765</v>
      </c>
      <c r="O116" s="41">
        <f t="shared" si="11"/>
        <v>1398067</v>
      </c>
      <c r="Q116" s="1">
        <v>4960716</v>
      </c>
      <c r="S116" s="1">
        <v>6358783</v>
      </c>
      <c r="U116" s="1">
        <f>42095+627200</f>
        <v>669295</v>
      </c>
      <c r="W116" s="1">
        <v>0</v>
      </c>
      <c r="Y116" s="1">
        <v>-234313</v>
      </c>
      <c r="AA116" s="58">
        <f t="shared" si="12"/>
        <v>434982</v>
      </c>
      <c r="AB116" s="1"/>
      <c r="AC116" s="1">
        <f t="shared" si="13"/>
        <v>0</v>
      </c>
    </row>
    <row r="117" spans="1:29">
      <c r="A117" s="12" t="s">
        <v>796</v>
      </c>
      <c r="B117" s="17"/>
      <c r="C117" s="17" t="s">
        <v>20</v>
      </c>
      <c r="D117" s="17"/>
      <c r="E117" s="13">
        <v>43794</v>
      </c>
      <c r="G117" s="1">
        <v>38911479</v>
      </c>
      <c r="I117" s="1">
        <v>1734828</v>
      </c>
      <c r="K117" s="41">
        <f t="shared" si="10"/>
        <v>74948656</v>
      </c>
      <c r="M117" s="1">
        <v>115594963</v>
      </c>
      <c r="O117" s="41">
        <f t="shared" si="11"/>
        <v>4208586</v>
      </c>
      <c r="Q117" s="1">
        <v>50105454</v>
      </c>
      <c r="S117" s="1">
        <v>54314040</v>
      </c>
      <c r="U117" s="1">
        <f>2049784+391876+16382951+1734828</f>
        <v>20559439</v>
      </c>
      <c r="W117" s="1">
        <v>0</v>
      </c>
      <c r="Y117" s="1">
        <v>40721484</v>
      </c>
      <c r="AA117" s="58">
        <f t="shared" si="12"/>
        <v>61280923</v>
      </c>
      <c r="AB117" s="1"/>
      <c r="AC117" s="1">
        <f t="shared" si="13"/>
        <v>0</v>
      </c>
    </row>
    <row r="118" spans="1:29">
      <c r="A118" s="17" t="s">
        <v>286</v>
      </c>
      <c r="B118" s="17"/>
      <c r="C118" s="17" t="s">
        <v>20</v>
      </c>
      <c r="D118" s="17"/>
      <c r="E118" s="13">
        <v>43786</v>
      </c>
      <c r="G118" s="1">
        <v>13018067</v>
      </c>
      <c r="I118" s="1">
        <v>121369</v>
      </c>
      <c r="K118" s="41">
        <f t="shared" si="10"/>
        <v>246170893</v>
      </c>
      <c r="M118" s="1">
        <v>259310329</v>
      </c>
      <c r="O118" s="41">
        <f t="shared" si="11"/>
        <v>56521127</v>
      </c>
      <c r="Q118" s="1">
        <v>223843205</v>
      </c>
      <c r="S118" s="1">
        <v>280364332</v>
      </c>
      <c r="U118" s="1">
        <f>2207974+1920719+15781618</f>
        <v>19910311</v>
      </c>
      <c r="W118" s="1">
        <v>0</v>
      </c>
      <c r="Y118" s="1">
        <v>-40964314</v>
      </c>
      <c r="AA118" s="58">
        <f t="shared" si="12"/>
        <v>-21054003</v>
      </c>
      <c r="AB118" s="1"/>
      <c r="AC118" s="1">
        <f t="shared" si="13"/>
        <v>0</v>
      </c>
    </row>
    <row r="119" spans="1:29">
      <c r="A119" s="17" t="s">
        <v>260</v>
      </c>
      <c r="B119" s="17"/>
      <c r="C119" s="17" t="s">
        <v>18</v>
      </c>
      <c r="D119" s="17"/>
      <c r="E119" s="13">
        <v>46391</v>
      </c>
      <c r="G119" s="1">
        <v>3702364</v>
      </c>
      <c r="I119" s="1">
        <v>0</v>
      </c>
      <c r="K119" s="41">
        <f t="shared" si="10"/>
        <v>4636239</v>
      </c>
      <c r="M119" s="1">
        <v>8338603</v>
      </c>
      <c r="O119" s="41">
        <f t="shared" si="11"/>
        <v>1705176</v>
      </c>
      <c r="Q119" s="1">
        <f>3927225+336770</f>
        <v>4263995</v>
      </c>
      <c r="S119" s="1">
        <v>5969171</v>
      </c>
      <c r="U119" s="1">
        <f>169704+17226+349513</f>
        <v>536443</v>
      </c>
      <c r="W119" s="1">
        <v>0</v>
      </c>
      <c r="Y119" s="1">
        <v>1832989</v>
      </c>
      <c r="AA119" s="58">
        <f t="shared" si="12"/>
        <v>2369432</v>
      </c>
      <c r="AB119" s="1"/>
      <c r="AC119" s="1">
        <f t="shared" si="13"/>
        <v>0</v>
      </c>
    </row>
    <row r="120" spans="1:29">
      <c r="A120" s="17" t="s">
        <v>480</v>
      </c>
      <c r="B120" s="17"/>
      <c r="C120" s="17" t="s">
        <v>47</v>
      </c>
      <c r="D120" s="17"/>
      <c r="E120" s="13">
        <v>48488</v>
      </c>
      <c r="G120" s="1">
        <v>733342</v>
      </c>
      <c r="I120" s="1">
        <v>0</v>
      </c>
      <c r="K120" s="41">
        <f t="shared" si="10"/>
        <v>12969973</v>
      </c>
      <c r="M120" s="1">
        <v>13703315</v>
      </c>
      <c r="O120" s="41">
        <f t="shared" si="11"/>
        <v>3820449</v>
      </c>
      <c r="Q120" s="1">
        <v>10677480</v>
      </c>
      <c r="S120" s="1">
        <v>14497929</v>
      </c>
      <c r="U120" s="1">
        <f>104234+1422320</f>
        <v>1526554</v>
      </c>
      <c r="W120" s="1">
        <v>0</v>
      </c>
      <c r="Y120" s="1">
        <v>-2321168</v>
      </c>
      <c r="AA120" s="58">
        <f t="shared" si="12"/>
        <v>-794614</v>
      </c>
      <c r="AB120" s="1"/>
      <c r="AC120" s="1">
        <f t="shared" si="13"/>
        <v>0</v>
      </c>
    </row>
    <row r="121" spans="1:29">
      <c r="A121" s="17" t="s">
        <v>555</v>
      </c>
      <c r="B121" s="17"/>
      <c r="C121" s="17" t="s">
        <v>79</v>
      </c>
      <c r="D121" s="17"/>
      <c r="E121" s="13">
        <v>45302</v>
      </c>
      <c r="G121" s="1">
        <v>2609742</v>
      </c>
      <c r="I121" s="1">
        <v>0</v>
      </c>
      <c r="K121" s="41">
        <f t="shared" si="10"/>
        <v>7042454</v>
      </c>
      <c r="M121" s="1">
        <v>9652196</v>
      </c>
      <c r="O121" s="41">
        <f t="shared" si="11"/>
        <v>2161654</v>
      </c>
      <c r="Q121" s="1">
        <f>400368+4906221</f>
        <v>5306589</v>
      </c>
      <c r="S121" s="1">
        <v>7468243</v>
      </c>
      <c r="U121" s="1">
        <f>79445+19388+1037524+23697</f>
        <v>1160054</v>
      </c>
      <c r="W121" s="1">
        <v>972375</v>
      </c>
      <c r="Y121" s="1">
        <v>51524</v>
      </c>
      <c r="AA121" s="58">
        <f t="shared" si="12"/>
        <v>2183953</v>
      </c>
      <c r="AB121" s="1"/>
      <c r="AC121" s="1">
        <f t="shared" si="13"/>
        <v>0</v>
      </c>
    </row>
    <row r="122" spans="1:29" hidden="1">
      <c r="A122" s="12" t="s">
        <v>798</v>
      </c>
      <c r="B122" s="17"/>
      <c r="C122" s="17" t="s">
        <v>486</v>
      </c>
      <c r="D122" s="17"/>
      <c r="E122" s="13"/>
      <c r="I122" s="1">
        <v>0</v>
      </c>
      <c r="K122" s="41">
        <f t="shared" si="10"/>
        <v>0</v>
      </c>
      <c r="O122" s="41">
        <f t="shared" si="11"/>
        <v>0</v>
      </c>
      <c r="AA122" s="58">
        <f t="shared" si="12"/>
        <v>0</v>
      </c>
      <c r="AB122" s="1"/>
      <c r="AC122" s="1">
        <f t="shared" si="13"/>
        <v>0</v>
      </c>
    </row>
    <row r="123" spans="1:29" hidden="1">
      <c r="A123" s="12" t="s">
        <v>929</v>
      </c>
      <c r="B123" s="17"/>
      <c r="C123" s="17" t="s">
        <v>57</v>
      </c>
      <c r="D123" s="17"/>
      <c r="E123" s="13">
        <v>64964</v>
      </c>
      <c r="K123" s="41">
        <f t="shared" si="10"/>
        <v>0</v>
      </c>
      <c r="O123" s="41">
        <f t="shared" si="11"/>
        <v>0</v>
      </c>
      <c r="AA123" s="58">
        <f t="shared" si="12"/>
        <v>0</v>
      </c>
      <c r="AB123" s="1"/>
      <c r="AC123" s="1">
        <f t="shared" si="13"/>
        <v>0</v>
      </c>
    </row>
    <row r="124" spans="1:29">
      <c r="A124" s="17" t="s">
        <v>277</v>
      </c>
      <c r="B124" s="17"/>
      <c r="C124" s="17" t="s">
        <v>113</v>
      </c>
      <c r="D124" s="17"/>
      <c r="E124" s="13">
        <v>46516</v>
      </c>
      <c r="G124" s="1">
        <v>1075549</v>
      </c>
      <c r="I124" s="1">
        <v>45561</v>
      </c>
      <c r="K124" s="41">
        <f t="shared" si="10"/>
        <v>2752582</v>
      </c>
      <c r="M124" s="1">
        <v>3873692</v>
      </c>
      <c r="O124" s="41">
        <f t="shared" si="11"/>
        <v>1025455</v>
      </c>
      <c r="Q124" s="1">
        <f>1198164+125000</f>
        <v>1323164</v>
      </c>
      <c r="S124" s="1">
        <v>2348619</v>
      </c>
      <c r="U124" s="1">
        <f>35298+15910+908120+45561</f>
        <v>1004889</v>
      </c>
      <c r="W124" s="1">
        <v>0</v>
      </c>
      <c r="Y124" s="1">
        <v>520184</v>
      </c>
      <c r="AA124" s="58">
        <f t="shared" si="12"/>
        <v>1525073</v>
      </c>
      <c r="AB124" s="1"/>
      <c r="AC124" s="1">
        <f t="shared" si="13"/>
        <v>0</v>
      </c>
    </row>
    <row r="125" spans="1:29">
      <c r="A125" s="17" t="s">
        <v>439</v>
      </c>
      <c r="B125" s="17"/>
      <c r="C125" s="17" t="s">
        <v>44</v>
      </c>
      <c r="D125" s="17"/>
      <c r="E125" s="13">
        <v>48140</v>
      </c>
      <c r="G125" s="1">
        <v>1903958</v>
      </c>
      <c r="I125" s="1">
        <v>0</v>
      </c>
      <c r="K125" s="41">
        <f t="shared" si="10"/>
        <v>5786447</v>
      </c>
      <c r="M125" s="1">
        <v>7690405</v>
      </c>
      <c r="O125" s="41">
        <f t="shared" si="11"/>
        <v>1453583</v>
      </c>
      <c r="Q125" s="1">
        <f>39721+5404381</f>
        <v>5444102</v>
      </c>
      <c r="S125" s="1">
        <v>6897685</v>
      </c>
      <c r="U125" s="1">
        <f>129201+323260</f>
        <v>452461</v>
      </c>
      <c r="W125" s="1">
        <v>0</v>
      </c>
      <c r="Y125" s="1">
        <v>340259</v>
      </c>
      <c r="AA125" s="58">
        <f t="shared" si="12"/>
        <v>792720</v>
      </c>
      <c r="AB125" s="1"/>
      <c r="AC125" s="1">
        <f t="shared" si="13"/>
        <v>0</v>
      </c>
    </row>
    <row r="126" spans="1:29">
      <c r="A126" s="17" t="s">
        <v>264</v>
      </c>
      <c r="B126" s="17"/>
      <c r="C126" s="17" t="s">
        <v>114</v>
      </c>
      <c r="D126" s="17"/>
      <c r="E126" s="13">
        <v>45328</v>
      </c>
      <c r="G126" s="1">
        <v>191443</v>
      </c>
      <c r="I126" s="1">
        <v>0</v>
      </c>
      <c r="K126" s="41">
        <f t="shared" si="10"/>
        <v>6425710</v>
      </c>
      <c r="M126" s="1">
        <v>6617153</v>
      </c>
      <c r="O126" s="41">
        <f t="shared" si="11"/>
        <v>1293359</v>
      </c>
      <c r="Q126" s="1">
        <v>3920076</v>
      </c>
      <c r="S126" s="1">
        <v>5213435</v>
      </c>
      <c r="U126" s="1">
        <f>5710+47854</f>
        <v>53564</v>
      </c>
      <c r="W126" s="1">
        <v>0</v>
      </c>
      <c r="Y126" s="1">
        <v>1350154</v>
      </c>
      <c r="AA126" s="58">
        <f t="shared" si="12"/>
        <v>1403718</v>
      </c>
      <c r="AB126" s="1"/>
      <c r="AC126" s="1">
        <f t="shared" si="13"/>
        <v>0</v>
      </c>
    </row>
    <row r="127" spans="1:29">
      <c r="A127" s="17" t="s">
        <v>331</v>
      </c>
      <c r="B127" s="17"/>
      <c r="C127" s="17" t="s">
        <v>27</v>
      </c>
      <c r="D127" s="17"/>
      <c r="E127" s="13">
        <v>43802</v>
      </c>
      <c r="G127" s="1">
        <v>211424352</v>
      </c>
      <c r="I127" s="1">
        <v>0</v>
      </c>
      <c r="K127" s="41">
        <f t="shared" si="10"/>
        <v>403939552</v>
      </c>
      <c r="M127" s="1">
        <v>615363904</v>
      </c>
      <c r="O127" s="41">
        <f t="shared" si="11"/>
        <v>89899740</v>
      </c>
      <c r="Q127" s="1">
        <v>330364015</v>
      </c>
      <c r="S127" s="1">
        <v>420263755</v>
      </c>
      <c r="U127" s="1">
        <f>5660761+45578016</f>
        <v>51238777</v>
      </c>
      <c r="W127" s="1">
        <v>0</v>
      </c>
      <c r="Y127" s="1">
        <v>143861372</v>
      </c>
      <c r="AA127" s="58">
        <f t="shared" si="12"/>
        <v>195100149</v>
      </c>
      <c r="AB127" s="1"/>
      <c r="AC127" s="1">
        <f t="shared" si="13"/>
        <v>0</v>
      </c>
    </row>
    <row r="128" spans="1:29" hidden="1">
      <c r="A128" s="12" t="s">
        <v>731</v>
      </c>
      <c r="B128" s="17"/>
      <c r="C128" s="17" t="s">
        <v>542</v>
      </c>
      <c r="D128" s="17"/>
      <c r="E128" s="13">
        <v>49312</v>
      </c>
      <c r="K128" s="41">
        <f t="shared" si="10"/>
        <v>0</v>
      </c>
      <c r="O128" s="41">
        <f t="shared" si="11"/>
        <v>0</v>
      </c>
      <c r="AA128" s="58">
        <f t="shared" si="12"/>
        <v>0</v>
      </c>
      <c r="AB128" s="1"/>
      <c r="AC128" s="1">
        <f t="shared" si="13"/>
        <v>0</v>
      </c>
    </row>
    <row r="129" spans="1:30">
      <c r="A129" s="17" t="s">
        <v>210</v>
      </c>
      <c r="B129" s="17"/>
      <c r="C129" s="17" t="s">
        <v>12</v>
      </c>
      <c r="D129" s="17"/>
      <c r="E129" s="13">
        <v>43810</v>
      </c>
      <c r="G129" s="1">
        <v>2934577</v>
      </c>
      <c r="I129" s="1">
        <v>649536</v>
      </c>
      <c r="K129" s="41">
        <f t="shared" si="10"/>
        <v>4116987</v>
      </c>
      <c r="M129" s="1">
        <v>7701100</v>
      </c>
      <c r="O129" s="41">
        <f t="shared" si="11"/>
        <v>1860725</v>
      </c>
      <c r="Q129" s="1">
        <v>2349934</v>
      </c>
      <c r="S129" s="1">
        <v>4210659</v>
      </c>
      <c r="U129" s="1">
        <f>17358+1513932+649536</f>
        <v>2180826</v>
      </c>
      <c r="W129" s="1">
        <v>0</v>
      </c>
      <c r="Y129" s="1">
        <v>1309615</v>
      </c>
      <c r="AA129" s="58">
        <f t="shared" si="12"/>
        <v>3490441</v>
      </c>
      <c r="AB129" s="1"/>
      <c r="AC129" s="1">
        <f t="shared" si="13"/>
        <v>0</v>
      </c>
    </row>
    <row r="130" spans="1:30">
      <c r="A130" s="17" t="s">
        <v>387</v>
      </c>
      <c r="B130" s="17"/>
      <c r="C130" s="17" t="s">
        <v>388</v>
      </c>
      <c r="D130" s="17"/>
      <c r="E130" s="13">
        <v>47548</v>
      </c>
      <c r="G130" s="1">
        <v>853306</v>
      </c>
      <c r="I130" s="1">
        <v>178019</v>
      </c>
      <c r="K130" s="41">
        <f t="shared" si="10"/>
        <v>2013084</v>
      </c>
      <c r="M130" s="1">
        <v>3044409</v>
      </c>
      <c r="O130" s="41">
        <f t="shared" si="11"/>
        <v>553206</v>
      </c>
      <c r="Q130" s="1">
        <f>110797+1781194</f>
        <v>1891991</v>
      </c>
      <c r="S130" s="1">
        <v>2445197</v>
      </c>
      <c r="U130" s="1">
        <f>1884+20787+100306+138753+39266</f>
        <v>300996</v>
      </c>
      <c r="W130" s="1">
        <v>0</v>
      </c>
      <c r="Y130" s="1">
        <v>298216</v>
      </c>
      <c r="AA130" s="58">
        <f t="shared" si="12"/>
        <v>599212</v>
      </c>
      <c r="AB130" s="1"/>
      <c r="AC130" s="1">
        <f t="shared" si="13"/>
        <v>0</v>
      </c>
    </row>
    <row r="131" spans="1:30" hidden="1">
      <c r="A131" s="12" t="s">
        <v>831</v>
      </c>
      <c r="B131" s="17"/>
      <c r="C131" s="17" t="s">
        <v>542</v>
      </c>
      <c r="D131" s="17"/>
      <c r="E131" s="13">
        <v>49320</v>
      </c>
      <c r="K131" s="41">
        <f t="shared" si="10"/>
        <v>0</v>
      </c>
      <c r="O131" s="41">
        <f t="shared" si="11"/>
        <v>0</v>
      </c>
      <c r="AA131" s="58">
        <f t="shared" si="12"/>
        <v>0</v>
      </c>
      <c r="AB131" s="1"/>
      <c r="AC131" s="1">
        <f t="shared" si="13"/>
        <v>0</v>
      </c>
    </row>
    <row r="132" spans="1:30">
      <c r="A132" s="17" t="s">
        <v>588</v>
      </c>
      <c r="B132" s="17"/>
      <c r="C132" s="17" t="s">
        <v>63</v>
      </c>
      <c r="D132" s="17"/>
      <c r="E132" s="13">
        <v>49981</v>
      </c>
      <c r="G132" s="1">
        <v>6448880</v>
      </c>
      <c r="I132" s="1">
        <v>0</v>
      </c>
      <c r="K132" s="41">
        <f t="shared" si="10"/>
        <v>24906044</v>
      </c>
      <c r="M132" s="1">
        <v>31354924</v>
      </c>
      <c r="O132" s="41">
        <f t="shared" si="11"/>
        <v>3766343</v>
      </c>
      <c r="Q132" s="1">
        <v>21679682</v>
      </c>
      <c r="S132" s="1">
        <v>25446025</v>
      </c>
      <c r="U132" s="1">
        <v>328722</v>
      </c>
      <c r="W132" s="1">
        <v>0</v>
      </c>
      <c r="Y132" s="1">
        <v>5580177</v>
      </c>
      <c r="AA132" s="58">
        <f t="shared" si="12"/>
        <v>5908899</v>
      </c>
      <c r="AB132" s="1"/>
      <c r="AC132" s="1">
        <f t="shared" si="13"/>
        <v>0</v>
      </c>
    </row>
    <row r="133" spans="1:30">
      <c r="A133" s="12" t="s">
        <v>930</v>
      </c>
      <c r="B133" s="17"/>
      <c r="C133" s="17" t="s">
        <v>33</v>
      </c>
      <c r="D133" s="17"/>
      <c r="E133" s="13">
        <v>47431</v>
      </c>
      <c r="G133" s="1">
        <v>45777</v>
      </c>
      <c r="I133" s="1">
        <v>5370</v>
      </c>
      <c r="K133" s="41">
        <f t="shared" si="10"/>
        <v>2115954</v>
      </c>
      <c r="M133" s="1">
        <v>2167101</v>
      </c>
      <c r="O133" s="41">
        <f t="shared" si="11"/>
        <v>950293</v>
      </c>
      <c r="Q133" s="1">
        <v>1468325</v>
      </c>
      <c r="S133" s="1">
        <v>2418618</v>
      </c>
      <c r="U133" s="1">
        <f>123000+5370+51778</f>
        <v>180148</v>
      </c>
      <c r="W133" s="1">
        <v>0</v>
      </c>
      <c r="Y133" s="1">
        <v>-431665</v>
      </c>
      <c r="AA133" s="58">
        <f t="shared" si="12"/>
        <v>-251517</v>
      </c>
      <c r="AB133" s="1"/>
      <c r="AC133" s="1">
        <f t="shared" si="13"/>
        <v>0</v>
      </c>
    </row>
    <row r="134" spans="1:30">
      <c r="A134" s="17" t="s">
        <v>272</v>
      </c>
      <c r="B134" s="17"/>
      <c r="C134" s="17" t="s">
        <v>19</v>
      </c>
      <c r="D134" s="17"/>
      <c r="E134" s="13">
        <v>43828</v>
      </c>
      <c r="G134" s="1">
        <v>665049</v>
      </c>
      <c r="I134" s="1">
        <v>1002609</v>
      </c>
      <c r="K134" s="41">
        <f t="shared" si="10"/>
        <v>5284187</v>
      </c>
      <c r="M134" s="1">
        <v>6951845</v>
      </c>
      <c r="O134" s="41">
        <f t="shared" si="11"/>
        <v>1499072</v>
      </c>
      <c r="Q134" s="1">
        <v>4924093</v>
      </c>
      <c r="S134" s="1">
        <v>6423165</v>
      </c>
      <c r="U134" s="1">
        <f>168487+34683+288090+693491+309118</f>
        <v>1493869</v>
      </c>
      <c r="W134" s="1">
        <v>0</v>
      </c>
      <c r="Y134" s="1">
        <v>-965189</v>
      </c>
      <c r="AA134" s="58">
        <f t="shared" si="12"/>
        <v>528680</v>
      </c>
      <c r="AB134" s="1"/>
      <c r="AC134" s="1">
        <f t="shared" si="13"/>
        <v>0</v>
      </c>
    </row>
    <row r="135" spans="1:30">
      <c r="A135" s="17" t="s">
        <v>720</v>
      </c>
      <c r="B135" s="17"/>
      <c r="C135" s="17" t="s">
        <v>63</v>
      </c>
      <c r="D135" s="17"/>
      <c r="E135" s="13"/>
      <c r="G135" s="1">
        <v>0</v>
      </c>
      <c r="I135" s="1">
        <v>502583</v>
      </c>
      <c r="K135" s="41">
        <f t="shared" si="10"/>
        <v>10293291</v>
      </c>
      <c r="M135" s="1">
        <v>10795874</v>
      </c>
      <c r="O135" s="41">
        <f t="shared" si="11"/>
        <v>4471173</v>
      </c>
      <c r="Q135" s="1">
        <v>8961545</v>
      </c>
      <c r="S135" s="1">
        <v>13432718</v>
      </c>
      <c r="U135" s="1">
        <f>92476+958562+940752</f>
        <v>1991790</v>
      </c>
      <c r="W135" s="1">
        <v>0</v>
      </c>
      <c r="Y135" s="1">
        <v>-4628634</v>
      </c>
      <c r="AA135" s="58">
        <f t="shared" si="12"/>
        <v>-2636844</v>
      </c>
      <c r="AB135" s="1"/>
      <c r="AC135" s="1">
        <f t="shared" si="13"/>
        <v>0</v>
      </c>
    </row>
    <row r="136" spans="1:30">
      <c r="A136" s="12" t="s">
        <v>799</v>
      </c>
      <c r="B136" s="17"/>
      <c r="C136" s="17" t="s">
        <v>48</v>
      </c>
      <c r="D136" s="17"/>
      <c r="E136" s="13">
        <v>45336</v>
      </c>
      <c r="G136" s="1">
        <v>1663949</v>
      </c>
      <c r="I136" s="1">
        <v>0</v>
      </c>
      <c r="K136" s="41">
        <f t="shared" si="10"/>
        <v>2177773</v>
      </c>
      <c r="M136" s="1">
        <v>3841722</v>
      </c>
      <c r="O136" s="41">
        <f t="shared" si="11"/>
        <v>851825</v>
      </c>
      <c r="Q136" s="1">
        <f>29034+1498001</f>
        <v>1527035</v>
      </c>
      <c r="S136" s="1">
        <v>2378860</v>
      </c>
      <c r="U136" s="1">
        <f>6140+5905+154921</f>
        <v>166966</v>
      </c>
      <c r="W136" s="1">
        <v>0</v>
      </c>
      <c r="Y136" s="1">
        <v>1295896</v>
      </c>
      <c r="AA136" s="58">
        <f t="shared" si="12"/>
        <v>1462862</v>
      </c>
      <c r="AB136" s="1"/>
      <c r="AC136" s="1">
        <f t="shared" si="13"/>
        <v>0</v>
      </c>
    </row>
    <row r="137" spans="1:30">
      <c r="A137" s="12" t="s">
        <v>800</v>
      </c>
      <c r="B137" s="17"/>
      <c r="C137" s="17" t="s">
        <v>113</v>
      </c>
      <c r="D137" s="17"/>
      <c r="E137" s="13">
        <v>45344</v>
      </c>
      <c r="G137" s="1">
        <v>2337287</v>
      </c>
      <c r="I137" s="1">
        <v>50211</v>
      </c>
      <c r="K137" s="41">
        <f t="shared" si="10"/>
        <v>2432119</v>
      </c>
      <c r="M137" s="1">
        <v>4819617</v>
      </c>
      <c r="O137" s="41">
        <f t="shared" si="11"/>
        <v>745044</v>
      </c>
      <c r="Q137" s="1">
        <f>271384+1365635</f>
        <v>1637019</v>
      </c>
      <c r="S137" s="1">
        <v>2382063</v>
      </c>
      <c r="U137" s="1">
        <f>5243+12475+712627+35920+14291</f>
        <v>780556</v>
      </c>
      <c r="W137" s="1">
        <v>0</v>
      </c>
      <c r="Y137" s="1">
        <v>1656998</v>
      </c>
      <c r="AA137" s="58">
        <f t="shared" si="12"/>
        <v>2437554</v>
      </c>
      <c r="AB137" s="1"/>
      <c r="AC137" s="1">
        <f t="shared" si="13"/>
        <v>0</v>
      </c>
    </row>
    <row r="138" spans="1:30" ht="11.25" customHeight="1">
      <c r="A138" s="17" t="s">
        <v>265</v>
      </c>
      <c r="B138" s="17"/>
      <c r="C138" s="17" t="s">
        <v>114</v>
      </c>
      <c r="D138" s="17"/>
      <c r="E138" s="13">
        <v>46433</v>
      </c>
      <c r="G138" s="1">
        <v>894015</v>
      </c>
      <c r="I138" s="1">
        <v>58564</v>
      </c>
      <c r="K138" s="41">
        <f t="shared" si="10"/>
        <v>2539063</v>
      </c>
      <c r="M138" s="1">
        <v>3491642</v>
      </c>
      <c r="O138" s="41">
        <f t="shared" si="11"/>
        <v>1139984</v>
      </c>
      <c r="Q138" s="1">
        <v>2012277</v>
      </c>
      <c r="S138" s="1">
        <v>3152261</v>
      </c>
      <c r="U138" s="1">
        <f>141506+58564+26491</f>
        <v>226561</v>
      </c>
      <c r="W138" s="1">
        <v>0</v>
      </c>
      <c r="Y138" s="1">
        <v>112820</v>
      </c>
      <c r="AA138" s="58">
        <f t="shared" si="12"/>
        <v>339381</v>
      </c>
      <c r="AB138" s="1"/>
      <c r="AC138" s="1">
        <f t="shared" si="13"/>
        <v>0</v>
      </c>
    </row>
    <row r="139" spans="1:30">
      <c r="A139" s="17" t="s">
        <v>265</v>
      </c>
      <c r="B139" s="17"/>
      <c r="C139" s="17" t="s">
        <v>112</v>
      </c>
      <c r="D139" s="17"/>
      <c r="E139" s="13">
        <v>49429</v>
      </c>
      <c r="G139" s="1">
        <v>5959077</v>
      </c>
      <c r="I139" s="1">
        <v>33996</v>
      </c>
      <c r="K139" s="41">
        <f t="shared" si="10"/>
        <v>2346734</v>
      </c>
      <c r="M139" s="1">
        <v>8339807</v>
      </c>
      <c r="O139" s="41">
        <f t="shared" si="11"/>
        <v>1056078</v>
      </c>
      <c r="Q139" s="1">
        <f>1702451+151547</f>
        <v>1853998</v>
      </c>
      <c r="S139" s="1">
        <v>2910076</v>
      </c>
      <c r="U139" s="1">
        <f>74665+32426+32651+363549+1198+32798</f>
        <v>537287</v>
      </c>
      <c r="W139" s="1">
        <v>621033</v>
      </c>
      <c r="Y139" s="1">
        <v>4271411</v>
      </c>
      <c r="AA139" s="58">
        <f t="shared" si="12"/>
        <v>5429731</v>
      </c>
      <c r="AB139" s="1"/>
      <c r="AC139" s="1">
        <f t="shared" si="13"/>
        <v>0</v>
      </c>
      <c r="AD139" s="91"/>
    </row>
    <row r="140" spans="1:30" hidden="1">
      <c r="A140" s="12" t="s">
        <v>801</v>
      </c>
      <c r="B140" s="12"/>
      <c r="C140" s="12" t="s">
        <v>67</v>
      </c>
      <c r="D140" s="17"/>
      <c r="E140" s="13"/>
      <c r="K140" s="41">
        <f t="shared" si="10"/>
        <v>0</v>
      </c>
      <c r="O140" s="41">
        <f t="shared" si="11"/>
        <v>0</v>
      </c>
      <c r="AA140" s="58">
        <f t="shared" si="12"/>
        <v>0</v>
      </c>
      <c r="AB140" s="1"/>
      <c r="AC140" s="1">
        <f t="shared" si="13"/>
        <v>0</v>
      </c>
      <c r="AD140" s="91"/>
    </row>
    <row r="141" spans="1:30">
      <c r="A141" s="17" t="s">
        <v>533</v>
      </c>
      <c r="B141" s="17"/>
      <c r="C141" s="17" t="s">
        <v>56</v>
      </c>
      <c r="D141" s="17"/>
      <c r="E141" s="13">
        <v>49189</v>
      </c>
      <c r="G141" s="1">
        <v>4066833</v>
      </c>
      <c r="I141" s="1">
        <v>422468</v>
      </c>
      <c r="K141" s="41">
        <f t="shared" si="10"/>
        <v>6405836</v>
      </c>
      <c r="M141" s="1">
        <v>10895137</v>
      </c>
      <c r="O141" s="41">
        <f t="shared" si="11"/>
        <v>2804630</v>
      </c>
      <c r="Q141" s="1">
        <v>5117916</v>
      </c>
      <c r="S141" s="1">
        <v>7922546</v>
      </c>
      <c r="U141" s="1">
        <f>692512+1184643+422468</f>
        <v>2299623</v>
      </c>
      <c r="W141" s="1">
        <v>0</v>
      </c>
      <c r="Y141" s="1">
        <v>672968</v>
      </c>
      <c r="AA141" s="58">
        <f t="shared" si="12"/>
        <v>2972591</v>
      </c>
      <c r="AB141" s="1"/>
      <c r="AC141" s="1">
        <f t="shared" si="13"/>
        <v>0</v>
      </c>
    </row>
    <row r="142" spans="1:30">
      <c r="A142" s="17" t="s">
        <v>721</v>
      </c>
      <c r="B142" s="17"/>
      <c r="C142" s="17" t="s">
        <v>524</v>
      </c>
      <c r="D142" s="17"/>
      <c r="E142" s="13"/>
      <c r="G142" s="1">
        <v>754084</v>
      </c>
      <c r="I142" s="1">
        <v>159602</v>
      </c>
      <c r="K142" s="41">
        <f t="shared" si="10"/>
        <v>1984317</v>
      </c>
      <c r="M142" s="1">
        <v>2898003</v>
      </c>
      <c r="O142" s="41">
        <f t="shared" si="11"/>
        <v>1020710</v>
      </c>
      <c r="Q142" s="1">
        <v>1223827</v>
      </c>
      <c r="S142" s="1">
        <v>2244537</v>
      </c>
      <c r="U142" s="1">
        <f>270468+94285+98394+159602</f>
        <v>622749</v>
      </c>
      <c r="W142" s="1">
        <v>0</v>
      </c>
      <c r="Y142" s="1">
        <v>30717</v>
      </c>
      <c r="AA142" s="58">
        <f t="shared" si="12"/>
        <v>653466</v>
      </c>
      <c r="AB142" s="1"/>
      <c r="AC142" s="1">
        <f t="shared" si="13"/>
        <v>0</v>
      </c>
    </row>
    <row r="143" spans="1:30">
      <c r="A143" s="17" t="s">
        <v>589</v>
      </c>
      <c r="B143" s="17"/>
      <c r="C143" s="17" t="s">
        <v>63</v>
      </c>
      <c r="D143" s="17"/>
      <c r="E143" s="13">
        <v>43836</v>
      </c>
      <c r="G143" s="1">
        <v>5348867</v>
      </c>
      <c r="I143" s="1">
        <v>0</v>
      </c>
      <c r="K143" s="41">
        <f t="shared" si="10"/>
        <v>25738159</v>
      </c>
      <c r="M143" s="1">
        <v>31087026</v>
      </c>
      <c r="O143" s="41">
        <f t="shared" si="11"/>
        <v>5124860</v>
      </c>
      <c r="Q143" s="1">
        <f>22023169+916991</f>
        <v>22940160</v>
      </c>
      <c r="S143" s="1">
        <v>28065020</v>
      </c>
      <c r="U143" s="1">
        <f>146349+56126+25102+2646134</f>
        <v>2873711</v>
      </c>
      <c r="W143" s="1">
        <v>0</v>
      </c>
      <c r="Y143" s="1">
        <v>148295</v>
      </c>
      <c r="AA143" s="58">
        <f t="shared" si="12"/>
        <v>3022006</v>
      </c>
      <c r="AB143" s="1"/>
      <c r="AC143" s="1">
        <f t="shared" si="13"/>
        <v>0</v>
      </c>
    </row>
    <row r="144" spans="1:30">
      <c r="A144" s="12" t="s">
        <v>287</v>
      </c>
      <c r="B144" s="17"/>
      <c r="C144" s="17" t="s">
        <v>20</v>
      </c>
      <c r="D144" s="17"/>
      <c r="E144" s="13">
        <v>46557</v>
      </c>
      <c r="G144" s="1">
        <v>4494361</v>
      </c>
      <c r="I144" s="1">
        <v>70259</v>
      </c>
      <c r="K144" s="41">
        <f t="shared" si="10"/>
        <v>8262390</v>
      </c>
      <c r="M144" s="1">
        <v>12827010</v>
      </c>
      <c r="O144" s="41">
        <f t="shared" si="11"/>
        <v>2037930</v>
      </c>
      <c r="Q144" s="1">
        <v>7389479</v>
      </c>
      <c r="S144" s="1">
        <v>9427409</v>
      </c>
      <c r="U144" s="1">
        <f>120179+15115+55144+791244</f>
        <v>981682</v>
      </c>
      <c r="W144" s="1">
        <v>0</v>
      </c>
      <c r="Y144" s="1">
        <v>2417919</v>
      </c>
      <c r="AA144" s="58">
        <f t="shared" si="12"/>
        <v>3399601</v>
      </c>
      <c r="AB144" s="1"/>
      <c r="AC144" s="1">
        <f t="shared" si="13"/>
        <v>0</v>
      </c>
    </row>
    <row r="145" spans="1:29">
      <c r="A145" s="17" t="s">
        <v>730</v>
      </c>
      <c r="B145" s="17"/>
      <c r="C145" s="17" t="s">
        <v>71</v>
      </c>
      <c r="D145" s="17"/>
      <c r="E145" s="13">
        <v>48934</v>
      </c>
      <c r="G145" s="1">
        <v>278455</v>
      </c>
      <c r="I145" s="1">
        <v>156800</v>
      </c>
      <c r="K145" s="41">
        <f t="shared" si="10"/>
        <v>3410304</v>
      </c>
      <c r="M145" s="1">
        <v>3845559</v>
      </c>
      <c r="O145" s="41">
        <f t="shared" si="11"/>
        <v>1005009</v>
      </c>
      <c r="Q145" s="1">
        <f>46643+2736339</f>
        <v>2782982</v>
      </c>
      <c r="S145" s="1">
        <v>3787991</v>
      </c>
      <c r="U145" s="1">
        <f>36969+5555+258257+156800</f>
        <v>457581</v>
      </c>
      <c r="W145" s="1">
        <v>0</v>
      </c>
      <c r="Y145" s="1">
        <v>-400013</v>
      </c>
      <c r="AA145" s="58">
        <f t="shared" si="12"/>
        <v>57568</v>
      </c>
      <c r="AB145" s="1"/>
      <c r="AC145" s="1">
        <f t="shared" si="13"/>
        <v>0</v>
      </c>
    </row>
    <row r="146" spans="1:29">
      <c r="A146" s="17" t="s">
        <v>520</v>
      </c>
      <c r="B146" s="17"/>
      <c r="C146" s="17" t="s">
        <v>53</v>
      </c>
      <c r="D146" s="17"/>
      <c r="E146" s="13">
        <v>48934</v>
      </c>
      <c r="G146" s="1">
        <v>3604734</v>
      </c>
      <c r="I146" s="1">
        <v>0</v>
      </c>
      <c r="K146" s="41">
        <f t="shared" si="10"/>
        <v>7255342</v>
      </c>
      <c r="M146" s="1">
        <v>10860076</v>
      </c>
      <c r="O146" s="41">
        <f t="shared" si="11"/>
        <v>863907</v>
      </c>
      <c r="Q146" s="1">
        <f>268228+5722963</f>
        <v>5991191</v>
      </c>
      <c r="S146" s="1">
        <v>6855098</v>
      </c>
      <c r="U146" s="1">
        <f>1151241+29864+1233937</f>
        <v>2415042</v>
      </c>
      <c r="W146" s="1">
        <v>0</v>
      </c>
      <c r="Y146" s="1">
        <v>1589936</v>
      </c>
      <c r="AA146" s="58">
        <f t="shared" si="12"/>
        <v>4004978</v>
      </c>
      <c r="AB146" s="1"/>
      <c r="AC146" s="1">
        <f t="shared" si="13"/>
        <v>0</v>
      </c>
    </row>
    <row r="147" spans="1:29" hidden="1">
      <c r="A147" s="12" t="s">
        <v>803</v>
      </c>
      <c r="B147" s="17"/>
      <c r="C147" s="17" t="s">
        <v>40</v>
      </c>
      <c r="D147" s="17"/>
      <c r="E147" s="13">
        <v>47837</v>
      </c>
      <c r="G147" s="1">
        <v>0</v>
      </c>
      <c r="I147" s="1">
        <v>0</v>
      </c>
      <c r="K147" s="41">
        <f t="shared" si="10"/>
        <v>0</v>
      </c>
      <c r="M147" s="1">
        <v>0</v>
      </c>
      <c r="O147" s="41">
        <f t="shared" si="11"/>
        <v>0</v>
      </c>
      <c r="Q147" s="1">
        <v>0</v>
      </c>
      <c r="S147" s="1">
        <v>0</v>
      </c>
      <c r="U147" s="1">
        <v>0</v>
      </c>
      <c r="W147" s="1">
        <v>0</v>
      </c>
      <c r="Y147" s="1">
        <v>0</v>
      </c>
      <c r="AA147" s="58">
        <f t="shared" si="12"/>
        <v>0</v>
      </c>
      <c r="AB147" s="1"/>
      <c r="AC147" s="1">
        <f t="shared" si="13"/>
        <v>0</v>
      </c>
    </row>
    <row r="148" spans="1:29">
      <c r="A148" s="17" t="s">
        <v>421</v>
      </c>
      <c r="B148" s="17"/>
      <c r="C148" s="17" t="s">
        <v>420</v>
      </c>
      <c r="D148" s="17"/>
      <c r="E148" s="13">
        <v>47928</v>
      </c>
      <c r="G148" s="1">
        <v>3934323</v>
      </c>
      <c r="I148" s="1">
        <v>0</v>
      </c>
      <c r="K148" s="41">
        <f t="shared" si="10"/>
        <v>1461275</v>
      </c>
      <c r="M148" s="1">
        <v>5395598</v>
      </c>
      <c r="O148" s="41">
        <f t="shared" si="11"/>
        <v>1128321</v>
      </c>
      <c r="Q148" s="1">
        <v>1056177</v>
      </c>
      <c r="S148" s="1">
        <v>2184498</v>
      </c>
      <c r="U148" s="1">
        <f>258618+135184</f>
        <v>393802</v>
      </c>
      <c r="W148" s="1">
        <v>0</v>
      </c>
      <c r="Y148" s="1">
        <v>2817298</v>
      </c>
      <c r="AA148" s="58">
        <f t="shared" si="12"/>
        <v>3211100</v>
      </c>
      <c r="AB148" s="1"/>
      <c r="AC148" s="1">
        <f t="shared" si="13"/>
        <v>0</v>
      </c>
    </row>
    <row r="149" spans="1:29">
      <c r="A149" s="17" t="s">
        <v>496</v>
      </c>
      <c r="B149" s="17"/>
      <c r="C149" s="17" t="s">
        <v>50</v>
      </c>
      <c r="D149" s="17"/>
      <c r="E149" s="13">
        <v>43844</v>
      </c>
      <c r="G149" s="1">
        <v>7815146</v>
      </c>
      <c r="I149" s="1">
        <v>0</v>
      </c>
      <c r="K149" s="41">
        <f t="shared" si="10"/>
        <v>72917579</v>
      </c>
      <c r="M149" s="1">
        <v>80732725</v>
      </c>
      <c r="O149" s="41">
        <f t="shared" si="11"/>
        <v>10838974</v>
      </c>
      <c r="Q149" s="1">
        <v>65132789</v>
      </c>
      <c r="S149" s="1">
        <v>75971763</v>
      </c>
      <c r="U149" s="1">
        <f>346458+893006+2558766+1671</f>
        <v>3799901</v>
      </c>
      <c r="W149" s="1">
        <v>0</v>
      </c>
      <c r="Y149" s="1">
        <v>961061</v>
      </c>
      <c r="AA149" s="58">
        <f t="shared" si="12"/>
        <v>4760962</v>
      </c>
      <c r="AB149" s="1"/>
      <c r="AC149" s="1">
        <f t="shared" si="13"/>
        <v>0</v>
      </c>
    </row>
    <row r="150" spans="1:29">
      <c r="A150" s="12" t="s">
        <v>804</v>
      </c>
      <c r="B150" s="17"/>
      <c r="C150" s="17" t="s">
        <v>32</v>
      </c>
      <c r="D150" s="17"/>
      <c r="E150" s="13">
        <v>43851</v>
      </c>
      <c r="G150" s="1">
        <v>4984825</v>
      </c>
      <c r="I150" s="1">
        <v>50000</v>
      </c>
      <c r="K150" s="41">
        <f t="shared" si="10"/>
        <v>9164205</v>
      </c>
      <c r="M150" s="1">
        <v>14199030</v>
      </c>
      <c r="O150" s="41">
        <f t="shared" si="11"/>
        <v>1619316</v>
      </c>
      <c r="Q150" s="1">
        <v>5728908</v>
      </c>
      <c r="S150" s="1">
        <v>7348224</v>
      </c>
      <c r="U150" s="1">
        <f>189573+3111000+50000</f>
        <v>3350573</v>
      </c>
      <c r="W150" s="1">
        <v>0</v>
      </c>
      <c r="Y150" s="1">
        <v>3500233</v>
      </c>
      <c r="AA150" s="58">
        <f t="shared" si="12"/>
        <v>6850806</v>
      </c>
      <c r="AB150" s="1"/>
      <c r="AC150" s="1">
        <f t="shared" si="13"/>
        <v>0</v>
      </c>
    </row>
    <row r="151" spans="1:29" hidden="1">
      <c r="A151" s="12" t="s">
        <v>805</v>
      </c>
      <c r="B151" s="17"/>
      <c r="C151" s="17" t="s">
        <v>22</v>
      </c>
      <c r="D151" s="17"/>
      <c r="E151" s="13">
        <v>43869</v>
      </c>
      <c r="K151" s="41">
        <f t="shared" si="10"/>
        <v>0</v>
      </c>
      <c r="O151" s="41">
        <f t="shared" si="11"/>
        <v>0</v>
      </c>
      <c r="AA151" s="58">
        <f t="shared" si="12"/>
        <v>0</v>
      </c>
      <c r="AB151" s="1"/>
      <c r="AC151" s="1">
        <f t="shared" si="13"/>
        <v>0</v>
      </c>
    </row>
    <row r="152" spans="1:29">
      <c r="A152" s="12" t="s">
        <v>806</v>
      </c>
      <c r="B152" s="12"/>
      <c r="C152" s="12" t="s">
        <v>23</v>
      </c>
      <c r="D152" s="17"/>
      <c r="E152" s="13"/>
      <c r="G152" s="1">
        <v>6460149</v>
      </c>
      <c r="I152" s="1">
        <v>0</v>
      </c>
      <c r="K152" s="41">
        <f t="shared" si="10"/>
        <v>24080856</v>
      </c>
      <c r="M152" s="1">
        <v>30541005</v>
      </c>
      <c r="O152" s="41">
        <f t="shared" si="11"/>
        <v>6360545</v>
      </c>
      <c r="Q152" s="1">
        <v>20567473</v>
      </c>
      <c r="S152" s="1">
        <v>26928018</v>
      </c>
      <c r="U152" s="1">
        <f>148397+3361206</f>
        <v>3509603</v>
      </c>
      <c r="W152" s="1">
        <v>103384</v>
      </c>
      <c r="Y152" s="1">
        <v>0</v>
      </c>
      <c r="AA152" s="58">
        <f t="shared" si="12"/>
        <v>3612987</v>
      </c>
      <c r="AB152" s="1"/>
      <c r="AC152" s="1">
        <f t="shared" si="13"/>
        <v>0</v>
      </c>
    </row>
    <row r="153" spans="1:29">
      <c r="A153" s="17" t="s">
        <v>204</v>
      </c>
      <c r="B153" s="17"/>
      <c r="C153" s="17" t="s">
        <v>10</v>
      </c>
      <c r="D153" s="17"/>
      <c r="E153" s="13">
        <v>43885</v>
      </c>
      <c r="G153" s="1">
        <v>-111598</v>
      </c>
      <c r="I153" s="1">
        <v>0</v>
      </c>
      <c r="K153" s="41">
        <f t="shared" si="10"/>
        <v>4186282</v>
      </c>
      <c r="M153" s="1">
        <v>4074684</v>
      </c>
      <c r="O153" s="41">
        <f t="shared" si="11"/>
        <v>969854</v>
      </c>
      <c r="Q153" s="1">
        <v>3380459</v>
      </c>
      <c r="S153" s="1">
        <v>4350313</v>
      </c>
      <c r="U153" s="1">
        <f>707712+11268+23205</f>
        <v>742185</v>
      </c>
      <c r="W153" s="1">
        <v>0</v>
      </c>
      <c r="Y153" s="1">
        <v>-1017814</v>
      </c>
      <c r="AA153" s="58">
        <f t="shared" si="12"/>
        <v>-275629</v>
      </c>
      <c r="AB153" s="1"/>
      <c r="AC153" s="1">
        <f t="shared" si="13"/>
        <v>0</v>
      </c>
    </row>
    <row r="154" spans="1:29">
      <c r="A154" s="17" t="s">
        <v>619</v>
      </c>
      <c r="B154" s="17"/>
      <c r="C154" s="17" t="s">
        <v>65</v>
      </c>
      <c r="D154" s="17"/>
      <c r="E154" s="13">
        <v>43893</v>
      </c>
      <c r="G154" s="1">
        <v>6913384</v>
      </c>
      <c r="I154" s="1">
        <v>0</v>
      </c>
      <c r="K154" s="41">
        <f t="shared" si="10"/>
        <v>12473504</v>
      </c>
      <c r="M154" s="1">
        <v>19386888</v>
      </c>
      <c r="O154" s="41">
        <f t="shared" si="11"/>
        <v>3062494</v>
      </c>
      <c r="Q154" s="1">
        <v>10898165</v>
      </c>
      <c r="S154" s="1">
        <v>13960659</v>
      </c>
      <c r="U154" s="1">
        <f>734598+1352921</f>
        <v>2087519</v>
      </c>
      <c r="W154" s="1">
        <v>0</v>
      </c>
      <c r="Y154" s="1">
        <v>3338710</v>
      </c>
      <c r="AA154" s="58">
        <f t="shared" si="12"/>
        <v>5426229</v>
      </c>
      <c r="AB154" s="1"/>
      <c r="AC154" s="1">
        <f t="shared" si="13"/>
        <v>0</v>
      </c>
    </row>
    <row r="155" spans="1:29">
      <c r="A155" s="17" t="s">
        <v>332</v>
      </c>
      <c r="B155" s="17"/>
      <c r="C155" s="17" t="s">
        <v>27</v>
      </c>
      <c r="D155" s="17"/>
      <c r="E155" s="13">
        <v>47027</v>
      </c>
      <c r="G155" s="1">
        <v>41653442</v>
      </c>
      <c r="I155" s="1">
        <v>0</v>
      </c>
      <c r="K155" s="41">
        <f t="shared" si="10"/>
        <v>202119579</v>
      </c>
      <c r="M155" s="1">
        <v>243773021</v>
      </c>
      <c r="O155" s="41">
        <f t="shared" si="11"/>
        <v>19709895</v>
      </c>
      <c r="Q155" s="1">
        <v>159586661</v>
      </c>
      <c r="S155" s="1">
        <v>179296556</v>
      </c>
      <c r="U155" s="1">
        <f>747078+268872+128740+287337+341371+196976</f>
        <v>1970374</v>
      </c>
      <c r="W155" s="1">
        <v>0</v>
      </c>
      <c r="Y155" s="1">
        <v>62506091</v>
      </c>
      <c r="AA155" s="58">
        <f t="shared" si="12"/>
        <v>64476465</v>
      </c>
      <c r="AB155" s="1"/>
      <c r="AC155" s="1">
        <f t="shared" ref="AC155:AC156" si="14">+G155+I155+K155-O155-Q155-Y155-W155-U155</f>
        <v>0</v>
      </c>
    </row>
    <row r="156" spans="1:29">
      <c r="A156" s="12" t="s">
        <v>288</v>
      </c>
      <c r="B156" s="17"/>
      <c r="C156" s="17" t="s">
        <v>20</v>
      </c>
      <c r="D156" s="17"/>
      <c r="E156" s="13">
        <v>43901</v>
      </c>
      <c r="G156" s="1">
        <f>30504110+5234</f>
        <v>30509344</v>
      </c>
      <c r="I156" s="1">
        <v>0</v>
      </c>
      <c r="K156" s="41">
        <f t="shared" si="10"/>
        <v>23061481</v>
      </c>
      <c r="M156" s="1">
        <v>53570825</v>
      </c>
      <c r="O156" s="41">
        <f t="shared" si="11"/>
        <v>3412752</v>
      </c>
      <c r="Q156" s="1">
        <v>15514498</v>
      </c>
      <c r="S156" s="1">
        <v>18927250</v>
      </c>
      <c r="U156" s="1">
        <f>2227849+1113410</f>
        <v>3341259</v>
      </c>
      <c r="W156" s="1">
        <v>0</v>
      </c>
      <c r="Y156" s="1">
        <v>31302316</v>
      </c>
      <c r="AA156" s="58">
        <f t="shared" si="12"/>
        <v>34643575</v>
      </c>
      <c r="AB156" s="1"/>
      <c r="AC156" s="1">
        <f t="shared" si="14"/>
        <v>0</v>
      </c>
    </row>
    <row r="157" spans="1:29">
      <c r="A157" s="17" t="s">
        <v>261</v>
      </c>
      <c r="B157" s="17"/>
      <c r="C157" s="17" t="s">
        <v>18</v>
      </c>
      <c r="D157" s="17"/>
      <c r="E157" s="13">
        <v>46409</v>
      </c>
      <c r="G157" s="1">
        <v>1730980</v>
      </c>
      <c r="I157" s="1">
        <v>0</v>
      </c>
      <c r="K157" s="41">
        <f t="shared" si="10"/>
        <v>2883607</v>
      </c>
      <c r="M157" s="1">
        <v>4614587</v>
      </c>
      <c r="O157" s="41">
        <f t="shared" si="11"/>
        <v>1436488</v>
      </c>
      <c r="Q157" s="1">
        <v>2638994</v>
      </c>
      <c r="S157" s="1">
        <v>4075482</v>
      </c>
      <c r="U157" s="1">
        <f>117074+243927</f>
        <v>361001</v>
      </c>
      <c r="W157" s="1">
        <v>0</v>
      </c>
      <c r="Y157" s="1">
        <v>178104</v>
      </c>
      <c r="AA157" s="58">
        <f t="shared" si="12"/>
        <v>539105</v>
      </c>
      <c r="AB157" s="1"/>
      <c r="AC157" s="1">
        <f t="shared" ref="AC157:AC180" si="15">+G157+I157+K157-O157-Q157-Y157-W157-U157</f>
        <v>0</v>
      </c>
    </row>
    <row r="158" spans="1:29">
      <c r="A158" s="17" t="s">
        <v>361</v>
      </c>
      <c r="B158" s="17"/>
      <c r="C158" s="17" t="s">
        <v>31</v>
      </c>
      <c r="D158" s="17"/>
      <c r="E158" s="13">
        <v>69682</v>
      </c>
      <c r="G158" s="1">
        <v>2061229</v>
      </c>
      <c r="I158" s="1">
        <v>0</v>
      </c>
      <c r="K158" s="41">
        <f t="shared" ref="K158:K179" si="16">+M158-I158-G158</f>
        <v>3108078</v>
      </c>
      <c r="M158" s="1">
        <v>5169307</v>
      </c>
      <c r="O158" s="41">
        <f t="shared" si="11"/>
        <v>1005041</v>
      </c>
      <c r="Q158" s="1">
        <v>2736095</v>
      </c>
      <c r="S158" s="1">
        <v>3741136</v>
      </c>
      <c r="U158" s="1">
        <f>468475+161031</f>
        <v>629506</v>
      </c>
      <c r="W158" s="1">
        <v>0</v>
      </c>
      <c r="Y158" s="1">
        <v>798665</v>
      </c>
      <c r="AA158" s="58">
        <f t="shared" ref="AA158:AA177" si="17">+Y158+W158++U158</f>
        <v>1428171</v>
      </c>
      <c r="AB158" s="1"/>
      <c r="AC158" s="1">
        <f t="shared" si="15"/>
        <v>0</v>
      </c>
    </row>
    <row r="159" spans="1:29">
      <c r="A159" s="17" t="s">
        <v>401</v>
      </c>
      <c r="B159" s="17"/>
      <c r="C159" s="17" t="s">
        <v>36</v>
      </c>
      <c r="D159" s="17"/>
      <c r="E159" s="13">
        <v>47688</v>
      </c>
      <c r="G159" s="1">
        <v>5363817</v>
      </c>
      <c r="I159" s="1">
        <v>0</v>
      </c>
      <c r="K159" s="41">
        <f t="shared" si="16"/>
        <v>8084824</v>
      </c>
      <c r="M159" s="1">
        <v>13448641</v>
      </c>
      <c r="O159" s="41">
        <f t="shared" ref="O159:O179" si="18">+S159-Q159</f>
        <v>1950492</v>
      </c>
      <c r="Q159" s="1">
        <v>7627438</v>
      </c>
      <c r="S159" s="1">
        <v>9577930</v>
      </c>
      <c r="U159" s="1">
        <f>142730+341700</f>
        <v>484430</v>
      </c>
      <c r="W159" s="1">
        <v>0</v>
      </c>
      <c r="Y159" s="1">
        <v>3386281</v>
      </c>
      <c r="AA159" s="58">
        <f t="shared" si="17"/>
        <v>3870711</v>
      </c>
      <c r="AB159" s="1"/>
      <c r="AC159" s="1">
        <f t="shared" si="15"/>
        <v>0</v>
      </c>
    </row>
    <row r="160" spans="1:29" hidden="1">
      <c r="A160" s="12" t="s">
        <v>807</v>
      </c>
      <c r="B160" s="12"/>
      <c r="C160" s="12" t="s">
        <v>40</v>
      </c>
      <c r="D160" s="17"/>
      <c r="E160" s="13"/>
      <c r="K160" s="41">
        <f t="shared" si="16"/>
        <v>0</v>
      </c>
      <c r="O160" s="41"/>
      <c r="AA160" s="58">
        <f t="shared" si="17"/>
        <v>0</v>
      </c>
      <c r="AB160" s="1"/>
      <c r="AC160" s="1">
        <f t="shared" si="15"/>
        <v>0</v>
      </c>
    </row>
    <row r="161" spans="1:29">
      <c r="A161" s="17" t="s">
        <v>266</v>
      </c>
      <c r="B161" s="17"/>
      <c r="C161" s="17" t="s">
        <v>114</v>
      </c>
      <c r="D161" s="17"/>
      <c r="E161" s="13">
        <v>43919</v>
      </c>
      <c r="G161" s="1">
        <v>6225788</v>
      </c>
      <c r="I161" s="1">
        <v>0</v>
      </c>
      <c r="K161" s="41">
        <f t="shared" si="16"/>
        <v>4417697</v>
      </c>
      <c r="M161" s="1">
        <v>10643485</v>
      </c>
      <c r="O161" s="41">
        <f t="shared" si="18"/>
        <v>2405347</v>
      </c>
      <c r="Q161" s="1">
        <v>3886512</v>
      </c>
      <c r="S161" s="1">
        <v>6291859</v>
      </c>
      <c r="U161" s="1">
        <f>137246+418800</f>
        <v>556046</v>
      </c>
      <c r="W161" s="1">
        <v>0</v>
      </c>
      <c r="Y161" s="1">
        <v>3795580</v>
      </c>
      <c r="AA161" s="58">
        <f t="shared" si="17"/>
        <v>4351626</v>
      </c>
      <c r="AB161" s="1"/>
      <c r="AC161" s="1">
        <f t="shared" si="15"/>
        <v>0</v>
      </c>
    </row>
    <row r="162" spans="1:29">
      <c r="A162" s="17" t="s">
        <v>511</v>
      </c>
      <c r="B162" s="17"/>
      <c r="C162" s="17" t="s">
        <v>51</v>
      </c>
      <c r="D162" s="17"/>
      <c r="E162" s="13">
        <v>48835</v>
      </c>
      <c r="G162" s="1">
        <v>3673654</v>
      </c>
      <c r="I162" s="1">
        <v>3503</v>
      </c>
      <c r="K162" s="41">
        <f t="shared" si="16"/>
        <v>5694432</v>
      </c>
      <c r="M162" s="1">
        <v>9371589</v>
      </c>
      <c r="O162" s="41">
        <f t="shared" si="18"/>
        <v>2005769</v>
      </c>
      <c r="Q162" s="1">
        <v>5323979</v>
      </c>
      <c r="S162" s="1">
        <v>7329748</v>
      </c>
      <c r="U162" s="1">
        <f>242336+3503+227246</f>
        <v>473085</v>
      </c>
      <c r="W162" s="1">
        <v>0</v>
      </c>
      <c r="Y162" s="1">
        <v>1568756</v>
      </c>
      <c r="AA162" s="58">
        <f t="shared" si="17"/>
        <v>2041841</v>
      </c>
      <c r="AB162" s="1"/>
      <c r="AC162" s="1">
        <f t="shared" si="15"/>
        <v>0</v>
      </c>
    </row>
    <row r="163" spans="1:29">
      <c r="A163" s="17" t="s">
        <v>267</v>
      </c>
      <c r="B163" s="17"/>
      <c r="C163" s="17" t="s">
        <v>114</v>
      </c>
      <c r="D163" s="17"/>
      <c r="E163" s="13">
        <v>43927</v>
      </c>
      <c r="G163" s="1">
        <v>0</v>
      </c>
      <c r="I163" s="1">
        <v>151406</v>
      </c>
      <c r="K163" s="41">
        <f t="shared" si="16"/>
        <v>2926698</v>
      </c>
      <c r="M163" s="1">
        <v>3078104</v>
      </c>
      <c r="O163" s="41">
        <f t="shared" si="18"/>
        <v>1159729</v>
      </c>
      <c r="Q163" s="1">
        <v>2388711</v>
      </c>
      <c r="S163" s="1">
        <v>3548440</v>
      </c>
      <c r="U163" s="1">
        <f>165744+33257+225360</f>
        <v>424361</v>
      </c>
      <c r="W163" s="1">
        <v>0</v>
      </c>
      <c r="Y163" s="1">
        <v>-894697</v>
      </c>
      <c r="AA163" s="58">
        <f t="shared" si="17"/>
        <v>-470336</v>
      </c>
      <c r="AB163" s="1"/>
      <c r="AC163" s="1">
        <f t="shared" si="15"/>
        <v>0</v>
      </c>
    </row>
    <row r="164" spans="1:29">
      <c r="A164" s="17" t="s">
        <v>223</v>
      </c>
      <c r="B164" s="17"/>
      <c r="C164" s="17" t="s">
        <v>77</v>
      </c>
      <c r="D164" s="17"/>
      <c r="E164" s="13">
        <v>46037</v>
      </c>
      <c r="G164" s="1">
        <v>538540</v>
      </c>
      <c r="I164" s="1">
        <v>113338</v>
      </c>
      <c r="K164" s="41">
        <f t="shared" si="16"/>
        <v>3352915</v>
      </c>
      <c r="M164" s="1">
        <v>4004793</v>
      </c>
      <c r="O164" s="41">
        <f t="shared" si="18"/>
        <v>1352350</v>
      </c>
      <c r="Q164" s="1">
        <v>2588045</v>
      </c>
      <c r="S164" s="1">
        <v>3940395</v>
      </c>
      <c r="U164" s="1">
        <f>72782+527657+113338</f>
        <v>713777</v>
      </c>
      <c r="W164" s="1">
        <v>0</v>
      </c>
      <c r="Y164" s="1">
        <v>-649379</v>
      </c>
      <c r="AA164" s="58">
        <f t="shared" si="17"/>
        <v>64398</v>
      </c>
      <c r="AB164" s="1"/>
      <c r="AC164" s="1">
        <f t="shared" si="15"/>
        <v>0</v>
      </c>
    </row>
    <row r="165" spans="1:29">
      <c r="A165" s="17" t="s">
        <v>223</v>
      </c>
      <c r="B165" s="17"/>
      <c r="C165" s="17" t="s">
        <v>484</v>
      </c>
      <c r="D165" s="17"/>
      <c r="E165" s="13">
        <v>48512</v>
      </c>
      <c r="G165" s="1">
        <v>660821</v>
      </c>
      <c r="I165" s="1">
        <v>83259</v>
      </c>
      <c r="K165" s="41">
        <f t="shared" si="16"/>
        <v>1698822</v>
      </c>
      <c r="M165" s="1">
        <v>2442902</v>
      </c>
      <c r="O165" s="41">
        <f t="shared" si="18"/>
        <v>985970</v>
      </c>
      <c r="Q165" s="1">
        <v>1594139</v>
      </c>
      <c r="S165" s="1">
        <v>2580109</v>
      </c>
      <c r="U165" s="1">
        <f>81981+45760+30393+52866</f>
        <v>211000</v>
      </c>
      <c r="W165" s="1">
        <v>0</v>
      </c>
      <c r="Y165" s="1">
        <v>-348207</v>
      </c>
      <c r="AA165" s="58">
        <f t="shared" si="17"/>
        <v>-137207</v>
      </c>
      <c r="AB165" s="1"/>
      <c r="AC165" s="1">
        <f t="shared" si="15"/>
        <v>0</v>
      </c>
    </row>
    <row r="166" spans="1:29" hidden="1">
      <c r="A166" s="12" t="s">
        <v>808</v>
      </c>
      <c r="B166" s="17"/>
      <c r="C166" s="17" t="s">
        <v>55</v>
      </c>
      <c r="D166" s="17"/>
      <c r="E166" s="13">
        <v>49122</v>
      </c>
      <c r="I166" s="1">
        <v>0</v>
      </c>
      <c r="K166" s="41">
        <f t="shared" si="16"/>
        <v>0</v>
      </c>
      <c r="O166" s="41">
        <f t="shared" si="18"/>
        <v>0</v>
      </c>
      <c r="W166" s="1">
        <v>0</v>
      </c>
      <c r="AA166" s="58">
        <f t="shared" si="17"/>
        <v>0</v>
      </c>
      <c r="AB166" s="1"/>
      <c r="AC166" s="1">
        <f t="shared" si="15"/>
        <v>0</v>
      </c>
    </row>
    <row r="167" spans="1:29">
      <c r="A167" s="17" t="s">
        <v>647</v>
      </c>
      <c r="B167" s="17"/>
      <c r="C167" s="17" t="s">
        <v>72</v>
      </c>
      <c r="D167" s="17"/>
      <c r="E167" s="13">
        <v>50674</v>
      </c>
      <c r="G167" s="1">
        <v>6435838</v>
      </c>
      <c r="I167" s="1">
        <v>0</v>
      </c>
      <c r="K167" s="41">
        <f t="shared" si="16"/>
        <v>6140251</v>
      </c>
      <c r="M167" s="1">
        <v>12576089</v>
      </c>
      <c r="O167" s="41">
        <f t="shared" si="18"/>
        <v>2104446</v>
      </c>
      <c r="Q167" s="1">
        <v>4544795</v>
      </c>
      <c r="S167" s="1">
        <v>6649241</v>
      </c>
      <c r="U167" s="1">
        <v>829644</v>
      </c>
      <c r="W167" s="1">
        <v>0</v>
      </c>
      <c r="Y167" s="1">
        <v>5097204</v>
      </c>
      <c r="AA167" s="58">
        <f t="shared" si="17"/>
        <v>5926848</v>
      </c>
      <c r="AB167" s="1"/>
      <c r="AC167" s="1">
        <f t="shared" si="15"/>
        <v>0</v>
      </c>
    </row>
    <row r="168" spans="1:29">
      <c r="A168" s="17" t="s">
        <v>835</v>
      </c>
      <c r="B168" s="17"/>
      <c r="C168" s="17" t="s">
        <v>57</v>
      </c>
      <c r="D168" s="17"/>
      <c r="E168" s="13">
        <v>43935</v>
      </c>
      <c r="G168" s="1">
        <f>3501253+7480233</f>
        <v>10981486</v>
      </c>
      <c r="I168" s="1">
        <v>1173312</v>
      </c>
      <c r="K168" s="41">
        <f t="shared" si="16"/>
        <v>7923754</v>
      </c>
      <c r="M168" s="1">
        <v>20078552</v>
      </c>
      <c r="O168" s="41">
        <f t="shared" si="18"/>
        <v>1901311</v>
      </c>
      <c r="Q168" s="1">
        <v>5935354</v>
      </c>
      <c r="S168" s="1">
        <v>7836665</v>
      </c>
      <c r="U168" s="1">
        <f>363937+157252+332895+1173312</f>
        <v>2027396</v>
      </c>
      <c r="W168" s="1">
        <v>0</v>
      </c>
      <c r="Y168" s="1">
        <v>10214491</v>
      </c>
      <c r="AA168" s="58">
        <f t="shared" si="17"/>
        <v>12241887</v>
      </c>
      <c r="AB168" s="1"/>
      <c r="AC168" s="1">
        <f t="shared" si="15"/>
        <v>0</v>
      </c>
    </row>
    <row r="169" spans="1:29" hidden="1">
      <c r="A169" s="17" t="s">
        <v>809</v>
      </c>
      <c r="B169" s="17"/>
      <c r="C169" s="17" t="s">
        <v>643</v>
      </c>
      <c r="D169" s="17"/>
      <c r="E169" s="13">
        <v>50617</v>
      </c>
      <c r="K169" s="41">
        <f t="shared" si="16"/>
        <v>0</v>
      </c>
      <c r="O169" s="41">
        <f t="shared" si="18"/>
        <v>0</v>
      </c>
      <c r="AA169" s="58">
        <f t="shared" si="17"/>
        <v>0</v>
      </c>
      <c r="AB169" s="1"/>
      <c r="AC169" s="1">
        <f t="shared" si="15"/>
        <v>0</v>
      </c>
    </row>
    <row r="170" spans="1:29">
      <c r="A170" s="17" t="s">
        <v>226</v>
      </c>
      <c r="B170" s="17"/>
      <c r="C170" s="17" t="s">
        <v>227</v>
      </c>
      <c r="D170" s="17"/>
      <c r="E170" s="13">
        <v>46094</v>
      </c>
      <c r="G170" s="1">
        <v>2644835</v>
      </c>
      <c r="I170" s="1">
        <v>123223</v>
      </c>
      <c r="K170" s="41">
        <f t="shared" si="16"/>
        <v>10999739</v>
      </c>
      <c r="M170" s="1">
        <v>13767797</v>
      </c>
      <c r="O170" s="41">
        <f t="shared" si="18"/>
        <v>4544918</v>
      </c>
      <c r="Q170" s="1">
        <v>10502071</v>
      </c>
      <c r="S170" s="1">
        <v>15046989</v>
      </c>
      <c r="U170" s="1">
        <f>92687+123223+200000+799</f>
        <v>416709</v>
      </c>
      <c r="W170" s="1">
        <v>0</v>
      </c>
      <c r="Y170" s="1">
        <v>-1695901</v>
      </c>
      <c r="AA170" s="58">
        <f t="shared" si="17"/>
        <v>-1279192</v>
      </c>
      <c r="AB170" s="1"/>
      <c r="AC170" s="1">
        <f t="shared" si="15"/>
        <v>0</v>
      </c>
    </row>
    <row r="171" spans="1:29">
      <c r="A171" s="17"/>
      <c r="B171" s="17"/>
      <c r="C171" s="17"/>
      <c r="D171" s="17"/>
      <c r="E171" s="13"/>
      <c r="K171" s="41"/>
      <c r="O171" s="41"/>
      <c r="AA171" s="58"/>
      <c r="AB171" s="1"/>
    </row>
    <row r="172" spans="1:29">
      <c r="A172" s="17"/>
      <c r="B172" s="17"/>
      <c r="C172" s="17"/>
      <c r="D172" s="17"/>
      <c r="E172" s="13"/>
      <c r="K172" s="41"/>
      <c r="O172" s="41"/>
      <c r="AA172" s="41" t="s">
        <v>709</v>
      </c>
      <c r="AB172" s="1"/>
    </row>
    <row r="173" spans="1:29">
      <c r="A173" s="17"/>
      <c r="B173" s="17"/>
      <c r="C173" s="17"/>
      <c r="D173" s="17"/>
      <c r="E173" s="13"/>
      <c r="K173" s="41"/>
      <c r="O173" s="41"/>
      <c r="AA173" s="58"/>
      <c r="AB173" s="1"/>
    </row>
    <row r="174" spans="1:29">
      <c r="A174" s="17" t="s">
        <v>410</v>
      </c>
      <c r="B174" s="17"/>
      <c r="C174" s="17" t="s">
        <v>39</v>
      </c>
      <c r="D174" s="17"/>
      <c r="E174" s="13">
        <v>47795</v>
      </c>
      <c r="G174" s="16">
        <v>1541315</v>
      </c>
      <c r="H174" s="16"/>
      <c r="I174" s="16">
        <v>39801</v>
      </c>
      <c r="J174" s="16"/>
      <c r="K174" s="59">
        <f t="shared" si="16"/>
        <v>8669706</v>
      </c>
      <c r="L174" s="16"/>
      <c r="M174" s="16">
        <v>10250822</v>
      </c>
      <c r="N174" s="16"/>
      <c r="O174" s="59">
        <f t="shared" si="18"/>
        <v>1746351</v>
      </c>
      <c r="P174" s="16"/>
      <c r="Q174" s="16">
        <f>647478+7425000</f>
        <v>8072478</v>
      </c>
      <c r="R174" s="16"/>
      <c r="S174" s="16">
        <v>9818829</v>
      </c>
      <c r="T174" s="16"/>
      <c r="U174" s="16">
        <f>136997+46758+538000+39801</f>
        <v>761556</v>
      </c>
      <c r="V174" s="16"/>
      <c r="W174" s="16">
        <v>0</v>
      </c>
      <c r="X174" s="16"/>
      <c r="Y174" s="16">
        <v>-329563</v>
      </c>
      <c r="Z174" s="16"/>
      <c r="AA174" s="90">
        <f t="shared" si="17"/>
        <v>431993</v>
      </c>
      <c r="AB174" s="1"/>
      <c r="AC174" s="1">
        <f t="shared" si="15"/>
        <v>0</v>
      </c>
    </row>
    <row r="175" spans="1:29" s="16" customFormat="1">
      <c r="A175" s="14" t="s">
        <v>644</v>
      </c>
      <c r="B175" s="14"/>
      <c r="C175" s="14" t="s">
        <v>643</v>
      </c>
      <c r="D175" s="14"/>
      <c r="E175" s="13">
        <v>50625</v>
      </c>
      <c r="G175" s="1">
        <v>2332711</v>
      </c>
      <c r="H175" s="1"/>
      <c r="I175" s="1">
        <v>0</v>
      </c>
      <c r="J175" s="1"/>
      <c r="K175" s="41">
        <f t="shared" si="16"/>
        <v>1750019</v>
      </c>
      <c r="L175" s="1"/>
      <c r="M175" s="1">
        <v>4082730</v>
      </c>
      <c r="N175" s="1"/>
      <c r="O175" s="41">
        <f t="shared" si="18"/>
        <v>570941</v>
      </c>
      <c r="P175" s="1"/>
      <c r="Q175" s="1">
        <v>1574010</v>
      </c>
      <c r="R175" s="1"/>
      <c r="S175" s="1">
        <v>2144951</v>
      </c>
      <c r="T175" s="1"/>
      <c r="U175" s="1">
        <f>23273+18323+39374+113081</f>
        <v>194051</v>
      </c>
      <c r="V175" s="1"/>
      <c r="W175" s="1">
        <v>0</v>
      </c>
      <c r="X175" s="1"/>
      <c r="Y175" s="1">
        <v>1743728</v>
      </c>
      <c r="Z175" s="1"/>
      <c r="AA175" s="58">
        <f t="shared" si="17"/>
        <v>1937779</v>
      </c>
      <c r="AB175" s="1"/>
      <c r="AC175" s="1">
        <f t="shared" si="15"/>
        <v>0</v>
      </c>
    </row>
    <row r="176" spans="1:29" s="1" customFormat="1">
      <c r="A176" s="17" t="s">
        <v>836</v>
      </c>
      <c r="B176" s="12"/>
      <c r="C176" s="12" t="s">
        <v>46</v>
      </c>
      <c r="D176" s="12"/>
      <c r="E176" s="12">
        <v>48413</v>
      </c>
      <c r="G176" s="1">
        <v>899327</v>
      </c>
      <c r="I176" s="1">
        <v>197885</v>
      </c>
      <c r="K176" s="41">
        <f t="shared" ref="K176" si="19">+M176-I176-G176</f>
        <v>3870981</v>
      </c>
      <c r="M176" s="1">
        <v>4968193</v>
      </c>
      <c r="O176" s="41">
        <f t="shared" ref="O176" si="20">+S176-Q176</f>
        <v>1345418</v>
      </c>
      <c r="Q176" s="1">
        <v>2171952</v>
      </c>
      <c r="S176" s="1">
        <v>3517370</v>
      </c>
      <c r="U176" s="1">
        <f>1464894+172193+25692+61867</f>
        <v>1724646</v>
      </c>
      <c r="W176" s="1">
        <f>76925+230</f>
        <v>77155</v>
      </c>
      <c r="Y176" s="1">
        <v>-350978</v>
      </c>
      <c r="AA176" s="58">
        <f>+Y176+W176++U176</f>
        <v>1450823</v>
      </c>
      <c r="AC176" s="1">
        <f t="shared" ref="AC176" si="21">+G176+I176+K176-O176-Q176-Y176-W176-U176</f>
        <v>0</v>
      </c>
    </row>
    <row r="177" spans="1:29" s="16" customFormat="1" hidden="1">
      <c r="A177" s="12" t="s">
        <v>811</v>
      </c>
      <c r="B177" s="12"/>
      <c r="C177" s="12" t="s">
        <v>10</v>
      </c>
      <c r="D177" s="14"/>
      <c r="E177" s="13"/>
      <c r="G177" s="1"/>
      <c r="H177" s="1"/>
      <c r="I177" s="1"/>
      <c r="J177" s="1"/>
      <c r="K177" s="41">
        <f t="shared" si="16"/>
        <v>0</v>
      </c>
      <c r="L177" s="1"/>
      <c r="M177" s="1"/>
      <c r="N177" s="1"/>
      <c r="O177" s="41">
        <f t="shared" si="18"/>
        <v>0</v>
      </c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58">
        <f t="shared" si="17"/>
        <v>0</v>
      </c>
      <c r="AB177" s="1"/>
      <c r="AC177" s="1">
        <f t="shared" si="15"/>
        <v>0</v>
      </c>
    </row>
    <row r="178" spans="1:29" s="1" customFormat="1" hidden="1">
      <c r="A178" s="17" t="s">
        <v>861</v>
      </c>
      <c r="B178" s="12"/>
      <c r="C178" s="12" t="s">
        <v>72</v>
      </c>
      <c r="D178" s="12"/>
      <c r="E178" s="12"/>
      <c r="K178" s="41"/>
      <c r="O178" s="41"/>
      <c r="AA178" s="58"/>
    </row>
    <row r="179" spans="1:29">
      <c r="A179" s="17" t="s">
        <v>440</v>
      </c>
      <c r="B179" s="17"/>
      <c r="C179" s="17" t="s">
        <v>44</v>
      </c>
      <c r="D179" s="17"/>
      <c r="E179" s="13">
        <v>43943</v>
      </c>
      <c r="G179" s="1">
        <v>2502921</v>
      </c>
      <c r="I179" s="1">
        <v>444812</v>
      </c>
      <c r="K179" s="41">
        <f t="shared" si="16"/>
        <v>33386503</v>
      </c>
      <c r="M179" s="1">
        <v>36334236</v>
      </c>
      <c r="O179" s="41">
        <f t="shared" si="18"/>
        <v>8188479</v>
      </c>
      <c r="Q179" s="1">
        <v>28296355</v>
      </c>
      <c r="S179" s="1">
        <v>36484834</v>
      </c>
      <c r="U179" s="1">
        <f>980014+1536780+444812</f>
        <v>2961606</v>
      </c>
      <c r="W179" s="1">
        <v>0</v>
      </c>
      <c r="Y179" s="1">
        <v>-3112204</v>
      </c>
      <c r="AA179" s="58">
        <f t="shared" ref="AA179:AA227" si="22">+Y179+W179++U179</f>
        <v>-150598</v>
      </c>
      <c r="AB179" s="1"/>
      <c r="AC179" s="1">
        <f t="shared" si="15"/>
        <v>0</v>
      </c>
    </row>
    <row r="180" spans="1:29">
      <c r="A180" s="17" t="s">
        <v>289</v>
      </c>
      <c r="B180" s="17"/>
      <c r="C180" s="17" t="s">
        <v>20</v>
      </c>
      <c r="D180" s="17"/>
      <c r="E180" s="13">
        <v>43950</v>
      </c>
      <c r="G180" s="1">
        <f>4192434+1108369</f>
        <v>5300803</v>
      </c>
      <c r="I180" s="1">
        <v>1276135</v>
      </c>
      <c r="K180" s="41">
        <f t="shared" ref="K180:K225" si="23">+M180-I180-G180</f>
        <v>39379945</v>
      </c>
      <c r="M180" s="1">
        <v>45956883</v>
      </c>
      <c r="O180" s="41">
        <f t="shared" ref="O180:O225" si="24">+S180-Q180</f>
        <v>7502979</v>
      </c>
      <c r="Q180" s="1">
        <v>32035357</v>
      </c>
      <c r="S180" s="1">
        <v>39538336</v>
      </c>
      <c r="U180" s="1">
        <f>637786+107828+75909+1276135+5603570</f>
        <v>7701228</v>
      </c>
      <c r="W180" s="1">
        <v>0</v>
      </c>
      <c r="Y180" s="1">
        <v>-1282681</v>
      </c>
      <c r="AA180" s="58">
        <f t="shared" si="22"/>
        <v>6418547</v>
      </c>
      <c r="AB180" s="1"/>
      <c r="AC180" s="1">
        <f t="shared" si="15"/>
        <v>0</v>
      </c>
    </row>
    <row r="181" spans="1:29" hidden="1">
      <c r="A181" s="12" t="s">
        <v>741</v>
      </c>
      <c r="B181" s="17"/>
      <c r="C181" s="17" t="s">
        <v>28</v>
      </c>
      <c r="D181" s="17"/>
      <c r="E181" s="13">
        <v>47050</v>
      </c>
      <c r="K181" s="41">
        <f t="shared" si="23"/>
        <v>0</v>
      </c>
      <c r="O181" s="41">
        <f t="shared" si="24"/>
        <v>0</v>
      </c>
      <c r="W181" s="1">
        <v>0</v>
      </c>
      <c r="AA181" s="58">
        <f t="shared" si="22"/>
        <v>0</v>
      </c>
      <c r="AB181" s="1"/>
      <c r="AC181" s="1">
        <f t="shared" ref="AC181:AC227" si="25">+G181+I181+K181-O181-Q181-Y181-W181-U181</f>
        <v>0</v>
      </c>
    </row>
    <row r="182" spans="1:29">
      <c r="A182" s="17" t="s">
        <v>625</v>
      </c>
      <c r="B182" s="17"/>
      <c r="C182" s="17" t="s">
        <v>66</v>
      </c>
      <c r="D182" s="17"/>
      <c r="E182" s="13">
        <v>50328</v>
      </c>
      <c r="G182" s="1">
        <v>2072422</v>
      </c>
      <c r="I182" s="1">
        <v>87102</v>
      </c>
      <c r="K182" s="41">
        <f t="shared" si="23"/>
        <v>5071039</v>
      </c>
      <c r="M182" s="1">
        <v>7230563</v>
      </c>
      <c r="O182" s="41">
        <f t="shared" si="24"/>
        <v>1132891</v>
      </c>
      <c r="Q182" s="1">
        <v>3931549</v>
      </c>
      <c r="S182" s="1">
        <v>5064440</v>
      </c>
      <c r="U182" s="1">
        <v>864863</v>
      </c>
      <c r="W182" s="1">
        <v>0</v>
      </c>
      <c r="Y182" s="1">
        <v>1301260</v>
      </c>
      <c r="AA182" s="58">
        <f t="shared" si="22"/>
        <v>2166123</v>
      </c>
      <c r="AB182" s="1"/>
      <c r="AC182" s="1">
        <f t="shared" si="25"/>
        <v>0</v>
      </c>
    </row>
    <row r="183" spans="1:29">
      <c r="A183" s="17" t="s">
        <v>751</v>
      </c>
      <c r="B183" s="17"/>
      <c r="C183" s="17" t="s">
        <v>116</v>
      </c>
      <c r="D183" s="17"/>
      <c r="E183" s="13">
        <v>46102</v>
      </c>
      <c r="G183" s="1">
        <v>4287795</v>
      </c>
      <c r="I183" s="1">
        <v>612272</v>
      </c>
      <c r="K183" s="41">
        <f>+M183-I183-G183</f>
        <v>17376133</v>
      </c>
      <c r="M183" s="1">
        <v>22276200</v>
      </c>
      <c r="O183" s="41">
        <f>+S183-Q183</f>
        <v>5342966</v>
      </c>
      <c r="Q183" s="1">
        <v>14557421</v>
      </c>
      <c r="S183" s="1">
        <v>19900387</v>
      </c>
      <c r="U183" s="1">
        <f>270360+1744+1484830+612272</f>
        <v>2369206</v>
      </c>
      <c r="W183" s="1">
        <v>0</v>
      </c>
      <c r="Y183" s="1">
        <v>6607</v>
      </c>
      <c r="AA183" s="58">
        <f>+Y183+W183++U183</f>
        <v>2375813</v>
      </c>
      <c r="AB183" s="1"/>
      <c r="AC183" s="1">
        <f>+G183+I183+K183-O183-Q183-Y183-W183-U183</f>
        <v>0</v>
      </c>
    </row>
    <row r="184" spans="1:29">
      <c r="A184" s="17" t="s">
        <v>228</v>
      </c>
      <c r="B184" s="17"/>
      <c r="C184" s="17" t="s">
        <v>227</v>
      </c>
      <c r="D184" s="17"/>
      <c r="E184" s="13">
        <v>46102</v>
      </c>
      <c r="G184" s="1">
        <v>12590588</v>
      </c>
      <c r="I184" s="1">
        <v>203843</v>
      </c>
      <c r="K184" s="41">
        <f t="shared" si="23"/>
        <v>48431616</v>
      </c>
      <c r="M184" s="1">
        <v>61226047</v>
      </c>
      <c r="O184" s="41">
        <f t="shared" si="24"/>
        <v>10059969</v>
      </c>
      <c r="Q184" s="1">
        <v>46976730</v>
      </c>
      <c r="S184" s="1">
        <v>57036699</v>
      </c>
      <c r="U184" s="1">
        <f>1442591+905478+203843</f>
        <v>2551912</v>
      </c>
      <c r="W184" s="1">
        <v>0</v>
      </c>
      <c r="Y184" s="1">
        <v>1637436</v>
      </c>
      <c r="AA184" s="58">
        <f t="shared" si="22"/>
        <v>4189348</v>
      </c>
      <c r="AB184" s="1"/>
      <c r="AC184" s="1">
        <f t="shared" si="25"/>
        <v>0</v>
      </c>
    </row>
    <row r="185" spans="1:29">
      <c r="A185" s="17" t="s">
        <v>396</v>
      </c>
      <c r="B185" s="17"/>
      <c r="C185" s="17" t="s">
        <v>395</v>
      </c>
      <c r="D185" s="17"/>
      <c r="E185" s="13">
        <v>47621</v>
      </c>
      <c r="G185" s="1">
        <f>1555310+52983</f>
        <v>1608293</v>
      </c>
      <c r="I185" s="1">
        <v>0</v>
      </c>
      <c r="K185" s="41">
        <f t="shared" si="23"/>
        <v>1462347</v>
      </c>
      <c r="M185" s="1">
        <v>3070640</v>
      </c>
      <c r="O185" s="41">
        <f t="shared" si="24"/>
        <v>1166688</v>
      </c>
      <c r="Q185" s="1">
        <v>1238554</v>
      </c>
      <c r="S185" s="1">
        <v>2405242</v>
      </c>
      <c r="U185" s="1">
        <f>87266+22000+201793</f>
        <v>311059</v>
      </c>
      <c r="W185" s="1">
        <v>0</v>
      </c>
      <c r="Y185" s="1">
        <v>354339</v>
      </c>
      <c r="AA185" s="58">
        <f t="shared" si="22"/>
        <v>665398</v>
      </c>
      <c r="AB185" s="1"/>
      <c r="AC185" s="1">
        <f t="shared" si="25"/>
        <v>0</v>
      </c>
    </row>
    <row r="186" spans="1:29">
      <c r="A186" s="17" t="s">
        <v>324</v>
      </c>
      <c r="B186" s="17"/>
      <c r="C186" s="17" t="s">
        <v>25</v>
      </c>
      <c r="D186" s="17"/>
      <c r="E186" s="13">
        <v>46870</v>
      </c>
      <c r="G186" s="1">
        <v>4282006</v>
      </c>
      <c r="I186" s="1">
        <v>0</v>
      </c>
      <c r="K186" s="41">
        <f t="shared" si="23"/>
        <v>5300433</v>
      </c>
      <c r="M186" s="1">
        <v>9582439</v>
      </c>
      <c r="O186" s="41">
        <f t="shared" si="24"/>
        <v>2031493</v>
      </c>
      <c r="Q186" s="1">
        <v>3427766</v>
      </c>
      <c r="S186" s="1">
        <v>5459259</v>
      </c>
      <c r="U186" s="1">
        <f>133065+403418</f>
        <v>536483</v>
      </c>
      <c r="W186" s="1">
        <v>0</v>
      </c>
      <c r="Y186" s="1">
        <v>3586697</v>
      </c>
      <c r="AA186" s="58">
        <f t="shared" si="22"/>
        <v>4123180</v>
      </c>
      <c r="AB186" s="1"/>
      <c r="AC186" s="1">
        <f t="shared" si="25"/>
        <v>0</v>
      </c>
    </row>
    <row r="187" spans="1:29">
      <c r="A187" s="17" t="s">
        <v>422</v>
      </c>
      <c r="B187" s="17"/>
      <c r="C187" s="17" t="s">
        <v>420</v>
      </c>
      <c r="D187" s="17"/>
      <c r="E187" s="13">
        <v>47936</v>
      </c>
      <c r="G187" s="1">
        <v>4823884</v>
      </c>
      <c r="I187" s="1">
        <v>113029</v>
      </c>
      <c r="K187" s="41">
        <f t="shared" si="23"/>
        <v>2921197</v>
      </c>
      <c r="M187" s="1">
        <v>7858110</v>
      </c>
      <c r="O187" s="41">
        <f t="shared" si="24"/>
        <v>1896614</v>
      </c>
      <c r="Q187" s="1">
        <v>2462691</v>
      </c>
      <c r="S187" s="1">
        <v>4359305</v>
      </c>
      <c r="U187" s="1">
        <f>89228+449123+69569+43460</f>
        <v>651380</v>
      </c>
      <c r="W187" s="1">
        <v>58859</v>
      </c>
      <c r="Y187" s="1">
        <v>2788566</v>
      </c>
      <c r="AA187" s="58">
        <f t="shared" si="22"/>
        <v>3498805</v>
      </c>
      <c r="AB187" s="1"/>
      <c r="AC187" s="1">
        <f t="shared" si="25"/>
        <v>0</v>
      </c>
    </row>
    <row r="188" spans="1:29" hidden="1">
      <c r="A188" s="17" t="s">
        <v>742</v>
      </c>
      <c r="B188" s="17"/>
      <c r="C188" s="17" t="s">
        <v>61</v>
      </c>
      <c r="D188" s="17"/>
      <c r="E188" s="13">
        <v>49775</v>
      </c>
      <c r="K188" s="41">
        <f t="shared" si="23"/>
        <v>0</v>
      </c>
      <c r="O188" s="41">
        <f t="shared" si="24"/>
        <v>0</v>
      </c>
      <c r="AA188" s="58">
        <f t="shared" si="22"/>
        <v>0</v>
      </c>
      <c r="AB188" s="1"/>
      <c r="AC188" s="1">
        <f t="shared" si="25"/>
        <v>0</v>
      </c>
    </row>
    <row r="189" spans="1:29">
      <c r="A189" s="17" t="s">
        <v>575</v>
      </c>
      <c r="B189" s="17"/>
      <c r="C189" s="17" t="s">
        <v>62</v>
      </c>
      <c r="D189" s="17"/>
      <c r="E189" s="13">
        <v>49841</v>
      </c>
      <c r="G189" s="1">
        <v>3454031</v>
      </c>
      <c r="I189" s="1">
        <v>80333</v>
      </c>
      <c r="K189" s="41">
        <f t="shared" si="23"/>
        <v>5800434</v>
      </c>
      <c r="M189" s="1">
        <v>9334798</v>
      </c>
      <c r="O189" s="41">
        <f t="shared" si="24"/>
        <v>2015392</v>
      </c>
      <c r="Q189" s="1">
        <f>5151234+359600</f>
        <v>5510834</v>
      </c>
      <c r="S189" s="1">
        <v>7526226</v>
      </c>
      <c r="U189" s="1">
        <f>274874+9817+218250+53112+27221</f>
        <v>583274</v>
      </c>
      <c r="W189" s="1">
        <v>0</v>
      </c>
      <c r="Y189" s="1">
        <v>1225298</v>
      </c>
      <c r="AA189" s="58">
        <f t="shared" si="22"/>
        <v>1808572</v>
      </c>
      <c r="AB189" s="1"/>
      <c r="AC189" s="1">
        <f t="shared" si="25"/>
        <v>0</v>
      </c>
    </row>
    <row r="190" spans="1:29" hidden="1">
      <c r="A190" s="17" t="s">
        <v>834</v>
      </c>
      <c r="B190" s="17"/>
      <c r="C190" s="17" t="s">
        <v>41</v>
      </c>
      <c r="D190" s="17"/>
      <c r="E190" s="13">
        <v>45369</v>
      </c>
      <c r="K190" s="41">
        <f t="shared" si="23"/>
        <v>0</v>
      </c>
      <c r="O190" s="41">
        <f t="shared" si="24"/>
        <v>0</v>
      </c>
      <c r="W190" s="1">
        <v>0</v>
      </c>
      <c r="AA190" s="58">
        <f t="shared" si="22"/>
        <v>0</v>
      </c>
      <c r="AB190" s="1"/>
      <c r="AC190" s="1">
        <f t="shared" si="25"/>
        <v>0</v>
      </c>
    </row>
    <row r="191" spans="1:29">
      <c r="A191" s="17" t="s">
        <v>290</v>
      </c>
      <c r="B191" s="17"/>
      <c r="C191" s="17" t="s">
        <v>20</v>
      </c>
      <c r="D191" s="17"/>
      <c r="E191" s="13">
        <v>43976</v>
      </c>
      <c r="G191" s="1">
        <v>11132267</v>
      </c>
      <c r="I191" s="1">
        <v>364682</v>
      </c>
      <c r="K191" s="41">
        <f t="shared" si="23"/>
        <v>16197412</v>
      </c>
      <c r="M191" s="1">
        <v>27694361</v>
      </c>
      <c r="O191" s="41">
        <f t="shared" si="24"/>
        <v>2186959</v>
      </c>
      <c r="Q191" s="1">
        <v>13575860</v>
      </c>
      <c r="S191" s="1">
        <v>15762819</v>
      </c>
      <c r="U191" s="1">
        <v>2872662</v>
      </c>
      <c r="W191" s="1">
        <v>0</v>
      </c>
      <c r="Y191" s="1">
        <v>9058880</v>
      </c>
      <c r="AA191" s="58">
        <f t="shared" si="22"/>
        <v>11931542</v>
      </c>
      <c r="AB191" s="1"/>
      <c r="AC191" s="1">
        <f t="shared" si="25"/>
        <v>0</v>
      </c>
    </row>
    <row r="192" spans="1:29">
      <c r="A192" s="17" t="s">
        <v>812</v>
      </c>
      <c r="B192" s="17"/>
      <c r="C192" s="17" t="s">
        <v>28</v>
      </c>
      <c r="D192" s="17"/>
      <c r="E192" s="13"/>
      <c r="G192" s="1">
        <v>1483573</v>
      </c>
      <c r="I192" s="1">
        <v>0</v>
      </c>
      <c r="K192" s="41">
        <f t="shared" si="23"/>
        <v>1236742</v>
      </c>
      <c r="M192" s="1">
        <v>2720315</v>
      </c>
      <c r="O192" s="41">
        <f t="shared" si="24"/>
        <v>529865</v>
      </c>
      <c r="Q192" s="1">
        <v>1017977</v>
      </c>
      <c r="S192" s="1">
        <v>1547842</v>
      </c>
      <c r="U192" s="1">
        <f>88548+49056</f>
        <v>137604</v>
      </c>
      <c r="W192" s="1">
        <v>0</v>
      </c>
      <c r="Y192" s="1">
        <v>1034869</v>
      </c>
      <c r="AA192" s="58">
        <f t="shared" si="22"/>
        <v>1172473</v>
      </c>
      <c r="AB192" s="1"/>
      <c r="AC192" s="1">
        <f t="shared" si="25"/>
        <v>0</v>
      </c>
    </row>
    <row r="193" spans="1:29">
      <c r="A193" s="17" t="s">
        <v>224</v>
      </c>
      <c r="B193" s="17"/>
      <c r="C193" s="17" t="s">
        <v>77</v>
      </c>
      <c r="D193" s="17"/>
      <c r="E193" s="13">
        <v>46045</v>
      </c>
      <c r="G193" s="1">
        <v>906177</v>
      </c>
      <c r="I193" s="1">
        <v>0</v>
      </c>
      <c r="K193" s="41">
        <f t="shared" si="23"/>
        <v>1763334</v>
      </c>
      <c r="M193" s="1">
        <v>2669511</v>
      </c>
      <c r="O193" s="41">
        <f t="shared" si="24"/>
        <v>904082</v>
      </c>
      <c r="Q193" s="1">
        <v>1355772</v>
      </c>
      <c r="S193" s="1">
        <v>2259854</v>
      </c>
      <c r="U193" s="1">
        <f>142559+402347</f>
        <v>544906</v>
      </c>
      <c r="W193" s="1">
        <v>0</v>
      </c>
      <c r="Y193" s="1">
        <v>-135249</v>
      </c>
      <c r="AA193" s="58">
        <f t="shared" si="22"/>
        <v>409657</v>
      </c>
      <c r="AB193" s="1"/>
      <c r="AC193" s="1">
        <f t="shared" si="25"/>
        <v>0</v>
      </c>
    </row>
    <row r="194" spans="1:29">
      <c r="A194" s="12" t="s">
        <v>813</v>
      </c>
      <c r="B194" s="12"/>
      <c r="C194" s="12" t="s">
        <v>13</v>
      </c>
      <c r="D194" s="17"/>
      <c r="E194" s="13"/>
      <c r="G194" s="1">
        <v>2035857</v>
      </c>
      <c r="I194" s="1">
        <v>923</v>
      </c>
      <c r="K194" s="41">
        <f t="shared" si="23"/>
        <v>2745559</v>
      </c>
      <c r="M194" s="1">
        <v>4782339</v>
      </c>
      <c r="O194" s="41">
        <f t="shared" si="24"/>
        <v>1038380</v>
      </c>
      <c r="Q194" s="1">
        <v>2402311</v>
      </c>
      <c r="S194" s="1">
        <v>3440691</v>
      </c>
      <c r="U194" s="1">
        <f>8740+251449+923</f>
        <v>261112</v>
      </c>
      <c r="W194" s="1">
        <v>0</v>
      </c>
      <c r="Y194" s="1">
        <v>1080536</v>
      </c>
      <c r="AA194" s="58">
        <f t="shared" si="22"/>
        <v>1341648</v>
      </c>
      <c r="AB194" s="1"/>
      <c r="AC194" s="1">
        <f t="shared" si="25"/>
        <v>0</v>
      </c>
    </row>
    <row r="195" spans="1:29">
      <c r="A195" s="17" t="s">
        <v>253</v>
      </c>
      <c r="B195" s="17"/>
      <c r="C195" s="17" t="s">
        <v>115</v>
      </c>
      <c r="D195" s="17"/>
      <c r="E195" s="13">
        <v>46334</v>
      </c>
      <c r="G195" s="1">
        <v>438231</v>
      </c>
      <c r="I195" s="1">
        <v>208272</v>
      </c>
      <c r="K195" s="41">
        <f t="shared" si="23"/>
        <v>1672218</v>
      </c>
      <c r="M195" s="1">
        <v>2318721</v>
      </c>
      <c r="O195" s="41">
        <f t="shared" si="24"/>
        <v>918051</v>
      </c>
      <c r="Q195" s="1">
        <v>1484829</v>
      </c>
      <c r="S195" s="1">
        <v>2402880</v>
      </c>
      <c r="U195" s="1">
        <f>3495+195452+12820+156400+28347</f>
        <v>396514</v>
      </c>
      <c r="W195" s="1">
        <v>46060</v>
      </c>
      <c r="Y195" s="1">
        <v>-526733</v>
      </c>
      <c r="AA195" s="58">
        <f t="shared" si="22"/>
        <v>-84159</v>
      </c>
      <c r="AB195" s="1"/>
      <c r="AC195" s="1">
        <f t="shared" si="25"/>
        <v>0</v>
      </c>
    </row>
    <row r="196" spans="1:29">
      <c r="A196" s="17" t="s">
        <v>891</v>
      </c>
      <c r="B196" s="17"/>
      <c r="C196" s="17" t="s">
        <v>56</v>
      </c>
      <c r="D196" s="17"/>
      <c r="E196" s="13">
        <v>49197</v>
      </c>
      <c r="G196" s="1">
        <v>171342</v>
      </c>
      <c r="I196" s="1">
        <v>568401</v>
      </c>
      <c r="K196" s="41">
        <f t="shared" si="23"/>
        <v>8799110</v>
      </c>
      <c r="M196" s="1">
        <v>9538853</v>
      </c>
      <c r="O196" s="41">
        <f t="shared" si="24"/>
        <v>1800741</v>
      </c>
      <c r="Q196" s="1">
        <v>7892472</v>
      </c>
      <c r="S196" s="1">
        <v>9693213</v>
      </c>
      <c r="U196" s="1">
        <f>54832+894953+568401</f>
        <v>1518186</v>
      </c>
      <c r="W196" s="1">
        <v>0</v>
      </c>
      <c r="Y196" s="1">
        <v>-1672546</v>
      </c>
      <c r="AA196" s="58">
        <f t="shared" si="22"/>
        <v>-154360</v>
      </c>
      <c r="AB196" s="1"/>
      <c r="AC196" s="1">
        <f t="shared" si="25"/>
        <v>0</v>
      </c>
    </row>
    <row r="197" spans="1:29">
      <c r="A197" s="17" t="s">
        <v>380</v>
      </c>
      <c r="B197" s="17"/>
      <c r="C197" s="17" t="s">
        <v>33</v>
      </c>
      <c r="D197" s="17"/>
      <c r="E197" s="13">
        <v>43984</v>
      </c>
      <c r="G197" s="1">
        <v>10925347</v>
      </c>
      <c r="I197" s="1">
        <v>63923</v>
      </c>
      <c r="K197" s="41">
        <f t="shared" si="23"/>
        <v>25878075</v>
      </c>
      <c r="M197" s="1">
        <v>36867345</v>
      </c>
      <c r="O197" s="41">
        <f t="shared" si="24"/>
        <v>6733900</v>
      </c>
      <c r="Q197" s="1">
        <f>1326362+22590119</f>
        <v>23916481</v>
      </c>
      <c r="S197" s="1">
        <v>30650381</v>
      </c>
      <c r="U197" s="1">
        <f>911579+49801+1726000+130633+63923</f>
        <v>2881936</v>
      </c>
      <c r="W197" s="1">
        <v>0</v>
      </c>
      <c r="Y197" s="1">
        <v>3335028</v>
      </c>
      <c r="AA197" s="58">
        <f t="shared" si="22"/>
        <v>6216964</v>
      </c>
      <c r="AB197" s="1"/>
      <c r="AC197" s="1">
        <f t="shared" si="25"/>
        <v>0</v>
      </c>
    </row>
    <row r="198" spans="1:29">
      <c r="A198" s="17" t="s">
        <v>363</v>
      </c>
      <c r="B198" s="17"/>
      <c r="C198" s="17" t="s">
        <v>32</v>
      </c>
      <c r="D198" s="17"/>
      <c r="E198" s="13">
        <v>47332</v>
      </c>
      <c r="G198" s="1">
        <v>1964589</v>
      </c>
      <c r="I198" s="1">
        <v>0</v>
      </c>
      <c r="K198" s="41">
        <f t="shared" si="23"/>
        <v>10440766</v>
      </c>
      <c r="M198" s="1">
        <v>12405355</v>
      </c>
      <c r="O198" s="41">
        <f t="shared" si="24"/>
        <v>2869059</v>
      </c>
      <c r="Q198" s="1">
        <v>6925740</v>
      </c>
      <c r="S198" s="1">
        <v>9794799</v>
      </c>
      <c r="U198" s="1">
        <v>3343000</v>
      </c>
      <c r="W198" s="1">
        <v>0</v>
      </c>
      <c r="Y198" s="1">
        <v>-732444</v>
      </c>
      <c r="AA198" s="58">
        <f t="shared" si="22"/>
        <v>2610556</v>
      </c>
      <c r="AB198" s="1"/>
      <c r="AC198" s="1">
        <f t="shared" si="25"/>
        <v>0</v>
      </c>
    </row>
    <row r="199" spans="1:29">
      <c r="A199" s="17" t="s">
        <v>441</v>
      </c>
      <c r="B199" s="17"/>
      <c r="C199" s="17" t="s">
        <v>44</v>
      </c>
      <c r="D199" s="17"/>
      <c r="E199" s="13">
        <v>48157</v>
      </c>
      <c r="G199" s="1">
        <v>2942738</v>
      </c>
      <c r="I199" s="1">
        <v>0</v>
      </c>
      <c r="K199" s="41">
        <f t="shared" si="23"/>
        <v>6539626</v>
      </c>
      <c r="M199" s="1">
        <v>9482364</v>
      </c>
      <c r="O199" s="41">
        <f t="shared" si="24"/>
        <v>2353180</v>
      </c>
      <c r="Q199" s="1">
        <f>174271+5847374</f>
        <v>6021645</v>
      </c>
      <c r="S199" s="1">
        <v>8374825</v>
      </c>
      <c r="U199" s="1">
        <f>496+473248+25613</f>
        <v>499357</v>
      </c>
      <c r="W199" s="1">
        <v>0</v>
      </c>
      <c r="Y199" s="1">
        <v>608182</v>
      </c>
      <c r="AA199" s="58">
        <f t="shared" si="22"/>
        <v>1107539</v>
      </c>
      <c r="AB199" s="1"/>
      <c r="AC199" s="1">
        <f t="shared" si="25"/>
        <v>0</v>
      </c>
    </row>
    <row r="200" spans="1:29">
      <c r="A200" s="17" t="s">
        <v>364</v>
      </c>
      <c r="B200" s="17"/>
      <c r="C200" s="17" t="s">
        <v>32</v>
      </c>
      <c r="D200" s="17"/>
      <c r="E200" s="13">
        <v>47340</v>
      </c>
      <c r="G200" s="1">
        <v>13762329</v>
      </c>
      <c r="I200" s="1">
        <v>250638</v>
      </c>
      <c r="K200" s="41">
        <f t="shared" si="23"/>
        <v>46173249</v>
      </c>
      <c r="M200" s="1">
        <v>60186216</v>
      </c>
      <c r="O200" s="41">
        <f t="shared" si="24"/>
        <v>9850421</v>
      </c>
      <c r="Q200" s="1">
        <v>30867500</v>
      </c>
      <c r="S200" s="1">
        <v>40717921</v>
      </c>
      <c r="U200" s="1">
        <f>308794+250638+14915000+255793</f>
        <v>15730225</v>
      </c>
      <c r="W200" s="1">
        <v>0</v>
      </c>
      <c r="Y200" s="1">
        <v>3738070</v>
      </c>
      <c r="AA200" s="58">
        <f t="shared" si="22"/>
        <v>19468295</v>
      </c>
      <c r="AB200" s="1"/>
      <c r="AC200" s="1">
        <f t="shared" si="25"/>
        <v>0</v>
      </c>
    </row>
    <row r="201" spans="1:29" hidden="1">
      <c r="A201" s="12" t="s">
        <v>737</v>
      </c>
      <c r="B201" s="17"/>
      <c r="C201" s="17" t="s">
        <v>70</v>
      </c>
      <c r="D201" s="17"/>
      <c r="E201" s="13">
        <v>50484</v>
      </c>
      <c r="K201" s="41">
        <f t="shared" si="23"/>
        <v>0</v>
      </c>
      <c r="O201" s="41">
        <f t="shared" si="24"/>
        <v>0</v>
      </c>
      <c r="AA201" s="58">
        <f t="shared" si="22"/>
        <v>0</v>
      </c>
      <c r="AB201" s="1"/>
      <c r="AC201" s="1">
        <f t="shared" si="25"/>
        <v>0</v>
      </c>
    </row>
    <row r="202" spans="1:29">
      <c r="A202" s="17" t="s">
        <v>569</v>
      </c>
      <c r="B202" s="17"/>
      <c r="C202" s="17" t="s">
        <v>61</v>
      </c>
      <c r="D202" s="17"/>
      <c r="E202" s="13">
        <v>49783</v>
      </c>
      <c r="G202" s="1">
        <v>2743568</v>
      </c>
      <c r="I202" s="1">
        <v>194</v>
      </c>
      <c r="K202" s="41">
        <f t="shared" si="23"/>
        <v>2010080</v>
      </c>
      <c r="M202" s="1">
        <v>4753842</v>
      </c>
      <c r="O202" s="41">
        <f t="shared" si="24"/>
        <v>815620</v>
      </c>
      <c r="Q202" s="1">
        <v>1385337</v>
      </c>
      <c r="S202" s="1">
        <v>2200957</v>
      </c>
      <c r="U202" s="1">
        <f>139088+194+41223+566+19758</f>
        <v>200829</v>
      </c>
      <c r="W202" s="1">
        <v>0</v>
      </c>
      <c r="Y202" s="1">
        <v>2352056</v>
      </c>
      <c r="AA202" s="58">
        <f t="shared" si="22"/>
        <v>2552885</v>
      </c>
      <c r="AB202" s="1"/>
      <c r="AC202" s="1">
        <f t="shared" si="25"/>
        <v>0</v>
      </c>
    </row>
    <row r="203" spans="1:29" hidden="1">
      <c r="A203" s="12" t="s">
        <v>814</v>
      </c>
      <c r="B203" s="12"/>
      <c r="C203" s="12" t="s">
        <v>486</v>
      </c>
      <c r="D203" s="17"/>
      <c r="E203" s="13"/>
      <c r="K203" s="41">
        <f t="shared" si="23"/>
        <v>0</v>
      </c>
      <c r="O203" s="41">
        <f t="shared" si="24"/>
        <v>0</v>
      </c>
      <c r="AA203" s="58">
        <f t="shared" si="22"/>
        <v>0</v>
      </c>
      <c r="AB203" s="1"/>
      <c r="AC203" s="1">
        <f t="shared" si="25"/>
        <v>0</v>
      </c>
    </row>
    <row r="204" spans="1:29" hidden="1">
      <c r="A204" s="12" t="s">
        <v>950</v>
      </c>
      <c r="B204" s="17"/>
      <c r="C204" s="17" t="s">
        <v>60</v>
      </c>
      <c r="D204" s="17"/>
      <c r="E204" s="13">
        <v>43992</v>
      </c>
      <c r="K204" s="41">
        <f t="shared" si="23"/>
        <v>0</v>
      </c>
      <c r="O204" s="41">
        <f t="shared" si="24"/>
        <v>0</v>
      </c>
      <c r="AA204" s="58">
        <f t="shared" si="22"/>
        <v>0</v>
      </c>
      <c r="AB204" s="1"/>
      <c r="AC204" s="1">
        <f t="shared" si="25"/>
        <v>0</v>
      </c>
    </row>
    <row r="205" spans="1:29">
      <c r="A205" s="17" t="s">
        <v>632</v>
      </c>
      <c r="B205" s="17"/>
      <c r="C205" s="17" t="s">
        <v>69</v>
      </c>
      <c r="D205" s="17"/>
      <c r="E205" s="13">
        <v>44008</v>
      </c>
      <c r="G205" s="1">
        <v>6856295</v>
      </c>
      <c r="I205" s="1">
        <v>0</v>
      </c>
      <c r="K205" s="41">
        <f t="shared" si="23"/>
        <v>12008091</v>
      </c>
      <c r="M205" s="1">
        <v>18864386</v>
      </c>
      <c r="O205" s="41">
        <f t="shared" si="24"/>
        <v>3504478</v>
      </c>
      <c r="Q205" s="1">
        <v>11462738</v>
      </c>
      <c r="S205" s="1">
        <v>14967216</v>
      </c>
      <c r="U205" s="1">
        <f>507811+545353</f>
        <v>1053164</v>
      </c>
      <c r="W205" s="1">
        <v>0</v>
      </c>
      <c r="Y205" s="1">
        <v>2844006</v>
      </c>
      <c r="AA205" s="58">
        <f t="shared" si="22"/>
        <v>3897170</v>
      </c>
      <c r="AB205" s="1"/>
      <c r="AC205" s="1">
        <f t="shared" si="25"/>
        <v>0</v>
      </c>
    </row>
    <row r="206" spans="1:29" s="16" customFormat="1">
      <c r="A206" s="14" t="s">
        <v>512</v>
      </c>
      <c r="B206" s="14"/>
      <c r="C206" s="14" t="s">
        <v>51</v>
      </c>
      <c r="D206" s="14"/>
      <c r="E206" s="14">
        <v>48843</v>
      </c>
      <c r="G206" s="1">
        <v>5724626</v>
      </c>
      <c r="H206" s="1"/>
      <c r="I206" s="1">
        <v>1806</v>
      </c>
      <c r="J206" s="1"/>
      <c r="K206" s="41">
        <f t="shared" si="23"/>
        <v>4834888</v>
      </c>
      <c r="L206" s="1"/>
      <c r="M206" s="1">
        <v>10561320</v>
      </c>
      <c r="N206" s="1"/>
      <c r="O206" s="41">
        <f t="shared" si="24"/>
        <v>2722799</v>
      </c>
      <c r="P206" s="1"/>
      <c r="Q206" s="1">
        <v>4541502</v>
      </c>
      <c r="R206" s="1"/>
      <c r="S206" s="1">
        <v>7264301</v>
      </c>
      <c r="T206" s="1"/>
      <c r="U206" s="1">
        <f>75132+1806+251177+178551</f>
        <v>506666</v>
      </c>
      <c r="V206" s="1"/>
      <c r="W206" s="1">
        <v>0</v>
      </c>
      <c r="X206" s="1"/>
      <c r="Y206" s="1">
        <v>2790353</v>
      </c>
      <c r="Z206" s="1"/>
      <c r="AA206" s="58">
        <f t="shared" si="22"/>
        <v>3297019</v>
      </c>
      <c r="AB206" s="1"/>
      <c r="AC206" s="1">
        <f t="shared" si="25"/>
        <v>0</v>
      </c>
    </row>
    <row r="207" spans="1:29" hidden="1">
      <c r="A207" s="17" t="s">
        <v>736</v>
      </c>
      <c r="B207" s="17"/>
      <c r="C207" s="17" t="s">
        <v>21</v>
      </c>
      <c r="D207" s="17"/>
      <c r="E207" s="13">
        <v>46649</v>
      </c>
      <c r="K207" s="41">
        <f t="shared" si="23"/>
        <v>0</v>
      </c>
      <c r="O207" s="41">
        <f t="shared" si="24"/>
        <v>0</v>
      </c>
      <c r="W207" s="1">
        <v>0</v>
      </c>
      <c r="AA207" s="58">
        <f t="shared" si="22"/>
        <v>0</v>
      </c>
      <c r="AB207" s="1"/>
      <c r="AC207" s="1">
        <f t="shared" si="25"/>
        <v>0</v>
      </c>
    </row>
    <row r="208" spans="1:29" hidden="1">
      <c r="A208" s="17" t="s">
        <v>815</v>
      </c>
      <c r="B208" s="17"/>
      <c r="C208" s="17" t="s">
        <v>40</v>
      </c>
      <c r="D208" s="17"/>
      <c r="E208" s="13">
        <v>47852</v>
      </c>
      <c r="K208" s="41">
        <f t="shared" si="23"/>
        <v>0</v>
      </c>
      <c r="O208" s="41">
        <f t="shared" si="24"/>
        <v>0</v>
      </c>
      <c r="AA208" s="58">
        <f t="shared" si="22"/>
        <v>0</v>
      </c>
      <c r="AB208" s="1"/>
      <c r="AC208" s="1">
        <f t="shared" si="25"/>
        <v>0</v>
      </c>
    </row>
    <row r="209" spans="1:29">
      <c r="A209" s="17" t="s">
        <v>556</v>
      </c>
      <c r="B209" s="17"/>
      <c r="C209" s="17" t="s">
        <v>79</v>
      </c>
      <c r="D209" s="17"/>
      <c r="E209" s="13">
        <v>44016</v>
      </c>
      <c r="G209" s="1">
        <v>4952021</v>
      </c>
      <c r="I209" s="1">
        <v>68003</v>
      </c>
      <c r="K209" s="41">
        <f t="shared" si="23"/>
        <v>14599965</v>
      </c>
      <c r="M209" s="1">
        <v>19619989</v>
      </c>
      <c r="O209" s="41">
        <f t="shared" si="24"/>
        <v>3174537</v>
      </c>
      <c r="Q209" s="1">
        <v>10737295</v>
      </c>
      <c r="S209" s="1">
        <v>13911832</v>
      </c>
      <c r="U209" s="1">
        <f>208676+1693640+68003</f>
        <v>1970319</v>
      </c>
      <c r="W209" s="1">
        <v>0</v>
      </c>
      <c r="Y209" s="1">
        <v>3737838</v>
      </c>
      <c r="AA209" s="58">
        <f t="shared" si="22"/>
        <v>5708157</v>
      </c>
      <c r="AB209" s="1"/>
      <c r="AC209" s="1">
        <f t="shared" si="25"/>
        <v>0</v>
      </c>
    </row>
    <row r="210" spans="1:29">
      <c r="A210" s="17" t="s">
        <v>637</v>
      </c>
      <c r="B210" s="17"/>
      <c r="C210" s="17" t="s">
        <v>70</v>
      </c>
      <c r="D210" s="17"/>
      <c r="E210" s="13">
        <v>50492</v>
      </c>
      <c r="G210" s="1">
        <v>1322472</v>
      </c>
      <c r="I210" s="1">
        <v>179721</v>
      </c>
      <c r="K210" s="41">
        <f t="shared" si="23"/>
        <v>1537739</v>
      </c>
      <c r="M210" s="1">
        <v>3039932</v>
      </c>
      <c r="O210" s="41">
        <f t="shared" si="24"/>
        <v>758789</v>
      </c>
      <c r="Q210" s="1">
        <f>71802+1240606</f>
        <v>1312408</v>
      </c>
      <c r="S210" s="1">
        <v>2071197</v>
      </c>
      <c r="U210" s="1">
        <f>44210+74394+177218+2503</f>
        <v>298325</v>
      </c>
      <c r="W210" s="1">
        <v>0</v>
      </c>
      <c r="Y210" s="1">
        <v>670410</v>
      </c>
      <c r="AA210" s="58">
        <f t="shared" si="22"/>
        <v>968735</v>
      </c>
      <c r="AB210" s="1"/>
      <c r="AC210" s="1">
        <f t="shared" si="25"/>
        <v>0</v>
      </c>
    </row>
    <row r="211" spans="1:29">
      <c r="A211" s="17" t="s">
        <v>333</v>
      </c>
      <c r="B211" s="17"/>
      <c r="C211" s="17" t="s">
        <v>27</v>
      </c>
      <c r="D211" s="17"/>
      <c r="E211" s="13">
        <v>46961</v>
      </c>
      <c r="G211" s="1">
        <f>13613748</f>
        <v>13613748</v>
      </c>
      <c r="I211" s="1">
        <v>1076664</v>
      </c>
      <c r="K211" s="41">
        <f t="shared" si="23"/>
        <v>79142348</v>
      </c>
      <c r="M211" s="1">
        <v>93832760</v>
      </c>
      <c r="O211" s="41">
        <f t="shared" si="24"/>
        <v>10138547</v>
      </c>
      <c r="Q211" s="1">
        <v>60056333</v>
      </c>
      <c r="S211" s="1">
        <v>70194880</v>
      </c>
      <c r="U211" s="1">
        <f>3346950+105766+18555167+1000303+76361+250000</f>
        <v>23334547</v>
      </c>
      <c r="W211" s="1">
        <v>0</v>
      </c>
      <c r="Y211" s="1">
        <v>303333</v>
      </c>
      <c r="AA211" s="58">
        <f t="shared" si="22"/>
        <v>23637880</v>
      </c>
      <c r="AB211" s="1"/>
      <c r="AC211" s="1">
        <f t="shared" si="25"/>
        <v>0</v>
      </c>
    </row>
    <row r="212" spans="1:29">
      <c r="A212" s="17" t="s">
        <v>278</v>
      </c>
      <c r="B212" s="17"/>
      <c r="C212" s="17" t="s">
        <v>113</v>
      </c>
      <c r="D212" s="17"/>
      <c r="E212" s="13">
        <v>44024</v>
      </c>
      <c r="G212" s="1">
        <v>1837206</v>
      </c>
      <c r="I212" s="1">
        <v>0</v>
      </c>
      <c r="K212" s="41">
        <f t="shared" si="23"/>
        <v>4936797</v>
      </c>
      <c r="M212" s="1">
        <v>6774003</v>
      </c>
      <c r="O212" s="41">
        <f t="shared" si="24"/>
        <v>1867643</v>
      </c>
      <c r="Q212" s="1">
        <v>3127233</v>
      </c>
      <c r="S212" s="1">
        <v>4994876</v>
      </c>
      <c r="U212" s="1">
        <f>1707473+210437</f>
        <v>1917910</v>
      </c>
      <c r="W212" s="1">
        <v>0</v>
      </c>
      <c r="Y212" s="1">
        <v>-138783</v>
      </c>
      <c r="AA212" s="58">
        <f t="shared" si="22"/>
        <v>1779127</v>
      </c>
      <c r="AB212" s="1"/>
      <c r="AC212" s="1">
        <f t="shared" si="25"/>
        <v>0</v>
      </c>
    </row>
    <row r="213" spans="1:29">
      <c r="A213" s="17" t="s">
        <v>349</v>
      </c>
      <c r="B213" s="17"/>
      <c r="C213" s="17" t="s">
        <v>29</v>
      </c>
      <c r="D213" s="17"/>
      <c r="E213" s="13">
        <v>65680</v>
      </c>
      <c r="G213" s="1">
        <v>3512481</v>
      </c>
      <c r="I213" s="1">
        <v>370767</v>
      </c>
      <c r="K213" s="41">
        <f t="shared" si="23"/>
        <v>8299984</v>
      </c>
      <c r="M213" s="1">
        <v>12183232</v>
      </c>
      <c r="O213" s="41">
        <f t="shared" si="24"/>
        <v>2441299</v>
      </c>
      <c r="Q213" s="1">
        <v>7709631</v>
      </c>
      <c r="S213" s="1">
        <v>10150930</v>
      </c>
      <c r="U213" s="1">
        <f>78539+150443+370767</f>
        <v>599749</v>
      </c>
      <c r="W213" s="1">
        <v>0</v>
      </c>
      <c r="Y213" s="1">
        <v>1432553</v>
      </c>
      <c r="AA213" s="58">
        <f t="shared" si="22"/>
        <v>2032302</v>
      </c>
      <c r="AB213" s="1"/>
      <c r="AC213" s="1">
        <f t="shared" si="25"/>
        <v>0</v>
      </c>
    </row>
    <row r="214" spans="1:29">
      <c r="A214" s="17" t="s">
        <v>350</v>
      </c>
      <c r="B214" s="17"/>
      <c r="C214" s="17" t="s">
        <v>29</v>
      </c>
      <c r="D214" s="17"/>
      <c r="E214" s="13">
        <v>44032</v>
      </c>
      <c r="G214" s="1">
        <v>1072891</v>
      </c>
      <c r="I214" s="1">
        <v>141867</v>
      </c>
      <c r="K214" s="41">
        <f t="shared" si="23"/>
        <v>5856809</v>
      </c>
      <c r="M214" s="1">
        <v>7071567</v>
      </c>
      <c r="O214" s="41">
        <f t="shared" si="24"/>
        <v>1827141</v>
      </c>
      <c r="Q214" s="1">
        <f>401478+5063050</f>
        <v>5464528</v>
      </c>
      <c r="S214" s="1">
        <v>7291669</v>
      </c>
      <c r="U214" s="1">
        <f>194884+67327+30392+186950+141867</f>
        <v>621420</v>
      </c>
      <c r="W214" s="1">
        <v>0</v>
      </c>
      <c r="Y214" s="1">
        <v>-841522</v>
      </c>
      <c r="AA214" s="58">
        <f t="shared" si="22"/>
        <v>-220102</v>
      </c>
      <c r="AB214" s="1"/>
      <c r="AC214" s="1">
        <f t="shared" si="25"/>
        <v>0</v>
      </c>
    </row>
    <row r="215" spans="1:29">
      <c r="A215" s="17" t="s">
        <v>620</v>
      </c>
      <c r="B215" s="17"/>
      <c r="C215" s="17" t="s">
        <v>65</v>
      </c>
      <c r="D215" s="17"/>
      <c r="E215" s="13">
        <v>50278</v>
      </c>
      <c r="G215" s="1">
        <v>3549071</v>
      </c>
      <c r="I215" s="1">
        <v>0</v>
      </c>
      <c r="K215" s="41">
        <f t="shared" si="23"/>
        <v>5262827</v>
      </c>
      <c r="M215" s="1">
        <v>8811898</v>
      </c>
      <c r="O215" s="41">
        <f t="shared" si="24"/>
        <v>1473105</v>
      </c>
      <c r="Q215" s="1">
        <f>4551276+270855</f>
        <v>4822131</v>
      </c>
      <c r="S215" s="1">
        <v>6295236</v>
      </c>
      <c r="U215" s="1">
        <f>1910+417029</f>
        <v>418939</v>
      </c>
      <c r="W215" s="1">
        <v>0</v>
      </c>
      <c r="Y215" s="1">
        <v>2097723</v>
      </c>
      <c r="AA215" s="58">
        <f t="shared" si="22"/>
        <v>2516662</v>
      </c>
      <c r="AB215" s="1"/>
      <c r="AC215" s="1">
        <f t="shared" si="25"/>
        <v>0</v>
      </c>
    </row>
    <row r="216" spans="1:29">
      <c r="A216" s="17" t="s">
        <v>837</v>
      </c>
      <c r="B216" s="17"/>
      <c r="C216" s="17" t="s">
        <v>20</v>
      </c>
      <c r="D216" s="17"/>
      <c r="E216" s="13">
        <v>44040</v>
      </c>
      <c r="G216" s="1">
        <f>2346875+1810165</f>
        <v>4157040</v>
      </c>
      <c r="I216" s="1">
        <v>0</v>
      </c>
      <c r="K216" s="41">
        <f t="shared" si="23"/>
        <v>15906034</v>
      </c>
      <c r="M216" s="1">
        <v>20063074</v>
      </c>
      <c r="O216" s="41">
        <f t="shared" si="24"/>
        <v>4925868</v>
      </c>
      <c r="Q216" s="1">
        <v>13033345</v>
      </c>
      <c r="S216" s="1">
        <v>17959213</v>
      </c>
      <c r="U216" s="1">
        <f>358696+2133795+500000</f>
        <v>2992491</v>
      </c>
      <c r="W216" s="1">
        <v>0</v>
      </c>
      <c r="Y216" s="1">
        <v>-888630</v>
      </c>
      <c r="AA216" s="58">
        <f t="shared" si="22"/>
        <v>2103861</v>
      </c>
      <c r="AB216" s="1"/>
      <c r="AC216" s="1">
        <f t="shared" si="25"/>
        <v>0</v>
      </c>
    </row>
    <row r="217" spans="1:29">
      <c r="A217" s="17" t="s">
        <v>786</v>
      </c>
      <c r="B217" s="17"/>
      <c r="C217" s="17" t="s">
        <v>12</v>
      </c>
      <c r="D217" s="17"/>
      <c r="E217" s="13">
        <v>44057</v>
      </c>
      <c r="G217" s="1">
        <v>1097982</v>
      </c>
      <c r="I217" s="1">
        <v>358077</v>
      </c>
      <c r="K217" s="41">
        <f t="shared" si="23"/>
        <v>7234399</v>
      </c>
      <c r="M217" s="1">
        <v>8690458</v>
      </c>
      <c r="O217" s="41">
        <f t="shared" si="24"/>
        <v>2646969</v>
      </c>
      <c r="Q217" s="1">
        <v>4219125</v>
      </c>
      <c r="S217" s="1">
        <v>6866094</v>
      </c>
      <c r="U217" s="1">
        <f>127640+2914833+358077</f>
        <v>3400550</v>
      </c>
      <c r="W217" s="1">
        <v>0</v>
      </c>
      <c r="Y217" s="1">
        <v>-1576186</v>
      </c>
      <c r="AA217" s="58">
        <f t="shared" si="22"/>
        <v>1824364</v>
      </c>
      <c r="AB217" s="1"/>
      <c r="AC217" s="1">
        <f t="shared" si="25"/>
        <v>0</v>
      </c>
    </row>
    <row r="218" spans="1:29">
      <c r="A218" s="17" t="s">
        <v>521</v>
      </c>
      <c r="B218" s="17"/>
      <c r="C218" s="17" t="s">
        <v>53</v>
      </c>
      <c r="D218" s="17"/>
      <c r="E218" s="13">
        <v>48942</v>
      </c>
      <c r="G218" s="1">
        <v>1158108</v>
      </c>
      <c r="I218" s="1">
        <v>44853</v>
      </c>
      <c r="K218" s="41">
        <f t="shared" si="23"/>
        <v>4581404</v>
      </c>
      <c r="M218" s="1">
        <v>5784365</v>
      </c>
      <c r="O218" s="41">
        <f t="shared" si="24"/>
        <v>1195972</v>
      </c>
      <c r="Q218" s="1">
        <f>52973+3674920</f>
        <v>3727893</v>
      </c>
      <c r="S218" s="1">
        <v>4923865</v>
      </c>
      <c r="U218" s="1">
        <f>12432+35900+20616+550941+44853</f>
        <v>664742</v>
      </c>
      <c r="W218" s="1">
        <v>195758</v>
      </c>
      <c r="Y218" s="1">
        <v>0</v>
      </c>
      <c r="AA218" s="58">
        <f t="shared" si="22"/>
        <v>860500</v>
      </c>
      <c r="AB218" s="1"/>
      <c r="AC218" s="1">
        <f t="shared" si="25"/>
        <v>0</v>
      </c>
    </row>
    <row r="219" spans="1:29" hidden="1">
      <c r="A219" s="17" t="s">
        <v>816</v>
      </c>
      <c r="B219" s="17"/>
      <c r="C219" s="17" t="s">
        <v>77</v>
      </c>
      <c r="D219" s="17"/>
      <c r="E219" s="13">
        <v>45377</v>
      </c>
      <c r="K219" s="41">
        <f t="shared" si="23"/>
        <v>0</v>
      </c>
      <c r="O219" s="41">
        <f t="shared" si="24"/>
        <v>0</v>
      </c>
      <c r="AA219" s="58">
        <f t="shared" si="22"/>
        <v>0</v>
      </c>
      <c r="AB219" s="1"/>
      <c r="AC219" s="1">
        <f t="shared" si="25"/>
        <v>0</v>
      </c>
    </row>
    <row r="220" spans="1:29">
      <c r="A220" s="17" t="s">
        <v>557</v>
      </c>
      <c r="B220" s="17"/>
      <c r="C220" s="17" t="s">
        <v>79</v>
      </c>
      <c r="D220" s="17"/>
      <c r="E220" s="13">
        <v>45385</v>
      </c>
      <c r="G220" s="1">
        <v>2308249</v>
      </c>
      <c r="I220" s="1">
        <v>210083</v>
      </c>
      <c r="K220" s="41">
        <f t="shared" si="23"/>
        <v>2047852</v>
      </c>
      <c r="M220" s="1">
        <v>4566184</v>
      </c>
      <c r="O220" s="41">
        <f t="shared" si="24"/>
        <v>1117613</v>
      </c>
      <c r="Q220" s="1">
        <f>135112+1528901</f>
        <v>1664013</v>
      </c>
      <c r="S220" s="1">
        <v>2781626</v>
      </c>
      <c r="U220" s="1">
        <f>152109+13464+315599+128712+29247+52124</f>
        <v>691255</v>
      </c>
      <c r="W220" s="1">
        <v>0</v>
      </c>
      <c r="Y220" s="1">
        <v>1093303</v>
      </c>
      <c r="AA220" s="58">
        <f t="shared" si="22"/>
        <v>1784558</v>
      </c>
      <c r="AB220" s="1"/>
      <c r="AC220" s="1">
        <f t="shared" si="25"/>
        <v>0</v>
      </c>
    </row>
    <row r="221" spans="1:29">
      <c r="A221" s="17" t="s">
        <v>603</v>
      </c>
      <c r="B221" s="17"/>
      <c r="C221" s="17" t="s">
        <v>64</v>
      </c>
      <c r="D221" s="17"/>
      <c r="E221" s="13">
        <v>44065</v>
      </c>
      <c r="G221" s="1">
        <v>6133359</v>
      </c>
      <c r="I221" s="1">
        <v>504976</v>
      </c>
      <c r="K221" s="41">
        <f t="shared" si="23"/>
        <v>4557519</v>
      </c>
      <c r="M221" s="1">
        <v>11195854</v>
      </c>
      <c r="O221" s="41">
        <f t="shared" si="24"/>
        <v>1438529</v>
      </c>
      <c r="Q221" s="1">
        <f>672422+3761545</f>
        <v>4433967</v>
      </c>
      <c r="S221" s="1">
        <v>5872496</v>
      </c>
      <c r="U221" s="1">
        <f>250271+29256+19495+409411+95565</f>
        <v>803998</v>
      </c>
      <c r="W221" s="1">
        <v>0</v>
      </c>
      <c r="Y221" s="1">
        <v>4519360</v>
      </c>
      <c r="AA221" s="58">
        <f t="shared" si="22"/>
        <v>5323358</v>
      </c>
      <c r="AB221" s="1"/>
      <c r="AC221" s="1">
        <f t="shared" si="25"/>
        <v>0</v>
      </c>
    </row>
    <row r="222" spans="1:29" hidden="1">
      <c r="A222" s="17" t="s">
        <v>869</v>
      </c>
      <c r="B222" s="17"/>
      <c r="C222" s="17" t="s">
        <v>28</v>
      </c>
      <c r="D222" s="17"/>
      <c r="E222" s="13">
        <v>47068</v>
      </c>
      <c r="K222" s="41">
        <f t="shared" si="23"/>
        <v>0</v>
      </c>
      <c r="O222" s="41">
        <f t="shared" si="24"/>
        <v>0</v>
      </c>
      <c r="AA222" s="58">
        <f t="shared" si="22"/>
        <v>0</v>
      </c>
      <c r="AB222" s="1"/>
      <c r="AC222" s="1">
        <f t="shared" si="25"/>
        <v>0</v>
      </c>
    </row>
    <row r="223" spans="1:29">
      <c r="A223" s="17" t="s">
        <v>254</v>
      </c>
      <c r="B223" s="17"/>
      <c r="C223" s="17" t="s">
        <v>115</v>
      </c>
      <c r="D223" s="17"/>
      <c r="E223" s="13">
        <v>46342</v>
      </c>
      <c r="G223" s="1">
        <v>3126934</v>
      </c>
      <c r="I223" s="1">
        <v>2132</v>
      </c>
      <c r="K223" s="41">
        <f t="shared" si="23"/>
        <v>6514366</v>
      </c>
      <c r="M223" s="1">
        <v>9643432</v>
      </c>
      <c r="O223" s="41">
        <f t="shared" si="24"/>
        <v>3079906</v>
      </c>
      <c r="Q223" s="1">
        <v>4905836</v>
      </c>
      <c r="S223" s="1">
        <v>7985742</v>
      </c>
      <c r="U223" s="1">
        <f>502604+2132</f>
        <v>504736</v>
      </c>
      <c r="W223" s="1">
        <v>0</v>
      </c>
      <c r="Y223" s="1">
        <v>1152954</v>
      </c>
      <c r="AA223" s="58">
        <f t="shared" si="22"/>
        <v>1657690</v>
      </c>
      <c r="AB223" s="1"/>
      <c r="AC223" s="1">
        <f t="shared" si="25"/>
        <v>0</v>
      </c>
    </row>
    <row r="224" spans="1:29">
      <c r="A224" s="17" t="s">
        <v>239</v>
      </c>
      <c r="B224" s="17"/>
      <c r="C224" s="17" t="s">
        <v>240</v>
      </c>
      <c r="D224" s="17"/>
      <c r="E224" s="13">
        <v>46193</v>
      </c>
      <c r="G224" s="1">
        <v>317159</v>
      </c>
      <c r="I224" s="1">
        <v>0</v>
      </c>
      <c r="K224" s="41">
        <f t="shared" si="23"/>
        <v>4697676</v>
      </c>
      <c r="M224" s="1">
        <v>5014835</v>
      </c>
      <c r="O224" s="41">
        <f t="shared" si="24"/>
        <v>1991612</v>
      </c>
      <c r="Q224" s="1">
        <v>3068275</v>
      </c>
      <c r="S224" s="1">
        <v>5059887</v>
      </c>
      <c r="U224" s="1">
        <f>153895+1571010</f>
        <v>1724905</v>
      </c>
      <c r="W224" s="1">
        <v>0</v>
      </c>
      <c r="Y224" s="1">
        <v>-1769957</v>
      </c>
      <c r="AA224" s="58">
        <f t="shared" si="22"/>
        <v>-45052</v>
      </c>
      <c r="AB224" s="1"/>
      <c r="AC224" s="1">
        <f t="shared" si="25"/>
        <v>0</v>
      </c>
    </row>
    <row r="225" spans="1:29">
      <c r="A225" s="17" t="s">
        <v>211</v>
      </c>
      <c r="B225" s="17"/>
      <c r="C225" s="17" t="s">
        <v>12</v>
      </c>
      <c r="D225" s="17"/>
      <c r="E225" s="13">
        <v>45864</v>
      </c>
      <c r="G225" s="1">
        <v>1402438</v>
      </c>
      <c r="I225" s="1">
        <v>0</v>
      </c>
      <c r="K225" s="41">
        <f t="shared" si="23"/>
        <v>4077525</v>
      </c>
      <c r="M225" s="1">
        <v>5479963</v>
      </c>
      <c r="O225" s="41">
        <f t="shared" si="24"/>
        <v>1427206</v>
      </c>
      <c r="Q225" s="1">
        <v>2652051</v>
      </c>
      <c r="S225" s="1">
        <v>4079257</v>
      </c>
      <c r="U225" s="1">
        <f>58314+77580+225577</f>
        <v>361471</v>
      </c>
      <c r="W225" s="1">
        <v>0</v>
      </c>
      <c r="Y225" s="1">
        <v>1039235</v>
      </c>
      <c r="AA225" s="58">
        <f t="shared" si="22"/>
        <v>1400706</v>
      </c>
      <c r="AB225" s="1"/>
      <c r="AC225" s="1">
        <f t="shared" si="25"/>
        <v>0</v>
      </c>
    </row>
    <row r="226" spans="1:29">
      <c r="A226" s="17" t="s">
        <v>334</v>
      </c>
      <c r="B226" s="17"/>
      <c r="C226" s="17" t="s">
        <v>27</v>
      </c>
      <c r="D226" s="17"/>
      <c r="E226" s="13">
        <v>44073</v>
      </c>
      <c r="G226" s="1">
        <f>8020715+68902</f>
        <v>8089617</v>
      </c>
      <c r="I226" s="1">
        <v>0</v>
      </c>
      <c r="K226" s="41">
        <f t="shared" ref="K226:K254" si="26">+M226-I226-G226</f>
        <v>8708376</v>
      </c>
      <c r="M226" s="1">
        <v>16797993</v>
      </c>
      <c r="O226" s="41">
        <f t="shared" ref="O226:O255" si="27">+S226-Q226</f>
        <v>2022108</v>
      </c>
      <c r="Q226" s="1">
        <f>7275942+3921</f>
        <v>7279863</v>
      </c>
      <c r="S226" s="1">
        <v>9301971</v>
      </c>
      <c r="U226" s="1">
        <f>68902+57815+253265+403581</f>
        <v>783563</v>
      </c>
      <c r="W226" s="1">
        <v>0</v>
      </c>
      <c r="Y226" s="1">
        <v>6712459</v>
      </c>
      <c r="AA226" s="58">
        <f t="shared" si="22"/>
        <v>7496022</v>
      </c>
      <c r="AB226" s="1"/>
      <c r="AC226" s="1">
        <f t="shared" si="25"/>
        <v>0</v>
      </c>
    </row>
    <row r="227" spans="1:29">
      <c r="A227" s="17" t="s">
        <v>817</v>
      </c>
      <c r="B227" s="17"/>
      <c r="C227" s="17" t="s">
        <v>42</v>
      </c>
      <c r="D227" s="17"/>
      <c r="E227" s="13">
        <v>45393</v>
      </c>
      <c r="G227" s="1">
        <v>4814411</v>
      </c>
      <c r="I227" s="1">
        <v>0</v>
      </c>
      <c r="K227" s="41">
        <f t="shared" si="26"/>
        <v>14135806</v>
      </c>
      <c r="M227" s="1">
        <v>18950217</v>
      </c>
      <c r="O227" s="41">
        <f t="shared" si="27"/>
        <v>3139530</v>
      </c>
      <c r="Q227" s="1">
        <v>11374586</v>
      </c>
      <c r="S227" s="1">
        <v>14514116</v>
      </c>
      <c r="U227" s="1">
        <f>210337+2061220+700000</f>
        <v>2971557</v>
      </c>
      <c r="W227" s="1">
        <v>0</v>
      </c>
      <c r="Y227" s="1">
        <v>1464544</v>
      </c>
      <c r="AA227" s="58">
        <f t="shared" si="22"/>
        <v>4436101</v>
      </c>
      <c r="AB227" s="1"/>
      <c r="AC227" s="1">
        <f t="shared" si="25"/>
        <v>0</v>
      </c>
    </row>
    <row r="228" spans="1:29">
      <c r="A228" s="17" t="s">
        <v>561</v>
      </c>
      <c r="B228" s="17"/>
      <c r="C228" s="17" t="s">
        <v>59</v>
      </c>
      <c r="D228" s="17"/>
      <c r="E228" s="13">
        <v>49619</v>
      </c>
      <c r="G228" s="1">
        <v>480082</v>
      </c>
      <c r="I228" s="1">
        <v>295681</v>
      </c>
      <c r="K228" s="41">
        <f t="shared" si="26"/>
        <v>1617868</v>
      </c>
      <c r="M228" s="1">
        <v>2393631</v>
      </c>
      <c r="O228" s="41">
        <f t="shared" si="27"/>
        <v>561451</v>
      </c>
      <c r="Q228" s="1">
        <v>1466942</v>
      </c>
      <c r="S228" s="1">
        <v>2028393</v>
      </c>
      <c r="U228" s="1">
        <f>383881+105009+127305+168376</f>
        <v>784571</v>
      </c>
      <c r="W228" s="1">
        <v>0</v>
      </c>
      <c r="Y228" s="1">
        <v>-419333</v>
      </c>
      <c r="AA228" s="58">
        <f t="shared" ref="AA228:AA255" si="28">+Y228+W228++U228</f>
        <v>365238</v>
      </c>
      <c r="AB228" s="1"/>
      <c r="AC228" s="1">
        <f t="shared" ref="AC228:AC265" si="29">+G228+I228+K228-O228-Q228-Y228-W228-U228</f>
        <v>0</v>
      </c>
    </row>
    <row r="229" spans="1:29">
      <c r="A229" s="17" t="s">
        <v>561</v>
      </c>
      <c r="B229" s="17"/>
      <c r="C229" s="17" t="s">
        <v>63</v>
      </c>
      <c r="D229" s="17"/>
      <c r="E229" s="13">
        <v>50013</v>
      </c>
      <c r="G229" s="1">
        <v>917165</v>
      </c>
      <c r="I229" s="1">
        <v>0</v>
      </c>
      <c r="K229" s="41">
        <f t="shared" si="26"/>
        <v>17639280</v>
      </c>
      <c r="M229" s="1">
        <v>18556445</v>
      </c>
      <c r="O229" s="41">
        <f t="shared" si="27"/>
        <v>5013285</v>
      </c>
      <c r="Q229" s="1">
        <v>16043654</v>
      </c>
      <c r="S229" s="1">
        <v>21056939</v>
      </c>
      <c r="U229" s="1">
        <f>24022+1594156</f>
        <v>1618178</v>
      </c>
      <c r="W229" s="1">
        <v>0</v>
      </c>
      <c r="Y229" s="1">
        <v>-4118672</v>
      </c>
      <c r="AA229" s="58">
        <f t="shared" si="28"/>
        <v>-2500494</v>
      </c>
      <c r="AB229" s="1"/>
      <c r="AC229" s="1">
        <f t="shared" si="29"/>
        <v>0</v>
      </c>
    </row>
    <row r="230" spans="1:29" hidden="1">
      <c r="A230" s="17" t="s">
        <v>934</v>
      </c>
      <c r="B230" s="17"/>
      <c r="C230" s="17" t="s">
        <v>71</v>
      </c>
      <c r="D230" s="17"/>
      <c r="E230" s="13">
        <v>50559</v>
      </c>
      <c r="K230" s="41">
        <f t="shared" si="26"/>
        <v>0</v>
      </c>
      <c r="O230" s="41">
        <f t="shared" si="27"/>
        <v>0</v>
      </c>
      <c r="AA230" s="58">
        <f t="shared" si="28"/>
        <v>0</v>
      </c>
      <c r="AB230" s="1"/>
      <c r="AC230" s="1">
        <f t="shared" si="29"/>
        <v>0</v>
      </c>
    </row>
    <row r="231" spans="1:29">
      <c r="A231" s="17" t="s">
        <v>358</v>
      </c>
      <c r="B231" s="17"/>
      <c r="C231" s="17" t="s">
        <v>116</v>
      </c>
      <c r="D231" s="17"/>
      <c r="E231" s="13">
        <v>47266</v>
      </c>
      <c r="G231" s="1">
        <v>5246899</v>
      </c>
      <c r="I231" s="1">
        <v>76238</v>
      </c>
      <c r="K231" s="41">
        <f t="shared" si="26"/>
        <v>3795465</v>
      </c>
      <c r="M231" s="1">
        <v>9118602</v>
      </c>
      <c r="O231" s="41">
        <f t="shared" si="27"/>
        <v>1206042</v>
      </c>
      <c r="Q231" s="1">
        <v>2973230</v>
      </c>
      <c r="S231" s="1">
        <v>4179272</v>
      </c>
      <c r="U231" s="1">
        <f>78312+268196+76238+134347</f>
        <v>557093</v>
      </c>
      <c r="W231" s="1">
        <v>0</v>
      </c>
      <c r="Y231" s="1">
        <v>4382237</v>
      </c>
      <c r="AA231" s="58">
        <f t="shared" si="28"/>
        <v>4939330</v>
      </c>
      <c r="AB231" s="1"/>
      <c r="AC231" s="1">
        <f t="shared" si="29"/>
        <v>0</v>
      </c>
    </row>
    <row r="232" spans="1:29">
      <c r="A232" s="17" t="s">
        <v>397</v>
      </c>
      <c r="B232" s="17"/>
      <c r="C232" s="17" t="s">
        <v>395</v>
      </c>
      <c r="D232" s="17"/>
      <c r="E232" s="13">
        <v>45401</v>
      </c>
      <c r="G232" s="1">
        <v>4133652</v>
      </c>
      <c r="I232" s="1">
        <v>0</v>
      </c>
      <c r="K232" s="41">
        <f t="shared" si="26"/>
        <v>5646046</v>
      </c>
      <c r="M232" s="1">
        <v>9779698</v>
      </c>
      <c r="O232" s="41">
        <f t="shared" si="27"/>
        <v>1819854</v>
      </c>
      <c r="Q232" s="1">
        <v>2630778</v>
      </c>
      <c r="S232" s="1">
        <v>4450632</v>
      </c>
      <c r="U232" s="1">
        <f>492546+416568</f>
        <v>909114</v>
      </c>
      <c r="W232" s="1">
        <v>0</v>
      </c>
      <c r="Y232" s="1">
        <v>4419952</v>
      </c>
      <c r="AA232" s="58">
        <f t="shared" si="28"/>
        <v>5329066</v>
      </c>
      <c r="AB232" s="1"/>
      <c r="AC232" s="1">
        <f t="shared" si="29"/>
        <v>0</v>
      </c>
    </row>
    <row r="233" spans="1:29">
      <c r="A233" s="17" t="s">
        <v>246</v>
      </c>
      <c r="B233" s="17"/>
      <c r="C233" s="17" t="s">
        <v>17</v>
      </c>
      <c r="D233" s="17"/>
      <c r="E233" s="13">
        <v>46235</v>
      </c>
      <c r="G233" s="1">
        <v>2152280</v>
      </c>
      <c r="I233" s="1">
        <v>32397</v>
      </c>
      <c r="K233" s="41">
        <f t="shared" si="26"/>
        <v>4734966</v>
      </c>
      <c r="M233" s="1">
        <v>6919643</v>
      </c>
      <c r="O233" s="41">
        <f t="shared" si="27"/>
        <v>1493119</v>
      </c>
      <c r="Q233" s="1">
        <v>3855685</v>
      </c>
      <c r="S233" s="1">
        <v>5348804</v>
      </c>
      <c r="U233" s="1">
        <f>20028+858925+32397</f>
        <v>911350</v>
      </c>
      <c r="W233" s="1">
        <v>218555</v>
      </c>
      <c r="Y233" s="1">
        <v>440934</v>
      </c>
      <c r="AA233" s="58">
        <f t="shared" si="28"/>
        <v>1570839</v>
      </c>
      <c r="AB233" s="1"/>
      <c r="AC233" s="1">
        <f t="shared" si="29"/>
        <v>0</v>
      </c>
    </row>
    <row r="234" spans="1:29">
      <c r="A234" s="17" t="s">
        <v>309</v>
      </c>
      <c r="B234" s="17"/>
      <c r="C234" s="17" t="s">
        <v>21</v>
      </c>
      <c r="D234" s="17"/>
      <c r="E234" s="13">
        <v>44099</v>
      </c>
      <c r="G234" s="1">
        <v>6033069</v>
      </c>
      <c r="I234" s="1">
        <v>8132</v>
      </c>
      <c r="K234" s="41">
        <f t="shared" si="26"/>
        <v>10952154</v>
      </c>
      <c r="M234" s="1">
        <v>16993355</v>
      </c>
      <c r="O234" s="41">
        <f t="shared" si="27"/>
        <v>2737365</v>
      </c>
      <c r="Q234" s="1">
        <v>8903208</v>
      </c>
      <c r="S234" s="1">
        <v>11640573</v>
      </c>
      <c r="U234" s="1">
        <f>64892+959634+8132</f>
        <v>1032658</v>
      </c>
      <c r="W234" s="1">
        <v>0</v>
      </c>
      <c r="Y234" s="1">
        <v>4320124</v>
      </c>
      <c r="AA234" s="58">
        <f t="shared" si="28"/>
        <v>5352782</v>
      </c>
      <c r="AB234" s="1"/>
      <c r="AC234" s="1">
        <f t="shared" si="29"/>
        <v>0</v>
      </c>
    </row>
    <row r="235" spans="1:29">
      <c r="A235" s="17" t="s">
        <v>335</v>
      </c>
      <c r="B235" s="17"/>
      <c r="C235" s="17" t="s">
        <v>27</v>
      </c>
      <c r="D235" s="17"/>
      <c r="E235" s="13">
        <v>46979</v>
      </c>
      <c r="G235" s="1">
        <v>305177</v>
      </c>
      <c r="I235" s="1">
        <v>0</v>
      </c>
      <c r="K235" s="41">
        <f t="shared" si="26"/>
        <v>26243697</v>
      </c>
      <c r="M235" s="1">
        <v>26548874</v>
      </c>
      <c r="O235" s="41">
        <f t="shared" si="27"/>
        <v>5387345</v>
      </c>
      <c r="Q235" s="1">
        <v>17388461</v>
      </c>
      <c r="S235" s="1">
        <v>22775806</v>
      </c>
      <c r="U235" s="1">
        <f>13530+2138455+266956+8797228</f>
        <v>11216169</v>
      </c>
      <c r="W235" s="1">
        <v>0</v>
      </c>
      <c r="Y235" s="1">
        <v>-7443101</v>
      </c>
      <c r="AA235" s="58">
        <f t="shared" si="28"/>
        <v>3773068</v>
      </c>
      <c r="AB235" s="1"/>
      <c r="AC235" s="1">
        <f t="shared" si="29"/>
        <v>0</v>
      </c>
    </row>
    <row r="236" spans="1:29">
      <c r="A236" s="17" t="s">
        <v>935</v>
      </c>
      <c r="B236" s="17"/>
      <c r="C236" s="17" t="s">
        <v>227</v>
      </c>
      <c r="D236" s="17"/>
      <c r="E236" s="13">
        <v>44107</v>
      </c>
      <c r="G236" s="1">
        <v>8117087</v>
      </c>
      <c r="I236" s="1">
        <v>0</v>
      </c>
      <c r="K236" s="41">
        <f t="shared" si="26"/>
        <v>23118769</v>
      </c>
      <c r="M236" s="1">
        <v>31235856</v>
      </c>
      <c r="O236" s="41">
        <f t="shared" si="27"/>
        <v>10610449</v>
      </c>
      <c r="Q236" s="1">
        <v>22029870</v>
      </c>
      <c r="S236" s="1">
        <v>32640319</v>
      </c>
      <c r="U236" s="1">
        <f>314093+2622+664079</f>
        <v>980794</v>
      </c>
      <c r="W236" s="1">
        <v>0</v>
      </c>
      <c r="Y236" s="1">
        <v>-2385257</v>
      </c>
      <c r="AA236" s="58">
        <f t="shared" si="28"/>
        <v>-1404463</v>
      </c>
      <c r="AB236" s="1"/>
      <c r="AC236" s="1">
        <f t="shared" si="29"/>
        <v>0</v>
      </c>
    </row>
    <row r="237" spans="1:29">
      <c r="A237" s="17" t="s">
        <v>336</v>
      </c>
      <c r="B237" s="17"/>
      <c r="C237" s="17" t="s">
        <v>27</v>
      </c>
      <c r="D237" s="17"/>
      <c r="E237" s="13">
        <v>46953</v>
      </c>
      <c r="G237" s="1">
        <v>6103889</v>
      </c>
      <c r="I237" s="1">
        <v>309343</v>
      </c>
      <c r="K237" s="41">
        <f t="shared" si="26"/>
        <v>5933200</v>
      </c>
      <c r="M237" s="1">
        <v>12346432</v>
      </c>
      <c r="O237" s="41">
        <f t="shared" si="27"/>
        <v>3294402</v>
      </c>
      <c r="Q237" s="1">
        <v>3916741</v>
      </c>
      <c r="S237" s="1">
        <v>7211143</v>
      </c>
      <c r="U237" s="1">
        <f>309343+1907804</f>
        <v>2217147</v>
      </c>
      <c r="W237" s="1">
        <v>0</v>
      </c>
      <c r="Y237" s="1">
        <v>2918142</v>
      </c>
      <c r="AA237" s="58">
        <f t="shared" si="28"/>
        <v>5135289</v>
      </c>
      <c r="AB237" s="1"/>
      <c r="AC237" s="1">
        <f t="shared" si="29"/>
        <v>0</v>
      </c>
    </row>
    <row r="238" spans="1:29">
      <c r="A238" s="17" t="s">
        <v>384</v>
      </c>
      <c r="B238" s="17"/>
      <c r="C238" s="17" t="s">
        <v>383</v>
      </c>
      <c r="D238" s="17"/>
      <c r="E238" s="13">
        <v>47498</v>
      </c>
      <c r="G238" s="1">
        <v>2086116</v>
      </c>
      <c r="I238" s="1">
        <v>164243</v>
      </c>
      <c r="K238" s="41">
        <f t="shared" si="26"/>
        <v>1311171</v>
      </c>
      <c r="M238" s="1">
        <v>3561530</v>
      </c>
      <c r="O238" s="41">
        <f t="shared" si="27"/>
        <v>445709</v>
      </c>
      <c r="Q238" s="1">
        <v>903585</v>
      </c>
      <c r="S238" s="1">
        <v>1349294</v>
      </c>
      <c r="U238" s="1">
        <f>45504+84530+146927+17316</f>
        <v>294277</v>
      </c>
      <c r="W238" s="1">
        <v>0</v>
      </c>
      <c r="Y238" s="1">
        <v>1917959</v>
      </c>
      <c r="AA238" s="58">
        <f t="shared" si="28"/>
        <v>2212236</v>
      </c>
      <c r="AB238" s="1"/>
      <c r="AC238" s="1">
        <f t="shared" si="29"/>
        <v>0</v>
      </c>
    </row>
    <row r="239" spans="1:29" hidden="1">
      <c r="A239" s="17" t="s">
        <v>936</v>
      </c>
      <c r="B239" s="17"/>
      <c r="C239" s="17" t="s">
        <v>61</v>
      </c>
      <c r="D239" s="17"/>
      <c r="E239" s="13">
        <v>49791</v>
      </c>
      <c r="K239" s="41">
        <f t="shared" si="26"/>
        <v>0</v>
      </c>
      <c r="O239" s="41">
        <f t="shared" si="27"/>
        <v>0</v>
      </c>
      <c r="AA239" s="58">
        <f t="shared" si="28"/>
        <v>0</v>
      </c>
      <c r="AB239" s="1"/>
      <c r="AC239" s="1">
        <f t="shared" si="29"/>
        <v>0</v>
      </c>
    </row>
    <row r="240" spans="1:29">
      <c r="A240" s="17" t="s">
        <v>389</v>
      </c>
      <c r="B240" s="17"/>
      <c r="C240" s="17" t="s">
        <v>388</v>
      </c>
      <c r="D240" s="17"/>
      <c r="E240" s="13">
        <v>45245</v>
      </c>
      <c r="G240" s="1">
        <f>1432632+99228</f>
        <v>1531860</v>
      </c>
      <c r="I240" s="1">
        <v>686066</v>
      </c>
      <c r="K240" s="41">
        <f t="shared" si="26"/>
        <v>5666566</v>
      </c>
      <c r="M240" s="1">
        <v>7884492</v>
      </c>
      <c r="O240" s="41">
        <f t="shared" si="27"/>
        <v>1591818</v>
      </c>
      <c r="Q240" s="1">
        <f>756338+3715866</f>
        <v>4472204</v>
      </c>
      <c r="S240" s="1">
        <v>6064022</v>
      </c>
      <c r="U240" s="1">
        <f>517047+35576+104637+270051+73694+610950+1422</f>
        <v>1613377</v>
      </c>
      <c r="W240" s="1">
        <v>78109</v>
      </c>
      <c r="Y240" s="1">
        <v>128984</v>
      </c>
      <c r="AA240" s="58">
        <f t="shared" si="28"/>
        <v>1820470</v>
      </c>
      <c r="AB240" s="1"/>
      <c r="AC240" s="1">
        <f t="shared" si="29"/>
        <v>0</v>
      </c>
    </row>
    <row r="241" spans="1:29">
      <c r="A241" s="17" t="s">
        <v>427</v>
      </c>
      <c r="B241" s="17"/>
      <c r="C241" s="17" t="s">
        <v>42</v>
      </c>
      <c r="D241" s="17"/>
      <c r="E241" s="13">
        <v>44115</v>
      </c>
      <c r="G241" s="1">
        <f>760572+1286842</f>
        <v>2047414</v>
      </c>
      <c r="I241" s="1">
        <v>815061</v>
      </c>
      <c r="K241" s="41">
        <f t="shared" si="26"/>
        <v>7884481</v>
      </c>
      <c r="M241" s="1">
        <v>10746956</v>
      </c>
      <c r="O241" s="41">
        <f t="shared" si="27"/>
        <v>1744710</v>
      </c>
      <c r="Q241" s="1">
        <f>6651268+1020</f>
        <v>6652288</v>
      </c>
      <c r="S241" s="1">
        <v>8396998</v>
      </c>
      <c r="U241" s="1">
        <f>222186+187807+1035850+815061</f>
        <v>2260904</v>
      </c>
      <c r="W241" s="1">
        <v>10026</v>
      </c>
      <c r="Y241" s="1">
        <v>79028</v>
      </c>
      <c r="AA241" s="58">
        <f t="shared" si="28"/>
        <v>2349958</v>
      </c>
      <c r="AB241" s="1"/>
      <c r="AC241" s="1">
        <f t="shared" si="29"/>
        <v>0</v>
      </c>
    </row>
    <row r="242" spans="1:29" hidden="1">
      <c r="A242" s="17" t="s">
        <v>818</v>
      </c>
      <c r="B242" s="17"/>
      <c r="C242" s="17" t="s">
        <v>22</v>
      </c>
      <c r="D242" s="17"/>
      <c r="E242" s="13">
        <v>45419</v>
      </c>
      <c r="K242" s="41">
        <f t="shared" si="26"/>
        <v>0</v>
      </c>
      <c r="O242" s="41">
        <f t="shared" si="27"/>
        <v>0</v>
      </c>
      <c r="AA242" s="58">
        <f t="shared" si="28"/>
        <v>0</v>
      </c>
      <c r="AB242" s="1"/>
      <c r="AC242" s="1">
        <f t="shared" si="29"/>
        <v>0</v>
      </c>
    </row>
    <row r="243" spans="1:29">
      <c r="A243" s="17" t="s">
        <v>481</v>
      </c>
      <c r="B243" s="17"/>
      <c r="C243" s="17" t="s">
        <v>47</v>
      </c>
      <c r="D243" s="17"/>
      <c r="E243" s="13">
        <v>48496</v>
      </c>
      <c r="G243" s="1">
        <v>6752044</v>
      </c>
      <c r="I243" s="1">
        <v>19514</v>
      </c>
      <c r="K243" s="41">
        <f t="shared" si="26"/>
        <v>16535708</v>
      </c>
      <c r="M243" s="1">
        <v>23307266</v>
      </c>
      <c r="O243" s="41">
        <f t="shared" si="27"/>
        <v>3437442</v>
      </c>
      <c r="Q243" s="1">
        <v>14570670</v>
      </c>
      <c r="S243" s="1">
        <v>18008112</v>
      </c>
      <c r="U243" s="1">
        <f>49152+32971+19514</f>
        <v>101637</v>
      </c>
      <c r="W243" s="1">
        <v>0</v>
      </c>
      <c r="Y243" s="1">
        <v>5197517</v>
      </c>
      <c r="AA243" s="58">
        <f t="shared" si="28"/>
        <v>5299154</v>
      </c>
      <c r="AB243" s="1"/>
      <c r="AC243" s="1">
        <f t="shared" si="29"/>
        <v>0</v>
      </c>
    </row>
    <row r="244" spans="1:29">
      <c r="A244" s="17" t="s">
        <v>481</v>
      </c>
      <c r="B244" s="17"/>
      <c r="C244" s="17" t="s">
        <v>78</v>
      </c>
      <c r="D244" s="17"/>
      <c r="E244" s="13">
        <v>48801</v>
      </c>
      <c r="G244" s="1">
        <v>2153161</v>
      </c>
      <c r="I244" s="1">
        <v>876574</v>
      </c>
      <c r="K244" s="41">
        <f t="shared" si="26"/>
        <v>3892467</v>
      </c>
      <c r="M244" s="1">
        <v>6922202</v>
      </c>
      <c r="O244" s="41">
        <f t="shared" si="27"/>
        <v>2127021</v>
      </c>
      <c r="Q244" s="1">
        <v>2818527</v>
      </c>
      <c r="S244" s="1">
        <v>4945548</v>
      </c>
      <c r="U244" s="1">
        <f>618844+874404+2170+27173+50000</f>
        <v>1572591</v>
      </c>
      <c r="W244" s="1">
        <v>0</v>
      </c>
      <c r="Y244" s="1">
        <v>404063</v>
      </c>
      <c r="AA244" s="58">
        <f t="shared" si="28"/>
        <v>1976654</v>
      </c>
      <c r="AB244" s="1"/>
      <c r="AC244" s="1">
        <f t="shared" si="29"/>
        <v>0</v>
      </c>
    </row>
    <row r="245" spans="1:29">
      <c r="A245" s="17" t="s">
        <v>337</v>
      </c>
      <c r="B245" s="17"/>
      <c r="C245" s="17" t="s">
        <v>27</v>
      </c>
      <c r="D245" s="17"/>
      <c r="E245" s="13">
        <v>47019</v>
      </c>
      <c r="G245" s="1">
        <v>7201612</v>
      </c>
      <c r="I245" s="1">
        <v>0</v>
      </c>
      <c r="K245" s="41">
        <f t="shared" si="26"/>
        <v>112444326</v>
      </c>
      <c r="M245" s="1">
        <v>119645938</v>
      </c>
      <c r="O245" s="41">
        <f t="shared" si="27"/>
        <v>18024725</v>
      </c>
      <c r="Q245" s="1">
        <v>62085301</v>
      </c>
      <c r="S245" s="1">
        <v>80110026</v>
      </c>
      <c r="U245" s="1">
        <v>985109</v>
      </c>
      <c r="W245" s="1">
        <v>39222493</v>
      </c>
      <c r="Y245" s="1">
        <v>-671690</v>
      </c>
      <c r="AA245" s="58">
        <f t="shared" si="28"/>
        <v>39535912</v>
      </c>
      <c r="AB245" s="1"/>
      <c r="AC245" s="1">
        <f t="shared" si="29"/>
        <v>0</v>
      </c>
    </row>
    <row r="246" spans="1:29" hidden="1">
      <c r="A246" s="17" t="s">
        <v>398</v>
      </c>
      <c r="B246" s="17"/>
      <c r="C246" s="17" t="s">
        <v>395</v>
      </c>
      <c r="D246" s="17"/>
      <c r="E246" s="13">
        <v>44123</v>
      </c>
      <c r="K246" s="41">
        <f t="shared" si="26"/>
        <v>0</v>
      </c>
      <c r="O246" s="41">
        <f t="shared" si="27"/>
        <v>0</v>
      </c>
      <c r="AA246" s="58">
        <f t="shared" si="28"/>
        <v>0</v>
      </c>
      <c r="AB246" s="1"/>
      <c r="AC246" s="1">
        <f t="shared" si="29"/>
        <v>0</v>
      </c>
    </row>
    <row r="247" spans="1:29">
      <c r="A247" s="17" t="s">
        <v>207</v>
      </c>
      <c r="B247" s="17"/>
      <c r="C247" s="17" t="s">
        <v>11</v>
      </c>
      <c r="D247" s="17"/>
      <c r="E247" s="13">
        <v>45823</v>
      </c>
      <c r="G247" s="1">
        <v>1649104</v>
      </c>
      <c r="I247" s="1">
        <v>0</v>
      </c>
      <c r="K247" s="41">
        <f>+M247-I247-G247</f>
        <v>4296644</v>
      </c>
      <c r="M247" s="1">
        <v>5945748</v>
      </c>
      <c r="O247" s="41">
        <f>+S247-Q247</f>
        <v>1324968</v>
      </c>
      <c r="Q247" s="1">
        <f>209151+2736912</f>
        <v>2946063</v>
      </c>
      <c r="S247" s="1">
        <v>4271031</v>
      </c>
      <c r="U247" s="1">
        <f>186747+4804+1200478+117231</f>
        <v>1509260</v>
      </c>
      <c r="W247" s="1">
        <v>0</v>
      </c>
      <c r="Y247" s="1">
        <v>165457</v>
      </c>
      <c r="AA247" s="58">
        <f>+Y247+W247++U247</f>
        <v>1674717</v>
      </c>
      <c r="AB247" s="1"/>
      <c r="AC247" s="1">
        <f t="shared" si="29"/>
        <v>0</v>
      </c>
    </row>
    <row r="248" spans="1:29">
      <c r="A248" s="17" t="s">
        <v>390</v>
      </c>
      <c r="B248" s="17"/>
      <c r="C248" s="17" t="s">
        <v>34</v>
      </c>
      <c r="D248" s="17"/>
      <c r="E248" s="13">
        <v>47571</v>
      </c>
      <c r="G248" s="1">
        <v>2289393</v>
      </c>
      <c r="I248" s="1">
        <v>28193</v>
      </c>
      <c r="K248" s="41">
        <f t="shared" si="26"/>
        <v>1311821</v>
      </c>
      <c r="M248" s="1">
        <v>3629407</v>
      </c>
      <c r="O248" s="41">
        <f t="shared" si="27"/>
        <v>438447</v>
      </c>
      <c r="Q248" s="1">
        <v>965357</v>
      </c>
      <c r="S248" s="1">
        <v>1403804</v>
      </c>
      <c r="U248" s="1">
        <f>124232+28193+108678</f>
        <v>261103</v>
      </c>
      <c r="W248" s="1">
        <v>0</v>
      </c>
      <c r="Y248" s="1">
        <v>1964500</v>
      </c>
      <c r="AA248" s="58">
        <f t="shared" si="28"/>
        <v>2225603</v>
      </c>
      <c r="AB248" s="1"/>
      <c r="AC248" s="1">
        <f t="shared" si="29"/>
        <v>0</v>
      </c>
    </row>
    <row r="249" spans="1:29">
      <c r="A249" s="17" t="s">
        <v>604</v>
      </c>
      <c r="B249" s="17"/>
      <c r="C249" s="17" t="s">
        <v>64</v>
      </c>
      <c r="D249" s="17"/>
      <c r="E249" s="13">
        <v>50161</v>
      </c>
      <c r="G249" s="1">
        <v>1144323</v>
      </c>
      <c r="I249" s="1">
        <v>0</v>
      </c>
      <c r="K249" s="41">
        <f t="shared" si="26"/>
        <v>20194387</v>
      </c>
      <c r="M249" s="1">
        <v>21338710</v>
      </c>
      <c r="O249" s="41">
        <f t="shared" si="27"/>
        <v>3753279</v>
      </c>
      <c r="Q249" s="1">
        <f>3427885+16489872</f>
        <v>19917757</v>
      </c>
      <c r="S249" s="1">
        <v>23671036</v>
      </c>
      <c r="U249" s="1">
        <f>327182+77973+31918+160128</f>
        <v>597201</v>
      </c>
      <c r="W249" s="1">
        <v>0</v>
      </c>
      <c r="Y249" s="1">
        <v>-2929527</v>
      </c>
      <c r="AA249" s="58">
        <f t="shared" si="28"/>
        <v>-2332326</v>
      </c>
      <c r="AB249" s="1"/>
      <c r="AC249" s="1">
        <f t="shared" si="29"/>
        <v>0</v>
      </c>
    </row>
    <row r="250" spans="1:29" ht="12.75" customHeight="1">
      <c r="A250" s="17" t="s">
        <v>605</v>
      </c>
      <c r="B250" s="17"/>
      <c r="C250" s="17" t="s">
        <v>64</v>
      </c>
      <c r="D250" s="17"/>
      <c r="E250" s="13">
        <v>45427</v>
      </c>
      <c r="G250" s="1">
        <v>6078643</v>
      </c>
      <c r="I250" s="1">
        <v>581639</v>
      </c>
      <c r="K250" s="41">
        <f t="shared" si="26"/>
        <v>7911434</v>
      </c>
      <c r="M250" s="1">
        <v>14571716</v>
      </c>
      <c r="O250" s="41">
        <f t="shared" si="27"/>
        <v>1753662</v>
      </c>
      <c r="Q250" s="1">
        <v>7495489</v>
      </c>
      <c r="S250" s="1">
        <v>9249151</v>
      </c>
      <c r="U250" s="1">
        <f>13208+514744+66895+99143+32803</f>
        <v>726793</v>
      </c>
      <c r="W250" s="1">
        <v>0</v>
      </c>
      <c r="Y250" s="1">
        <v>4595772</v>
      </c>
      <c r="AA250" s="58">
        <f t="shared" si="28"/>
        <v>5322565</v>
      </c>
      <c r="AB250" s="1"/>
      <c r="AC250" s="1">
        <f t="shared" si="29"/>
        <v>0</v>
      </c>
    </row>
    <row r="251" spans="1:29">
      <c r="A251" s="17" t="s">
        <v>497</v>
      </c>
      <c r="B251" s="17"/>
      <c r="C251" s="17" t="s">
        <v>50</v>
      </c>
      <c r="D251" s="17"/>
      <c r="E251" s="13">
        <v>48751</v>
      </c>
      <c r="G251" s="1">
        <f>12965590+8640667</f>
        <v>21606257</v>
      </c>
      <c r="I251" s="1">
        <v>827054</v>
      </c>
      <c r="K251" s="41">
        <f t="shared" si="26"/>
        <v>27676227</v>
      </c>
      <c r="M251" s="1">
        <v>50109538</v>
      </c>
      <c r="O251" s="41">
        <f t="shared" si="27"/>
        <v>7694871</v>
      </c>
      <c r="Q251" s="1">
        <v>25163754</v>
      </c>
      <c r="S251" s="1">
        <v>32858625</v>
      </c>
      <c r="U251" s="1">
        <f>393535+373186+1322156+827054</f>
        <v>2915931</v>
      </c>
      <c r="W251" s="1">
        <v>0</v>
      </c>
      <c r="Y251" s="1">
        <v>14334982</v>
      </c>
      <c r="AA251" s="58">
        <f t="shared" si="28"/>
        <v>17250913</v>
      </c>
      <c r="AB251" s="1"/>
      <c r="AC251" s="1">
        <f t="shared" si="29"/>
        <v>0</v>
      </c>
    </row>
    <row r="252" spans="1:29">
      <c r="A252" s="17" t="s">
        <v>590</v>
      </c>
      <c r="B252" s="17"/>
      <c r="C252" s="17" t="s">
        <v>63</v>
      </c>
      <c r="D252" s="17"/>
      <c r="E252" s="13">
        <v>50021</v>
      </c>
      <c r="G252" s="1">
        <v>12784635</v>
      </c>
      <c r="I252" s="1">
        <v>0</v>
      </c>
      <c r="K252" s="41">
        <f t="shared" si="26"/>
        <v>38644875</v>
      </c>
      <c r="M252" s="1">
        <v>51429510</v>
      </c>
      <c r="O252" s="41">
        <f t="shared" si="27"/>
        <v>8027042</v>
      </c>
      <c r="Q252" s="1">
        <f>32978206+2319445</f>
        <v>35297651</v>
      </c>
      <c r="S252" s="1">
        <v>43324693</v>
      </c>
      <c r="U252" s="1">
        <f>1099735+3337714</f>
        <v>4437449</v>
      </c>
      <c r="W252" s="1">
        <v>0</v>
      </c>
      <c r="Y252" s="1">
        <v>3667368</v>
      </c>
      <c r="AA252" s="58">
        <f t="shared" si="28"/>
        <v>8104817</v>
      </c>
      <c r="AB252" s="1"/>
      <c r="AC252" s="1">
        <f t="shared" si="29"/>
        <v>0</v>
      </c>
    </row>
    <row r="253" spans="1:29">
      <c r="A253" s="17" t="s">
        <v>551</v>
      </c>
      <c r="B253" s="17"/>
      <c r="C253" s="17" t="s">
        <v>58</v>
      </c>
      <c r="D253" s="17"/>
      <c r="E253" s="13">
        <v>49502</v>
      </c>
      <c r="G253" s="1">
        <v>4791330</v>
      </c>
      <c r="I253" s="1">
        <v>661164</v>
      </c>
      <c r="K253" s="41">
        <f t="shared" si="26"/>
        <v>1430118</v>
      </c>
      <c r="M253" s="1">
        <v>6882612</v>
      </c>
      <c r="O253" s="41">
        <f t="shared" si="27"/>
        <v>1274743</v>
      </c>
      <c r="Q253" s="1">
        <v>1189927</v>
      </c>
      <c r="S253" s="1">
        <v>2464670</v>
      </c>
      <c r="U253" s="1">
        <f>37088+161708+21547+475862+185302</f>
        <v>881507</v>
      </c>
      <c r="W253" s="1">
        <v>0</v>
      </c>
      <c r="Y253" s="1">
        <v>3536435</v>
      </c>
      <c r="AA253" s="58">
        <f t="shared" si="28"/>
        <v>4417942</v>
      </c>
      <c r="AB253" s="1"/>
      <c r="AC253" s="1">
        <f t="shared" si="29"/>
        <v>0</v>
      </c>
    </row>
    <row r="254" spans="1:29">
      <c r="A254" s="17" t="s">
        <v>315</v>
      </c>
      <c r="B254" s="17"/>
      <c r="C254" s="17" t="s">
        <v>24</v>
      </c>
      <c r="D254" s="17"/>
      <c r="E254" s="13">
        <v>44131</v>
      </c>
      <c r="G254" s="1">
        <f>7399263+17372</f>
        <v>7416635</v>
      </c>
      <c r="I254" s="1">
        <v>26629</v>
      </c>
      <c r="K254" s="41">
        <f t="shared" si="26"/>
        <v>10562919</v>
      </c>
      <c r="M254" s="1">
        <v>18006183</v>
      </c>
      <c r="O254" s="41">
        <f t="shared" si="27"/>
        <v>1897448</v>
      </c>
      <c r="Q254" s="1">
        <f>8318599+851805</f>
        <v>9170404</v>
      </c>
      <c r="S254" s="1">
        <v>11067852</v>
      </c>
      <c r="U254" s="1">
        <f>193745+1321795+26629</f>
        <v>1542169</v>
      </c>
      <c r="W254" s="1">
        <v>0</v>
      </c>
      <c r="Y254" s="1">
        <v>5396162</v>
      </c>
      <c r="AA254" s="58">
        <f t="shared" si="28"/>
        <v>6938331</v>
      </c>
      <c r="AB254" s="1"/>
      <c r="AC254" s="1">
        <f t="shared" si="29"/>
        <v>0</v>
      </c>
    </row>
    <row r="255" spans="1:29">
      <c r="A255" s="17" t="s">
        <v>292</v>
      </c>
      <c r="B255" s="17"/>
      <c r="C255" s="17" t="s">
        <v>20</v>
      </c>
      <c r="D255" s="17"/>
      <c r="E255" s="13">
        <v>46565</v>
      </c>
      <c r="G255" s="1">
        <v>1811173</v>
      </c>
      <c r="I255" s="1">
        <v>0</v>
      </c>
      <c r="K255" s="41">
        <f>+M255-I255-G255</f>
        <v>14288081</v>
      </c>
      <c r="M255" s="1">
        <v>16099254</v>
      </c>
      <c r="O255" s="41">
        <f t="shared" si="27"/>
        <v>1452435</v>
      </c>
      <c r="Q255" s="1">
        <v>13135430</v>
      </c>
      <c r="S255" s="1">
        <v>14587865</v>
      </c>
      <c r="U255" s="1">
        <f>40962+1152651</f>
        <v>1193613</v>
      </c>
      <c r="W255" s="1">
        <v>0</v>
      </c>
      <c r="Y255" s="1">
        <v>317776</v>
      </c>
      <c r="AA255" s="58">
        <f t="shared" si="28"/>
        <v>1511389</v>
      </c>
      <c r="AB255" s="1"/>
      <c r="AC255" s="1">
        <f t="shared" si="29"/>
        <v>0</v>
      </c>
    </row>
    <row r="256" spans="1:29">
      <c r="A256" s="17"/>
      <c r="B256" s="17"/>
      <c r="C256" s="17"/>
      <c r="D256" s="17"/>
      <c r="E256" s="13"/>
      <c r="K256" s="41"/>
      <c r="O256" s="41"/>
      <c r="AA256" s="58"/>
      <c r="AB256" s="1"/>
    </row>
    <row r="257" spans="1:29">
      <c r="A257" s="17"/>
      <c r="B257" s="17"/>
      <c r="C257" s="17"/>
      <c r="D257" s="17"/>
      <c r="E257" s="13"/>
      <c r="K257" s="41"/>
      <c r="O257" s="41"/>
      <c r="AA257" s="41" t="s">
        <v>709</v>
      </c>
      <c r="AB257" s="1"/>
    </row>
    <row r="258" spans="1:29">
      <c r="A258" s="17"/>
      <c r="B258" s="17"/>
      <c r="C258" s="17"/>
      <c r="D258" s="17"/>
      <c r="E258" s="13"/>
      <c r="K258" s="41"/>
      <c r="O258" s="41"/>
      <c r="AA258" s="58"/>
      <c r="AB258" s="1"/>
    </row>
    <row r="259" spans="1:29" s="1" customFormat="1">
      <c r="A259" s="12" t="s">
        <v>411</v>
      </c>
      <c r="B259" s="12"/>
      <c r="C259" s="12" t="s">
        <v>39</v>
      </c>
      <c r="D259" s="12"/>
      <c r="E259" s="12">
        <v>47803</v>
      </c>
      <c r="G259" s="16">
        <v>291347</v>
      </c>
      <c r="H259" s="16"/>
      <c r="I259" s="16">
        <v>0</v>
      </c>
      <c r="J259" s="16"/>
      <c r="K259" s="59">
        <f>+M259-I259-G259</f>
        <v>8531108</v>
      </c>
      <c r="L259" s="16"/>
      <c r="M259" s="16">
        <v>8822455</v>
      </c>
      <c r="N259" s="16"/>
      <c r="O259" s="59">
        <f>+S259-Q259</f>
        <v>2864243</v>
      </c>
      <c r="P259" s="16"/>
      <c r="Q259" s="16">
        <v>7406998</v>
      </c>
      <c r="R259" s="16"/>
      <c r="S259" s="16">
        <v>10271241</v>
      </c>
      <c r="T259" s="16"/>
      <c r="U259" s="16">
        <v>68085</v>
      </c>
      <c r="V259" s="16"/>
      <c r="W259" s="16">
        <v>362270</v>
      </c>
      <c r="X259" s="16"/>
      <c r="Y259" s="16">
        <v>-1879141</v>
      </c>
      <c r="Z259" s="16"/>
      <c r="AA259" s="90">
        <f>+Y259+W259++U259</f>
        <v>-1448786</v>
      </c>
      <c r="AC259" s="1">
        <f t="shared" si="29"/>
        <v>0</v>
      </c>
    </row>
    <row r="260" spans="1:29">
      <c r="A260" s="17" t="s">
        <v>365</v>
      </c>
      <c r="B260" s="17"/>
      <c r="C260" s="17" t="s">
        <v>32</v>
      </c>
      <c r="D260" s="17"/>
      <c r="E260" s="13">
        <v>45435</v>
      </c>
      <c r="G260" s="1">
        <v>25050077</v>
      </c>
      <c r="I260" s="1">
        <v>29477</v>
      </c>
      <c r="K260" s="41">
        <f t="shared" ref="K260:K275" si="30">+M260-I260-G260</f>
        <v>27675730</v>
      </c>
      <c r="M260" s="1">
        <v>52755284</v>
      </c>
      <c r="O260" s="41">
        <f t="shared" ref="O260:O274" si="31">+S260-Q260</f>
        <v>3277073</v>
      </c>
      <c r="Q260" s="1">
        <f>301810+17251156</f>
        <v>17552966</v>
      </c>
      <c r="S260" s="1">
        <v>20830039</v>
      </c>
      <c r="U260" s="1">
        <f>67552+9901200+29477</f>
        <v>9998229</v>
      </c>
      <c r="W260" s="1">
        <v>0</v>
      </c>
      <c r="Y260" s="1">
        <v>21927016</v>
      </c>
      <c r="AA260" s="58">
        <f t="shared" ref="AA260:AA275" si="32">+Y260+W260++U260</f>
        <v>31925245</v>
      </c>
      <c r="AB260" s="1"/>
      <c r="AC260" s="1">
        <f t="shared" si="29"/>
        <v>0</v>
      </c>
    </row>
    <row r="261" spans="1:29" hidden="1">
      <c r="A261" s="17" t="s">
        <v>937</v>
      </c>
      <c r="B261" s="17"/>
      <c r="C261" s="17" t="s">
        <v>43</v>
      </c>
      <c r="D261" s="17"/>
      <c r="E261" s="13"/>
      <c r="K261" s="41">
        <f t="shared" si="30"/>
        <v>0</v>
      </c>
      <c r="O261" s="41">
        <f t="shared" si="31"/>
        <v>0</v>
      </c>
      <c r="AA261" s="58">
        <f t="shared" si="32"/>
        <v>0</v>
      </c>
      <c r="AB261" s="1"/>
      <c r="AC261" s="1">
        <f t="shared" si="29"/>
        <v>0</v>
      </c>
    </row>
    <row r="262" spans="1:29">
      <c r="A262" s="17" t="s">
        <v>621</v>
      </c>
      <c r="B262" s="17"/>
      <c r="C262" s="17" t="s">
        <v>65</v>
      </c>
      <c r="D262" s="17"/>
      <c r="E262" s="13">
        <v>50286</v>
      </c>
      <c r="G262" s="1">
        <v>2694018</v>
      </c>
      <c r="I262" s="1">
        <v>0</v>
      </c>
      <c r="K262" s="41">
        <f t="shared" si="30"/>
        <v>4083168</v>
      </c>
      <c r="M262" s="1">
        <v>6777186</v>
      </c>
      <c r="O262" s="41">
        <f t="shared" si="31"/>
        <v>1899239</v>
      </c>
      <c r="Q262" s="1">
        <v>3721873</v>
      </c>
      <c r="S262" s="1">
        <v>5621112</v>
      </c>
      <c r="U262" s="1">
        <f>111105+44557+310077</f>
        <v>465739</v>
      </c>
      <c r="W262" s="1">
        <v>0</v>
      </c>
      <c r="Y262" s="1">
        <v>690335</v>
      </c>
      <c r="AA262" s="58">
        <f t="shared" si="32"/>
        <v>1156074</v>
      </c>
      <c r="AB262" s="1"/>
      <c r="AC262" s="1">
        <f t="shared" si="29"/>
        <v>0</v>
      </c>
    </row>
    <row r="263" spans="1:29">
      <c r="A263" s="17" t="s">
        <v>423</v>
      </c>
      <c r="B263" s="17"/>
      <c r="C263" s="17" t="s">
        <v>420</v>
      </c>
      <c r="D263" s="17"/>
      <c r="E263" s="13">
        <v>44149</v>
      </c>
      <c r="G263" s="1">
        <v>1554925</v>
      </c>
      <c r="I263" s="1">
        <v>778145</v>
      </c>
      <c r="K263" s="41">
        <f t="shared" si="30"/>
        <v>2438275</v>
      </c>
      <c r="M263" s="1">
        <v>4771345</v>
      </c>
      <c r="O263" s="41">
        <f t="shared" si="31"/>
        <v>1298648</v>
      </c>
      <c r="Q263" s="1">
        <v>2111478</v>
      </c>
      <c r="S263" s="1">
        <v>3410126</v>
      </c>
      <c r="U263" s="1">
        <f>140123+266752+738357+35379+4409</f>
        <v>1185020</v>
      </c>
      <c r="W263" s="1">
        <v>0</v>
      </c>
      <c r="Y263" s="1">
        <v>176199</v>
      </c>
      <c r="AA263" s="58">
        <f t="shared" si="32"/>
        <v>1361219</v>
      </c>
      <c r="AB263" s="1"/>
      <c r="AC263" s="1">
        <f t="shared" si="29"/>
        <v>0</v>
      </c>
    </row>
    <row r="264" spans="1:29" hidden="1">
      <c r="A264" s="17" t="s">
        <v>820</v>
      </c>
      <c r="B264" s="17"/>
      <c r="C264" s="17" t="s">
        <v>61</v>
      </c>
      <c r="D264" s="17"/>
      <c r="E264" s="13">
        <v>49809</v>
      </c>
      <c r="K264" s="41">
        <f t="shared" si="30"/>
        <v>0</v>
      </c>
      <c r="O264" s="41">
        <f t="shared" si="31"/>
        <v>0</v>
      </c>
      <c r="AA264" s="58">
        <f t="shared" si="32"/>
        <v>0</v>
      </c>
      <c r="AB264" s="1"/>
      <c r="AC264" s="1">
        <f t="shared" si="29"/>
        <v>0</v>
      </c>
    </row>
    <row r="265" spans="1:29" hidden="1">
      <c r="A265" s="17" t="s">
        <v>838</v>
      </c>
      <c r="B265" s="17"/>
      <c r="C265" s="17" t="s">
        <v>38</v>
      </c>
      <c r="D265" s="17"/>
      <c r="E265" s="13"/>
      <c r="K265" s="41">
        <f t="shared" si="30"/>
        <v>0</v>
      </c>
      <c r="O265" s="41">
        <f t="shared" si="31"/>
        <v>0</v>
      </c>
      <c r="AA265" s="58">
        <f t="shared" si="32"/>
        <v>0</v>
      </c>
      <c r="AB265" s="1"/>
      <c r="AC265" s="1">
        <f t="shared" si="29"/>
        <v>0</v>
      </c>
    </row>
    <row r="266" spans="1:29">
      <c r="A266" s="17" t="s">
        <v>576</v>
      </c>
      <c r="B266" s="17"/>
      <c r="C266" s="17" t="s">
        <v>62</v>
      </c>
      <c r="D266" s="17"/>
      <c r="E266" s="13">
        <v>49858</v>
      </c>
      <c r="G266" s="1">
        <v>10857376</v>
      </c>
      <c r="I266" s="1">
        <v>0</v>
      </c>
      <c r="K266" s="41">
        <f t="shared" si="30"/>
        <v>38396059</v>
      </c>
      <c r="M266" s="1">
        <v>49253435</v>
      </c>
      <c r="O266" s="41">
        <f t="shared" si="31"/>
        <v>6018749</v>
      </c>
      <c r="Q266" s="1">
        <f>35276737+1723266</f>
        <v>37000003</v>
      </c>
      <c r="S266" s="1">
        <v>43018752</v>
      </c>
      <c r="U266" s="1">
        <f>385588+145081+36808+1158845+42592</f>
        <v>1768914</v>
      </c>
      <c r="W266" s="1">
        <v>0</v>
      </c>
      <c r="Y266" s="1">
        <v>4465769</v>
      </c>
      <c r="AA266" s="58">
        <f t="shared" si="32"/>
        <v>6234683</v>
      </c>
      <c r="AB266" s="1"/>
      <c r="AC266" s="1">
        <f t="shared" ref="AC266:AC274" si="33">+G266+I266+K266-O266-Q266-Y266-W266-U266</f>
        <v>0</v>
      </c>
    </row>
    <row r="267" spans="1:29">
      <c r="A267" s="17" t="s">
        <v>465</v>
      </c>
      <c r="B267" s="17"/>
      <c r="C267" s="17" t="s">
        <v>45</v>
      </c>
      <c r="D267" s="17"/>
      <c r="E267" s="13">
        <v>48322</v>
      </c>
      <c r="G267" s="1">
        <v>2842557</v>
      </c>
      <c r="I267" s="1">
        <v>0</v>
      </c>
      <c r="K267" s="41">
        <f t="shared" si="30"/>
        <v>3449465</v>
      </c>
      <c r="M267" s="1">
        <v>6292022</v>
      </c>
      <c r="O267" s="41">
        <f t="shared" si="31"/>
        <v>1038448</v>
      </c>
      <c r="Q267" s="1">
        <f>224851+3206032</f>
        <v>3430883</v>
      </c>
      <c r="S267" s="1">
        <v>4469331</v>
      </c>
      <c r="U267" s="1">
        <f>36526+10800</f>
        <v>47326</v>
      </c>
      <c r="W267" s="1">
        <v>0</v>
      </c>
      <c r="Y267" s="1">
        <v>1775365</v>
      </c>
      <c r="AA267" s="58">
        <f t="shared" si="32"/>
        <v>1822691</v>
      </c>
      <c r="AB267" s="1"/>
      <c r="AC267" s="1">
        <f t="shared" si="33"/>
        <v>0</v>
      </c>
    </row>
    <row r="268" spans="1:29">
      <c r="A268" s="17" t="s">
        <v>534</v>
      </c>
      <c r="B268" s="17"/>
      <c r="C268" s="17" t="s">
        <v>56</v>
      </c>
      <c r="D268" s="17"/>
      <c r="E268" s="13">
        <v>49205</v>
      </c>
      <c r="G268" s="1">
        <v>2941866</v>
      </c>
      <c r="I268" s="1">
        <v>50662</v>
      </c>
      <c r="K268" s="41">
        <f t="shared" si="30"/>
        <v>4699816</v>
      </c>
      <c r="M268" s="1">
        <v>7692344</v>
      </c>
      <c r="O268" s="41">
        <f t="shared" si="31"/>
        <v>1593733</v>
      </c>
      <c r="Q268" s="1">
        <f>433583+3207430</f>
        <v>3641013</v>
      </c>
      <c r="S268" s="1">
        <v>5234746</v>
      </c>
      <c r="U268" s="1">
        <f>102859+49692+20226+807136+50662</f>
        <v>1030575</v>
      </c>
      <c r="W268" s="1">
        <v>0</v>
      </c>
      <c r="Y268" s="1">
        <v>1427023</v>
      </c>
      <c r="AA268" s="58">
        <f t="shared" si="32"/>
        <v>2457598</v>
      </c>
      <c r="AB268" s="1"/>
      <c r="AC268" s="1">
        <f t="shared" si="33"/>
        <v>0</v>
      </c>
    </row>
    <row r="269" spans="1:29">
      <c r="A269" s="17" t="s">
        <v>840</v>
      </c>
      <c r="B269" s="17"/>
      <c r="C269" s="17" t="s">
        <v>12</v>
      </c>
      <c r="D269" s="17"/>
      <c r="E269" s="13">
        <v>45872</v>
      </c>
      <c r="G269" s="1">
        <v>1771211</v>
      </c>
      <c r="I269" s="1">
        <v>1445429</v>
      </c>
      <c r="K269" s="41">
        <f t="shared" si="30"/>
        <v>5604015</v>
      </c>
      <c r="M269" s="1">
        <v>8820655</v>
      </c>
      <c r="O269" s="41">
        <f t="shared" si="31"/>
        <v>2150082</v>
      </c>
      <c r="Q269" s="1">
        <v>3259551</v>
      </c>
      <c r="S269" s="1">
        <v>5409633</v>
      </c>
      <c r="U269" s="1">
        <f>609382+1445429+1922+2215813</f>
        <v>4272546</v>
      </c>
      <c r="W269" s="1">
        <v>0</v>
      </c>
      <c r="Y269" s="1">
        <v>-861524</v>
      </c>
      <c r="AA269" s="58">
        <f t="shared" si="32"/>
        <v>3411022</v>
      </c>
      <c r="AB269" s="1"/>
      <c r="AC269" s="1">
        <f t="shared" si="33"/>
        <v>0</v>
      </c>
    </row>
    <row r="270" spans="1:29">
      <c r="A270" s="17" t="s">
        <v>457</v>
      </c>
      <c r="B270" s="17"/>
      <c r="C270" s="17" t="s">
        <v>458</v>
      </c>
      <c r="D270" s="17"/>
      <c r="E270" s="13">
        <v>48256</v>
      </c>
      <c r="G270" s="1">
        <v>6300867</v>
      </c>
      <c r="I270" s="1">
        <v>3882</v>
      </c>
      <c r="K270" s="41">
        <f t="shared" si="30"/>
        <v>4691853</v>
      </c>
      <c r="M270" s="1">
        <v>10996602</v>
      </c>
      <c r="O270" s="41">
        <f t="shared" si="31"/>
        <v>1229875</v>
      </c>
      <c r="Q270" s="1">
        <f>187272+2125147</f>
        <v>2312419</v>
      </c>
      <c r="S270" s="1">
        <v>3542294</v>
      </c>
      <c r="U270" s="1">
        <f>94286+45157+1970479+3882+46126</f>
        <v>2159930</v>
      </c>
      <c r="W270" s="1">
        <v>0</v>
      </c>
      <c r="Y270" s="1">
        <v>5294378</v>
      </c>
      <c r="AA270" s="58">
        <f t="shared" si="32"/>
        <v>7454308</v>
      </c>
      <c r="AB270" s="1"/>
      <c r="AC270" s="1">
        <f t="shared" si="33"/>
        <v>0</v>
      </c>
    </row>
    <row r="271" spans="1:29">
      <c r="A271" s="17" t="s">
        <v>498</v>
      </c>
      <c r="B271" s="17"/>
      <c r="C271" s="17" t="s">
        <v>50</v>
      </c>
      <c r="D271" s="17"/>
      <c r="E271" s="13">
        <v>48686</v>
      </c>
      <c r="G271" s="1">
        <v>2023017</v>
      </c>
      <c r="I271" s="41">
        <v>5450</v>
      </c>
      <c r="K271" s="41">
        <f t="shared" si="30"/>
        <v>3323362</v>
      </c>
      <c r="M271" s="1">
        <v>5351829</v>
      </c>
      <c r="O271" s="41">
        <f t="shared" si="31"/>
        <v>692971</v>
      </c>
      <c r="Q271" s="1">
        <f>554279+2527222</f>
        <v>3081501</v>
      </c>
      <c r="S271" s="1">
        <v>3774472</v>
      </c>
      <c r="U271" s="1">
        <f>241803+18248+8482+168910+5450+35952</f>
        <v>478845</v>
      </c>
      <c r="W271" s="1">
        <v>0</v>
      </c>
      <c r="Y271" s="1">
        <v>1098512</v>
      </c>
      <c r="AA271" s="58">
        <f t="shared" si="32"/>
        <v>1577357</v>
      </c>
      <c r="AB271" s="1"/>
      <c r="AC271" s="1">
        <f t="shared" si="33"/>
        <v>0</v>
      </c>
    </row>
    <row r="272" spans="1:29" hidden="1">
      <c r="A272" s="17" t="s">
        <v>821</v>
      </c>
      <c r="B272" s="17"/>
      <c r="C272" s="17" t="s">
        <v>542</v>
      </c>
      <c r="D272" s="17"/>
      <c r="E272" s="13"/>
      <c r="I272" s="41"/>
      <c r="K272" s="41">
        <f t="shared" si="30"/>
        <v>0</v>
      </c>
      <c r="O272" s="41">
        <f t="shared" si="31"/>
        <v>0</v>
      </c>
      <c r="AA272" s="58">
        <f t="shared" si="32"/>
        <v>0</v>
      </c>
      <c r="AB272" s="1"/>
      <c r="AC272" s="1">
        <f t="shared" si="33"/>
        <v>0</v>
      </c>
    </row>
    <row r="273" spans="1:29">
      <c r="A273" s="17" t="s">
        <v>428</v>
      </c>
      <c r="B273" s="17"/>
      <c r="C273" s="17" t="s">
        <v>42</v>
      </c>
      <c r="D273" s="17"/>
      <c r="E273" s="13">
        <v>47985</v>
      </c>
      <c r="G273" s="1">
        <v>6051956</v>
      </c>
      <c r="I273" s="1">
        <v>135865</v>
      </c>
      <c r="K273" s="41">
        <f t="shared" si="30"/>
        <v>7275650</v>
      </c>
      <c r="M273" s="1">
        <v>13463471</v>
      </c>
      <c r="O273" s="41">
        <f t="shared" si="31"/>
        <v>1052380</v>
      </c>
      <c r="Q273" s="1">
        <f>326645+4949416</f>
        <v>5276061</v>
      </c>
      <c r="S273" s="1">
        <v>6328441</v>
      </c>
      <c r="U273" s="1">
        <f>102846+582+9780+1186051+46000+126266+9599</f>
        <v>1481124</v>
      </c>
      <c r="W273" s="1">
        <v>629497</v>
      </c>
      <c r="Y273" s="1">
        <v>5024409</v>
      </c>
      <c r="AA273" s="58">
        <f t="shared" si="32"/>
        <v>7135030</v>
      </c>
      <c r="AB273" s="1"/>
      <c r="AC273" s="1">
        <f t="shared" si="33"/>
        <v>0</v>
      </c>
    </row>
    <row r="274" spans="1:29">
      <c r="A274" s="17" t="s">
        <v>459</v>
      </c>
      <c r="B274" s="17"/>
      <c r="C274" s="17" t="s">
        <v>458</v>
      </c>
      <c r="D274" s="17"/>
      <c r="E274" s="13">
        <v>48264</v>
      </c>
      <c r="G274" s="1">
        <v>2008745</v>
      </c>
      <c r="I274" s="1">
        <v>44799</v>
      </c>
      <c r="K274" s="41">
        <f t="shared" si="30"/>
        <v>5662904</v>
      </c>
      <c r="M274" s="1">
        <v>7716448</v>
      </c>
      <c r="O274" s="41">
        <f t="shared" si="31"/>
        <v>1941436</v>
      </c>
      <c r="Q274" s="1">
        <f>143756+3500670</f>
        <v>3644426</v>
      </c>
      <c r="S274" s="1">
        <v>5585862</v>
      </c>
      <c r="U274" s="1">
        <f>31148+1320942+44799</f>
        <v>1396889</v>
      </c>
      <c r="W274" s="1">
        <v>0</v>
      </c>
      <c r="Y274" s="1">
        <v>733697</v>
      </c>
      <c r="AA274" s="58">
        <f t="shared" si="32"/>
        <v>2130586</v>
      </c>
      <c r="AB274" s="1"/>
      <c r="AC274" s="1">
        <f t="shared" si="33"/>
        <v>0</v>
      </c>
    </row>
    <row r="275" spans="1:29">
      <c r="A275" s="17" t="s">
        <v>606</v>
      </c>
      <c r="B275" s="17"/>
      <c r="C275" s="17" t="s">
        <v>64</v>
      </c>
      <c r="D275" s="17"/>
      <c r="E275" s="13">
        <v>50179</v>
      </c>
      <c r="G275" s="1">
        <v>2096040</v>
      </c>
      <c r="I275" s="1">
        <v>166991</v>
      </c>
      <c r="K275" s="41">
        <f t="shared" si="30"/>
        <v>3342456</v>
      </c>
      <c r="M275" s="1">
        <v>5605487</v>
      </c>
      <c r="O275" s="41">
        <f t="shared" ref="O275:O334" si="34">+S275-Q275</f>
        <v>743657</v>
      </c>
      <c r="Q275" s="1">
        <v>3278090</v>
      </c>
      <c r="S275" s="1">
        <v>4021747</v>
      </c>
      <c r="U275" s="1">
        <f>1850+47287+130985+33356+2650</f>
        <v>216128</v>
      </c>
      <c r="W275" s="1">
        <v>0</v>
      </c>
      <c r="Y275" s="1">
        <v>1367612</v>
      </c>
      <c r="AA275" s="58">
        <f t="shared" si="32"/>
        <v>1583740</v>
      </c>
      <c r="AB275" s="1"/>
      <c r="AC275" s="1">
        <f t="shared" ref="AC275:AC319" si="35">+G275+I275+K275-O275-Q275-Y275-W275-U275</f>
        <v>0</v>
      </c>
    </row>
    <row r="276" spans="1:29" hidden="1">
      <c r="A276" s="17" t="s">
        <v>316</v>
      </c>
      <c r="B276" s="17"/>
      <c r="C276" s="17" t="s">
        <v>24</v>
      </c>
      <c r="D276" s="17"/>
      <c r="E276" s="13">
        <v>46797</v>
      </c>
      <c r="K276" s="41">
        <f t="shared" ref="K276:K336" si="36">+M276-I276-G276</f>
        <v>0</v>
      </c>
      <c r="O276" s="41">
        <f t="shared" si="34"/>
        <v>0</v>
      </c>
      <c r="AA276" s="58">
        <f t="shared" ref="AA276:AA319" si="37">+Y276+W276++U276</f>
        <v>0</v>
      </c>
      <c r="AB276" s="1"/>
      <c r="AC276" s="1">
        <f t="shared" si="35"/>
        <v>0</v>
      </c>
    </row>
    <row r="277" spans="1:29">
      <c r="A277" s="17" t="s">
        <v>353</v>
      </c>
      <c r="B277" s="17"/>
      <c r="C277" s="17" t="s">
        <v>30</v>
      </c>
      <c r="D277" s="17"/>
      <c r="E277" s="13">
        <v>47191</v>
      </c>
      <c r="G277" s="1">
        <v>9418918</v>
      </c>
      <c r="I277" s="1">
        <v>0</v>
      </c>
      <c r="K277" s="41">
        <f t="shared" si="36"/>
        <v>24540280</v>
      </c>
      <c r="M277" s="1">
        <v>33959198</v>
      </c>
      <c r="O277" s="41">
        <f t="shared" si="34"/>
        <v>4555950</v>
      </c>
      <c r="Q277" s="1">
        <v>21192278</v>
      </c>
      <c r="S277" s="1">
        <v>25748228</v>
      </c>
      <c r="U277" s="1">
        <f>1185710+2506805</f>
        <v>3692515</v>
      </c>
      <c r="W277" s="1">
        <v>0</v>
      </c>
      <c r="Y277" s="1">
        <v>4518455</v>
      </c>
      <c r="AA277" s="58">
        <f t="shared" si="37"/>
        <v>8210970</v>
      </c>
      <c r="AB277" s="1"/>
      <c r="AC277" s="1">
        <f t="shared" si="35"/>
        <v>0</v>
      </c>
    </row>
    <row r="278" spans="1:29">
      <c r="A278" s="17" t="s">
        <v>535</v>
      </c>
      <c r="B278" s="17"/>
      <c r="C278" s="17" t="s">
        <v>56</v>
      </c>
      <c r="D278" s="17"/>
      <c r="E278" s="13">
        <v>44164</v>
      </c>
      <c r="G278" s="1">
        <v>17004646</v>
      </c>
      <c r="I278" s="1">
        <v>0</v>
      </c>
      <c r="K278" s="41">
        <f t="shared" si="36"/>
        <v>21901779</v>
      </c>
      <c r="M278" s="1">
        <v>38906425</v>
      </c>
      <c r="O278" s="41">
        <f t="shared" si="34"/>
        <v>5039818</v>
      </c>
      <c r="Q278" s="1">
        <v>17872146</v>
      </c>
      <c r="S278" s="1">
        <v>22911964</v>
      </c>
      <c r="U278" s="1">
        <f>354865+135318+3709672</f>
        <v>4199855</v>
      </c>
      <c r="W278" s="1">
        <v>0</v>
      </c>
      <c r="Y278" s="1">
        <v>11794606</v>
      </c>
      <c r="AA278" s="58">
        <f>+Y278+W278++U278</f>
        <v>15994461</v>
      </c>
      <c r="AB278" s="1"/>
      <c r="AC278" s="1">
        <f t="shared" si="35"/>
        <v>0</v>
      </c>
    </row>
    <row r="279" spans="1:29">
      <c r="A279" s="17" t="s">
        <v>385</v>
      </c>
      <c r="B279" s="17"/>
      <c r="C279" s="17" t="s">
        <v>383</v>
      </c>
      <c r="D279" s="17"/>
      <c r="E279" s="13">
        <v>44172</v>
      </c>
      <c r="G279" s="1">
        <v>2310086</v>
      </c>
      <c r="I279" s="1">
        <v>361</v>
      </c>
      <c r="K279" s="41">
        <f t="shared" si="36"/>
        <v>4420194</v>
      </c>
      <c r="M279" s="1">
        <v>6730641</v>
      </c>
      <c r="O279" s="41">
        <f t="shared" si="34"/>
        <v>2048808</v>
      </c>
      <c r="Q279" s="1">
        <v>3344362</v>
      </c>
      <c r="S279" s="1">
        <v>5393170</v>
      </c>
      <c r="U279" s="1">
        <f>437733+361+62951+68364</f>
        <v>569409</v>
      </c>
      <c r="W279" s="1">
        <v>0</v>
      </c>
      <c r="Y279" s="1">
        <v>768062</v>
      </c>
      <c r="AA279" s="58">
        <f t="shared" si="37"/>
        <v>1337471</v>
      </c>
      <c r="AB279" s="1"/>
      <c r="AC279" s="1">
        <f t="shared" si="35"/>
        <v>0</v>
      </c>
    </row>
    <row r="280" spans="1:29">
      <c r="A280" s="17" t="s">
        <v>499</v>
      </c>
      <c r="B280" s="17"/>
      <c r="C280" s="17" t="s">
        <v>50</v>
      </c>
      <c r="D280" s="17"/>
      <c r="E280" s="13">
        <v>44180</v>
      </c>
      <c r="G280" s="1">
        <f>5327125+7539184</f>
        <v>12866309</v>
      </c>
      <c r="I280" s="1">
        <v>0</v>
      </c>
      <c r="K280" s="41">
        <f t="shared" si="36"/>
        <v>49915527</v>
      </c>
      <c r="M280" s="1">
        <v>62781836</v>
      </c>
      <c r="O280" s="41">
        <f t="shared" si="34"/>
        <v>10401841</v>
      </c>
      <c r="Q280" s="1">
        <v>48715397</v>
      </c>
      <c r="S280" s="1">
        <v>59117238</v>
      </c>
      <c r="U280" s="1">
        <f>705634+263427+737690</f>
        <v>1706751</v>
      </c>
      <c r="W280" s="1">
        <v>0</v>
      </c>
      <c r="Y280" s="1">
        <v>1957847</v>
      </c>
      <c r="AA280" s="58">
        <f t="shared" si="37"/>
        <v>3664598</v>
      </c>
      <c r="AB280" s="1"/>
      <c r="AC280" s="1">
        <f t="shared" si="35"/>
        <v>0</v>
      </c>
    </row>
    <row r="281" spans="1:29">
      <c r="A281" s="17" t="s">
        <v>442</v>
      </c>
      <c r="B281" s="17"/>
      <c r="C281" s="17" t="s">
        <v>44</v>
      </c>
      <c r="D281" s="17"/>
      <c r="E281" s="13">
        <v>48165</v>
      </c>
      <c r="G281" s="1">
        <v>5699391</v>
      </c>
      <c r="I281" s="1">
        <v>0</v>
      </c>
      <c r="K281" s="41">
        <f t="shared" si="36"/>
        <v>5310089</v>
      </c>
      <c r="M281" s="1">
        <v>11009480</v>
      </c>
      <c r="O281" s="41">
        <f t="shared" si="34"/>
        <v>1667072</v>
      </c>
      <c r="Q281" s="1">
        <f>311636+4705200</f>
        <v>5016836</v>
      </c>
      <c r="S281" s="1">
        <v>6683908</v>
      </c>
      <c r="U281" s="1">
        <f>35075+266117+11997</f>
        <v>313189</v>
      </c>
      <c r="W281" s="1">
        <v>0</v>
      </c>
      <c r="Y281" s="1">
        <v>4012383</v>
      </c>
      <c r="AA281" s="58">
        <f t="shared" si="37"/>
        <v>4325572</v>
      </c>
      <c r="AB281" s="1"/>
      <c r="AC281" s="1">
        <f t="shared" si="35"/>
        <v>0</v>
      </c>
    </row>
    <row r="282" spans="1:29">
      <c r="A282" s="17" t="s">
        <v>633</v>
      </c>
      <c r="B282" s="17"/>
      <c r="C282" s="17" t="s">
        <v>69</v>
      </c>
      <c r="D282" s="17"/>
      <c r="E282" s="13">
        <v>50435</v>
      </c>
      <c r="G282" s="1">
        <f>8163036+45100</f>
        <v>8208136</v>
      </c>
      <c r="I282" s="1">
        <v>0</v>
      </c>
      <c r="K282" s="41">
        <f t="shared" si="36"/>
        <v>23564967</v>
      </c>
      <c r="M282" s="1">
        <v>31773103</v>
      </c>
      <c r="O282" s="41">
        <f t="shared" si="34"/>
        <v>4724355</v>
      </c>
      <c r="Q282" s="1">
        <v>22187147</v>
      </c>
      <c r="S282" s="1">
        <v>26911502</v>
      </c>
      <c r="U282" s="1">
        <f>225965+906251</f>
        <v>1132216</v>
      </c>
      <c r="W282" s="1">
        <v>0</v>
      </c>
      <c r="Y282" s="1">
        <v>3729385</v>
      </c>
      <c r="AA282" s="58">
        <f t="shared" si="37"/>
        <v>4861601</v>
      </c>
      <c r="AB282" s="1"/>
      <c r="AC282" s="1">
        <f t="shared" si="35"/>
        <v>0</v>
      </c>
    </row>
    <row r="283" spans="1:29" hidden="1">
      <c r="A283" s="17" t="s">
        <v>862</v>
      </c>
      <c r="B283" s="17"/>
      <c r="C283" s="17" t="s">
        <v>41</v>
      </c>
      <c r="D283" s="17"/>
      <c r="E283" s="13">
        <v>47878</v>
      </c>
      <c r="K283" s="41">
        <f t="shared" si="36"/>
        <v>0</v>
      </c>
      <c r="O283" s="41">
        <f t="shared" si="34"/>
        <v>0</v>
      </c>
      <c r="AA283" s="58">
        <f t="shared" si="37"/>
        <v>0</v>
      </c>
      <c r="AB283" s="1"/>
      <c r="AC283" s="1">
        <f t="shared" si="35"/>
        <v>0</v>
      </c>
    </row>
    <row r="284" spans="1:29">
      <c r="A284" s="17" t="s">
        <v>607</v>
      </c>
      <c r="B284" s="17"/>
      <c r="C284" s="17" t="s">
        <v>64</v>
      </c>
      <c r="D284" s="17"/>
      <c r="E284" s="13">
        <v>50245</v>
      </c>
      <c r="G284" s="1">
        <v>2627680</v>
      </c>
      <c r="I284" s="1">
        <v>46436</v>
      </c>
      <c r="K284" s="41">
        <f t="shared" si="36"/>
        <v>4415603</v>
      </c>
      <c r="M284" s="1">
        <v>7089719</v>
      </c>
      <c r="O284" s="41">
        <f t="shared" si="34"/>
        <v>1537674</v>
      </c>
      <c r="Q284" s="1">
        <f>1249707+2944244</f>
        <v>4193951</v>
      </c>
      <c r="S284" s="1">
        <v>5731625</v>
      </c>
      <c r="U284" s="1">
        <f>9442+6379+25687+32466+46436</f>
        <v>120410</v>
      </c>
      <c r="W284" s="1">
        <v>0</v>
      </c>
      <c r="Y284" s="1">
        <v>1237684</v>
      </c>
      <c r="AA284" s="58">
        <f t="shared" si="37"/>
        <v>1358094</v>
      </c>
      <c r="AB284" s="1"/>
      <c r="AC284" s="1">
        <f t="shared" si="35"/>
        <v>0</v>
      </c>
    </row>
    <row r="285" spans="1:29">
      <c r="A285" s="17" t="s">
        <v>577</v>
      </c>
      <c r="B285" s="17"/>
      <c r="C285" s="17" t="s">
        <v>62</v>
      </c>
      <c r="D285" s="17"/>
      <c r="E285" s="13">
        <v>49866</v>
      </c>
      <c r="G285" s="1">
        <f>7210714+95898</f>
        <v>7306612</v>
      </c>
      <c r="I285" s="1">
        <v>0</v>
      </c>
      <c r="K285" s="41">
        <f t="shared" si="36"/>
        <v>13355308</v>
      </c>
      <c r="M285" s="1">
        <v>20661920</v>
      </c>
      <c r="O285" s="41">
        <f t="shared" si="34"/>
        <v>4415635</v>
      </c>
      <c r="Q285" s="1">
        <v>12866827</v>
      </c>
      <c r="S285" s="1">
        <v>17282462</v>
      </c>
      <c r="U285" s="1">
        <f>489395+444680+95898</f>
        <v>1029973</v>
      </c>
      <c r="W285" s="1">
        <v>0</v>
      </c>
      <c r="Y285" s="1">
        <v>2349485</v>
      </c>
      <c r="AA285" s="58">
        <f t="shared" si="37"/>
        <v>3379458</v>
      </c>
      <c r="AB285" s="1"/>
      <c r="AC285" s="1">
        <f t="shared" si="35"/>
        <v>0</v>
      </c>
    </row>
    <row r="286" spans="1:29" hidden="1">
      <c r="A286" s="12" t="s">
        <v>939</v>
      </c>
      <c r="B286" s="17"/>
      <c r="C286" s="17" t="s">
        <v>72</v>
      </c>
      <c r="D286" s="17"/>
      <c r="E286" s="13">
        <v>50690</v>
      </c>
      <c r="K286" s="41">
        <f t="shared" si="36"/>
        <v>0</v>
      </c>
      <c r="O286" s="41">
        <f t="shared" si="34"/>
        <v>0</v>
      </c>
      <c r="AA286" s="58">
        <f t="shared" si="37"/>
        <v>0</v>
      </c>
      <c r="AB286" s="1"/>
      <c r="AC286" s="1">
        <f t="shared" si="35"/>
        <v>0</v>
      </c>
    </row>
    <row r="287" spans="1:29">
      <c r="A287" s="17" t="s">
        <v>608</v>
      </c>
      <c r="B287" s="17"/>
      <c r="C287" s="17" t="s">
        <v>64</v>
      </c>
      <c r="D287" s="17"/>
      <c r="E287" s="13">
        <v>50187</v>
      </c>
      <c r="G287" s="1">
        <v>330472</v>
      </c>
      <c r="I287" s="1">
        <v>284944</v>
      </c>
      <c r="K287" s="41">
        <f t="shared" si="36"/>
        <v>7472434</v>
      </c>
      <c r="M287" s="1">
        <v>8087850</v>
      </c>
      <c r="O287" s="41">
        <f t="shared" si="34"/>
        <v>1384434</v>
      </c>
      <c r="Q287" s="1">
        <v>6407846</v>
      </c>
      <c r="S287" s="1">
        <v>7792280</v>
      </c>
      <c r="U287" s="1">
        <f>147983+950000+284944</f>
        <v>1382927</v>
      </c>
      <c r="W287" s="1">
        <v>0</v>
      </c>
      <c r="Y287" s="1">
        <v>-1087357</v>
      </c>
      <c r="AA287" s="58">
        <f t="shared" si="37"/>
        <v>295570</v>
      </c>
      <c r="AB287" s="1"/>
      <c r="AC287" s="1">
        <f t="shared" si="35"/>
        <v>0</v>
      </c>
    </row>
    <row r="288" spans="1:29">
      <c r="A288" s="17" t="s">
        <v>293</v>
      </c>
      <c r="B288" s="17"/>
      <c r="C288" s="17" t="s">
        <v>20</v>
      </c>
      <c r="D288" s="17"/>
      <c r="E288" s="13">
        <v>44198</v>
      </c>
      <c r="G288" s="1">
        <v>13196739</v>
      </c>
      <c r="I288" s="1">
        <v>0</v>
      </c>
      <c r="K288" s="41">
        <f t="shared" si="36"/>
        <v>40342606</v>
      </c>
      <c r="M288" s="1">
        <v>53539345</v>
      </c>
      <c r="O288" s="41">
        <f t="shared" si="34"/>
        <v>9731544</v>
      </c>
      <c r="Q288" s="1">
        <f>3133386+29319937</f>
        <v>32453323</v>
      </c>
      <c r="S288" s="1">
        <v>42184867</v>
      </c>
      <c r="U288" s="1">
        <f>90075+4767732</f>
        <v>4857807</v>
      </c>
      <c r="W288" s="1">
        <v>0</v>
      </c>
      <c r="Y288" s="1">
        <v>6496671</v>
      </c>
      <c r="AA288" s="58">
        <f t="shared" si="37"/>
        <v>11354478</v>
      </c>
      <c r="AB288" s="1"/>
      <c r="AC288" s="1">
        <f t="shared" si="35"/>
        <v>0</v>
      </c>
    </row>
    <row r="289" spans="1:29">
      <c r="A289" s="17" t="s">
        <v>762</v>
      </c>
      <c r="B289" s="17"/>
      <c r="C289" s="17" t="s">
        <v>42</v>
      </c>
      <c r="D289" s="17"/>
      <c r="E289" s="13">
        <v>47993</v>
      </c>
      <c r="G289" s="1">
        <f>634972+4173723</f>
        <v>4808695</v>
      </c>
      <c r="I289" s="1">
        <v>0</v>
      </c>
      <c r="K289" s="41">
        <f t="shared" si="36"/>
        <v>9950187</v>
      </c>
      <c r="M289" s="1">
        <v>14758882</v>
      </c>
      <c r="O289" s="41">
        <f t="shared" si="34"/>
        <v>2206866</v>
      </c>
      <c r="Q289" s="1">
        <f>8341252+11622</f>
        <v>8352874</v>
      </c>
      <c r="S289" s="1">
        <v>10559740</v>
      </c>
      <c r="U289" s="1">
        <f>49408+205476+48727+1279560</f>
        <v>1583171</v>
      </c>
      <c r="W289" s="1">
        <v>204164</v>
      </c>
      <c r="Y289" s="1">
        <v>2411807</v>
      </c>
      <c r="AA289" s="58">
        <f t="shared" si="37"/>
        <v>4199142</v>
      </c>
      <c r="AB289" s="1"/>
      <c r="AC289" s="1">
        <f t="shared" si="35"/>
        <v>0</v>
      </c>
    </row>
    <row r="290" spans="1:29">
      <c r="A290" s="17" t="s">
        <v>230</v>
      </c>
      <c r="B290" s="17"/>
      <c r="C290" s="17" t="s">
        <v>227</v>
      </c>
      <c r="D290" s="17"/>
      <c r="E290" s="13">
        <v>46110</v>
      </c>
      <c r="G290" s="1">
        <v>38484471</v>
      </c>
      <c r="I290" s="1">
        <v>1568380</v>
      </c>
      <c r="K290" s="41">
        <f t="shared" si="36"/>
        <v>94537636</v>
      </c>
      <c r="M290" s="1">
        <v>134590487</v>
      </c>
      <c r="O290" s="41">
        <f t="shared" si="34"/>
        <v>21406766</v>
      </c>
      <c r="Q290" s="1">
        <v>88088103</v>
      </c>
      <c r="S290" s="1">
        <v>109494869</v>
      </c>
      <c r="U290" s="1">
        <f>917320+3188134+1568380</f>
        <v>5673834</v>
      </c>
      <c r="W290" s="1">
        <v>0</v>
      </c>
      <c r="Y290" s="1">
        <v>19421784</v>
      </c>
      <c r="AA290" s="58">
        <f t="shared" si="37"/>
        <v>25095618</v>
      </c>
      <c r="AB290" s="1"/>
      <c r="AC290" s="1">
        <f t="shared" si="35"/>
        <v>0</v>
      </c>
    </row>
    <row r="291" spans="1:29">
      <c r="A291" s="17" t="s">
        <v>230</v>
      </c>
      <c r="B291" s="17"/>
      <c r="C291" s="17" t="s">
        <v>79</v>
      </c>
      <c r="D291" s="17"/>
      <c r="E291" s="13">
        <v>49569</v>
      </c>
      <c r="G291" s="1">
        <v>859945</v>
      </c>
      <c r="I291" s="1">
        <v>71486</v>
      </c>
      <c r="K291" s="41">
        <f t="shared" si="36"/>
        <v>3137332</v>
      </c>
      <c r="M291" s="1">
        <v>4068763</v>
      </c>
      <c r="O291" s="41">
        <f t="shared" si="34"/>
        <v>1231928</v>
      </c>
      <c r="Q291" s="1">
        <f>1509797+199701</f>
        <v>1709498</v>
      </c>
      <c r="S291" s="1">
        <v>2941426</v>
      </c>
      <c r="U291" s="1">
        <f>23202+36057+772415+5000+71486</f>
        <v>908160</v>
      </c>
      <c r="W291" s="1">
        <v>0</v>
      </c>
      <c r="Y291" s="1">
        <v>219177</v>
      </c>
      <c r="AA291" s="58">
        <f t="shared" si="37"/>
        <v>1127337</v>
      </c>
      <c r="AB291" s="1"/>
      <c r="AC291" s="1">
        <f t="shared" si="35"/>
        <v>0</v>
      </c>
    </row>
    <row r="292" spans="1:29" ht="11.25" customHeight="1">
      <c r="A292" s="17" t="s">
        <v>325</v>
      </c>
      <c r="B292" s="17"/>
      <c r="C292" s="17" t="s">
        <v>25</v>
      </c>
      <c r="D292" s="17"/>
      <c r="E292" s="13">
        <v>44206</v>
      </c>
      <c r="G292" s="1">
        <f>19677955+654</f>
        <v>19678609</v>
      </c>
      <c r="I292" s="1">
        <v>0</v>
      </c>
      <c r="K292" s="41">
        <f t="shared" si="36"/>
        <v>23924137</v>
      </c>
      <c r="M292" s="1">
        <v>43602746</v>
      </c>
      <c r="O292" s="41">
        <f t="shared" si="34"/>
        <v>6515616</v>
      </c>
      <c r="Q292" s="1">
        <v>18786338</v>
      </c>
      <c r="S292" s="1">
        <v>25301954</v>
      </c>
      <c r="U292" s="1">
        <f>1520566+1644031</f>
        <v>3164597</v>
      </c>
      <c r="W292" s="1">
        <v>0</v>
      </c>
      <c r="Y292" s="1">
        <v>15136195</v>
      </c>
      <c r="AA292" s="58">
        <f t="shared" si="37"/>
        <v>18300792</v>
      </c>
      <c r="AB292" s="1"/>
      <c r="AC292" s="1">
        <f t="shared" si="35"/>
        <v>0</v>
      </c>
    </row>
    <row r="293" spans="1:29" hidden="1">
      <c r="A293" s="17" t="s">
        <v>732</v>
      </c>
      <c r="B293" s="17"/>
      <c r="C293" s="17" t="s">
        <v>69</v>
      </c>
      <c r="D293" s="17"/>
      <c r="E293" s="13">
        <v>44214</v>
      </c>
      <c r="K293" s="41">
        <f t="shared" si="36"/>
        <v>0</v>
      </c>
      <c r="O293" s="41">
        <f t="shared" si="34"/>
        <v>0</v>
      </c>
      <c r="AA293" s="58">
        <f t="shared" si="37"/>
        <v>0</v>
      </c>
      <c r="AB293" s="1"/>
      <c r="AC293" s="1">
        <f t="shared" si="35"/>
        <v>0</v>
      </c>
    </row>
    <row r="294" spans="1:29">
      <c r="A294" s="17" t="s">
        <v>354</v>
      </c>
      <c r="B294" s="17"/>
      <c r="C294" s="17" t="s">
        <v>30</v>
      </c>
      <c r="D294" s="17"/>
      <c r="E294" s="13">
        <v>47209</v>
      </c>
      <c r="G294" s="1">
        <v>0</v>
      </c>
      <c r="I294" s="1">
        <v>41035</v>
      </c>
      <c r="K294" s="41">
        <f t="shared" si="36"/>
        <v>2033369</v>
      </c>
      <c r="M294" s="1">
        <v>2074404</v>
      </c>
      <c r="O294" s="41">
        <f t="shared" si="34"/>
        <v>1002203</v>
      </c>
      <c r="Q294" s="1">
        <v>1773991</v>
      </c>
      <c r="S294" s="1">
        <v>2776194</v>
      </c>
      <c r="U294" s="1">
        <f>1207+170308+376987+16022+511939+10268</f>
        <v>1086731</v>
      </c>
      <c r="W294" s="1">
        <v>0</v>
      </c>
      <c r="Y294" s="1">
        <v>-1788521</v>
      </c>
      <c r="AA294" s="58">
        <f t="shared" si="37"/>
        <v>-701790</v>
      </c>
      <c r="AB294" s="1"/>
      <c r="AC294" s="1">
        <f t="shared" si="35"/>
        <v>0</v>
      </c>
    </row>
    <row r="295" spans="1:29" hidden="1">
      <c r="A295" s="12" t="s">
        <v>941</v>
      </c>
      <c r="B295" s="17"/>
      <c r="C295" s="17" t="s">
        <v>114</v>
      </c>
      <c r="D295" s="17"/>
      <c r="E295" s="13"/>
      <c r="K295" s="41">
        <f t="shared" ref="K295" si="38">+M295-I295-G295</f>
        <v>0</v>
      </c>
      <c r="O295" s="41">
        <f t="shared" ref="O295" si="39">+S295-Q295</f>
        <v>0</v>
      </c>
      <c r="AA295" s="58">
        <f t="shared" ref="AA295" si="40">+Y295+W295++U295</f>
        <v>0</v>
      </c>
      <c r="AB295" s="1"/>
      <c r="AC295" s="1">
        <f t="shared" ref="AC295" si="41">+G295+I295+K295-O295-Q295-Y295-W295-U295</f>
        <v>0</v>
      </c>
    </row>
    <row r="296" spans="1:29" hidden="1">
      <c r="A296" s="17" t="s">
        <v>843</v>
      </c>
      <c r="B296" s="17"/>
      <c r="C296" s="17" t="s">
        <v>542</v>
      </c>
      <c r="D296" s="17"/>
      <c r="E296" s="13">
        <v>49353</v>
      </c>
      <c r="K296" s="41">
        <f t="shared" si="36"/>
        <v>0</v>
      </c>
      <c r="O296" s="41">
        <f t="shared" si="34"/>
        <v>0</v>
      </c>
      <c r="AA296" s="58">
        <f t="shared" si="37"/>
        <v>0</v>
      </c>
      <c r="AB296" s="1"/>
      <c r="AC296" s="1">
        <f t="shared" si="35"/>
        <v>0</v>
      </c>
    </row>
    <row r="297" spans="1:29" hidden="1">
      <c r="A297" s="12" t="s">
        <v>942</v>
      </c>
      <c r="B297" s="17"/>
      <c r="C297" s="17" t="s">
        <v>112</v>
      </c>
      <c r="D297" s="17"/>
      <c r="E297" s="13">
        <v>49437</v>
      </c>
      <c r="K297" s="41">
        <f t="shared" si="36"/>
        <v>0</v>
      </c>
      <c r="O297" s="41">
        <f t="shared" si="34"/>
        <v>0</v>
      </c>
      <c r="AA297" s="58">
        <f t="shared" si="37"/>
        <v>0</v>
      </c>
      <c r="AB297" s="1"/>
      <c r="AC297" s="1">
        <f t="shared" si="35"/>
        <v>0</v>
      </c>
    </row>
    <row r="298" spans="1:29">
      <c r="A298" s="17" t="s">
        <v>391</v>
      </c>
      <c r="B298" s="17"/>
      <c r="C298" s="17" t="s">
        <v>34</v>
      </c>
      <c r="D298" s="17"/>
      <c r="E298" s="13">
        <v>47589</v>
      </c>
      <c r="G298" s="1">
        <v>4694360</v>
      </c>
      <c r="I298" s="1">
        <v>0</v>
      </c>
      <c r="K298" s="41">
        <f t="shared" si="36"/>
        <v>5220487</v>
      </c>
      <c r="M298" s="1">
        <v>9914847</v>
      </c>
      <c r="O298" s="41">
        <f t="shared" si="34"/>
        <v>1171007</v>
      </c>
      <c r="Q298" s="1">
        <v>4089286</v>
      </c>
      <c r="S298" s="1">
        <v>5260293</v>
      </c>
      <c r="U298" s="1">
        <f>236176+295550</f>
        <v>531726</v>
      </c>
      <c r="W298" s="1">
        <v>0</v>
      </c>
      <c r="Y298" s="1">
        <v>4122828</v>
      </c>
      <c r="AA298" s="58">
        <f t="shared" si="37"/>
        <v>4654554</v>
      </c>
      <c r="AB298" s="1"/>
      <c r="AC298" s="1">
        <f t="shared" si="35"/>
        <v>0</v>
      </c>
    </row>
    <row r="299" spans="1:29">
      <c r="A299" s="17" t="s">
        <v>609</v>
      </c>
      <c r="B299" s="17"/>
      <c r="C299" s="17" t="s">
        <v>64</v>
      </c>
      <c r="D299" s="17"/>
      <c r="E299" s="13">
        <v>50195</v>
      </c>
      <c r="G299" s="1">
        <v>513031</v>
      </c>
      <c r="I299" s="1">
        <v>461464</v>
      </c>
      <c r="K299" s="41">
        <f t="shared" si="36"/>
        <v>9865149</v>
      </c>
      <c r="M299" s="1">
        <v>10839644</v>
      </c>
      <c r="O299" s="41">
        <f t="shared" si="34"/>
        <v>5349879</v>
      </c>
      <c r="Q299" s="1">
        <v>8730750</v>
      </c>
      <c r="S299" s="1">
        <v>14080629</v>
      </c>
      <c r="U299" s="1">
        <f>205984+12608+123829+39581+421883</f>
        <v>803885</v>
      </c>
      <c r="W299" s="1">
        <v>0</v>
      </c>
      <c r="Y299" s="1">
        <v>-4044870</v>
      </c>
      <c r="AA299" s="58">
        <f t="shared" si="37"/>
        <v>-3240985</v>
      </c>
      <c r="AB299" s="1"/>
      <c r="AC299" s="1">
        <f t="shared" si="35"/>
        <v>0</v>
      </c>
    </row>
    <row r="300" spans="1:29">
      <c r="A300" s="17" t="s">
        <v>768</v>
      </c>
      <c r="B300" s="17"/>
      <c r="C300" s="17" t="s">
        <v>25</v>
      </c>
      <c r="D300" s="17"/>
      <c r="E300" s="13">
        <v>46888</v>
      </c>
      <c r="G300" s="1">
        <v>4512139</v>
      </c>
      <c r="I300" s="1">
        <v>0</v>
      </c>
      <c r="K300" s="41">
        <f t="shared" si="36"/>
        <v>3899634</v>
      </c>
      <c r="M300" s="1">
        <v>8411773</v>
      </c>
      <c r="O300" s="41">
        <f t="shared" si="34"/>
        <v>1351328</v>
      </c>
      <c r="Q300" s="1">
        <v>2724274</v>
      </c>
      <c r="S300" s="1">
        <v>4075602</v>
      </c>
      <c r="U300" s="1">
        <f>20417+322105</f>
        <v>342522</v>
      </c>
      <c r="W300" s="1">
        <v>0</v>
      </c>
      <c r="Y300" s="1">
        <v>3993649</v>
      </c>
      <c r="AA300" s="58">
        <f t="shared" si="37"/>
        <v>4336171</v>
      </c>
      <c r="AB300" s="1"/>
      <c r="AC300" s="1">
        <f t="shared" si="35"/>
        <v>0</v>
      </c>
    </row>
    <row r="301" spans="1:29">
      <c r="A301" s="17" t="s">
        <v>381</v>
      </c>
      <c r="B301" s="17"/>
      <c r="C301" s="17" t="s">
        <v>33</v>
      </c>
      <c r="D301" s="17"/>
      <c r="E301" s="13">
        <v>47449</v>
      </c>
      <c r="G301" s="1">
        <v>4205269</v>
      </c>
      <c r="I301" s="1">
        <v>42620</v>
      </c>
      <c r="K301" s="41">
        <f t="shared" si="36"/>
        <v>4747297</v>
      </c>
      <c r="M301" s="1">
        <v>8995186</v>
      </c>
      <c r="O301" s="41">
        <f t="shared" si="34"/>
        <v>1357288</v>
      </c>
      <c r="Q301" s="1">
        <v>3871828</v>
      </c>
      <c r="S301" s="1">
        <v>5229116</v>
      </c>
      <c r="U301" s="1">
        <f>383000+42620+227698</f>
        <v>653318</v>
      </c>
      <c r="W301" s="1">
        <v>0</v>
      </c>
      <c r="Y301" s="1">
        <v>3112752</v>
      </c>
      <c r="AA301" s="58">
        <f t="shared" si="37"/>
        <v>3766070</v>
      </c>
      <c r="AB301" s="1"/>
      <c r="AC301" s="1">
        <f t="shared" si="35"/>
        <v>0</v>
      </c>
    </row>
    <row r="302" spans="1:29">
      <c r="A302" s="17" t="s">
        <v>429</v>
      </c>
      <c r="B302" s="17"/>
      <c r="C302" s="17" t="s">
        <v>42</v>
      </c>
      <c r="D302" s="17"/>
      <c r="E302" s="13">
        <v>48009</v>
      </c>
      <c r="G302" s="1">
        <v>2085298</v>
      </c>
      <c r="I302" s="1">
        <v>0</v>
      </c>
      <c r="K302" s="41">
        <f t="shared" si="36"/>
        <v>16277094</v>
      </c>
      <c r="M302" s="1">
        <v>18362392</v>
      </c>
      <c r="O302" s="41">
        <f t="shared" si="34"/>
        <v>3125073</v>
      </c>
      <c r="Q302" s="1">
        <v>11651498</v>
      </c>
      <c r="S302" s="1">
        <v>14776571</v>
      </c>
      <c r="U302" s="1">
        <f>32801+4276395</f>
        <v>4309196</v>
      </c>
      <c r="W302" s="1">
        <v>0</v>
      </c>
      <c r="Y302" s="1">
        <v>-723375</v>
      </c>
      <c r="AA302" s="58">
        <f t="shared" si="37"/>
        <v>3585821</v>
      </c>
      <c r="AB302" s="1"/>
      <c r="AC302" s="1">
        <f t="shared" si="35"/>
        <v>0</v>
      </c>
    </row>
    <row r="303" spans="1:29">
      <c r="A303" s="17" t="s">
        <v>430</v>
      </c>
      <c r="B303" s="17"/>
      <c r="C303" s="17" t="s">
        <v>42</v>
      </c>
      <c r="D303" s="17"/>
      <c r="E303" s="13">
        <v>48017</v>
      </c>
      <c r="G303" s="1">
        <v>5862990</v>
      </c>
      <c r="I303" s="1">
        <v>14784</v>
      </c>
      <c r="K303" s="41">
        <f t="shared" si="36"/>
        <v>4968810</v>
      </c>
      <c r="M303" s="1">
        <v>10846584</v>
      </c>
      <c r="O303" s="41">
        <f t="shared" si="34"/>
        <v>1724803</v>
      </c>
      <c r="Q303" s="1">
        <v>3505057</v>
      </c>
      <c r="S303" s="1">
        <v>5229860</v>
      </c>
      <c r="U303" s="1">
        <f>182323+256841+581390+13759+1025</f>
        <v>1035338</v>
      </c>
      <c r="W303" s="1">
        <v>0</v>
      </c>
      <c r="Y303" s="1">
        <v>4581386</v>
      </c>
      <c r="AA303" s="58">
        <f t="shared" si="37"/>
        <v>5616724</v>
      </c>
      <c r="AB303" s="1"/>
      <c r="AC303" s="1">
        <f t="shared" si="35"/>
        <v>0</v>
      </c>
    </row>
    <row r="304" spans="1:29" hidden="1">
      <c r="A304" s="12" t="s">
        <v>845</v>
      </c>
      <c r="B304" s="12"/>
      <c r="C304" s="12" t="s">
        <v>10</v>
      </c>
      <c r="D304" s="17"/>
      <c r="E304" s="13"/>
      <c r="K304" s="41">
        <f t="shared" si="36"/>
        <v>0</v>
      </c>
      <c r="O304" s="41">
        <f t="shared" si="34"/>
        <v>0</v>
      </c>
      <c r="AA304" s="58">
        <f t="shared" si="37"/>
        <v>0</v>
      </c>
      <c r="AB304" s="1"/>
      <c r="AC304" s="1">
        <f t="shared" si="35"/>
        <v>0</v>
      </c>
    </row>
    <row r="305" spans="1:29" s="16" customFormat="1">
      <c r="A305" s="14" t="s">
        <v>628</v>
      </c>
      <c r="B305" s="14"/>
      <c r="C305" s="14" t="s">
        <v>67</v>
      </c>
      <c r="D305" s="14"/>
      <c r="E305" s="14">
        <v>50369</v>
      </c>
      <c r="G305" s="1">
        <v>9256191</v>
      </c>
      <c r="H305" s="1"/>
      <c r="I305" s="1">
        <v>8324</v>
      </c>
      <c r="J305" s="1"/>
      <c r="K305" s="41">
        <f t="shared" si="36"/>
        <v>2560760</v>
      </c>
      <c r="L305" s="1"/>
      <c r="M305" s="1">
        <v>11825275</v>
      </c>
      <c r="N305" s="1"/>
      <c r="O305" s="41">
        <f t="shared" si="34"/>
        <v>892475</v>
      </c>
      <c r="P305" s="1"/>
      <c r="Q305" s="1">
        <f>551383+1849022</f>
        <v>2400405</v>
      </c>
      <c r="R305" s="1"/>
      <c r="S305" s="1">
        <v>3292880</v>
      </c>
      <c r="T305" s="1"/>
      <c r="U305" s="1">
        <f>1778+11089+145027+8324</f>
        <v>166218</v>
      </c>
      <c r="V305" s="1"/>
      <c r="W305" s="1">
        <v>0</v>
      </c>
      <c r="X305" s="1"/>
      <c r="Y305" s="1">
        <v>8366177</v>
      </c>
      <c r="Z305" s="1"/>
      <c r="AA305" s="58">
        <f t="shared" si="37"/>
        <v>8532395</v>
      </c>
      <c r="AC305" s="1">
        <f t="shared" si="35"/>
        <v>0</v>
      </c>
    </row>
    <row r="306" spans="1:29">
      <c r="A306" s="17" t="s">
        <v>268</v>
      </c>
      <c r="B306" s="17"/>
      <c r="C306" s="17" t="s">
        <v>114</v>
      </c>
      <c r="D306" s="17"/>
      <c r="E306" s="13">
        <v>45450</v>
      </c>
      <c r="G306" s="1">
        <v>3896014</v>
      </c>
      <c r="I306" s="1">
        <v>0</v>
      </c>
      <c r="K306" s="41">
        <f t="shared" si="36"/>
        <v>1586812</v>
      </c>
      <c r="M306" s="1">
        <v>5482826</v>
      </c>
      <c r="O306" s="41">
        <f t="shared" si="34"/>
        <v>817807</v>
      </c>
      <c r="Q306" s="1">
        <v>1421748</v>
      </c>
      <c r="S306" s="1">
        <v>2239555</v>
      </c>
      <c r="U306" s="1">
        <f>16911+73012</f>
        <v>89923</v>
      </c>
      <c r="W306" s="1">
        <v>0</v>
      </c>
      <c r="Y306" s="1">
        <v>3153348</v>
      </c>
      <c r="AA306" s="58">
        <f t="shared" si="37"/>
        <v>3243271</v>
      </c>
      <c r="AB306" s="1"/>
      <c r="AC306" s="1">
        <f t="shared" si="35"/>
        <v>0</v>
      </c>
    </row>
    <row r="307" spans="1:29">
      <c r="A307" s="17" t="s">
        <v>634</v>
      </c>
      <c r="B307" s="17"/>
      <c r="C307" s="17" t="s">
        <v>69</v>
      </c>
      <c r="D307" s="17"/>
      <c r="E307" s="13">
        <v>50443</v>
      </c>
      <c r="G307" s="1">
        <v>0</v>
      </c>
      <c r="I307" s="1">
        <v>373103</v>
      </c>
      <c r="K307" s="41">
        <f t="shared" si="36"/>
        <v>18021139</v>
      </c>
      <c r="M307" s="1">
        <v>18394242</v>
      </c>
      <c r="O307" s="41">
        <f t="shared" si="34"/>
        <v>6153658</v>
      </c>
      <c r="Q307" s="1">
        <v>17342031</v>
      </c>
      <c r="S307" s="1">
        <v>23495689</v>
      </c>
      <c r="U307" s="1">
        <f>196175+600021+373103</f>
        <v>1169299</v>
      </c>
      <c r="W307" s="1">
        <v>0</v>
      </c>
      <c r="Y307" s="1">
        <v>-6270746</v>
      </c>
      <c r="AA307" s="58">
        <f t="shared" si="37"/>
        <v>-5101447</v>
      </c>
      <c r="AB307" s="1"/>
      <c r="AC307" s="1">
        <f t="shared" si="35"/>
        <v>0</v>
      </c>
    </row>
    <row r="308" spans="1:29" hidden="1">
      <c r="A308" s="17" t="s">
        <v>943</v>
      </c>
      <c r="B308" s="17"/>
      <c r="C308" s="17" t="s">
        <v>32</v>
      </c>
      <c r="D308" s="17"/>
      <c r="E308" s="13">
        <v>44230</v>
      </c>
      <c r="K308" s="41">
        <f t="shared" si="36"/>
        <v>0</v>
      </c>
      <c r="O308" s="41">
        <f t="shared" si="34"/>
        <v>0</v>
      </c>
      <c r="AA308" s="58">
        <f t="shared" si="37"/>
        <v>0</v>
      </c>
      <c r="AB308" s="1"/>
      <c r="AC308" s="1">
        <f t="shared" si="35"/>
        <v>0</v>
      </c>
    </row>
    <row r="309" spans="1:29">
      <c r="A309" s="17" t="s">
        <v>526</v>
      </c>
      <c r="B309" s="17"/>
      <c r="C309" s="17" t="s">
        <v>54</v>
      </c>
      <c r="D309" s="17"/>
      <c r="E309" s="13">
        <v>49080</v>
      </c>
      <c r="G309" s="1">
        <f>5257789+3040488</f>
        <v>8298277</v>
      </c>
      <c r="I309" s="1">
        <v>170623</v>
      </c>
      <c r="K309" s="41">
        <f t="shared" si="36"/>
        <v>7841578</v>
      </c>
      <c r="M309" s="1">
        <v>16310478</v>
      </c>
      <c r="O309" s="41">
        <f t="shared" si="34"/>
        <v>2120108</v>
      </c>
      <c r="Q309" s="1">
        <f>376603+5876648</f>
        <v>6253251</v>
      </c>
      <c r="S309" s="1">
        <v>8373359</v>
      </c>
      <c r="U309" s="1">
        <f>38576+659241+170623</f>
        <v>868440</v>
      </c>
      <c r="W309" s="1">
        <v>0</v>
      </c>
      <c r="Y309" s="1">
        <v>7068679</v>
      </c>
      <c r="AA309" s="58">
        <f t="shared" si="37"/>
        <v>7937119</v>
      </c>
      <c r="AB309" s="1"/>
      <c r="AC309" s="1">
        <f t="shared" si="35"/>
        <v>0</v>
      </c>
    </row>
    <row r="310" spans="1:29">
      <c r="A310" s="17" t="s">
        <v>400</v>
      </c>
      <c r="B310" s="17"/>
      <c r="C310" s="17" t="s">
        <v>35</v>
      </c>
      <c r="D310" s="17"/>
      <c r="E310" s="13">
        <v>44248</v>
      </c>
      <c r="G310" s="1">
        <f>12771+6935380</f>
        <v>6948151</v>
      </c>
      <c r="I310" s="1">
        <v>362667</v>
      </c>
      <c r="K310" s="41">
        <f t="shared" si="36"/>
        <v>11083950</v>
      </c>
      <c r="M310" s="1">
        <v>18394768</v>
      </c>
      <c r="O310" s="41">
        <f t="shared" si="34"/>
        <v>4061164</v>
      </c>
      <c r="Q310" s="1">
        <f>8904720+11591</f>
        <v>8916311</v>
      </c>
      <c r="S310" s="1">
        <v>12977475</v>
      </c>
      <c r="U310" s="1">
        <f>335499+12249+125565+1514097+362667</f>
        <v>2350077</v>
      </c>
      <c r="W310" s="1">
        <v>0</v>
      </c>
      <c r="Y310" s="1">
        <v>3067216</v>
      </c>
      <c r="AA310" s="58">
        <f t="shared" si="37"/>
        <v>5417293</v>
      </c>
      <c r="AB310" s="1"/>
      <c r="AC310" s="1">
        <f t="shared" si="35"/>
        <v>0</v>
      </c>
    </row>
    <row r="311" spans="1:29">
      <c r="A311" s="17" t="s">
        <v>460</v>
      </c>
      <c r="B311" s="17"/>
      <c r="C311" s="17" t="s">
        <v>458</v>
      </c>
      <c r="D311" s="17"/>
      <c r="E311" s="13">
        <v>44255</v>
      </c>
      <c r="G311" s="1">
        <v>3009153</v>
      </c>
      <c r="I311" s="1">
        <v>0</v>
      </c>
      <c r="K311" s="41">
        <f t="shared" si="36"/>
        <v>8068338</v>
      </c>
      <c r="M311" s="1">
        <v>11077491</v>
      </c>
      <c r="O311" s="41">
        <f t="shared" si="34"/>
        <v>3393916</v>
      </c>
      <c r="Q311" s="1">
        <v>6427102</v>
      </c>
      <c r="S311" s="1">
        <v>9821018</v>
      </c>
      <c r="U311" s="1">
        <f>143036+564681</f>
        <v>707717</v>
      </c>
      <c r="W311" s="1">
        <v>0</v>
      </c>
      <c r="Y311" s="1">
        <v>548756</v>
      </c>
      <c r="AA311" s="58">
        <f t="shared" si="37"/>
        <v>1256473</v>
      </c>
      <c r="AB311" s="1"/>
      <c r="AC311" s="1">
        <f t="shared" si="35"/>
        <v>0</v>
      </c>
    </row>
    <row r="312" spans="1:29">
      <c r="A312" s="17" t="s">
        <v>443</v>
      </c>
      <c r="B312" s="17"/>
      <c r="C312" s="17" t="s">
        <v>44</v>
      </c>
      <c r="D312" s="17"/>
      <c r="E312" s="13">
        <v>44263</v>
      </c>
      <c r="G312" s="1">
        <f>5335633+3761586</f>
        <v>9097219</v>
      </c>
      <c r="I312" s="1">
        <v>0</v>
      </c>
      <c r="K312" s="41">
        <f t="shared" si="36"/>
        <v>20660560</v>
      </c>
      <c r="M312" s="1">
        <v>29757779</v>
      </c>
      <c r="O312" s="41">
        <f t="shared" si="34"/>
        <v>10449711</v>
      </c>
      <c r="Q312" s="1">
        <v>17549934</v>
      </c>
      <c r="S312" s="1">
        <v>27999645</v>
      </c>
      <c r="U312" s="1">
        <f>2184347+910596+1555359</f>
        <v>4650302</v>
      </c>
      <c r="W312" s="1">
        <v>0</v>
      </c>
      <c r="Y312" s="1">
        <v>-2892168</v>
      </c>
      <c r="AA312" s="58">
        <f t="shared" si="37"/>
        <v>1758134</v>
      </c>
      <c r="AB312" s="1"/>
      <c r="AC312" s="1">
        <f t="shared" si="35"/>
        <v>0</v>
      </c>
    </row>
    <row r="313" spans="1:29">
      <c r="A313" s="17" t="s">
        <v>610</v>
      </c>
      <c r="B313" s="17"/>
      <c r="C313" s="17" t="s">
        <v>64</v>
      </c>
      <c r="D313" s="17"/>
      <c r="E313" s="13">
        <v>50203</v>
      </c>
      <c r="G313" s="1">
        <v>1533690</v>
      </c>
      <c r="I313" s="1">
        <v>13786</v>
      </c>
      <c r="K313" s="41">
        <f t="shared" si="36"/>
        <v>3439155</v>
      </c>
      <c r="M313" s="1">
        <v>4986631</v>
      </c>
      <c r="O313" s="41">
        <f t="shared" si="34"/>
        <v>705197</v>
      </c>
      <c r="Q313" s="1">
        <f>3135107+233980</f>
        <v>3369087</v>
      </c>
      <c r="S313" s="1">
        <v>4074284</v>
      </c>
      <c r="U313" s="1">
        <f>163998+31488+19593+13786+2221</f>
        <v>231086</v>
      </c>
      <c r="W313" s="1">
        <v>0</v>
      </c>
      <c r="Y313" s="1">
        <v>681261</v>
      </c>
      <c r="AA313" s="58">
        <f t="shared" si="37"/>
        <v>912347</v>
      </c>
      <c r="AB313" s="1"/>
      <c r="AC313" s="1">
        <f t="shared" si="35"/>
        <v>0</v>
      </c>
    </row>
    <row r="314" spans="1:29">
      <c r="A314" s="17" t="s">
        <v>846</v>
      </c>
      <c r="B314" s="17"/>
      <c r="C314" s="17" t="s">
        <v>11</v>
      </c>
      <c r="D314" s="17"/>
      <c r="E314" s="13">
        <v>45468</v>
      </c>
      <c r="G314" s="1">
        <v>3426816</v>
      </c>
      <c r="I314" s="1">
        <v>18706</v>
      </c>
      <c r="K314" s="41">
        <f t="shared" si="36"/>
        <v>5074793</v>
      </c>
      <c r="M314" s="1">
        <v>8520315</v>
      </c>
      <c r="O314" s="41">
        <f t="shared" si="34"/>
        <v>1408262</v>
      </c>
      <c r="Q314" s="1">
        <f>368996+2832314</f>
        <v>3201310</v>
      </c>
      <c r="S314" s="1">
        <v>4609572</v>
      </c>
      <c r="U314" s="1">
        <f>31484+38179+1258524+6671+12035</f>
        <v>1346893</v>
      </c>
      <c r="W314" s="1">
        <v>0</v>
      </c>
      <c r="Y314" s="1">
        <v>2563850</v>
      </c>
      <c r="AA314" s="58">
        <f t="shared" si="37"/>
        <v>3910743</v>
      </c>
      <c r="AB314" s="1"/>
      <c r="AC314" s="1">
        <f t="shared" si="35"/>
        <v>0</v>
      </c>
    </row>
    <row r="315" spans="1:29">
      <c r="A315" s="17" t="s">
        <v>578</v>
      </c>
      <c r="B315" s="17"/>
      <c r="C315" s="17" t="s">
        <v>62</v>
      </c>
      <c r="D315" s="17"/>
      <c r="E315" s="13">
        <v>49874</v>
      </c>
      <c r="G315" s="1">
        <v>5298349</v>
      </c>
      <c r="I315" s="1">
        <v>222062</v>
      </c>
      <c r="K315" s="41">
        <f t="shared" si="36"/>
        <v>6747368</v>
      </c>
      <c r="M315" s="1">
        <v>12267779</v>
      </c>
      <c r="O315" s="41">
        <f t="shared" si="34"/>
        <v>2902303</v>
      </c>
      <c r="Q315" s="1">
        <v>6400758</v>
      </c>
      <c r="S315" s="1">
        <v>9303061</v>
      </c>
      <c r="U315" s="1">
        <f>1139899+239120+218721+3341</f>
        <v>1601081</v>
      </c>
      <c r="W315" s="1">
        <v>0</v>
      </c>
      <c r="Y315" s="1">
        <v>1363637</v>
      </c>
      <c r="AA315" s="58">
        <f t="shared" si="37"/>
        <v>2964718</v>
      </c>
      <c r="AB315" s="1"/>
      <c r="AC315" s="1">
        <f>+G315+I315+K315-O315-Q315-Y315-W315-U315</f>
        <v>0</v>
      </c>
    </row>
    <row r="316" spans="1:29">
      <c r="A316" s="17" t="s">
        <v>366</v>
      </c>
      <c r="B316" s="17"/>
      <c r="C316" s="17" t="s">
        <v>32</v>
      </c>
      <c r="D316" s="17"/>
      <c r="E316" s="13">
        <v>44271</v>
      </c>
      <c r="G316" s="1">
        <f>5985764+336785</f>
        <v>6322549</v>
      </c>
      <c r="I316" s="1">
        <v>0</v>
      </c>
      <c r="K316" s="41">
        <f t="shared" si="36"/>
        <v>23882368</v>
      </c>
      <c r="M316" s="1">
        <v>30204917</v>
      </c>
      <c r="O316" s="41">
        <f t="shared" si="34"/>
        <v>5056757</v>
      </c>
      <c r="Q316" s="1">
        <v>17803132</v>
      </c>
      <c r="S316" s="1">
        <v>22859889</v>
      </c>
      <c r="U316" s="1">
        <f>87052+5948142+336785</f>
        <v>6371979</v>
      </c>
      <c r="W316" s="1">
        <v>0</v>
      </c>
      <c r="Y316" s="1">
        <v>973049</v>
      </c>
      <c r="AA316" s="58">
        <f t="shared" si="37"/>
        <v>7345028</v>
      </c>
      <c r="AB316" s="1"/>
      <c r="AC316" s="1">
        <f t="shared" si="35"/>
        <v>0</v>
      </c>
    </row>
    <row r="317" spans="1:29">
      <c r="A317" s="17" t="s">
        <v>466</v>
      </c>
      <c r="B317" s="17"/>
      <c r="C317" s="17" t="s">
        <v>45</v>
      </c>
      <c r="D317" s="17"/>
      <c r="E317" s="13">
        <v>48330</v>
      </c>
      <c r="G317" s="1">
        <v>1689900</v>
      </c>
      <c r="I317" s="1">
        <v>153668</v>
      </c>
      <c r="K317" s="41">
        <f t="shared" si="36"/>
        <v>1693733</v>
      </c>
      <c r="M317" s="1">
        <v>3537301</v>
      </c>
      <c r="O317" s="41">
        <f t="shared" si="34"/>
        <v>596391</v>
      </c>
      <c r="Q317" s="1">
        <f>95433+846037</f>
        <v>941470</v>
      </c>
      <c r="S317" s="1">
        <v>1537861</v>
      </c>
      <c r="U317" s="1">
        <f>3588+716957+30887+106323+47345</f>
        <v>905100</v>
      </c>
      <c r="W317" s="1">
        <v>0</v>
      </c>
      <c r="Y317" s="1">
        <v>1094340</v>
      </c>
      <c r="AA317" s="58">
        <f t="shared" si="37"/>
        <v>1999440</v>
      </c>
      <c r="AB317" s="1"/>
      <c r="AC317" s="1">
        <f t="shared" si="35"/>
        <v>0</v>
      </c>
    </row>
    <row r="318" spans="1:29">
      <c r="A318" s="17" t="s">
        <v>544</v>
      </c>
      <c r="B318" s="17"/>
      <c r="C318" s="17" t="s">
        <v>112</v>
      </c>
      <c r="D318" s="17"/>
      <c r="E318" s="13">
        <v>49445</v>
      </c>
      <c r="G318" s="1">
        <v>2511614</v>
      </c>
      <c r="I318" s="1">
        <v>366719</v>
      </c>
      <c r="K318" s="41">
        <f t="shared" si="36"/>
        <v>2282812</v>
      </c>
      <c r="M318" s="1">
        <v>5161145</v>
      </c>
      <c r="O318" s="41">
        <f t="shared" si="34"/>
        <v>480258</v>
      </c>
      <c r="Q318" s="1">
        <f>178401+1654746</f>
        <v>1833147</v>
      </c>
      <c r="S318" s="1">
        <v>2313405</v>
      </c>
      <c r="U318" s="1">
        <f>101411+2052+278998+366719</f>
        <v>749180</v>
      </c>
      <c r="W318" s="1">
        <v>0</v>
      </c>
      <c r="Y318" s="1">
        <v>2098560</v>
      </c>
      <c r="AA318" s="58">
        <f t="shared" si="37"/>
        <v>2847740</v>
      </c>
      <c r="AB318" s="1"/>
      <c r="AC318" s="1">
        <f t="shared" si="35"/>
        <v>0</v>
      </c>
    </row>
    <row r="319" spans="1:29">
      <c r="A319" s="17" t="s">
        <v>399</v>
      </c>
      <c r="B319" s="17"/>
      <c r="C319" s="17" t="s">
        <v>395</v>
      </c>
      <c r="D319" s="17"/>
      <c r="E319" s="13">
        <v>47639</v>
      </c>
      <c r="G319" s="1">
        <v>7667858</v>
      </c>
      <c r="I319" s="1">
        <v>0</v>
      </c>
      <c r="K319" s="41">
        <f t="shared" si="36"/>
        <v>1928854</v>
      </c>
      <c r="M319" s="1">
        <v>9596712</v>
      </c>
      <c r="O319" s="41">
        <f t="shared" si="34"/>
        <v>1322552</v>
      </c>
      <c r="Q319" s="1">
        <v>1670599</v>
      </c>
      <c r="S319" s="1">
        <v>2993151</v>
      </c>
      <c r="U319" s="1">
        <f>62309+196385+30409+962</f>
        <v>290065</v>
      </c>
      <c r="W319" s="1">
        <v>0</v>
      </c>
      <c r="Y319" s="1">
        <v>6313496</v>
      </c>
      <c r="AA319" s="58">
        <f t="shared" si="37"/>
        <v>6603561</v>
      </c>
      <c r="AB319" s="1"/>
      <c r="AC319" s="1">
        <f t="shared" si="35"/>
        <v>0</v>
      </c>
    </row>
    <row r="320" spans="1:29">
      <c r="A320" s="12" t="s">
        <v>892</v>
      </c>
      <c r="B320" s="17"/>
      <c r="C320" s="17" t="s">
        <v>50</v>
      </c>
      <c r="D320" s="17"/>
      <c r="E320" s="13">
        <v>48702</v>
      </c>
      <c r="G320" s="1">
        <v>13340907</v>
      </c>
      <c r="I320" s="1">
        <v>0</v>
      </c>
      <c r="K320" s="41">
        <f t="shared" si="36"/>
        <v>8680285</v>
      </c>
      <c r="M320" s="1">
        <v>22021192</v>
      </c>
      <c r="O320" s="41">
        <f t="shared" si="34"/>
        <v>4119450</v>
      </c>
      <c r="Q320" s="1">
        <v>8073334</v>
      </c>
      <c r="S320" s="1">
        <v>12192784</v>
      </c>
      <c r="U320" s="1">
        <f>312950+457565</f>
        <v>770515</v>
      </c>
      <c r="W320" s="1">
        <v>0</v>
      </c>
      <c r="Y320" s="1">
        <v>9057893</v>
      </c>
      <c r="AA320" s="58">
        <f t="shared" ref="AA320:AA347" si="42">+Y320+W320++U320</f>
        <v>9828408</v>
      </c>
      <c r="AB320" s="1"/>
      <c r="AC320" s="1">
        <f t="shared" ref="AC320:AC347" si="43">+G320+I320+K320-O320-Q320-Y320-W320-U320</f>
        <v>0</v>
      </c>
    </row>
    <row r="321" spans="1:29">
      <c r="A321" s="17" t="s">
        <v>367</v>
      </c>
      <c r="B321" s="17"/>
      <c r="C321" s="17" t="s">
        <v>32</v>
      </c>
      <c r="D321" s="17"/>
      <c r="E321" s="13">
        <v>44289</v>
      </c>
      <c r="G321" s="1">
        <v>5332965</v>
      </c>
      <c r="I321" s="1">
        <v>212221</v>
      </c>
      <c r="K321" s="41">
        <f t="shared" si="36"/>
        <v>11623768</v>
      </c>
      <c r="M321" s="1">
        <v>17168954</v>
      </c>
      <c r="O321" s="41">
        <f t="shared" si="34"/>
        <v>2381274</v>
      </c>
      <c r="Q321" s="1">
        <v>7367398</v>
      </c>
      <c r="S321" s="1">
        <v>9748672</v>
      </c>
      <c r="U321" s="1">
        <f>236135+4206000+212221</f>
        <v>4654356</v>
      </c>
      <c r="W321" s="1">
        <v>0</v>
      </c>
      <c r="Y321" s="1">
        <v>2765926</v>
      </c>
      <c r="AA321" s="58">
        <f t="shared" si="42"/>
        <v>7420282</v>
      </c>
      <c r="AB321" s="1"/>
      <c r="AC321" s="1">
        <f t="shared" si="43"/>
        <v>0</v>
      </c>
    </row>
    <row r="322" spans="1:29">
      <c r="A322" s="17" t="s">
        <v>231</v>
      </c>
      <c r="B322" s="17"/>
      <c r="C322" s="17" t="s">
        <v>227</v>
      </c>
      <c r="D322" s="17"/>
      <c r="E322" s="13">
        <v>46128</v>
      </c>
      <c r="G322" s="1">
        <v>2076879</v>
      </c>
      <c r="I322" s="1">
        <v>0</v>
      </c>
      <c r="K322" s="41">
        <f t="shared" si="36"/>
        <v>5010794</v>
      </c>
      <c r="M322" s="1">
        <v>7087673</v>
      </c>
      <c r="O322" s="41">
        <f t="shared" si="34"/>
        <v>1073191</v>
      </c>
      <c r="Q322" s="1">
        <v>3455263</v>
      </c>
      <c r="S322" s="1">
        <v>4528454</v>
      </c>
      <c r="U322" s="1">
        <v>1225000</v>
      </c>
      <c r="W322" s="1">
        <v>0</v>
      </c>
      <c r="Y322" s="1">
        <v>1334219</v>
      </c>
      <c r="AA322" s="58">
        <f t="shared" si="42"/>
        <v>2559219</v>
      </c>
      <c r="AB322" s="1"/>
      <c r="AC322" s="1">
        <f t="shared" si="43"/>
        <v>0</v>
      </c>
    </row>
    <row r="323" spans="1:29" hidden="1">
      <c r="A323" s="17" t="s">
        <v>848</v>
      </c>
      <c r="B323" s="17"/>
      <c r="C323" s="17" t="s">
        <v>41</v>
      </c>
      <c r="D323" s="17"/>
      <c r="E323" s="13"/>
      <c r="K323" s="41">
        <f t="shared" si="36"/>
        <v>0</v>
      </c>
      <c r="O323" s="41"/>
      <c r="AA323" s="58">
        <f t="shared" si="42"/>
        <v>0</v>
      </c>
      <c r="AB323" s="1"/>
      <c r="AC323" s="1">
        <f t="shared" si="43"/>
        <v>0</v>
      </c>
    </row>
    <row r="324" spans="1:29">
      <c r="A324" s="17" t="s">
        <v>231</v>
      </c>
      <c r="B324" s="17"/>
      <c r="C324" s="17" t="s">
        <v>112</v>
      </c>
      <c r="D324" s="17"/>
      <c r="E324" s="13">
        <v>49452</v>
      </c>
      <c r="G324" s="1">
        <v>8360117</v>
      </c>
      <c r="I324" s="1">
        <v>492720</v>
      </c>
      <c r="K324" s="41">
        <f t="shared" si="36"/>
        <v>11969187</v>
      </c>
      <c r="M324" s="1">
        <v>20822024</v>
      </c>
      <c r="O324" s="41">
        <f t="shared" si="34"/>
        <v>3452352</v>
      </c>
      <c r="Q324" s="1">
        <f>2147328+8124698</f>
        <v>10272026</v>
      </c>
      <c r="S324" s="1">
        <v>13724378</v>
      </c>
      <c r="U324" s="1">
        <f>1+1300302+435528+57192</f>
        <v>1793023</v>
      </c>
      <c r="W324" s="1">
        <v>0</v>
      </c>
      <c r="Y324" s="1">
        <v>5304623</v>
      </c>
      <c r="AA324" s="58">
        <f t="shared" si="42"/>
        <v>7097646</v>
      </c>
      <c r="AB324" s="1"/>
      <c r="AC324" s="1">
        <f t="shared" si="43"/>
        <v>0</v>
      </c>
    </row>
    <row r="325" spans="1:29">
      <c r="A325" s="17" t="s">
        <v>864</v>
      </c>
      <c r="B325" s="17"/>
      <c r="C325" s="17" t="s">
        <v>458</v>
      </c>
      <c r="D325" s="17"/>
      <c r="E325" s="13"/>
      <c r="G325" s="1">
        <v>8089066</v>
      </c>
      <c r="I325" s="1">
        <v>483465</v>
      </c>
      <c r="K325" s="41">
        <f t="shared" si="36"/>
        <v>7339277</v>
      </c>
      <c r="M325" s="1">
        <v>15911808</v>
      </c>
      <c r="O325" s="41">
        <f t="shared" si="34"/>
        <v>1451837</v>
      </c>
      <c r="Q325" s="1">
        <v>4493245</v>
      </c>
      <c r="S325" s="1">
        <v>5945082</v>
      </c>
      <c r="U325" s="1">
        <f>101694+196271+2533848+287194</f>
        <v>3119007</v>
      </c>
      <c r="W325" s="1">
        <v>540000</v>
      </c>
      <c r="Y325" s="1">
        <v>6307719</v>
      </c>
      <c r="AA325" s="58">
        <f t="shared" si="42"/>
        <v>9966726</v>
      </c>
      <c r="AB325" s="1"/>
      <c r="AC325" s="1">
        <f t="shared" si="43"/>
        <v>0</v>
      </c>
    </row>
    <row r="326" spans="1:29">
      <c r="A326" s="17" t="s">
        <v>722</v>
      </c>
      <c r="B326" s="17"/>
      <c r="C326" s="17" t="s">
        <v>203</v>
      </c>
      <c r="D326" s="17"/>
      <c r="E326" s="13"/>
      <c r="G326" s="1">
        <v>3598688</v>
      </c>
      <c r="I326" s="1">
        <v>0</v>
      </c>
      <c r="K326" s="41">
        <f t="shared" si="36"/>
        <v>5878650</v>
      </c>
      <c r="M326" s="1">
        <v>9477338</v>
      </c>
      <c r="O326" s="41">
        <f t="shared" si="34"/>
        <v>975167</v>
      </c>
      <c r="Q326" s="1">
        <v>5626701</v>
      </c>
      <c r="S326" s="1">
        <v>6601868</v>
      </c>
      <c r="U326" s="1">
        <v>96622</v>
      </c>
      <c r="W326" s="1">
        <v>0</v>
      </c>
      <c r="Y326" s="1">
        <v>2778848</v>
      </c>
      <c r="AA326" s="58">
        <f t="shared" si="42"/>
        <v>2875470</v>
      </c>
      <c r="AB326" s="1"/>
      <c r="AC326" s="1">
        <f t="shared" si="43"/>
        <v>0</v>
      </c>
    </row>
    <row r="327" spans="1:29">
      <c r="A327" s="17" t="s">
        <v>545</v>
      </c>
      <c r="B327" s="17"/>
      <c r="C327" s="17" t="s">
        <v>112</v>
      </c>
      <c r="D327" s="17"/>
      <c r="E327" s="13">
        <v>44297</v>
      </c>
      <c r="G327" s="1">
        <v>1680664</v>
      </c>
      <c r="I327" s="1">
        <v>4982</v>
      </c>
      <c r="K327" s="41">
        <f t="shared" si="36"/>
        <v>22379152</v>
      </c>
      <c r="M327" s="1">
        <v>24064798</v>
      </c>
      <c r="O327" s="41">
        <f t="shared" si="34"/>
        <v>5306048</v>
      </c>
      <c r="Q327" s="1">
        <f>13735211+6171617</f>
        <v>19906828</v>
      </c>
      <c r="S327" s="1">
        <v>25212876</v>
      </c>
      <c r="U327" s="1">
        <f>33849+117016+23585+2245893+4982</f>
        <v>2425325</v>
      </c>
      <c r="W327" s="1">
        <v>0</v>
      </c>
      <c r="Y327" s="1">
        <v>-3573403</v>
      </c>
      <c r="AA327" s="58">
        <f t="shared" si="42"/>
        <v>-1148078</v>
      </c>
      <c r="AB327" s="1"/>
      <c r="AC327" s="1">
        <f t="shared" si="43"/>
        <v>0</v>
      </c>
    </row>
    <row r="328" spans="1:29">
      <c r="A328" s="17" t="s">
        <v>294</v>
      </c>
      <c r="B328" s="17"/>
      <c r="C328" s="17" t="s">
        <v>20</v>
      </c>
      <c r="D328" s="17"/>
      <c r="E328" s="13">
        <v>44305</v>
      </c>
      <c r="G328" s="1">
        <v>817435</v>
      </c>
      <c r="I328" s="1">
        <v>0</v>
      </c>
      <c r="K328" s="41">
        <f t="shared" si="36"/>
        <v>16415198</v>
      </c>
      <c r="M328" s="1">
        <v>17232633</v>
      </c>
      <c r="O328" s="41">
        <f t="shared" si="34"/>
        <v>3950900</v>
      </c>
      <c r="Q328" s="1">
        <v>13414334</v>
      </c>
      <c r="S328" s="1">
        <v>17365234</v>
      </c>
      <c r="U328" s="1">
        <f>31813+2237180</f>
        <v>2268993</v>
      </c>
      <c r="W328" s="1">
        <v>0</v>
      </c>
      <c r="Y328" s="1">
        <v>-2401594</v>
      </c>
      <c r="AA328" s="58">
        <f t="shared" si="42"/>
        <v>-132601</v>
      </c>
      <c r="AB328" s="1"/>
      <c r="AC328" s="1">
        <f t="shared" si="43"/>
        <v>0</v>
      </c>
    </row>
    <row r="329" spans="1:29">
      <c r="A329" s="17" t="s">
        <v>208</v>
      </c>
      <c r="B329" s="17"/>
      <c r="C329" s="17" t="s">
        <v>11</v>
      </c>
      <c r="D329" s="17"/>
      <c r="E329" s="13">
        <v>45831</v>
      </c>
      <c r="G329" s="1">
        <f>1722590+9964</f>
        <v>1732554</v>
      </c>
      <c r="I329" s="1">
        <v>32439</v>
      </c>
      <c r="K329" s="41">
        <f t="shared" si="36"/>
        <v>2303111</v>
      </c>
      <c r="M329" s="1">
        <v>4068104</v>
      </c>
      <c r="O329" s="41">
        <f t="shared" si="34"/>
        <v>765242</v>
      </c>
      <c r="Q329" s="1">
        <f>1485178+125771</f>
        <v>1610949</v>
      </c>
      <c r="S329" s="1">
        <v>2376191</v>
      </c>
      <c r="U329" s="1">
        <f>16650+68805+620857+32439</f>
        <v>738751</v>
      </c>
      <c r="W329" s="1">
        <v>0</v>
      </c>
      <c r="Y329" s="1">
        <v>953162</v>
      </c>
      <c r="AA329" s="58">
        <f t="shared" si="42"/>
        <v>1691913</v>
      </c>
      <c r="AB329" s="1"/>
      <c r="AC329" s="1">
        <f t="shared" si="43"/>
        <v>0</v>
      </c>
    </row>
    <row r="330" spans="1:29">
      <c r="A330" s="17" t="s">
        <v>611</v>
      </c>
      <c r="B330" s="17"/>
      <c r="C330" s="17" t="s">
        <v>64</v>
      </c>
      <c r="D330" s="17"/>
      <c r="E330" s="13">
        <v>50211</v>
      </c>
      <c r="G330" s="1">
        <v>2283377</v>
      </c>
      <c r="I330" s="1">
        <v>508945</v>
      </c>
      <c r="K330" s="41">
        <f t="shared" si="36"/>
        <v>2174811</v>
      </c>
      <c r="M330" s="1">
        <v>4967133</v>
      </c>
      <c r="O330" s="41">
        <f t="shared" si="34"/>
        <v>1093590</v>
      </c>
      <c r="Q330" s="1">
        <f>192015+1943264</f>
        <v>2135279</v>
      </c>
      <c r="S330" s="1">
        <v>3228869</v>
      </c>
      <c r="U330" s="1">
        <f>82251+2173+36982+508945</f>
        <v>630351</v>
      </c>
      <c r="W330" s="1">
        <v>0</v>
      </c>
      <c r="Y330" s="1">
        <v>1107913</v>
      </c>
      <c r="AA330" s="58">
        <f t="shared" si="42"/>
        <v>1738264</v>
      </c>
      <c r="AB330" s="1"/>
      <c r="AC330" s="1">
        <f t="shared" si="43"/>
        <v>0</v>
      </c>
    </row>
    <row r="331" spans="1:29">
      <c r="A331" s="17" t="s">
        <v>317</v>
      </c>
      <c r="B331" s="17"/>
      <c r="C331" s="17" t="s">
        <v>24</v>
      </c>
      <c r="D331" s="17"/>
      <c r="E331" s="13">
        <v>46805</v>
      </c>
      <c r="G331" s="1">
        <v>109830</v>
      </c>
      <c r="I331" s="1">
        <v>0</v>
      </c>
      <c r="K331" s="41">
        <f t="shared" si="36"/>
        <v>6758412</v>
      </c>
      <c r="M331" s="1">
        <v>6868242</v>
      </c>
      <c r="O331" s="41">
        <f t="shared" si="34"/>
        <v>1610857</v>
      </c>
      <c r="Q331" s="1">
        <f>1529556+4207031</f>
        <v>5736587</v>
      </c>
      <c r="S331" s="1">
        <v>7347444</v>
      </c>
      <c r="U331" s="1">
        <f>111858+50000+606789</f>
        <v>768647</v>
      </c>
      <c r="W331" s="1">
        <v>0</v>
      </c>
      <c r="Y331" s="1">
        <v>-1247849</v>
      </c>
      <c r="AA331" s="58">
        <f t="shared" si="42"/>
        <v>-479202</v>
      </c>
      <c r="AB331" s="1"/>
      <c r="AC331" s="1">
        <f t="shared" si="43"/>
        <v>0</v>
      </c>
    </row>
    <row r="332" spans="1:29">
      <c r="A332" s="17" t="s">
        <v>368</v>
      </c>
      <c r="B332" s="17"/>
      <c r="C332" s="17" t="s">
        <v>32</v>
      </c>
      <c r="D332" s="17"/>
      <c r="E332" s="13">
        <v>44313</v>
      </c>
      <c r="G332" s="1">
        <v>5744911</v>
      </c>
      <c r="I332" s="1">
        <v>140000</v>
      </c>
      <c r="K332" s="41">
        <f t="shared" si="36"/>
        <v>14709922</v>
      </c>
      <c r="M332" s="1">
        <v>20594833</v>
      </c>
      <c r="O332" s="41">
        <f t="shared" si="34"/>
        <v>2407667</v>
      </c>
      <c r="Q332" s="1">
        <v>9406400</v>
      </c>
      <c r="S332" s="1">
        <v>11814067</v>
      </c>
      <c r="U332" s="1">
        <f>5300000+61277+140000</f>
        <v>5501277</v>
      </c>
      <c r="W332" s="1">
        <v>0</v>
      </c>
      <c r="Y332" s="1">
        <v>3279489</v>
      </c>
      <c r="AA332" s="58">
        <f t="shared" si="42"/>
        <v>8780766</v>
      </c>
      <c r="AB332" s="1"/>
      <c r="AC332" s="1">
        <f t="shared" si="43"/>
        <v>0</v>
      </c>
    </row>
    <row r="333" spans="1:29" hidden="1">
      <c r="A333" s="17" t="s">
        <v>733</v>
      </c>
      <c r="B333" s="17"/>
      <c r="C333" s="17" t="s">
        <v>70</v>
      </c>
      <c r="D333" s="17"/>
      <c r="E333" s="13">
        <v>44321</v>
      </c>
      <c r="K333" s="41">
        <f t="shared" si="36"/>
        <v>0</v>
      </c>
      <c r="O333" s="41">
        <f t="shared" si="34"/>
        <v>0</v>
      </c>
      <c r="AA333" s="58">
        <f t="shared" si="42"/>
        <v>0</v>
      </c>
      <c r="AB333" s="1"/>
      <c r="AC333" s="1">
        <f t="shared" si="43"/>
        <v>0</v>
      </c>
    </row>
    <row r="334" spans="1:29">
      <c r="A334" s="17" t="s">
        <v>474</v>
      </c>
      <c r="B334" s="17"/>
      <c r="C334" s="17" t="s">
        <v>46</v>
      </c>
      <c r="D334" s="17"/>
      <c r="E334" s="13">
        <v>44339</v>
      </c>
      <c r="G334" s="1">
        <v>14034013</v>
      </c>
      <c r="I334" s="1">
        <v>1702661</v>
      </c>
      <c r="K334" s="41">
        <f t="shared" si="36"/>
        <v>11355981</v>
      </c>
      <c r="M334" s="1">
        <v>27092655</v>
      </c>
      <c r="O334" s="41">
        <f t="shared" si="34"/>
        <v>5345517</v>
      </c>
      <c r="Q334" s="1">
        <v>7595739</v>
      </c>
      <c r="S334" s="1">
        <v>12941256</v>
      </c>
      <c r="U334" s="1">
        <f>3023898+1702661+1123195</f>
        <v>5849754</v>
      </c>
      <c r="W334" s="1">
        <v>0</v>
      </c>
      <c r="Y334" s="1">
        <v>8301645</v>
      </c>
      <c r="AA334" s="58">
        <f t="shared" si="42"/>
        <v>14151399</v>
      </c>
      <c r="AB334" s="1"/>
      <c r="AC334" s="1">
        <f t="shared" si="43"/>
        <v>0</v>
      </c>
    </row>
    <row r="335" spans="1:29" hidden="1">
      <c r="A335" s="17" t="s">
        <v>850</v>
      </c>
      <c r="B335" s="17"/>
      <c r="C335" s="17" t="s">
        <v>486</v>
      </c>
      <c r="D335" s="17"/>
      <c r="E335" s="13"/>
      <c r="K335" s="41">
        <f t="shared" si="36"/>
        <v>0</v>
      </c>
      <c r="O335" s="41"/>
      <c r="AA335" s="58">
        <f t="shared" si="42"/>
        <v>0</v>
      </c>
      <c r="AB335" s="1"/>
      <c r="AC335" s="1">
        <f t="shared" si="43"/>
        <v>0</v>
      </c>
    </row>
    <row r="336" spans="1:29">
      <c r="A336" s="17" t="s">
        <v>579</v>
      </c>
      <c r="B336" s="17"/>
      <c r="C336" s="17" t="s">
        <v>62</v>
      </c>
      <c r="D336" s="17"/>
      <c r="E336" s="13">
        <v>49882</v>
      </c>
      <c r="G336" s="1">
        <v>7854207</v>
      </c>
      <c r="I336" s="1">
        <v>397058</v>
      </c>
      <c r="K336" s="41">
        <f t="shared" si="36"/>
        <v>7852442</v>
      </c>
      <c r="M336" s="1">
        <v>16103707</v>
      </c>
      <c r="O336" s="41">
        <f t="shared" ref="O336:O347" si="44">+S336-Q336</f>
        <v>2706479</v>
      </c>
      <c r="Q336" s="1">
        <f>6838502+531345</f>
        <v>7369847</v>
      </c>
      <c r="S336" s="1">
        <v>10076326</v>
      </c>
      <c r="U336" s="1">
        <f>383580+118771+20922+337200+397058</f>
        <v>1257531</v>
      </c>
      <c r="W336" s="1">
        <v>476349</v>
      </c>
      <c r="Y336" s="1">
        <v>4293501</v>
      </c>
      <c r="AA336" s="58">
        <f t="shared" si="42"/>
        <v>6027381</v>
      </c>
      <c r="AB336" s="1"/>
      <c r="AC336" s="1">
        <f t="shared" si="43"/>
        <v>0</v>
      </c>
    </row>
    <row r="337" spans="1:29">
      <c r="A337" s="17" t="s">
        <v>221</v>
      </c>
      <c r="B337" s="17"/>
      <c r="C337" s="17" t="s">
        <v>15</v>
      </c>
      <c r="D337" s="17"/>
      <c r="E337" s="13">
        <v>44347</v>
      </c>
      <c r="G337" s="1">
        <v>0</v>
      </c>
      <c r="I337" s="1">
        <v>0</v>
      </c>
      <c r="K337" s="41">
        <f t="shared" ref="K337:K347" si="45">+M337-I337-G337</f>
        <v>2410873</v>
      </c>
      <c r="M337" s="1">
        <v>2410873</v>
      </c>
      <c r="O337" s="41">
        <f t="shared" si="44"/>
        <v>2666591</v>
      </c>
      <c r="Q337" s="1">
        <v>2219245</v>
      </c>
      <c r="S337" s="1">
        <v>4885836</v>
      </c>
      <c r="U337" s="1">
        <f>23428+183204</f>
        <v>206632</v>
      </c>
      <c r="W337" s="1">
        <v>0</v>
      </c>
      <c r="Y337" s="1">
        <v>-2681595</v>
      </c>
      <c r="AA337" s="58">
        <f t="shared" si="42"/>
        <v>-2474963</v>
      </c>
      <c r="AB337" s="1"/>
      <c r="AC337" s="1">
        <f t="shared" si="43"/>
        <v>0</v>
      </c>
    </row>
    <row r="338" spans="1:29">
      <c r="A338" s="17" t="s">
        <v>626</v>
      </c>
      <c r="B338" s="17"/>
      <c r="C338" s="17" t="s">
        <v>66</v>
      </c>
      <c r="D338" s="17"/>
      <c r="E338" s="13">
        <v>45476</v>
      </c>
      <c r="G338" s="1">
        <f>1508420+1500500</f>
        <v>3008920</v>
      </c>
      <c r="I338" s="1">
        <v>396635</v>
      </c>
      <c r="K338" s="41">
        <f t="shared" si="45"/>
        <v>21021595</v>
      </c>
      <c r="M338" s="1">
        <v>24427150</v>
      </c>
      <c r="O338" s="41">
        <f t="shared" si="44"/>
        <v>7034911</v>
      </c>
      <c r="Q338" s="1">
        <f>17079590+3556</f>
        <v>17083146</v>
      </c>
      <c r="S338" s="1">
        <v>24118057</v>
      </c>
      <c r="U338" s="1">
        <f>338325+37348+3875539+396635</f>
        <v>4647847</v>
      </c>
      <c r="W338" s="1">
        <v>0</v>
      </c>
      <c r="Y338" s="1">
        <v>-4338754</v>
      </c>
      <c r="AA338" s="58">
        <f t="shared" si="42"/>
        <v>309093</v>
      </c>
      <c r="AB338" s="1"/>
      <c r="AC338" s="1">
        <f t="shared" si="43"/>
        <v>0</v>
      </c>
    </row>
    <row r="339" spans="1:29">
      <c r="A339" s="17" t="s">
        <v>635</v>
      </c>
      <c r="B339" s="17"/>
      <c r="C339" s="17" t="s">
        <v>69</v>
      </c>
      <c r="D339" s="17"/>
      <c r="E339" s="13">
        <v>50450</v>
      </c>
      <c r="G339" s="1">
        <v>5166085</v>
      </c>
      <c r="I339" s="1">
        <v>85593</v>
      </c>
      <c r="K339" s="41">
        <f t="shared" si="45"/>
        <v>103222094</v>
      </c>
      <c r="M339" s="1">
        <v>108473772</v>
      </c>
      <c r="O339" s="41">
        <f t="shared" si="44"/>
        <v>11999314</v>
      </c>
      <c r="Q339" s="1">
        <v>54494709</v>
      </c>
      <c r="S339" s="1">
        <v>66494023</v>
      </c>
      <c r="U339" s="1">
        <f>976412+1853136+85593</f>
        <v>2915141</v>
      </c>
      <c r="W339" s="1">
        <v>0</v>
      </c>
      <c r="Y339" s="1">
        <v>39064608</v>
      </c>
      <c r="AA339" s="58">
        <f t="shared" si="42"/>
        <v>41979749</v>
      </c>
      <c r="AB339" s="1"/>
      <c r="AC339" s="1">
        <f t="shared" si="43"/>
        <v>0</v>
      </c>
    </row>
    <row r="340" spans="1:29">
      <c r="A340" s="17" t="s">
        <v>580</v>
      </c>
      <c r="B340" s="17"/>
      <c r="C340" s="17" t="s">
        <v>62</v>
      </c>
      <c r="D340" s="17"/>
      <c r="E340" s="13">
        <v>44354</v>
      </c>
      <c r="G340" s="1">
        <v>7300351</v>
      </c>
      <c r="I340" s="1">
        <v>26442</v>
      </c>
      <c r="K340" s="41">
        <f t="shared" si="45"/>
        <v>15106332</v>
      </c>
      <c r="M340" s="1">
        <v>22433125</v>
      </c>
      <c r="O340" s="41">
        <f t="shared" si="44"/>
        <v>5165862</v>
      </c>
      <c r="Q340" s="1">
        <v>13748056</v>
      </c>
      <c r="S340" s="1">
        <v>18913918</v>
      </c>
      <c r="U340" s="1">
        <f>812176+477500+26442</f>
        <v>1316118</v>
      </c>
      <c r="W340" s="1">
        <v>0</v>
      </c>
      <c r="Y340" s="1">
        <v>2203089</v>
      </c>
      <c r="AA340" s="58">
        <f t="shared" si="42"/>
        <v>3519207</v>
      </c>
      <c r="AB340" s="1"/>
      <c r="AC340" s="1">
        <f t="shared" si="43"/>
        <v>0</v>
      </c>
    </row>
    <row r="341" spans="1:29">
      <c r="A341" s="17"/>
      <c r="B341" s="17"/>
      <c r="C341" s="17"/>
      <c r="D341" s="17"/>
      <c r="E341" s="13"/>
      <c r="K341" s="41"/>
      <c r="O341" s="41"/>
      <c r="AA341" s="58"/>
      <c r="AB341" s="1"/>
    </row>
    <row r="342" spans="1:29">
      <c r="A342" s="17"/>
      <c r="B342" s="17"/>
      <c r="C342" s="17"/>
      <c r="D342" s="17"/>
      <c r="E342" s="13"/>
      <c r="K342" s="41"/>
      <c r="O342" s="41"/>
      <c r="AA342" s="41" t="s">
        <v>709</v>
      </c>
      <c r="AB342" s="1"/>
    </row>
    <row r="343" spans="1:29">
      <c r="A343" s="17"/>
      <c r="B343" s="17"/>
      <c r="C343" s="17"/>
      <c r="D343" s="17"/>
      <c r="E343" s="13"/>
      <c r="K343" s="41"/>
      <c r="O343" s="41"/>
      <c r="AA343" s="58"/>
      <c r="AB343" s="1"/>
    </row>
    <row r="344" spans="1:29">
      <c r="A344" s="17" t="s">
        <v>612</v>
      </c>
      <c r="B344" s="17"/>
      <c r="C344" s="17" t="s">
        <v>64</v>
      </c>
      <c r="D344" s="17"/>
      <c r="E344" s="13">
        <v>50153</v>
      </c>
      <c r="G344" s="16">
        <v>1476524</v>
      </c>
      <c r="H344" s="16"/>
      <c r="I344" s="16">
        <v>8740</v>
      </c>
      <c r="J344" s="16"/>
      <c r="K344" s="59">
        <f t="shared" si="45"/>
        <v>4541365</v>
      </c>
      <c r="L344" s="16"/>
      <c r="M344" s="16">
        <v>6026629</v>
      </c>
      <c r="N344" s="16"/>
      <c r="O344" s="59">
        <f t="shared" si="44"/>
        <v>841072</v>
      </c>
      <c r="P344" s="16"/>
      <c r="Q344" s="16">
        <f>3845778+588208</f>
        <v>4433986</v>
      </c>
      <c r="R344" s="16"/>
      <c r="S344" s="16">
        <v>5275058</v>
      </c>
      <c r="T344" s="16"/>
      <c r="U344" s="16">
        <f>54038+37277+32274+52418+8740</f>
        <v>184747</v>
      </c>
      <c r="V344" s="16"/>
      <c r="W344" s="16">
        <v>0</v>
      </c>
      <c r="X344" s="16"/>
      <c r="Y344" s="16">
        <v>566824</v>
      </c>
      <c r="Z344" s="16"/>
      <c r="AA344" s="90">
        <f t="shared" si="42"/>
        <v>751571</v>
      </c>
      <c r="AB344" s="1"/>
      <c r="AC344" s="1">
        <f t="shared" si="43"/>
        <v>0</v>
      </c>
    </row>
    <row r="345" spans="1:29">
      <c r="A345" s="17" t="s">
        <v>450</v>
      </c>
      <c r="B345" s="17"/>
      <c r="C345" s="17" t="s">
        <v>117</v>
      </c>
      <c r="D345" s="17"/>
      <c r="E345" s="13">
        <v>44362</v>
      </c>
      <c r="G345" s="1">
        <v>1525762</v>
      </c>
      <c r="I345" s="1">
        <v>121957</v>
      </c>
      <c r="K345" s="41">
        <f t="shared" si="45"/>
        <v>18345759</v>
      </c>
      <c r="M345" s="1">
        <v>19993478</v>
      </c>
      <c r="O345" s="41">
        <f t="shared" si="44"/>
        <v>4115463</v>
      </c>
      <c r="Q345" s="1">
        <f>1218087+16298975</f>
        <v>17517062</v>
      </c>
      <c r="S345" s="1">
        <v>21632525</v>
      </c>
      <c r="U345" s="1">
        <f>78329+15329+29867+768292+121957</f>
        <v>1013774</v>
      </c>
      <c r="W345" s="1">
        <v>0</v>
      </c>
      <c r="Y345" s="1">
        <v>-2652821</v>
      </c>
      <c r="AA345" s="58">
        <f t="shared" si="42"/>
        <v>-1639047</v>
      </c>
      <c r="AB345" s="1"/>
      <c r="AC345" s="1">
        <f t="shared" si="43"/>
        <v>0</v>
      </c>
    </row>
    <row r="346" spans="1:29">
      <c r="A346" s="17" t="s">
        <v>908</v>
      </c>
      <c r="B346" s="17"/>
      <c r="C346" s="17" t="s">
        <v>20</v>
      </c>
      <c r="D346" s="17"/>
      <c r="E346" s="13">
        <v>44370</v>
      </c>
      <c r="G346" s="1">
        <v>22313989</v>
      </c>
      <c r="I346" s="1">
        <v>0</v>
      </c>
      <c r="K346" s="41">
        <f t="shared" si="45"/>
        <v>50435350</v>
      </c>
      <c r="M346" s="1">
        <v>72749339</v>
      </c>
      <c r="O346" s="41">
        <f t="shared" si="44"/>
        <v>6581363</v>
      </c>
      <c r="Q346" s="1">
        <v>43347365</v>
      </c>
      <c r="S346" s="1">
        <v>49928728</v>
      </c>
      <c r="U346" s="1">
        <f>167229+2252891</f>
        <v>2420120</v>
      </c>
      <c r="W346" s="1">
        <v>2314316</v>
      </c>
      <c r="Y346" s="1">
        <v>18086175</v>
      </c>
      <c r="AA346" s="58">
        <f t="shared" si="42"/>
        <v>22820611</v>
      </c>
      <c r="AB346" s="1"/>
      <c r="AC346" s="1">
        <f t="shared" si="43"/>
        <v>0</v>
      </c>
    </row>
    <row r="347" spans="1:29">
      <c r="A347" s="17" t="s">
        <v>513</v>
      </c>
      <c r="B347" s="17"/>
      <c r="C347" s="17" t="s">
        <v>51</v>
      </c>
      <c r="D347" s="17"/>
      <c r="E347" s="13">
        <v>48850</v>
      </c>
      <c r="G347" s="1">
        <v>2758920</v>
      </c>
      <c r="I347" s="1">
        <v>0</v>
      </c>
      <c r="K347" s="41">
        <f t="shared" si="45"/>
        <v>3812338</v>
      </c>
      <c r="M347" s="1">
        <v>6571258</v>
      </c>
      <c r="O347" s="41">
        <f t="shared" si="44"/>
        <v>2836456</v>
      </c>
      <c r="Q347" s="1">
        <v>3514590</v>
      </c>
      <c r="S347" s="1">
        <v>6351046</v>
      </c>
      <c r="U347" s="1">
        <f>42815+14335</f>
        <v>57150</v>
      </c>
      <c r="W347" s="1">
        <v>0</v>
      </c>
      <c r="Y347" s="1">
        <v>163062</v>
      </c>
      <c r="AA347" s="58">
        <f t="shared" si="42"/>
        <v>220212</v>
      </c>
      <c r="AB347" s="1"/>
      <c r="AC347" s="1">
        <f t="shared" si="43"/>
        <v>0</v>
      </c>
    </row>
    <row r="348" spans="1:29" hidden="1">
      <c r="A348" s="17" t="s">
        <v>783</v>
      </c>
      <c r="B348" s="17"/>
      <c r="C348" s="17" t="s">
        <v>33</v>
      </c>
      <c r="D348" s="17"/>
      <c r="E348" s="13">
        <v>47456</v>
      </c>
      <c r="K348" s="41">
        <f>+M348-I348-G348</f>
        <v>0</v>
      </c>
      <c r="O348" s="41">
        <f>+S348-Q348</f>
        <v>0</v>
      </c>
      <c r="AA348" s="58">
        <f>+Y348+W348++U348</f>
        <v>0</v>
      </c>
      <c r="AB348" s="16"/>
      <c r="AC348" s="16">
        <f t="shared" ref="AC348:AC369" si="46">+G348+I348+K348-O348-Q348-Y348-W348-U348</f>
        <v>0</v>
      </c>
    </row>
    <row r="349" spans="1:29" s="16" customFormat="1">
      <c r="A349" s="14" t="s">
        <v>780</v>
      </c>
      <c r="B349" s="14"/>
      <c r="C349" s="14" t="s">
        <v>64</v>
      </c>
      <c r="D349" s="14"/>
      <c r="E349" s="13">
        <v>50229</v>
      </c>
      <c r="G349" s="1">
        <v>239349</v>
      </c>
      <c r="H349" s="1"/>
      <c r="I349" s="1">
        <v>0</v>
      </c>
      <c r="J349" s="1"/>
      <c r="K349" s="41">
        <f t="shared" ref="K349:K375" si="47">+M349-I349-G349</f>
        <v>1601032</v>
      </c>
      <c r="L349" s="1"/>
      <c r="M349" s="1">
        <v>1840381</v>
      </c>
      <c r="N349" s="1"/>
      <c r="O349" s="41">
        <f t="shared" ref="O349:O375" si="48">+S349-Q349</f>
        <v>2769452</v>
      </c>
      <c r="P349" s="1"/>
      <c r="Q349" s="1">
        <v>1533575</v>
      </c>
      <c r="R349" s="1"/>
      <c r="S349" s="1">
        <v>4303027</v>
      </c>
      <c r="T349" s="1"/>
      <c r="U349" s="1">
        <v>10864</v>
      </c>
      <c r="V349" s="1"/>
      <c r="W349" s="1">
        <v>962056</v>
      </c>
      <c r="X349" s="1"/>
      <c r="Y349" s="1">
        <v>-3435566</v>
      </c>
      <c r="Z349" s="1"/>
      <c r="AA349" s="58">
        <f t="shared" ref="AA349:AA413" si="49">+Y349+W349++U349</f>
        <v>-2462646</v>
      </c>
      <c r="AB349" s="1"/>
      <c r="AC349" s="1">
        <f t="shared" si="46"/>
        <v>0</v>
      </c>
    </row>
    <row r="350" spans="1:29" s="1" customFormat="1">
      <c r="A350" s="12" t="s">
        <v>241</v>
      </c>
      <c r="B350" s="12"/>
      <c r="C350" s="12" t="s">
        <v>240</v>
      </c>
      <c r="D350" s="12"/>
      <c r="E350" s="12">
        <v>45484</v>
      </c>
      <c r="G350" s="1">
        <v>1431499</v>
      </c>
      <c r="I350" s="1">
        <v>37018</v>
      </c>
      <c r="K350" s="41">
        <f t="shared" si="47"/>
        <v>2409743</v>
      </c>
      <c r="M350" s="1">
        <v>3878260</v>
      </c>
      <c r="O350" s="41">
        <f t="shared" si="48"/>
        <v>1124660</v>
      </c>
      <c r="Q350" s="1">
        <f>100657+1494328</f>
        <v>1594985</v>
      </c>
      <c r="S350" s="1">
        <v>2719645</v>
      </c>
      <c r="U350" s="1">
        <f>64818+3417+173627+24392+12626+27000</f>
        <v>305880</v>
      </c>
      <c r="W350" s="1">
        <v>0</v>
      </c>
      <c r="Y350" s="1">
        <v>852735</v>
      </c>
      <c r="AA350" s="58">
        <f t="shared" si="49"/>
        <v>1158615</v>
      </c>
      <c r="AC350" s="1">
        <f t="shared" si="46"/>
        <v>0</v>
      </c>
    </row>
    <row r="351" spans="1:29">
      <c r="A351" s="17" t="s">
        <v>482</v>
      </c>
      <c r="B351" s="17"/>
      <c r="C351" s="17" t="s">
        <v>47</v>
      </c>
      <c r="D351" s="17"/>
      <c r="E351" s="13">
        <v>44388</v>
      </c>
      <c r="G351" s="1">
        <v>13072784</v>
      </c>
      <c r="I351" s="1">
        <v>0</v>
      </c>
      <c r="K351" s="41">
        <f t="shared" si="47"/>
        <v>47260656</v>
      </c>
      <c r="M351" s="1">
        <v>60333440</v>
      </c>
      <c r="O351" s="41">
        <f t="shared" si="48"/>
        <v>9385277</v>
      </c>
      <c r="Q351" s="1">
        <v>41533548</v>
      </c>
      <c r="S351" s="1">
        <v>50918825</v>
      </c>
      <c r="U351" s="1">
        <f>1707245+5441706</f>
        <v>7148951</v>
      </c>
      <c r="W351" s="1">
        <v>0</v>
      </c>
      <c r="Y351" s="1">
        <v>2265664</v>
      </c>
      <c r="AA351" s="58">
        <f t="shared" si="49"/>
        <v>9414615</v>
      </c>
      <c r="AB351" s="1"/>
      <c r="AC351" s="1">
        <f t="shared" si="46"/>
        <v>0</v>
      </c>
    </row>
    <row r="352" spans="1:29">
      <c r="A352" s="17" t="s">
        <v>485</v>
      </c>
      <c r="B352" s="17"/>
      <c r="C352" s="17" t="s">
        <v>484</v>
      </c>
      <c r="D352" s="17"/>
      <c r="E352" s="13">
        <v>48520</v>
      </c>
      <c r="G352" s="1">
        <v>505260</v>
      </c>
      <c r="I352" s="1">
        <v>68154</v>
      </c>
      <c r="K352" s="41">
        <f t="shared" si="47"/>
        <v>3767017</v>
      </c>
      <c r="M352" s="1">
        <v>4340431</v>
      </c>
      <c r="O352" s="41">
        <f t="shared" si="48"/>
        <v>1951481</v>
      </c>
      <c r="Q352" s="1">
        <v>3375169</v>
      </c>
      <c r="S352" s="1">
        <v>5326650</v>
      </c>
      <c r="U352" s="1">
        <f>62391+133768+68154+15880</f>
        <v>280193</v>
      </c>
      <c r="W352" s="1">
        <v>0</v>
      </c>
      <c r="Y352" s="1">
        <v>-1266412</v>
      </c>
      <c r="AA352" s="58">
        <f t="shared" si="49"/>
        <v>-986219</v>
      </c>
      <c r="AB352" s="1"/>
      <c r="AC352" s="1">
        <f t="shared" si="46"/>
        <v>0</v>
      </c>
    </row>
    <row r="353" spans="1:29">
      <c r="A353" s="17" t="s">
        <v>416</v>
      </c>
      <c r="B353" s="17"/>
      <c r="C353" s="17" t="s">
        <v>41</v>
      </c>
      <c r="D353" s="17"/>
      <c r="E353" s="13">
        <v>45492</v>
      </c>
      <c r="G353" s="1">
        <v>54056169</v>
      </c>
      <c r="I353" s="1">
        <v>0</v>
      </c>
      <c r="K353" s="41">
        <f t="shared" si="47"/>
        <v>64488745</v>
      </c>
      <c r="M353" s="1">
        <v>118544914</v>
      </c>
      <c r="O353" s="41">
        <f t="shared" si="48"/>
        <v>13794211</v>
      </c>
      <c r="Q353" s="1">
        <v>55777551</v>
      </c>
      <c r="S353" s="1">
        <v>69571762</v>
      </c>
      <c r="U353" s="1">
        <v>75796</v>
      </c>
      <c r="W353" s="1">
        <v>1317737</v>
      </c>
      <c r="Y353" s="1">
        <v>47579619</v>
      </c>
      <c r="AA353" s="58">
        <f t="shared" si="49"/>
        <v>48973152</v>
      </c>
      <c r="AB353" s="1"/>
      <c r="AC353" s="1">
        <f t="shared" si="46"/>
        <v>0</v>
      </c>
    </row>
    <row r="354" spans="1:29">
      <c r="A354" s="17" t="s">
        <v>488</v>
      </c>
      <c r="B354" s="17"/>
      <c r="C354" s="17" t="s">
        <v>48</v>
      </c>
      <c r="D354" s="17"/>
      <c r="E354" s="13">
        <v>48629</v>
      </c>
      <c r="G354" s="1">
        <v>284691</v>
      </c>
      <c r="I354" s="1">
        <v>203325</v>
      </c>
      <c r="K354" s="41">
        <f t="shared" si="47"/>
        <v>3922187</v>
      </c>
      <c r="M354" s="1">
        <v>4410203</v>
      </c>
      <c r="O354" s="41">
        <f t="shared" si="48"/>
        <v>1318989</v>
      </c>
      <c r="Q354" s="1">
        <v>2953849</v>
      </c>
      <c r="S354" s="1">
        <v>4272838</v>
      </c>
      <c r="U354" s="1">
        <f>194733+264875+203325</f>
        <v>662933</v>
      </c>
      <c r="W354" s="1">
        <v>0</v>
      </c>
      <c r="Y354" s="1">
        <v>-525568</v>
      </c>
      <c r="AA354" s="58">
        <f t="shared" si="49"/>
        <v>137365</v>
      </c>
      <c r="AB354" s="1"/>
      <c r="AC354" s="1">
        <f t="shared" si="46"/>
        <v>0</v>
      </c>
    </row>
    <row r="355" spans="1:29">
      <c r="A355" s="17" t="s">
        <v>327</v>
      </c>
      <c r="B355" s="17"/>
      <c r="C355" s="17" t="s">
        <v>26</v>
      </c>
      <c r="D355" s="17"/>
      <c r="E355" s="13">
        <v>46920</v>
      </c>
      <c r="G355" s="1">
        <v>3839500</v>
      </c>
      <c r="I355" s="1">
        <v>434849</v>
      </c>
      <c r="K355" s="41">
        <f t="shared" si="47"/>
        <v>9937821</v>
      </c>
      <c r="M355" s="1">
        <v>14212170</v>
      </c>
      <c r="O355" s="41">
        <f t="shared" si="48"/>
        <v>2995052</v>
      </c>
      <c r="Q355" s="1">
        <v>3489911</v>
      </c>
      <c r="S355" s="1">
        <v>6484963</v>
      </c>
      <c r="U355" s="1">
        <f>617900+3235998+434849</f>
        <v>4288747</v>
      </c>
      <c r="W355" s="1">
        <v>3105860</v>
      </c>
      <c r="Y355" s="1">
        <v>332600</v>
      </c>
      <c r="AA355" s="58">
        <f t="shared" si="49"/>
        <v>7727207</v>
      </c>
      <c r="AB355" s="1"/>
      <c r="AC355" s="1">
        <f t="shared" si="46"/>
        <v>0</v>
      </c>
    </row>
    <row r="356" spans="1:29">
      <c r="A356" s="17" t="s">
        <v>501</v>
      </c>
      <c r="B356" s="17"/>
      <c r="C356" s="17" t="s">
        <v>50</v>
      </c>
      <c r="D356" s="17"/>
      <c r="E356" s="13">
        <v>44396</v>
      </c>
      <c r="G356" s="1">
        <v>930185</v>
      </c>
      <c r="I356" s="1">
        <v>0</v>
      </c>
      <c r="K356" s="41">
        <f t="shared" si="47"/>
        <v>27431652</v>
      </c>
      <c r="M356" s="1">
        <v>28361837</v>
      </c>
      <c r="O356" s="41">
        <f t="shared" si="48"/>
        <v>6789528</v>
      </c>
      <c r="Q356" s="1">
        <v>25742935</v>
      </c>
      <c r="S356" s="1">
        <v>32532463</v>
      </c>
      <c r="U356" s="1">
        <f>221299+1297753</f>
        <v>1519052</v>
      </c>
      <c r="W356" s="1">
        <v>0</v>
      </c>
      <c r="Y356" s="1">
        <v>-5689678</v>
      </c>
      <c r="AA356" s="58">
        <f t="shared" si="49"/>
        <v>-4170626</v>
      </c>
      <c r="AB356" s="1"/>
      <c r="AC356" s="1">
        <f t="shared" si="46"/>
        <v>0</v>
      </c>
    </row>
    <row r="357" spans="1:29">
      <c r="A357" s="17" t="s">
        <v>232</v>
      </c>
      <c r="B357" s="17"/>
      <c r="C357" s="17" t="s">
        <v>227</v>
      </c>
      <c r="D357" s="17"/>
      <c r="E357" s="13">
        <v>44404</v>
      </c>
      <c r="G357" s="1">
        <v>9491904</v>
      </c>
      <c r="I357" s="1">
        <v>24610</v>
      </c>
      <c r="K357" s="41">
        <f t="shared" si="47"/>
        <v>17221012</v>
      </c>
      <c r="M357" s="1">
        <v>26737526</v>
      </c>
      <c r="O357" s="41">
        <f t="shared" si="48"/>
        <v>5605199</v>
      </c>
      <c r="Q357" s="1">
        <f>14406591+1364209</f>
        <v>15770800</v>
      </c>
      <c r="S357" s="1">
        <v>21375999</v>
      </c>
      <c r="U357" s="1">
        <f>210540+550000+24610</f>
        <v>785150</v>
      </c>
      <c r="W357" s="1">
        <v>0</v>
      </c>
      <c r="Y357" s="1">
        <v>4576377</v>
      </c>
      <c r="AA357" s="58">
        <f t="shared" si="49"/>
        <v>5361527</v>
      </c>
      <c r="AB357" s="1"/>
      <c r="AC357" s="1">
        <f t="shared" si="46"/>
        <v>0</v>
      </c>
    </row>
    <row r="358" spans="1:29">
      <c r="A358" s="17" t="s">
        <v>444</v>
      </c>
      <c r="B358" s="17"/>
      <c r="C358" s="17" t="s">
        <v>44</v>
      </c>
      <c r="D358" s="17"/>
      <c r="E358" s="13">
        <v>48173</v>
      </c>
      <c r="G358" s="1">
        <v>5488082</v>
      </c>
      <c r="I358" s="1">
        <v>181333</v>
      </c>
      <c r="K358" s="41">
        <f t="shared" si="47"/>
        <v>11145992</v>
      </c>
      <c r="M358" s="1">
        <v>16815407</v>
      </c>
      <c r="O358" s="41">
        <f t="shared" si="48"/>
        <v>3357463</v>
      </c>
      <c r="Q358" s="1">
        <v>10146890</v>
      </c>
      <c r="S358" s="1">
        <v>13504353</v>
      </c>
      <c r="U358" s="1">
        <f>16735+285517+146660+573445+169610+11723</f>
        <v>1203690</v>
      </c>
      <c r="W358" s="1">
        <v>0</v>
      </c>
      <c r="Y358" s="1">
        <v>2107364</v>
      </c>
      <c r="AA358" s="58">
        <f t="shared" si="49"/>
        <v>3311054</v>
      </c>
      <c r="AB358" s="1"/>
      <c r="AC358" s="1">
        <f t="shared" si="46"/>
        <v>0</v>
      </c>
    </row>
    <row r="359" spans="1:29">
      <c r="A359" s="17" t="s">
        <v>255</v>
      </c>
      <c r="B359" s="17"/>
      <c r="C359" s="17" t="s">
        <v>115</v>
      </c>
      <c r="D359" s="17"/>
      <c r="E359" s="13">
        <v>45500</v>
      </c>
      <c r="G359" s="1">
        <v>11660008</v>
      </c>
      <c r="I359" s="1">
        <v>0</v>
      </c>
      <c r="K359" s="41">
        <f t="shared" si="47"/>
        <v>37163828</v>
      </c>
      <c r="M359" s="1">
        <v>48823836</v>
      </c>
      <c r="O359" s="41">
        <f t="shared" si="48"/>
        <v>6656348</v>
      </c>
      <c r="Q359" s="1">
        <v>32955702</v>
      </c>
      <c r="S359" s="1">
        <v>39612050</v>
      </c>
      <c r="U359" s="1">
        <f>125638+4072600</f>
        <v>4198238</v>
      </c>
      <c r="W359" s="1">
        <v>0</v>
      </c>
      <c r="Y359" s="1">
        <v>5013548</v>
      </c>
      <c r="AA359" s="58">
        <f t="shared" si="49"/>
        <v>9211786</v>
      </c>
      <c r="AB359" s="1"/>
      <c r="AC359" s="1">
        <f t="shared" si="46"/>
        <v>0</v>
      </c>
    </row>
    <row r="360" spans="1:29" hidden="1">
      <c r="A360" s="17" t="s">
        <v>734</v>
      </c>
      <c r="B360" s="17"/>
      <c r="C360" s="17" t="s">
        <v>643</v>
      </c>
      <c r="D360" s="17"/>
      <c r="E360" s="13">
        <v>50633</v>
      </c>
      <c r="K360" s="41">
        <f t="shared" si="47"/>
        <v>0</v>
      </c>
      <c r="O360" s="41">
        <f t="shared" si="48"/>
        <v>0</v>
      </c>
      <c r="AA360" s="58">
        <f t="shared" si="49"/>
        <v>0</v>
      </c>
      <c r="AB360" s="1"/>
      <c r="AC360" s="1">
        <f t="shared" si="46"/>
        <v>0</v>
      </c>
    </row>
    <row r="361" spans="1:29" hidden="1">
      <c r="A361" s="12" t="s">
        <v>851</v>
      </c>
      <c r="B361" s="17"/>
      <c r="C361" s="17" t="s">
        <v>542</v>
      </c>
      <c r="D361" s="17"/>
      <c r="E361" s="13">
        <v>49361</v>
      </c>
      <c r="K361" s="41">
        <f t="shared" si="47"/>
        <v>0</v>
      </c>
      <c r="O361" s="41">
        <f t="shared" si="48"/>
        <v>0</v>
      </c>
      <c r="AA361" s="58">
        <f t="shared" si="49"/>
        <v>0</v>
      </c>
      <c r="AB361" s="1"/>
      <c r="AC361" s="1">
        <f t="shared" si="46"/>
        <v>0</v>
      </c>
    </row>
    <row r="362" spans="1:29">
      <c r="A362" s="17" t="s">
        <v>489</v>
      </c>
      <c r="B362" s="17"/>
      <c r="C362" s="17" t="s">
        <v>48</v>
      </c>
      <c r="D362" s="17"/>
      <c r="E362" s="13">
        <v>45518</v>
      </c>
      <c r="G362" s="1">
        <v>1048047</v>
      </c>
      <c r="I362" s="1">
        <v>38814</v>
      </c>
      <c r="K362" s="41">
        <f t="shared" si="47"/>
        <v>9408238</v>
      </c>
      <c r="M362" s="1">
        <v>10495099</v>
      </c>
      <c r="O362" s="41">
        <f t="shared" si="48"/>
        <v>2029721</v>
      </c>
      <c r="Q362" s="1">
        <v>4496316</v>
      </c>
      <c r="S362" s="1">
        <v>6526037</v>
      </c>
      <c r="U362" s="1">
        <f>90994+24520+11308+409918+38814</f>
        <v>575554</v>
      </c>
      <c r="W362" s="1">
        <v>0</v>
      </c>
      <c r="Y362" s="1">
        <v>3393508</v>
      </c>
      <c r="AA362" s="58">
        <f t="shared" si="49"/>
        <v>3969062</v>
      </c>
      <c r="AB362" s="1"/>
      <c r="AC362" s="1">
        <f t="shared" si="46"/>
        <v>0</v>
      </c>
    </row>
    <row r="363" spans="1:29">
      <c r="A363" s="17" t="s">
        <v>581</v>
      </c>
      <c r="B363" s="17"/>
      <c r="C363" s="17" t="s">
        <v>62</v>
      </c>
      <c r="D363" s="17"/>
      <c r="E363" s="13">
        <v>49890</v>
      </c>
      <c r="G363" s="1">
        <v>0</v>
      </c>
      <c r="I363" s="1">
        <v>0</v>
      </c>
      <c r="K363" s="41">
        <f t="shared" si="47"/>
        <v>5647943</v>
      </c>
      <c r="M363" s="1">
        <v>5647943</v>
      </c>
      <c r="O363" s="41">
        <f t="shared" si="48"/>
        <v>2065464</v>
      </c>
      <c r="Q363" s="1">
        <v>5173938</v>
      </c>
      <c r="S363" s="1">
        <v>7239402</v>
      </c>
      <c r="U363" s="1">
        <f>92049+12192+157899+148492</f>
        <v>410632</v>
      </c>
      <c r="W363" s="1">
        <v>0</v>
      </c>
      <c r="Y363" s="1">
        <v>-2002091</v>
      </c>
      <c r="AA363" s="58">
        <f t="shared" si="49"/>
        <v>-1591459</v>
      </c>
      <c r="AB363" s="1"/>
      <c r="AC363" s="1">
        <f t="shared" si="46"/>
        <v>0</v>
      </c>
    </row>
    <row r="364" spans="1:29">
      <c r="A364" s="17" t="s">
        <v>562</v>
      </c>
      <c r="B364" s="17"/>
      <c r="C364" s="17" t="s">
        <v>59</v>
      </c>
      <c r="D364" s="17"/>
      <c r="E364" s="13">
        <v>49627</v>
      </c>
      <c r="G364" s="1">
        <v>1343010</v>
      </c>
      <c r="I364" s="1">
        <v>60708</v>
      </c>
      <c r="K364" s="41">
        <f t="shared" si="47"/>
        <v>1826907</v>
      </c>
      <c r="M364" s="1">
        <v>3230625</v>
      </c>
      <c r="O364" s="41">
        <f t="shared" si="48"/>
        <v>1178430</v>
      </c>
      <c r="Q364" s="1">
        <v>1686771</v>
      </c>
      <c r="S364" s="1">
        <v>2865201</v>
      </c>
      <c r="U364" s="1">
        <f>550743+138236+60708</f>
        <v>749687</v>
      </c>
      <c r="W364" s="1">
        <v>0</v>
      </c>
      <c r="Y364" s="1">
        <v>-384263</v>
      </c>
      <c r="AA364" s="58">
        <f t="shared" si="49"/>
        <v>365424</v>
      </c>
      <c r="AB364" s="1"/>
      <c r="AC364" s="1">
        <f t="shared" si="46"/>
        <v>0</v>
      </c>
    </row>
    <row r="365" spans="1:29">
      <c r="A365" s="17" t="s">
        <v>217</v>
      </c>
      <c r="B365" s="17"/>
      <c r="C365" s="17" t="s">
        <v>14</v>
      </c>
      <c r="D365" s="17"/>
      <c r="E365" s="13">
        <v>45948</v>
      </c>
      <c r="G365" s="1">
        <v>558218</v>
      </c>
      <c r="I365" s="1">
        <v>10076</v>
      </c>
      <c r="K365" s="41">
        <f t="shared" si="47"/>
        <v>3469646</v>
      </c>
      <c r="M365" s="1">
        <v>4037940</v>
      </c>
      <c r="O365" s="41">
        <f t="shared" si="48"/>
        <v>1052301</v>
      </c>
      <c r="Q365" s="1">
        <v>2721491</v>
      </c>
      <c r="S365" s="1">
        <v>3773792</v>
      </c>
      <c r="U365" s="1">
        <f>549007+7373+2703+18669</f>
        <v>577752</v>
      </c>
      <c r="W365" s="1">
        <v>0</v>
      </c>
      <c r="Y365" s="1">
        <v>-313604</v>
      </c>
      <c r="AA365" s="58">
        <f t="shared" si="49"/>
        <v>264148</v>
      </c>
      <c r="AB365" s="1"/>
      <c r="AC365" s="1">
        <f t="shared" si="46"/>
        <v>0</v>
      </c>
    </row>
    <row r="366" spans="1:29" hidden="1">
      <c r="A366" s="17" t="s">
        <v>782</v>
      </c>
      <c r="B366" s="17"/>
      <c r="C366" s="17" t="s">
        <v>21</v>
      </c>
      <c r="D366" s="17"/>
      <c r="E366" s="13">
        <v>46672</v>
      </c>
      <c r="K366" s="41">
        <f t="shared" si="47"/>
        <v>0</v>
      </c>
      <c r="O366" s="41">
        <f t="shared" si="48"/>
        <v>0</v>
      </c>
      <c r="AA366" s="58">
        <f t="shared" si="49"/>
        <v>0</v>
      </c>
      <c r="AB366" s="1"/>
      <c r="AC366" s="1">
        <f t="shared" si="46"/>
        <v>0</v>
      </c>
    </row>
    <row r="367" spans="1:29">
      <c r="A367" s="17" t="s">
        <v>591</v>
      </c>
      <c r="B367" s="17"/>
      <c r="C367" s="17" t="s">
        <v>63</v>
      </c>
      <c r="D367" s="17"/>
      <c r="E367" s="13">
        <v>50039</v>
      </c>
      <c r="G367" s="1">
        <v>4486070</v>
      </c>
      <c r="I367" s="1">
        <v>147056</v>
      </c>
      <c r="K367" s="41">
        <f t="shared" si="47"/>
        <v>2417950</v>
      </c>
      <c r="M367" s="1">
        <v>7051076</v>
      </c>
      <c r="O367" s="41">
        <f t="shared" si="48"/>
        <v>1077864</v>
      </c>
      <c r="Q367" s="1">
        <v>2146552</v>
      </c>
      <c r="S367" s="1">
        <v>3224416</v>
      </c>
      <c r="U367" s="1">
        <f>66173+265623+115288+31768</f>
        <v>478852</v>
      </c>
      <c r="W367" s="1">
        <v>0</v>
      </c>
      <c r="Y367" s="1">
        <v>3347808</v>
      </c>
      <c r="AA367" s="58">
        <f t="shared" si="49"/>
        <v>3826660</v>
      </c>
      <c r="AB367" s="1"/>
      <c r="AC367" s="1">
        <f t="shared" si="46"/>
        <v>0</v>
      </c>
    </row>
    <row r="368" spans="1:29" hidden="1">
      <c r="A368" s="17" t="s">
        <v>743</v>
      </c>
      <c r="B368" s="17"/>
      <c r="C368" s="17" t="s">
        <v>653</v>
      </c>
      <c r="D368" s="17"/>
      <c r="E368" s="13">
        <v>50740</v>
      </c>
      <c r="K368" s="41">
        <f t="shared" si="47"/>
        <v>0</v>
      </c>
      <c r="O368" s="41">
        <f t="shared" si="48"/>
        <v>0</v>
      </c>
      <c r="AA368" s="58">
        <f t="shared" si="49"/>
        <v>0</v>
      </c>
      <c r="AB368" s="1"/>
      <c r="AC368" s="1">
        <f t="shared" si="46"/>
        <v>0</v>
      </c>
    </row>
    <row r="369" spans="1:29">
      <c r="A369" s="17" t="s">
        <v>233</v>
      </c>
      <c r="B369" s="17"/>
      <c r="C369" s="17" t="s">
        <v>227</v>
      </c>
      <c r="D369" s="17"/>
      <c r="E369" s="13">
        <v>139303</v>
      </c>
      <c r="G369" s="1">
        <v>200615</v>
      </c>
      <c r="I369" s="1">
        <v>256054</v>
      </c>
      <c r="K369" s="41">
        <f t="shared" si="47"/>
        <v>7342135</v>
      </c>
      <c r="M369" s="1">
        <v>7798804</v>
      </c>
      <c r="O369" s="41">
        <f t="shared" si="48"/>
        <v>1752266</v>
      </c>
      <c r="Q369" s="1">
        <v>7237776</v>
      </c>
      <c r="S369" s="1">
        <v>8990042</v>
      </c>
      <c r="U369" s="1">
        <f>67718+79803+256054</f>
        <v>403575</v>
      </c>
      <c r="W369" s="1">
        <v>0</v>
      </c>
      <c r="Y369" s="1">
        <v>-1594813</v>
      </c>
      <c r="AA369" s="58">
        <f t="shared" si="49"/>
        <v>-1191238</v>
      </c>
      <c r="AB369" s="1"/>
      <c r="AC369" s="1">
        <f t="shared" si="46"/>
        <v>0</v>
      </c>
    </row>
    <row r="370" spans="1:29">
      <c r="A370" s="17" t="s">
        <v>404</v>
      </c>
      <c r="B370" s="17"/>
      <c r="C370" s="17" t="s">
        <v>37</v>
      </c>
      <c r="D370" s="17"/>
      <c r="E370" s="13">
        <v>47712</v>
      </c>
      <c r="G370" s="1">
        <v>724521</v>
      </c>
      <c r="I370" s="1">
        <v>96473</v>
      </c>
      <c r="K370" s="41">
        <f t="shared" si="47"/>
        <v>2316766</v>
      </c>
      <c r="M370" s="1">
        <v>3137760</v>
      </c>
      <c r="O370" s="41">
        <f t="shared" si="48"/>
        <v>787971</v>
      </c>
      <c r="Q370" s="1">
        <f>111863+1753396</f>
        <v>1865259</v>
      </c>
      <c r="S370" s="1">
        <v>2653230</v>
      </c>
      <c r="U370" s="1">
        <f>14702+2026+5235+240813+91238</f>
        <v>354014</v>
      </c>
      <c r="W370" s="1">
        <v>0</v>
      </c>
      <c r="Y370" s="1">
        <v>130516</v>
      </c>
      <c r="AA370" s="58">
        <f t="shared" si="49"/>
        <v>484530</v>
      </c>
      <c r="AB370" s="1"/>
      <c r="AC370" s="1">
        <f t="shared" ref="AC370:AC430" si="50">+G370+I370+K370-O370-Q370-Y370-W370-U370</f>
        <v>0</v>
      </c>
    </row>
    <row r="371" spans="1:29" hidden="1">
      <c r="A371" s="17" t="s">
        <v>949</v>
      </c>
      <c r="B371" s="17"/>
      <c r="C371" s="17" t="s">
        <v>643</v>
      </c>
      <c r="D371" s="17"/>
      <c r="E371" s="13">
        <v>45526</v>
      </c>
      <c r="K371" s="41">
        <f t="shared" si="47"/>
        <v>0</v>
      </c>
      <c r="O371" s="41">
        <f t="shared" si="48"/>
        <v>0</v>
      </c>
      <c r="AA371" s="58">
        <f t="shared" si="49"/>
        <v>0</v>
      </c>
      <c r="AB371" s="1"/>
      <c r="AC371" s="1">
        <f t="shared" si="50"/>
        <v>0</v>
      </c>
    </row>
    <row r="372" spans="1:29">
      <c r="A372" s="17" t="s">
        <v>508</v>
      </c>
      <c r="B372" s="17"/>
      <c r="C372" s="17" t="s">
        <v>509</v>
      </c>
      <c r="D372" s="17"/>
      <c r="E372" s="13">
        <v>48777</v>
      </c>
      <c r="G372" s="1">
        <v>5161544</v>
      </c>
      <c r="I372" s="1">
        <v>347753</v>
      </c>
      <c r="K372" s="41">
        <f t="shared" si="47"/>
        <v>4359218</v>
      </c>
      <c r="M372" s="1">
        <v>9868515</v>
      </c>
      <c r="O372" s="41">
        <f t="shared" si="48"/>
        <v>1731098</v>
      </c>
      <c r="Q372" s="1">
        <v>3744274</v>
      </c>
      <c r="S372" s="1">
        <v>5475372</v>
      </c>
      <c r="U372" s="1">
        <f>530150+177461+76683+479582+93609</f>
        <v>1357485</v>
      </c>
      <c r="W372" s="1">
        <v>0</v>
      </c>
      <c r="Y372" s="1">
        <v>3035658</v>
      </c>
      <c r="AA372" s="58">
        <f t="shared" si="49"/>
        <v>4393143</v>
      </c>
      <c r="AB372" s="1"/>
      <c r="AC372" s="1">
        <f t="shared" si="50"/>
        <v>0</v>
      </c>
    </row>
    <row r="373" spans="1:29">
      <c r="A373" s="12" t="s">
        <v>757</v>
      </c>
      <c r="B373" s="17"/>
      <c r="C373" s="17" t="s">
        <v>78</v>
      </c>
      <c r="D373" s="17"/>
      <c r="E373" s="13">
        <v>45534</v>
      </c>
      <c r="G373" s="1">
        <v>2434657</v>
      </c>
      <c r="I373" s="1">
        <v>47229</v>
      </c>
      <c r="K373" s="41">
        <f t="shared" si="47"/>
        <v>6442978</v>
      </c>
      <c r="M373" s="1">
        <v>8924864</v>
      </c>
      <c r="O373" s="41">
        <f t="shared" si="48"/>
        <v>1510823</v>
      </c>
      <c r="Q373" s="1">
        <f>658472+4653328</f>
        <v>5311800</v>
      </c>
      <c r="S373" s="1">
        <v>6822623</v>
      </c>
      <c r="U373" s="1">
        <f>110166+8905+543788+34869+12360</f>
        <v>710088</v>
      </c>
      <c r="W373" s="1">
        <v>0</v>
      </c>
      <c r="Y373" s="1">
        <v>1392153</v>
      </c>
      <c r="AA373" s="58">
        <f t="shared" si="49"/>
        <v>2102241</v>
      </c>
      <c r="AB373" s="1"/>
      <c r="AC373" s="1">
        <f t="shared" si="50"/>
        <v>0</v>
      </c>
    </row>
    <row r="374" spans="1:29">
      <c r="A374" s="17" t="s">
        <v>415</v>
      </c>
      <c r="B374" s="17"/>
      <c r="C374" s="17" t="s">
        <v>40</v>
      </c>
      <c r="D374" s="17"/>
      <c r="E374" s="13">
        <v>44420</v>
      </c>
      <c r="G374" s="1">
        <v>4111047</v>
      </c>
      <c r="I374" s="1">
        <v>612612</v>
      </c>
      <c r="K374" s="41">
        <f>+M374-I374-G374</f>
        <v>14534343</v>
      </c>
      <c r="M374" s="1">
        <v>19258002</v>
      </c>
      <c r="O374" s="41">
        <f t="shared" si="48"/>
        <v>3688686</v>
      </c>
      <c r="Q374" s="1">
        <f>88836+9325174</f>
        <v>9414010</v>
      </c>
      <c r="S374" s="1">
        <v>13102696</v>
      </c>
      <c r="U374" s="1">
        <f>331635+2359+5030580+17178+612612</f>
        <v>5994364</v>
      </c>
      <c r="W374" s="1">
        <v>0</v>
      </c>
      <c r="Y374" s="1">
        <v>160942</v>
      </c>
      <c r="AA374" s="58">
        <f t="shared" si="49"/>
        <v>6155306</v>
      </c>
      <c r="AB374" s="1"/>
      <c r="AC374" s="1">
        <f t="shared" si="50"/>
        <v>0</v>
      </c>
    </row>
    <row r="375" spans="1:29">
      <c r="A375" s="12" t="s">
        <v>913</v>
      </c>
      <c r="B375" s="17"/>
      <c r="C375" s="17" t="s">
        <v>32</v>
      </c>
      <c r="D375" s="17"/>
      <c r="E375" s="13">
        <v>44412</v>
      </c>
      <c r="G375" s="1">
        <v>828089</v>
      </c>
      <c r="I375" s="1">
        <v>889998</v>
      </c>
      <c r="K375" s="41">
        <f t="shared" si="47"/>
        <v>13038514</v>
      </c>
      <c r="M375" s="1">
        <v>14756601</v>
      </c>
      <c r="O375" s="41">
        <f t="shared" si="48"/>
        <v>4461026</v>
      </c>
      <c r="Q375" s="1">
        <v>7890512</v>
      </c>
      <c r="S375" s="1">
        <v>12351538</v>
      </c>
      <c r="U375" s="1">
        <f>375157+4149000+889998</f>
        <v>5414155</v>
      </c>
      <c r="W375" s="1">
        <v>0</v>
      </c>
      <c r="Y375" s="1">
        <v>-3009092</v>
      </c>
      <c r="AA375" s="58">
        <f t="shared" si="49"/>
        <v>2405063</v>
      </c>
      <c r="AB375" s="1"/>
      <c r="AC375" s="1">
        <f t="shared" si="50"/>
        <v>0</v>
      </c>
    </row>
    <row r="376" spans="1:29">
      <c r="A376" s="17" t="s">
        <v>392</v>
      </c>
      <c r="B376" s="17"/>
      <c r="C376" s="17" t="s">
        <v>34</v>
      </c>
      <c r="D376" s="17"/>
      <c r="E376" s="13">
        <v>44438</v>
      </c>
      <c r="G376" s="1">
        <v>8691593</v>
      </c>
      <c r="I376" s="1">
        <v>51337</v>
      </c>
      <c r="K376" s="41">
        <f t="shared" ref="K376:K413" si="51">+M376-I376-G376</f>
        <v>11871450</v>
      </c>
      <c r="M376" s="1">
        <v>20614380</v>
      </c>
      <c r="O376" s="41">
        <f t="shared" ref="O376:O410" si="52">+S376-Q376</f>
        <v>2418861</v>
      </c>
      <c r="Q376" s="1">
        <v>9695134</v>
      </c>
      <c r="S376" s="1">
        <v>12113995</v>
      </c>
      <c r="U376" s="1">
        <f>385932+126923+674139+987086+51337</f>
        <v>2225417</v>
      </c>
      <c r="W376" s="1">
        <v>200815</v>
      </c>
      <c r="Y376" s="1">
        <v>6074153</v>
      </c>
      <c r="AA376" s="58">
        <f t="shared" si="49"/>
        <v>8500385</v>
      </c>
      <c r="AB376" s="1"/>
      <c r="AC376" s="1">
        <f t="shared" si="50"/>
        <v>0</v>
      </c>
    </row>
    <row r="377" spans="1:29" hidden="1">
      <c r="A377" s="12" t="s">
        <v>945</v>
      </c>
      <c r="B377" s="12"/>
      <c r="C377" s="12" t="s">
        <v>57</v>
      </c>
      <c r="D377" s="17"/>
      <c r="E377" s="13"/>
      <c r="K377" s="41">
        <f t="shared" ref="K377" si="53">+M377-I377-G377</f>
        <v>0</v>
      </c>
      <c r="O377" s="41">
        <f t="shared" ref="O377" si="54">+S377-Q377</f>
        <v>0</v>
      </c>
      <c r="AA377" s="58">
        <f t="shared" ref="AA377" si="55">+Y377+W377++U377</f>
        <v>0</v>
      </c>
      <c r="AB377" s="1"/>
      <c r="AC377" s="1">
        <f t="shared" ref="AC377" si="56">+G377+I377+K377-O377-Q377-Y377-W377-U377</f>
        <v>0</v>
      </c>
    </row>
    <row r="378" spans="1:29">
      <c r="A378" s="17" t="s">
        <v>215</v>
      </c>
      <c r="B378" s="17"/>
      <c r="C378" s="17" t="s">
        <v>13</v>
      </c>
      <c r="D378" s="17"/>
      <c r="E378" s="13">
        <v>44446</v>
      </c>
      <c r="G378" s="1">
        <v>3353620</v>
      </c>
      <c r="I378" s="1">
        <v>150707</v>
      </c>
      <c r="K378" s="41">
        <f t="shared" si="51"/>
        <v>2083844</v>
      </c>
      <c r="M378" s="1">
        <v>5588171</v>
      </c>
      <c r="O378" s="41">
        <f t="shared" si="52"/>
        <v>1312708</v>
      </c>
      <c r="Q378" s="1">
        <v>1850066</v>
      </c>
      <c r="S378" s="1">
        <v>3162774</v>
      </c>
      <c r="U378" s="1">
        <f>94303+197152+74359+34897+40730+721</f>
        <v>442162</v>
      </c>
      <c r="W378" s="1">
        <v>0</v>
      </c>
      <c r="Y378" s="1">
        <v>1983235</v>
      </c>
      <c r="AA378" s="58">
        <f t="shared" si="49"/>
        <v>2425397</v>
      </c>
      <c r="AB378" s="1"/>
      <c r="AC378" s="1">
        <f t="shared" si="50"/>
        <v>0</v>
      </c>
    </row>
    <row r="379" spans="1:29">
      <c r="A379" s="17" t="s">
        <v>728</v>
      </c>
      <c r="B379" s="17"/>
      <c r="C379" s="17" t="s">
        <v>27</v>
      </c>
      <c r="D379" s="17"/>
      <c r="E379" s="13"/>
      <c r="G379" s="1">
        <v>18874136</v>
      </c>
      <c r="I379" s="1">
        <v>0</v>
      </c>
      <c r="K379" s="41">
        <f t="shared" si="51"/>
        <v>38555241</v>
      </c>
      <c r="M379" s="1">
        <v>57429377</v>
      </c>
      <c r="O379" s="41">
        <f t="shared" si="52"/>
        <v>6544151</v>
      </c>
      <c r="Q379" s="1">
        <v>23934300</v>
      </c>
      <c r="S379" s="1">
        <v>30478451</v>
      </c>
      <c r="U379" s="1">
        <f>14568500+479116</f>
        <v>15047616</v>
      </c>
      <c r="W379" s="1">
        <v>0</v>
      </c>
      <c r="Y379" s="1">
        <v>11903310</v>
      </c>
      <c r="AA379" s="58">
        <f t="shared" si="49"/>
        <v>26950926</v>
      </c>
      <c r="AB379" s="1"/>
      <c r="AC379" s="1">
        <f t="shared" si="50"/>
        <v>0</v>
      </c>
    </row>
    <row r="380" spans="1:29">
      <c r="A380" s="17" t="s">
        <v>563</v>
      </c>
      <c r="B380" s="17"/>
      <c r="C380" s="17" t="s">
        <v>59</v>
      </c>
      <c r="D380" s="17"/>
      <c r="E380" s="13">
        <v>44461</v>
      </c>
      <c r="G380" s="1">
        <v>1597500</v>
      </c>
      <c r="I380" s="1">
        <v>0</v>
      </c>
      <c r="K380" s="41">
        <f t="shared" si="51"/>
        <v>3290884</v>
      </c>
      <c r="M380" s="1">
        <v>4888384</v>
      </c>
      <c r="O380" s="41">
        <f t="shared" si="52"/>
        <v>410212</v>
      </c>
      <c r="Q380" s="1">
        <v>3167216</v>
      </c>
      <c r="S380" s="1">
        <v>3577428</v>
      </c>
      <c r="U380" s="1">
        <f>17725+102439</f>
        <v>120164</v>
      </c>
      <c r="W380" s="1">
        <v>0</v>
      </c>
      <c r="Y380" s="1">
        <v>1190792</v>
      </c>
      <c r="AA380" s="58">
        <f t="shared" si="49"/>
        <v>1310956</v>
      </c>
      <c r="AB380" s="1"/>
      <c r="AC380" s="1">
        <f t="shared" si="50"/>
        <v>0</v>
      </c>
    </row>
    <row r="381" spans="1:29">
      <c r="A381" s="17" t="s">
        <v>218</v>
      </c>
      <c r="B381" s="17"/>
      <c r="C381" s="17" t="s">
        <v>14</v>
      </c>
      <c r="D381" s="17"/>
      <c r="E381" s="13">
        <v>45955</v>
      </c>
      <c r="G381" s="1">
        <v>5563990</v>
      </c>
      <c r="I381" s="1">
        <v>0</v>
      </c>
      <c r="K381" s="41">
        <f t="shared" si="51"/>
        <v>2777301</v>
      </c>
      <c r="M381" s="1">
        <v>8341291</v>
      </c>
      <c r="O381" s="41">
        <f t="shared" si="52"/>
        <v>1055764</v>
      </c>
      <c r="Q381" s="1">
        <v>1945543</v>
      </c>
      <c r="S381" s="1">
        <v>3001307</v>
      </c>
      <c r="U381" s="1">
        <f>341354+16736+5317+1092</f>
        <v>364499</v>
      </c>
      <c r="W381" s="1">
        <v>0</v>
      </c>
      <c r="Y381" s="1">
        <v>4975485</v>
      </c>
      <c r="AA381" s="58">
        <f t="shared" si="49"/>
        <v>5339984</v>
      </c>
      <c r="AB381" s="1"/>
      <c r="AC381" s="1">
        <f t="shared" si="50"/>
        <v>0</v>
      </c>
    </row>
    <row r="382" spans="1:29" hidden="1">
      <c r="A382" s="17" t="s">
        <v>879</v>
      </c>
      <c r="B382" s="17"/>
      <c r="C382" s="17" t="s">
        <v>14</v>
      </c>
      <c r="D382" s="17"/>
      <c r="E382" s="13">
        <v>45963</v>
      </c>
      <c r="K382" s="41">
        <f t="shared" si="51"/>
        <v>0</v>
      </c>
      <c r="O382" s="41">
        <f t="shared" si="52"/>
        <v>0</v>
      </c>
      <c r="AA382" s="58">
        <f t="shared" si="49"/>
        <v>0</v>
      </c>
      <c r="AB382" s="1"/>
      <c r="AC382" s="1">
        <f t="shared" si="50"/>
        <v>0</v>
      </c>
    </row>
    <row r="383" spans="1:29">
      <c r="A383" s="17" t="s">
        <v>502</v>
      </c>
      <c r="B383" s="17"/>
      <c r="C383" s="17" t="s">
        <v>50</v>
      </c>
      <c r="D383" s="17"/>
      <c r="E383" s="13">
        <v>48710</v>
      </c>
      <c r="G383" s="1">
        <v>4354692</v>
      </c>
      <c r="I383" s="1">
        <v>107643</v>
      </c>
      <c r="K383" s="41">
        <f t="shared" si="51"/>
        <v>2850820</v>
      </c>
      <c r="M383" s="1">
        <v>7313155</v>
      </c>
      <c r="O383" s="41">
        <f t="shared" si="52"/>
        <v>941241</v>
      </c>
      <c r="Q383" s="1">
        <f>151788+2027195</f>
        <v>2178983</v>
      </c>
      <c r="S383" s="1">
        <v>3120224</v>
      </c>
      <c r="U383" s="1">
        <f>129854+12590+107805+107643</f>
        <v>357892</v>
      </c>
      <c r="W383" s="1">
        <v>0</v>
      </c>
      <c r="Y383" s="1">
        <v>3835039</v>
      </c>
      <c r="AA383" s="58">
        <f t="shared" si="49"/>
        <v>4192931</v>
      </c>
      <c r="AB383" s="1"/>
      <c r="AC383" s="1">
        <f t="shared" si="50"/>
        <v>0</v>
      </c>
    </row>
    <row r="384" spans="1:29" hidden="1">
      <c r="A384" s="12" t="s">
        <v>889</v>
      </c>
      <c r="B384" s="17"/>
      <c r="C384" s="17" t="s">
        <v>524</v>
      </c>
      <c r="D384" s="17"/>
      <c r="E384" s="13">
        <v>44479</v>
      </c>
      <c r="K384" s="41">
        <f t="shared" si="51"/>
        <v>0</v>
      </c>
      <c r="O384" s="41">
        <f t="shared" si="52"/>
        <v>0</v>
      </c>
      <c r="AA384" s="58">
        <f t="shared" si="49"/>
        <v>0</v>
      </c>
      <c r="AB384" s="1"/>
      <c r="AC384" s="1">
        <f t="shared" si="50"/>
        <v>0</v>
      </c>
    </row>
    <row r="385" spans="1:29">
      <c r="A385" s="17" t="s">
        <v>405</v>
      </c>
      <c r="B385" s="17"/>
      <c r="C385" s="17" t="s">
        <v>37</v>
      </c>
      <c r="D385" s="17"/>
      <c r="E385" s="13">
        <v>47720</v>
      </c>
      <c r="G385" s="1">
        <v>2072604</v>
      </c>
      <c r="I385" s="1">
        <v>0</v>
      </c>
      <c r="K385" s="41">
        <f t="shared" si="51"/>
        <v>2452721</v>
      </c>
      <c r="M385" s="1">
        <v>4525325</v>
      </c>
      <c r="O385" s="41">
        <f t="shared" si="52"/>
        <v>1055751</v>
      </c>
      <c r="Q385" s="1">
        <f>1667577+236840</f>
        <v>1904417</v>
      </c>
      <c r="S385" s="1">
        <v>2960168</v>
      </c>
      <c r="U385" s="1">
        <f>115188+213592</f>
        <v>328780</v>
      </c>
      <c r="W385" s="1">
        <v>0</v>
      </c>
      <c r="Y385" s="1">
        <v>1236377</v>
      </c>
      <c r="AA385" s="58">
        <f t="shared" si="49"/>
        <v>1565157</v>
      </c>
      <c r="AB385" s="1"/>
      <c r="AC385" s="1">
        <f t="shared" si="50"/>
        <v>0</v>
      </c>
    </row>
    <row r="386" spans="1:29">
      <c r="A386" s="17" t="s">
        <v>234</v>
      </c>
      <c r="B386" s="17"/>
      <c r="C386" s="17" t="s">
        <v>227</v>
      </c>
      <c r="D386" s="17"/>
      <c r="E386" s="13">
        <v>46136</v>
      </c>
      <c r="G386" s="1">
        <v>2889029</v>
      </c>
      <c r="I386" s="1">
        <v>0</v>
      </c>
      <c r="K386" s="41">
        <f t="shared" si="51"/>
        <v>1290872</v>
      </c>
      <c r="M386" s="1">
        <v>4179901</v>
      </c>
      <c r="O386" s="41">
        <f t="shared" si="52"/>
        <v>621327</v>
      </c>
      <c r="Q386" s="1">
        <v>1048512</v>
      </c>
      <c r="S386" s="1">
        <v>1669839</v>
      </c>
      <c r="U386" s="1">
        <f>1591+30000</f>
        <v>31591</v>
      </c>
      <c r="W386" s="1">
        <v>0</v>
      </c>
      <c r="Y386" s="1">
        <v>2478471</v>
      </c>
      <c r="AA386" s="58">
        <f t="shared" si="49"/>
        <v>2510062</v>
      </c>
      <c r="AB386" s="1"/>
      <c r="AC386" s="1">
        <f t="shared" si="50"/>
        <v>0</v>
      </c>
    </row>
    <row r="387" spans="1:29">
      <c r="A387" s="17" t="s">
        <v>622</v>
      </c>
      <c r="B387" s="17"/>
      <c r="C387" s="17" t="s">
        <v>65</v>
      </c>
      <c r="D387" s="17"/>
      <c r="E387" s="13">
        <v>44487</v>
      </c>
      <c r="G387" s="1">
        <v>8864631</v>
      </c>
      <c r="I387" s="1">
        <v>0</v>
      </c>
      <c r="K387" s="41">
        <f t="shared" si="51"/>
        <v>11970435</v>
      </c>
      <c r="M387" s="1">
        <v>20835066</v>
      </c>
      <c r="O387" s="41">
        <f t="shared" si="52"/>
        <v>3042117</v>
      </c>
      <c r="Q387" s="1">
        <v>10815302</v>
      </c>
      <c r="S387" s="1">
        <v>13857419</v>
      </c>
      <c r="U387" s="1">
        <f>241650+41026+19279+1037604</f>
        <v>1339559</v>
      </c>
      <c r="W387" s="1">
        <v>0</v>
      </c>
      <c r="Y387" s="1">
        <v>5638088</v>
      </c>
      <c r="AA387" s="58">
        <f t="shared" si="49"/>
        <v>6977647</v>
      </c>
      <c r="AB387" s="1"/>
      <c r="AC387" s="1">
        <f t="shared" si="50"/>
        <v>0</v>
      </c>
    </row>
    <row r="388" spans="1:29">
      <c r="A388" s="17" t="s">
        <v>256</v>
      </c>
      <c r="B388" s="17"/>
      <c r="C388" s="17" t="s">
        <v>115</v>
      </c>
      <c r="D388" s="17"/>
      <c r="E388" s="13">
        <v>45559</v>
      </c>
      <c r="G388" s="1">
        <v>16553526</v>
      </c>
      <c r="I388" s="1">
        <v>0</v>
      </c>
      <c r="K388" s="41">
        <f t="shared" si="51"/>
        <v>14024098</v>
      </c>
      <c r="M388" s="1">
        <v>30577624</v>
      </c>
      <c r="O388" s="41">
        <f t="shared" si="52"/>
        <v>2603814</v>
      </c>
      <c r="Q388" s="1">
        <v>12226711</v>
      </c>
      <c r="S388" s="1">
        <v>14830525</v>
      </c>
      <c r="U388" s="1">
        <f>670313+592300</f>
        <v>1262613</v>
      </c>
      <c r="W388" s="1">
        <v>0</v>
      </c>
      <c r="Y388" s="1">
        <v>14484486</v>
      </c>
      <c r="AA388" s="58">
        <f t="shared" si="49"/>
        <v>15747099</v>
      </c>
      <c r="AB388" s="1"/>
      <c r="AC388" s="1">
        <f t="shared" si="50"/>
        <v>0</v>
      </c>
    </row>
    <row r="389" spans="1:29" hidden="1">
      <c r="A389" s="12" t="s">
        <v>888</v>
      </c>
      <c r="B389" s="17"/>
      <c r="C389" s="17" t="s">
        <v>60</v>
      </c>
      <c r="D389" s="17"/>
      <c r="E389" s="13">
        <v>49718</v>
      </c>
      <c r="K389" s="41">
        <f t="shared" si="51"/>
        <v>0</v>
      </c>
      <c r="O389" s="41">
        <f t="shared" si="52"/>
        <v>0</v>
      </c>
      <c r="AA389" s="58">
        <f t="shared" si="49"/>
        <v>0</v>
      </c>
      <c r="AB389" s="1"/>
      <c r="AC389" s="1">
        <f t="shared" si="50"/>
        <v>0</v>
      </c>
    </row>
    <row r="390" spans="1:29">
      <c r="A390" s="17" t="s">
        <v>431</v>
      </c>
      <c r="B390" s="17"/>
      <c r="C390" s="17" t="s">
        <v>42</v>
      </c>
      <c r="D390" s="17"/>
      <c r="E390" s="13">
        <v>44453</v>
      </c>
      <c r="G390" s="1">
        <v>11305305</v>
      </c>
      <c r="I390" s="1">
        <v>264425</v>
      </c>
      <c r="K390" s="41">
        <f t="shared" si="51"/>
        <v>24195426</v>
      </c>
      <c r="M390" s="1">
        <v>35765156</v>
      </c>
      <c r="O390" s="41">
        <f t="shared" si="52"/>
        <v>6025225</v>
      </c>
      <c r="Q390" s="1">
        <f>1425284+16835711</f>
        <v>18260995</v>
      </c>
      <c r="S390" s="1">
        <v>24286220</v>
      </c>
      <c r="U390" s="1">
        <f>1861240+56639+3179450+264425</f>
        <v>5361754</v>
      </c>
      <c r="W390" s="1">
        <v>1199981</v>
      </c>
      <c r="Y390" s="1">
        <v>4917201</v>
      </c>
      <c r="AA390" s="58">
        <f t="shared" si="49"/>
        <v>11478936</v>
      </c>
      <c r="AB390" s="1"/>
      <c r="AC390" s="1">
        <f t="shared" si="50"/>
        <v>0</v>
      </c>
    </row>
    <row r="391" spans="1:29">
      <c r="A391" s="17" t="s">
        <v>355</v>
      </c>
      <c r="B391" s="17"/>
      <c r="C391" s="17" t="s">
        <v>30</v>
      </c>
      <c r="D391" s="17"/>
      <c r="E391" s="13">
        <v>47217</v>
      </c>
      <c r="G391" s="1">
        <v>1123535</v>
      </c>
      <c r="I391" s="1">
        <v>31149</v>
      </c>
      <c r="K391" s="41">
        <f t="shared" si="51"/>
        <v>5723720</v>
      </c>
      <c r="M391" s="1">
        <v>6878404</v>
      </c>
      <c r="O391" s="41">
        <f t="shared" si="52"/>
        <v>775730</v>
      </c>
      <c r="Q391" s="1">
        <v>5119225</v>
      </c>
      <c r="S391" s="1">
        <v>5894955</v>
      </c>
      <c r="U391" s="1">
        <f>77662+523336+31149</f>
        <v>632147</v>
      </c>
      <c r="W391" s="1">
        <v>0</v>
      </c>
      <c r="Y391" s="1">
        <v>351302</v>
      </c>
      <c r="AA391" s="58">
        <f t="shared" si="49"/>
        <v>983449</v>
      </c>
      <c r="AB391" s="1"/>
      <c r="AC391" s="1">
        <f t="shared" si="50"/>
        <v>0</v>
      </c>
    </row>
    <row r="392" spans="1:29">
      <c r="A392" s="17" t="s">
        <v>623</v>
      </c>
      <c r="B392" s="17"/>
      <c r="C392" s="17" t="s">
        <v>65</v>
      </c>
      <c r="D392" s="17"/>
      <c r="E392" s="13">
        <v>45542</v>
      </c>
      <c r="G392" s="1">
        <v>263466</v>
      </c>
      <c r="I392" s="1">
        <v>157857</v>
      </c>
      <c r="K392" s="41">
        <f t="shared" si="51"/>
        <v>3190929</v>
      </c>
      <c r="M392" s="1">
        <v>3612252</v>
      </c>
      <c r="O392" s="41">
        <f t="shared" si="52"/>
        <v>1272399</v>
      </c>
      <c r="Q392" s="1">
        <f>301505+2293535</f>
        <v>2595040</v>
      </c>
      <c r="S392" s="1">
        <v>3867439</v>
      </c>
      <c r="U392" s="1">
        <f>151120+217965+137089+20768</f>
        <v>526942</v>
      </c>
      <c r="W392" s="1">
        <v>0</v>
      </c>
      <c r="Y392" s="1">
        <v>-782129</v>
      </c>
      <c r="AA392" s="58">
        <f t="shared" si="49"/>
        <v>-255187</v>
      </c>
      <c r="AB392" s="1"/>
      <c r="AC392" s="1">
        <f t="shared" si="50"/>
        <v>0</v>
      </c>
    </row>
    <row r="393" spans="1:29">
      <c r="A393" s="17" t="s">
        <v>614</v>
      </c>
      <c r="B393" s="17"/>
      <c r="C393" s="17" t="s">
        <v>64</v>
      </c>
      <c r="D393" s="17"/>
      <c r="E393" s="13">
        <v>45567</v>
      </c>
      <c r="G393" s="1">
        <v>1093225</v>
      </c>
      <c r="I393" s="1">
        <v>241899</v>
      </c>
      <c r="K393" s="41">
        <f t="shared" si="51"/>
        <v>3609404</v>
      </c>
      <c r="M393" s="1">
        <v>4944528</v>
      </c>
      <c r="O393" s="41">
        <f t="shared" si="52"/>
        <v>1105912</v>
      </c>
      <c r="Q393" s="1">
        <v>3524107</v>
      </c>
      <c r="S393" s="1">
        <v>4630019</v>
      </c>
      <c r="U393" s="1">
        <f>67112+39100+125947+115952</f>
        <v>348111</v>
      </c>
      <c r="W393" s="1">
        <v>0</v>
      </c>
      <c r="Y393" s="1">
        <v>-33602</v>
      </c>
      <c r="AA393" s="58">
        <f t="shared" si="49"/>
        <v>314509</v>
      </c>
      <c r="AB393" s="1"/>
      <c r="AC393" s="1">
        <f t="shared" si="50"/>
        <v>0</v>
      </c>
    </row>
    <row r="394" spans="1:29" hidden="1">
      <c r="A394" s="12" t="s">
        <v>946</v>
      </c>
      <c r="B394" s="17"/>
      <c r="C394" s="17" t="s">
        <v>48</v>
      </c>
      <c r="D394" s="17"/>
      <c r="E394" s="13">
        <v>48637</v>
      </c>
      <c r="K394" s="41">
        <f t="shared" si="51"/>
        <v>0</v>
      </c>
      <c r="O394" s="41">
        <f t="shared" si="52"/>
        <v>0</v>
      </c>
      <c r="AA394" s="58">
        <f t="shared" si="49"/>
        <v>0</v>
      </c>
      <c r="AB394" s="1"/>
      <c r="AC394" s="1">
        <f t="shared" si="50"/>
        <v>0</v>
      </c>
    </row>
    <row r="395" spans="1:29">
      <c r="A395" s="17" t="s">
        <v>723</v>
      </c>
      <c r="B395" s="17"/>
      <c r="C395" s="17" t="s">
        <v>64</v>
      </c>
      <c r="D395" s="17"/>
      <c r="E395" s="13"/>
      <c r="G395" s="1">
        <v>217028</v>
      </c>
      <c r="I395" s="1">
        <v>550627</v>
      </c>
      <c r="K395" s="41">
        <f t="shared" si="51"/>
        <v>7879118</v>
      </c>
      <c r="M395" s="1">
        <v>8646773</v>
      </c>
      <c r="O395" s="41">
        <f t="shared" si="52"/>
        <v>3591584</v>
      </c>
      <c r="Q395" s="1">
        <f>963656+6754569</f>
        <v>7718225</v>
      </c>
      <c r="S395" s="1">
        <v>11309809</v>
      </c>
      <c r="U395" s="1">
        <f>1559010+70430+112283</f>
        <v>1741723</v>
      </c>
      <c r="W395" s="1">
        <v>0</v>
      </c>
      <c r="Y395" s="1">
        <v>-4404759</v>
      </c>
      <c r="AA395" s="58">
        <f t="shared" si="49"/>
        <v>-2663036</v>
      </c>
      <c r="AB395" s="1"/>
      <c r="AC395" s="1">
        <f t="shared" si="50"/>
        <v>0</v>
      </c>
    </row>
    <row r="396" spans="1:29">
      <c r="A396" s="17" t="s">
        <v>518</v>
      </c>
      <c r="B396" s="17"/>
      <c r="C396" s="17" t="s">
        <v>52</v>
      </c>
      <c r="D396" s="17"/>
      <c r="E396" s="13">
        <v>48900</v>
      </c>
      <c r="G396" s="1">
        <v>1344725</v>
      </c>
      <c r="I396" s="1">
        <v>92699</v>
      </c>
      <c r="K396" s="41">
        <f t="shared" si="51"/>
        <v>3165777</v>
      </c>
      <c r="M396" s="1">
        <v>4603201</v>
      </c>
      <c r="O396" s="41">
        <f t="shared" si="52"/>
        <v>1050509</v>
      </c>
      <c r="Q396" s="1">
        <v>2676977</v>
      </c>
      <c r="S396" s="1">
        <v>3727486</v>
      </c>
      <c r="U396" s="1">
        <f>152566+428895+69063+23636</f>
        <v>674160</v>
      </c>
      <c r="W396" s="1">
        <v>0</v>
      </c>
      <c r="Y396" s="1">
        <v>201555</v>
      </c>
      <c r="AA396" s="58">
        <f t="shared" si="49"/>
        <v>875715</v>
      </c>
      <c r="AB396" s="1"/>
      <c r="AC396" s="1">
        <f t="shared" si="50"/>
        <v>0</v>
      </c>
    </row>
    <row r="397" spans="1:29">
      <c r="A397" s="17" t="s">
        <v>592</v>
      </c>
      <c r="B397" s="17"/>
      <c r="C397" s="17" t="s">
        <v>63</v>
      </c>
      <c r="D397" s="17"/>
      <c r="E397" s="13">
        <v>50047</v>
      </c>
      <c r="G397" s="1">
        <v>8402012</v>
      </c>
      <c r="I397" s="1">
        <v>269950</v>
      </c>
      <c r="K397" s="41">
        <f t="shared" si="51"/>
        <v>25999395</v>
      </c>
      <c r="M397" s="1">
        <v>34671357</v>
      </c>
      <c r="O397" s="41">
        <f t="shared" si="52"/>
        <v>4868955</v>
      </c>
      <c r="Q397" s="1">
        <v>23155580</v>
      </c>
      <c r="S397" s="1">
        <v>28024535</v>
      </c>
      <c r="U397" s="1">
        <f>1042423+2377154+269950</f>
        <v>3689527</v>
      </c>
      <c r="W397" s="1">
        <v>0</v>
      </c>
      <c r="Y397" s="1">
        <v>2957295</v>
      </c>
      <c r="AA397" s="58">
        <f t="shared" si="49"/>
        <v>6646822</v>
      </c>
      <c r="AB397" s="1"/>
      <c r="AC397" s="1">
        <f t="shared" si="50"/>
        <v>0</v>
      </c>
    </row>
    <row r="398" spans="1:29" s="16" customFormat="1">
      <c r="A398" s="14" t="s">
        <v>648</v>
      </c>
      <c r="B398" s="14"/>
      <c r="C398" s="14" t="s">
        <v>72</v>
      </c>
      <c r="D398" s="14"/>
      <c r="E398" s="14">
        <v>50708</v>
      </c>
      <c r="G398" s="1">
        <v>1520486</v>
      </c>
      <c r="H398" s="1"/>
      <c r="I398" s="1">
        <v>130000</v>
      </c>
      <c r="J398" s="1"/>
      <c r="K398" s="41">
        <f t="shared" si="51"/>
        <v>3179157</v>
      </c>
      <c r="L398" s="1"/>
      <c r="M398" s="1">
        <v>4829643</v>
      </c>
      <c r="N398" s="1"/>
      <c r="O398" s="41">
        <f t="shared" si="52"/>
        <v>797924</v>
      </c>
      <c r="P398" s="1"/>
      <c r="Q398" s="1">
        <v>2698988</v>
      </c>
      <c r="R398" s="1"/>
      <c r="S398" s="1">
        <v>3496912</v>
      </c>
      <c r="T398" s="1"/>
      <c r="U398" s="1">
        <f>8989+22287+271004</f>
        <v>302280</v>
      </c>
      <c r="V398" s="1"/>
      <c r="W398" s="1">
        <v>0</v>
      </c>
      <c r="X398" s="1"/>
      <c r="Y398" s="1">
        <v>1030451</v>
      </c>
      <c r="Z398" s="1"/>
      <c r="AA398" s="58">
        <f t="shared" si="49"/>
        <v>1332731</v>
      </c>
      <c r="AC398" s="16">
        <f t="shared" si="50"/>
        <v>0</v>
      </c>
    </row>
    <row r="399" spans="1:29" hidden="1">
      <c r="A399" s="17" t="s">
        <v>887</v>
      </c>
      <c r="B399" s="17"/>
      <c r="C399" s="17" t="s">
        <v>53</v>
      </c>
      <c r="D399" s="17"/>
      <c r="E399" s="13">
        <v>48967</v>
      </c>
      <c r="K399" s="41">
        <f t="shared" si="51"/>
        <v>0</v>
      </c>
      <c r="O399" s="41">
        <f t="shared" si="52"/>
        <v>0</v>
      </c>
      <c r="AA399" s="58">
        <f t="shared" si="49"/>
        <v>0</v>
      </c>
      <c r="AB399" s="1"/>
      <c r="AC399" s="1">
        <f t="shared" si="50"/>
        <v>0</v>
      </c>
    </row>
    <row r="400" spans="1:29">
      <c r="A400" s="17" t="s">
        <v>582</v>
      </c>
      <c r="B400" s="17"/>
      <c r="C400" s="17" t="s">
        <v>62</v>
      </c>
      <c r="D400" s="17"/>
      <c r="E400" s="13">
        <v>44503</v>
      </c>
      <c r="G400" s="1">
        <v>1479766</v>
      </c>
      <c r="I400" s="1">
        <v>445492</v>
      </c>
      <c r="K400" s="41">
        <f t="shared" si="51"/>
        <v>20769507</v>
      </c>
      <c r="M400" s="1">
        <v>22694765</v>
      </c>
      <c r="O400" s="41">
        <f t="shared" si="52"/>
        <v>6693323</v>
      </c>
      <c r="Q400" s="1">
        <f>19095060+754214</f>
        <v>19849274</v>
      </c>
      <c r="S400" s="1">
        <v>26542597</v>
      </c>
      <c r="U400" s="1">
        <f>378928+113960+604940+363309+82183</f>
        <v>1543320</v>
      </c>
      <c r="W400" s="1">
        <v>0</v>
      </c>
      <c r="Y400" s="1">
        <v>-5391152</v>
      </c>
      <c r="AA400" s="58">
        <f t="shared" si="49"/>
        <v>-3847832</v>
      </c>
      <c r="AB400" s="1"/>
      <c r="AC400" s="1">
        <f t="shared" si="50"/>
        <v>0</v>
      </c>
    </row>
    <row r="401" spans="1:29" hidden="1">
      <c r="A401" s="17" t="s">
        <v>886</v>
      </c>
      <c r="B401" s="17"/>
      <c r="C401" s="17" t="s">
        <v>643</v>
      </c>
      <c r="D401" s="17"/>
      <c r="E401" s="13">
        <v>50641</v>
      </c>
      <c r="AA401" s="58">
        <f t="shared" si="49"/>
        <v>0</v>
      </c>
      <c r="AB401" s="1"/>
      <c r="AC401" s="1">
        <f>+G401+I401+K401-O401-Q401-Y401-W401-U401</f>
        <v>0</v>
      </c>
    </row>
    <row r="402" spans="1:29">
      <c r="A402" s="17" t="s">
        <v>369</v>
      </c>
      <c r="B402" s="17"/>
      <c r="C402" s="17" t="s">
        <v>32</v>
      </c>
      <c r="D402" s="17"/>
      <c r="E402" s="13">
        <v>44511</v>
      </c>
      <c r="G402" s="1">
        <v>0</v>
      </c>
      <c r="I402" s="1">
        <v>74486</v>
      </c>
      <c r="K402" s="41">
        <f>+M402-I402-G402</f>
        <v>4370825</v>
      </c>
      <c r="M402" s="1">
        <v>4445311</v>
      </c>
      <c r="O402" s="41">
        <f>+S402-Q402</f>
        <v>1419677</v>
      </c>
      <c r="Q402" s="1">
        <v>2775200</v>
      </c>
      <c r="S402" s="1">
        <v>4194877</v>
      </c>
      <c r="U402" s="1">
        <f>114019+1250+1470115+456755+215795</f>
        <v>2257934</v>
      </c>
      <c r="W402" s="1">
        <v>233660</v>
      </c>
      <c r="Y402" s="1">
        <v>-2241160</v>
      </c>
      <c r="AA402" s="58">
        <f t="shared" si="49"/>
        <v>250434</v>
      </c>
      <c r="AB402" s="1"/>
      <c r="AC402" s="1">
        <f t="shared" si="50"/>
        <v>0</v>
      </c>
    </row>
    <row r="403" spans="1:29">
      <c r="A403" s="17" t="s">
        <v>432</v>
      </c>
      <c r="B403" s="17"/>
      <c r="C403" s="17" t="s">
        <v>42</v>
      </c>
      <c r="D403" s="17"/>
      <c r="E403" s="13">
        <v>48025</v>
      </c>
      <c r="G403" s="1">
        <v>0</v>
      </c>
      <c r="I403" s="1">
        <v>220804</v>
      </c>
      <c r="K403" s="41">
        <f t="shared" si="51"/>
        <v>4452976</v>
      </c>
      <c r="M403" s="1">
        <v>4673780</v>
      </c>
      <c r="O403" s="41">
        <f t="shared" si="52"/>
        <v>1864647</v>
      </c>
      <c r="Q403" s="1">
        <f>127118+3642130</f>
        <v>3769248</v>
      </c>
      <c r="S403" s="1">
        <v>5633895</v>
      </c>
      <c r="U403" s="1">
        <f>126693+49293+27758+301482</f>
        <v>505226</v>
      </c>
      <c r="W403" s="1">
        <v>0</v>
      </c>
      <c r="Y403" s="1">
        <v>-1465341</v>
      </c>
      <c r="AA403" s="58">
        <f t="shared" si="49"/>
        <v>-960115</v>
      </c>
      <c r="AB403" s="1"/>
      <c r="AC403" s="1">
        <f t="shared" si="50"/>
        <v>0</v>
      </c>
    </row>
    <row r="404" spans="1:29">
      <c r="A404" s="17" t="s">
        <v>296</v>
      </c>
      <c r="B404" s="17"/>
      <c r="C404" s="17" t="s">
        <v>20</v>
      </c>
      <c r="D404" s="17"/>
      <c r="E404" s="13">
        <v>44529</v>
      </c>
      <c r="G404" s="1">
        <v>9154857</v>
      </c>
      <c r="I404" s="1">
        <v>223073</v>
      </c>
      <c r="K404" s="41">
        <f t="shared" si="51"/>
        <v>35283568</v>
      </c>
      <c r="M404" s="1">
        <v>44661498</v>
      </c>
      <c r="O404" s="41">
        <f t="shared" si="52"/>
        <v>7879416</v>
      </c>
      <c r="Q404" s="1">
        <v>30159774</v>
      </c>
      <c r="S404" s="1">
        <v>38039190</v>
      </c>
      <c r="U404" s="1">
        <f>223073+101553+4079802+253715</f>
        <v>4658143</v>
      </c>
      <c r="W404" s="1">
        <v>0</v>
      </c>
      <c r="Y404" s="1">
        <v>1964165</v>
      </c>
      <c r="AA404" s="58">
        <f t="shared" si="49"/>
        <v>6622308</v>
      </c>
      <c r="AB404" s="1"/>
      <c r="AC404" s="1">
        <f t="shared" si="50"/>
        <v>0</v>
      </c>
    </row>
    <row r="405" spans="1:29">
      <c r="A405" s="17" t="s">
        <v>445</v>
      </c>
      <c r="B405" s="17"/>
      <c r="C405" s="17" t="s">
        <v>44</v>
      </c>
      <c r="D405" s="17"/>
      <c r="E405" s="13">
        <v>44537</v>
      </c>
      <c r="G405" s="1">
        <v>2376532</v>
      </c>
      <c r="I405" s="1">
        <v>0</v>
      </c>
      <c r="K405" s="41">
        <f t="shared" si="51"/>
        <v>17703516</v>
      </c>
      <c r="M405" s="1">
        <v>20080048</v>
      </c>
      <c r="O405" s="41">
        <f t="shared" si="52"/>
        <v>5456384</v>
      </c>
      <c r="Q405" s="1">
        <v>15344289</v>
      </c>
      <c r="S405" s="1">
        <v>20800673</v>
      </c>
      <c r="U405" s="1">
        <f>795754+396925</f>
        <v>1192679</v>
      </c>
      <c r="W405" s="1">
        <v>0</v>
      </c>
      <c r="Y405" s="1">
        <v>-1913304</v>
      </c>
      <c r="AA405" s="58">
        <f t="shared" si="49"/>
        <v>-720625</v>
      </c>
      <c r="AB405" s="1"/>
      <c r="AC405" s="1">
        <f t="shared" si="50"/>
        <v>0</v>
      </c>
    </row>
    <row r="406" spans="1:29">
      <c r="A406" s="17" t="s">
        <v>297</v>
      </c>
      <c r="B406" s="17"/>
      <c r="C406" s="17" t="s">
        <v>20</v>
      </c>
      <c r="D406" s="17"/>
      <c r="E406" s="13">
        <v>44545</v>
      </c>
      <c r="G406" s="1">
        <v>7604170</v>
      </c>
      <c r="I406" s="1">
        <v>0</v>
      </c>
      <c r="K406" s="41">
        <f t="shared" si="51"/>
        <v>35712942</v>
      </c>
      <c r="M406" s="1">
        <v>43317112</v>
      </c>
      <c r="O406" s="41">
        <f t="shared" si="52"/>
        <v>5506888</v>
      </c>
      <c r="Q406" s="1">
        <v>30809500</v>
      </c>
      <c r="S406" s="1">
        <v>36316388</v>
      </c>
      <c r="U406" s="1">
        <f>254364+4748207</f>
        <v>5002571</v>
      </c>
      <c r="W406" s="1">
        <v>0</v>
      </c>
      <c r="Y406" s="1">
        <v>1998153</v>
      </c>
      <c r="AA406" s="58">
        <f t="shared" si="49"/>
        <v>7000724</v>
      </c>
      <c r="AB406" s="1"/>
      <c r="AC406" s="1">
        <f t="shared" si="50"/>
        <v>0</v>
      </c>
    </row>
    <row r="407" spans="1:29">
      <c r="A407" s="17" t="s">
        <v>627</v>
      </c>
      <c r="B407" s="17"/>
      <c r="C407" s="17" t="s">
        <v>66</v>
      </c>
      <c r="D407" s="17"/>
      <c r="E407" s="13">
        <v>50336</v>
      </c>
      <c r="G407" s="1">
        <v>10468989</v>
      </c>
      <c r="I407" s="1">
        <v>0</v>
      </c>
      <c r="K407" s="41">
        <f t="shared" si="51"/>
        <v>4025113</v>
      </c>
      <c r="M407" s="1">
        <v>14494102</v>
      </c>
      <c r="O407" s="41">
        <f t="shared" si="52"/>
        <v>1465643</v>
      </c>
      <c r="Q407" s="1">
        <v>3082957</v>
      </c>
      <c r="S407" s="1">
        <v>4548600</v>
      </c>
      <c r="U407" s="1">
        <f>427951+835917</f>
        <v>1263868</v>
      </c>
      <c r="W407" s="1">
        <v>0</v>
      </c>
      <c r="Y407" s="1">
        <v>8681634</v>
      </c>
      <c r="AA407" s="58">
        <f t="shared" si="49"/>
        <v>9945502</v>
      </c>
      <c r="AB407" s="1"/>
      <c r="AC407" s="1">
        <f t="shared" si="50"/>
        <v>0</v>
      </c>
    </row>
    <row r="408" spans="1:29">
      <c r="A408" s="17" t="s">
        <v>247</v>
      </c>
      <c r="B408" s="17"/>
      <c r="C408" s="17" t="s">
        <v>17</v>
      </c>
      <c r="D408" s="17"/>
      <c r="E408" s="13">
        <v>46250</v>
      </c>
      <c r="G408" s="1">
        <f>6291573+6931</f>
        <v>6298504</v>
      </c>
      <c r="I408" s="1">
        <v>0</v>
      </c>
      <c r="K408" s="41">
        <f t="shared" si="51"/>
        <v>10930636</v>
      </c>
      <c r="M408" s="1">
        <v>17229140</v>
      </c>
      <c r="O408" s="41">
        <f t="shared" si="52"/>
        <v>3491044</v>
      </c>
      <c r="Q408" s="1">
        <v>7108754</v>
      </c>
      <c r="S408" s="1">
        <v>10599798</v>
      </c>
      <c r="U408" s="1">
        <f>138098+112551+3602266</f>
        <v>3852915</v>
      </c>
      <c r="W408" s="1">
        <v>0</v>
      </c>
      <c r="Y408" s="1">
        <v>2776427</v>
      </c>
      <c r="AA408" s="58">
        <f t="shared" si="49"/>
        <v>6629342</v>
      </c>
      <c r="AB408" s="1"/>
      <c r="AC408" s="1">
        <f t="shared" si="50"/>
        <v>0</v>
      </c>
    </row>
    <row r="409" spans="1:29" hidden="1">
      <c r="A409" s="17" t="s">
        <v>882</v>
      </c>
      <c r="B409" s="17"/>
      <c r="C409" s="17" t="s">
        <v>22</v>
      </c>
      <c r="D409" s="17"/>
      <c r="E409" s="13">
        <v>46722</v>
      </c>
      <c r="K409" s="41">
        <f t="shared" si="51"/>
        <v>0</v>
      </c>
      <c r="O409" s="41">
        <f t="shared" si="52"/>
        <v>0</v>
      </c>
      <c r="AA409" s="58">
        <f t="shared" si="49"/>
        <v>0</v>
      </c>
      <c r="AB409" s="1"/>
      <c r="AC409" s="1">
        <f t="shared" si="50"/>
        <v>0</v>
      </c>
    </row>
    <row r="410" spans="1:29">
      <c r="A410" s="17" t="s">
        <v>503</v>
      </c>
      <c r="B410" s="17"/>
      <c r="C410" s="17" t="s">
        <v>50</v>
      </c>
      <c r="D410" s="17"/>
      <c r="E410" s="13">
        <v>48728</v>
      </c>
      <c r="G410" s="1">
        <v>8591586</v>
      </c>
      <c r="I410" s="1">
        <v>0</v>
      </c>
      <c r="K410" s="41">
        <f t="shared" si="51"/>
        <v>24050932</v>
      </c>
      <c r="M410" s="1">
        <v>32642518</v>
      </c>
      <c r="O410" s="41">
        <f t="shared" si="52"/>
        <v>6465177</v>
      </c>
      <c r="Q410" s="1">
        <v>22641931</v>
      </c>
      <c r="S410" s="1">
        <v>29107108</v>
      </c>
      <c r="U410" s="1">
        <f>363444+1305498</f>
        <v>1668942</v>
      </c>
      <c r="W410" s="1">
        <v>0</v>
      </c>
      <c r="Y410" s="1">
        <v>1866468</v>
      </c>
      <c r="AA410" s="58">
        <f t="shared" si="49"/>
        <v>3535410</v>
      </c>
      <c r="AB410" s="1"/>
      <c r="AC410" s="1">
        <f t="shared" si="50"/>
        <v>0</v>
      </c>
    </row>
    <row r="411" spans="1:29">
      <c r="A411" s="17" t="s">
        <v>510</v>
      </c>
      <c r="B411" s="17"/>
      <c r="C411" s="17" t="s">
        <v>78</v>
      </c>
      <c r="D411" s="17"/>
      <c r="E411" s="13">
        <v>48819</v>
      </c>
      <c r="G411" s="1">
        <v>223789</v>
      </c>
      <c r="I411" s="1">
        <v>137929</v>
      </c>
      <c r="K411" s="41">
        <f t="shared" si="51"/>
        <v>3552258</v>
      </c>
      <c r="M411" s="1">
        <v>3913976</v>
      </c>
      <c r="O411" s="41">
        <f t="shared" ref="O411:O413" si="57">+S411-Q411</f>
        <v>1425629</v>
      </c>
      <c r="Q411" s="1">
        <f>2205714+330633</f>
        <v>2536347</v>
      </c>
      <c r="S411" s="1">
        <v>3961976</v>
      </c>
      <c r="U411" s="1">
        <f>2471+1533+15374+608239+137929</f>
        <v>765546</v>
      </c>
      <c r="W411" s="1">
        <v>0</v>
      </c>
      <c r="Y411" s="1">
        <v>-813546</v>
      </c>
      <c r="AA411" s="58">
        <f t="shared" si="49"/>
        <v>-48000</v>
      </c>
      <c r="AB411" s="1"/>
      <c r="AC411" s="1">
        <f t="shared" si="50"/>
        <v>0</v>
      </c>
    </row>
    <row r="412" spans="1:29">
      <c r="A412" s="17" t="s">
        <v>433</v>
      </c>
      <c r="B412" s="17"/>
      <c r="C412" s="17" t="s">
        <v>50</v>
      </c>
      <c r="D412" s="17"/>
      <c r="E412" s="13">
        <v>48033</v>
      </c>
      <c r="G412" s="1">
        <v>6435564</v>
      </c>
      <c r="I412" s="1">
        <f>1568407+52637</f>
        <v>1621044</v>
      </c>
      <c r="K412" s="41">
        <f t="shared" si="51"/>
        <v>7562716</v>
      </c>
      <c r="M412" s="1">
        <v>15619324</v>
      </c>
      <c r="O412" s="41">
        <f t="shared" si="57"/>
        <v>1662831</v>
      </c>
      <c r="Q412" s="1">
        <v>7087787</v>
      </c>
      <c r="S412" s="1">
        <v>8750618</v>
      </c>
      <c r="U412" s="1">
        <f>521355+373975+1568407+52637</f>
        <v>2516374</v>
      </c>
      <c r="W412" s="1">
        <v>0</v>
      </c>
      <c r="Y412" s="1">
        <v>4352332</v>
      </c>
      <c r="AA412" s="58">
        <f t="shared" si="49"/>
        <v>6868706</v>
      </c>
      <c r="AB412" s="1"/>
      <c r="AC412" s="1">
        <f t="shared" si="50"/>
        <v>0</v>
      </c>
    </row>
    <row r="413" spans="1:29">
      <c r="A413" s="17" t="s">
        <v>433</v>
      </c>
      <c r="B413" s="17"/>
      <c r="C413" s="17" t="s">
        <v>42</v>
      </c>
      <c r="D413" s="17"/>
      <c r="E413" s="13">
        <v>48736</v>
      </c>
      <c r="G413" s="1">
        <v>2278405</v>
      </c>
      <c r="I413" s="1">
        <v>0</v>
      </c>
      <c r="K413" s="41">
        <f t="shared" si="51"/>
        <v>7619951</v>
      </c>
      <c r="M413" s="1">
        <v>9898356</v>
      </c>
      <c r="O413" s="41">
        <f t="shared" si="57"/>
        <v>1164655</v>
      </c>
      <c r="Q413" s="1">
        <v>5764262</v>
      </c>
      <c r="S413" s="1">
        <v>6928917</v>
      </c>
      <c r="U413" s="1">
        <f>56570+595639</f>
        <v>652209</v>
      </c>
      <c r="W413" s="1">
        <v>0</v>
      </c>
      <c r="Y413" s="1">
        <v>2317230</v>
      </c>
      <c r="AA413" s="58">
        <f t="shared" si="49"/>
        <v>2969439</v>
      </c>
      <c r="AB413" s="1"/>
      <c r="AC413" s="1">
        <f t="shared" si="50"/>
        <v>0</v>
      </c>
    </row>
    <row r="414" spans="1:29">
      <c r="A414" s="17" t="s">
        <v>370</v>
      </c>
      <c r="B414" s="17"/>
      <c r="C414" s="17" t="s">
        <v>32</v>
      </c>
      <c r="D414" s="17"/>
      <c r="E414" s="13">
        <v>47365</v>
      </c>
      <c r="G414" s="1">
        <v>19402652</v>
      </c>
      <c r="I414" s="1">
        <v>0</v>
      </c>
      <c r="K414" s="41">
        <f t="shared" ref="K414:K420" si="58">+M414-I414-G414</f>
        <v>43317459</v>
      </c>
      <c r="M414" s="1">
        <v>62720111</v>
      </c>
      <c r="O414" s="41">
        <f t="shared" ref="O414:O420" si="59">+S414-Q414</f>
        <v>9679427</v>
      </c>
      <c r="Q414" s="1">
        <v>29770248</v>
      </c>
      <c r="S414" s="1">
        <v>39449675</v>
      </c>
      <c r="U414" s="1">
        <f>118955+13147000</f>
        <v>13265955</v>
      </c>
      <c r="W414" s="1">
        <v>0</v>
      </c>
      <c r="Y414" s="1">
        <v>10004481</v>
      </c>
      <c r="AA414" s="58">
        <f t="shared" ref="AA414:AA430" si="60">+Y414+W414++U414</f>
        <v>23270436</v>
      </c>
      <c r="AB414" s="1"/>
      <c r="AC414" s="1">
        <f t="shared" si="50"/>
        <v>0</v>
      </c>
    </row>
    <row r="415" spans="1:29" ht="12" customHeight="1">
      <c r="A415" s="17" t="s">
        <v>370</v>
      </c>
      <c r="B415" s="17"/>
      <c r="C415" s="17" t="s">
        <v>59</v>
      </c>
      <c r="D415" s="17"/>
      <c r="E415" s="13">
        <v>49635</v>
      </c>
      <c r="G415" s="1">
        <v>2071562</v>
      </c>
      <c r="I415" s="1">
        <v>87229</v>
      </c>
      <c r="K415" s="41">
        <f t="shared" si="58"/>
        <v>2365957</v>
      </c>
      <c r="M415" s="1">
        <v>4524748</v>
      </c>
      <c r="O415" s="41">
        <f t="shared" si="59"/>
        <v>1630020</v>
      </c>
      <c r="Q415" s="1">
        <v>1771270</v>
      </c>
      <c r="S415" s="1">
        <v>3401290</v>
      </c>
      <c r="U415" s="1">
        <f>20605+162780+87229</f>
        <v>270614</v>
      </c>
      <c r="W415" s="1">
        <v>0</v>
      </c>
      <c r="Y415" s="1">
        <v>852844</v>
      </c>
      <c r="AA415" s="58">
        <f t="shared" si="60"/>
        <v>1123458</v>
      </c>
      <c r="AB415" s="1"/>
      <c r="AC415" s="1">
        <f t="shared" si="50"/>
        <v>0</v>
      </c>
    </row>
    <row r="416" spans="1:29">
      <c r="A416" s="17" t="s">
        <v>370</v>
      </c>
      <c r="B416" s="17"/>
      <c r="C416" s="17" t="s">
        <v>62</v>
      </c>
      <c r="D416" s="17"/>
      <c r="E416" s="13">
        <v>49908</v>
      </c>
      <c r="G416" s="1">
        <v>0</v>
      </c>
      <c r="I416" s="1">
        <v>422499</v>
      </c>
      <c r="K416" s="41">
        <f t="shared" si="58"/>
        <v>6829138</v>
      </c>
      <c r="M416" s="1">
        <v>7251637</v>
      </c>
      <c r="O416" s="41">
        <f t="shared" si="59"/>
        <v>3115402</v>
      </c>
      <c r="Q416" s="1">
        <f>344668+6037619</f>
        <v>6382287</v>
      </c>
      <c r="S416" s="1">
        <v>9497689</v>
      </c>
      <c r="U416" s="1">
        <f>95190+29795+422499+274491+13224</f>
        <v>835199</v>
      </c>
      <c r="W416" s="1">
        <v>0</v>
      </c>
      <c r="Y416" s="1">
        <v>-3081251</v>
      </c>
      <c r="AA416" s="58">
        <f t="shared" si="60"/>
        <v>-2246052</v>
      </c>
      <c r="AB416" s="1"/>
      <c r="AC416" s="1">
        <f t="shared" si="50"/>
        <v>0</v>
      </c>
    </row>
    <row r="417" spans="1:29">
      <c r="A417" s="17" t="s">
        <v>248</v>
      </c>
      <c r="B417" s="17"/>
      <c r="C417" s="17" t="s">
        <v>17</v>
      </c>
      <c r="D417" s="17"/>
      <c r="E417" s="13">
        <v>46268</v>
      </c>
      <c r="G417" s="1">
        <v>3344555</v>
      </c>
      <c r="I417" s="1">
        <v>39318</v>
      </c>
      <c r="K417" s="41">
        <f t="shared" si="58"/>
        <v>6047856</v>
      </c>
      <c r="M417" s="1">
        <v>9431729</v>
      </c>
      <c r="O417" s="41">
        <f t="shared" si="59"/>
        <v>1732018</v>
      </c>
      <c r="Q417" s="1">
        <v>5205415</v>
      </c>
      <c r="S417" s="1">
        <v>6937433</v>
      </c>
      <c r="U417" s="1">
        <f>50567+59404+162113+560633+39318</f>
        <v>872035</v>
      </c>
      <c r="W417" s="1">
        <v>162113</v>
      </c>
      <c r="Y417" s="1">
        <v>1460148</v>
      </c>
      <c r="AA417" s="58">
        <f t="shared" si="60"/>
        <v>2494296</v>
      </c>
      <c r="AB417" s="1"/>
      <c r="AC417" s="1">
        <f t="shared" si="50"/>
        <v>0</v>
      </c>
    </row>
    <row r="418" spans="1:29" hidden="1">
      <c r="A418" s="17" t="s">
        <v>947</v>
      </c>
      <c r="B418" s="17"/>
      <c r="C418" s="17" t="s">
        <v>71</v>
      </c>
      <c r="D418" s="17"/>
      <c r="E418" s="13"/>
      <c r="K418" s="41">
        <f t="shared" ref="K418" si="61">+M418-I418-G418</f>
        <v>0</v>
      </c>
      <c r="O418" s="41">
        <f t="shared" ref="O418" si="62">+S418-Q418</f>
        <v>0</v>
      </c>
      <c r="AA418" s="58">
        <f t="shared" ref="AA418" si="63">+Y418+W418++U418</f>
        <v>0</v>
      </c>
      <c r="AB418" s="1"/>
      <c r="AC418" s="1">
        <f t="shared" ref="AC418" si="64">+G418+I418+K418-O418-Q418-Y418-W418-U418</f>
        <v>0</v>
      </c>
    </row>
    <row r="419" spans="1:29">
      <c r="A419" s="17" t="s">
        <v>649</v>
      </c>
      <c r="B419" s="17"/>
      <c r="C419" s="17" t="s">
        <v>72</v>
      </c>
      <c r="D419" s="17"/>
      <c r="E419" s="13">
        <v>50716</v>
      </c>
      <c r="G419" s="1">
        <v>2608369</v>
      </c>
      <c r="I419" s="1">
        <v>16628</v>
      </c>
      <c r="K419" s="41">
        <f t="shared" si="58"/>
        <v>5658026</v>
      </c>
      <c r="M419" s="1">
        <v>8283023</v>
      </c>
      <c r="O419" s="41">
        <f t="shared" si="59"/>
        <v>1067603</v>
      </c>
      <c r="Q419" s="1">
        <v>4802368</v>
      </c>
      <c r="S419" s="1">
        <v>5869971</v>
      </c>
      <c r="U419" s="1">
        <f>846370+16628+244305</f>
        <v>1107303</v>
      </c>
      <c r="W419" s="1">
        <v>0</v>
      </c>
      <c r="Y419" s="1">
        <v>1305749</v>
      </c>
      <c r="AA419" s="58">
        <f t="shared" si="60"/>
        <v>2413052</v>
      </c>
      <c r="AB419" s="1"/>
      <c r="AC419" s="1">
        <f t="shared" si="50"/>
        <v>0</v>
      </c>
    </row>
    <row r="420" spans="1:29">
      <c r="A420" s="17" t="s">
        <v>593</v>
      </c>
      <c r="B420" s="17"/>
      <c r="C420" s="17" t="s">
        <v>63</v>
      </c>
      <c r="D420" s="17"/>
      <c r="E420" s="13">
        <v>44552</v>
      </c>
      <c r="G420" s="1">
        <v>4742716</v>
      </c>
      <c r="I420" s="1">
        <v>15427</v>
      </c>
      <c r="K420" s="41">
        <f t="shared" si="58"/>
        <v>8593375</v>
      </c>
      <c r="M420" s="1">
        <v>13351518</v>
      </c>
      <c r="O420" s="41">
        <f t="shared" si="59"/>
        <v>2054098</v>
      </c>
      <c r="Q420" s="1">
        <v>7593280</v>
      </c>
      <c r="S420" s="1">
        <v>9647378</v>
      </c>
      <c r="U420" s="1">
        <f>291832+26946+876506+6182+15427</f>
        <v>1216893</v>
      </c>
      <c r="W420" s="1">
        <v>0</v>
      </c>
      <c r="Y420" s="1">
        <v>2487247</v>
      </c>
      <c r="AA420" s="58">
        <f t="shared" si="60"/>
        <v>3704140</v>
      </c>
      <c r="AB420" s="1"/>
      <c r="AC420" s="1">
        <f t="shared" si="50"/>
        <v>0</v>
      </c>
    </row>
    <row r="421" spans="1:29">
      <c r="A421" s="17" t="s">
        <v>406</v>
      </c>
      <c r="B421" s="17"/>
      <c r="C421" s="17" t="s">
        <v>37</v>
      </c>
      <c r="D421" s="17"/>
      <c r="E421" s="13">
        <v>44560</v>
      </c>
      <c r="G421" s="1">
        <v>8454054</v>
      </c>
      <c r="I421" s="1">
        <v>2503105</v>
      </c>
      <c r="K421" s="41">
        <f t="shared" ref="K421:K430" si="65">+M421-I421-G421</f>
        <v>6886681</v>
      </c>
      <c r="M421" s="1">
        <v>17843840</v>
      </c>
      <c r="O421" s="41">
        <f t="shared" ref="O421:O430" si="66">+S421-Q421</f>
        <v>2786822</v>
      </c>
      <c r="Q421" s="1">
        <v>5605874</v>
      </c>
      <c r="S421" s="1">
        <v>8392696</v>
      </c>
      <c r="U421" s="1">
        <f>759709+659845+1380123+480239+642743</f>
        <v>3922659</v>
      </c>
      <c r="W421" s="1">
        <v>0</v>
      </c>
      <c r="Y421" s="1">
        <v>5528485</v>
      </c>
      <c r="AA421" s="58">
        <f t="shared" si="60"/>
        <v>9451144</v>
      </c>
      <c r="AB421" s="1"/>
      <c r="AC421" s="1">
        <f t="shared" si="50"/>
        <v>0</v>
      </c>
    </row>
    <row r="422" spans="1:29">
      <c r="A422" s="17" t="s">
        <v>764</v>
      </c>
      <c r="B422" s="17"/>
      <c r="C422" s="17" t="s">
        <v>32</v>
      </c>
      <c r="D422" s="17"/>
      <c r="E422" s="13">
        <v>44578</v>
      </c>
      <c r="G422" s="1">
        <v>1765447</v>
      </c>
      <c r="I422" s="1">
        <v>276070</v>
      </c>
      <c r="K422" s="41">
        <f t="shared" si="65"/>
        <v>16881538</v>
      </c>
      <c r="M422" s="1">
        <v>18923055</v>
      </c>
      <c r="O422" s="41">
        <f t="shared" si="66"/>
        <v>3331735</v>
      </c>
      <c r="Q422" s="1">
        <v>11964216</v>
      </c>
      <c r="S422" s="1">
        <v>15295951</v>
      </c>
      <c r="U422" s="1">
        <f>4644+16745+4467000+276070</f>
        <v>4764459</v>
      </c>
      <c r="W422" s="1">
        <v>0</v>
      </c>
      <c r="Y422" s="1">
        <v>-1137355</v>
      </c>
      <c r="AA422" s="58">
        <f t="shared" si="60"/>
        <v>3627104</v>
      </c>
      <c r="AB422" s="1"/>
      <c r="AC422" s="1">
        <f t="shared" si="50"/>
        <v>0</v>
      </c>
    </row>
    <row r="423" spans="1:29" hidden="1">
      <c r="A423" s="17" t="s">
        <v>948</v>
      </c>
      <c r="B423" s="17"/>
      <c r="C423" s="17" t="s">
        <v>38</v>
      </c>
      <c r="D423" s="17"/>
      <c r="E423" s="13"/>
      <c r="K423" s="41">
        <f t="shared" ref="K423" si="67">+M423-I423-G423</f>
        <v>0</v>
      </c>
      <c r="O423" s="41">
        <f t="shared" ref="O423" si="68">+S423-Q423</f>
        <v>0</v>
      </c>
      <c r="AA423" s="58">
        <f t="shared" ref="AA423" si="69">+Y423+W423++U423</f>
        <v>0</v>
      </c>
      <c r="AB423" s="1"/>
      <c r="AC423" s="1">
        <f t="shared" ref="AC423" si="70">+G423+I423+K423-O423-Q423-Y423-W423-U423</f>
        <v>0</v>
      </c>
    </row>
    <row r="424" spans="1:29">
      <c r="A424" s="17" t="s">
        <v>371</v>
      </c>
      <c r="B424" s="17"/>
      <c r="C424" s="17" t="s">
        <v>32</v>
      </c>
      <c r="D424" s="17"/>
      <c r="E424" s="13">
        <v>47373</v>
      </c>
      <c r="G424" s="1">
        <v>24487219</v>
      </c>
      <c r="I424" s="1">
        <v>380716</v>
      </c>
      <c r="K424" s="41">
        <f t="shared" si="65"/>
        <v>33484195</v>
      </c>
      <c r="M424" s="1">
        <v>58352130</v>
      </c>
      <c r="O424" s="41">
        <f t="shared" si="66"/>
        <v>7935084</v>
      </c>
      <c r="Q424" s="1">
        <v>24978529</v>
      </c>
      <c r="S424" s="1">
        <v>32913613</v>
      </c>
      <c r="U424" s="1">
        <f>103198+8312000+380716</f>
        <v>8795914</v>
      </c>
      <c r="W424" s="1">
        <v>0</v>
      </c>
      <c r="Y424" s="1">
        <v>16642603</v>
      </c>
      <c r="AA424" s="58">
        <f t="shared" si="60"/>
        <v>25438517</v>
      </c>
      <c r="AB424" s="1"/>
      <c r="AC424" s="1">
        <f t="shared" si="50"/>
        <v>0</v>
      </c>
    </row>
    <row r="425" spans="1:29">
      <c r="A425" s="17" t="s">
        <v>504</v>
      </c>
      <c r="B425" s="17"/>
      <c r="C425" s="17" t="s">
        <v>50</v>
      </c>
      <c r="D425" s="17"/>
      <c r="E425" s="13">
        <v>44586</v>
      </c>
      <c r="G425" s="1">
        <v>1874107</v>
      </c>
      <c r="I425" s="1">
        <v>2468</v>
      </c>
      <c r="K425" s="41">
        <f t="shared" si="65"/>
        <v>13741616</v>
      </c>
      <c r="M425" s="1">
        <v>15618191</v>
      </c>
      <c r="O425" s="41">
        <f t="shared" si="66"/>
        <v>2959377</v>
      </c>
      <c r="Q425" s="1">
        <v>12616150</v>
      </c>
      <c r="S425" s="1">
        <v>15575527</v>
      </c>
      <c r="U425" s="1">
        <f>522164+877000</f>
        <v>1399164</v>
      </c>
      <c r="W425" s="1">
        <v>0</v>
      </c>
      <c r="Y425" s="1">
        <v>-1356500</v>
      </c>
      <c r="AA425" s="58">
        <f t="shared" si="60"/>
        <v>42664</v>
      </c>
      <c r="AB425" s="1"/>
      <c r="AC425" s="1">
        <f t="shared" si="50"/>
        <v>0</v>
      </c>
    </row>
    <row r="426" spans="1:29">
      <c r="A426" s="17"/>
      <c r="B426" s="17"/>
      <c r="C426" s="17"/>
      <c r="D426" s="17"/>
      <c r="E426" s="13"/>
      <c r="K426" s="41"/>
      <c r="O426" s="41"/>
      <c r="AA426" s="58"/>
      <c r="AB426" s="1"/>
    </row>
    <row r="427" spans="1:29">
      <c r="A427" s="17"/>
      <c r="B427" s="17"/>
      <c r="C427" s="17"/>
      <c r="D427" s="17"/>
      <c r="E427" s="13"/>
      <c r="K427" s="41"/>
      <c r="O427" s="41"/>
      <c r="AA427" s="20" t="s">
        <v>709</v>
      </c>
      <c r="AB427" s="1"/>
    </row>
    <row r="428" spans="1:29">
      <c r="A428" s="17"/>
      <c r="B428" s="17"/>
      <c r="C428" s="17"/>
      <c r="D428" s="17"/>
      <c r="E428" s="13"/>
      <c r="K428" s="41"/>
      <c r="O428" s="41"/>
      <c r="AA428" s="58"/>
      <c r="AB428" s="1"/>
    </row>
    <row r="429" spans="1:29" s="16" customFormat="1" ht="12" customHeight="1">
      <c r="A429" s="14" t="s">
        <v>446</v>
      </c>
      <c r="B429" s="14"/>
      <c r="C429" s="14" t="s">
        <v>44</v>
      </c>
      <c r="D429" s="14"/>
      <c r="E429" s="13">
        <v>44594</v>
      </c>
      <c r="G429" s="16">
        <v>186699</v>
      </c>
      <c r="I429" s="16">
        <v>0</v>
      </c>
      <c r="K429" s="59">
        <f t="shared" si="65"/>
        <v>5463634</v>
      </c>
      <c r="M429" s="16">
        <v>5650333</v>
      </c>
      <c r="O429" s="59">
        <f t="shared" si="66"/>
        <v>1914418</v>
      </c>
      <c r="Q429" s="16">
        <v>4086443</v>
      </c>
      <c r="S429" s="16">
        <v>6000861</v>
      </c>
      <c r="U429" s="16">
        <v>30983</v>
      </c>
      <c r="W429" s="16">
        <v>0</v>
      </c>
      <c r="Y429" s="16">
        <v>-381511</v>
      </c>
      <c r="AA429" s="90">
        <f t="shared" si="60"/>
        <v>-350528</v>
      </c>
      <c r="AB429" s="1"/>
      <c r="AC429" s="1">
        <f t="shared" si="50"/>
        <v>0</v>
      </c>
    </row>
    <row r="430" spans="1:29" ht="12" hidden="1" customHeight="1">
      <c r="A430" s="12" t="s">
        <v>735</v>
      </c>
      <c r="B430" s="17"/>
      <c r="C430" s="17" t="s">
        <v>60</v>
      </c>
      <c r="D430" s="17"/>
      <c r="E430" s="13">
        <v>49726</v>
      </c>
      <c r="K430" s="41">
        <f t="shared" si="65"/>
        <v>0</v>
      </c>
      <c r="O430" s="41">
        <f t="shared" si="66"/>
        <v>0</v>
      </c>
      <c r="AA430" s="58">
        <f t="shared" si="60"/>
        <v>0</v>
      </c>
      <c r="AB430" s="1"/>
      <c r="AC430" s="1">
        <f t="shared" si="50"/>
        <v>0</v>
      </c>
    </row>
    <row r="431" spans="1:29" ht="12" customHeight="1">
      <c r="A431" s="17" t="s">
        <v>313</v>
      </c>
      <c r="B431" s="17"/>
      <c r="C431" s="17" t="s">
        <v>23</v>
      </c>
      <c r="D431" s="17"/>
      <c r="E431" s="13">
        <v>46763</v>
      </c>
      <c r="G431" s="1">
        <v>28399596</v>
      </c>
      <c r="I431" s="1">
        <v>0</v>
      </c>
      <c r="K431" s="1">
        <f t="shared" ref="K431:K490" si="71">+M431-I431-G431</f>
        <v>117984908</v>
      </c>
      <c r="M431" s="1">
        <v>146384504</v>
      </c>
      <c r="O431" s="1">
        <f t="shared" ref="O431:O490" si="72">+S431-Q431</f>
        <v>17886275</v>
      </c>
      <c r="Q431" s="1">
        <v>101452795</v>
      </c>
      <c r="S431" s="1">
        <v>119339070</v>
      </c>
      <c r="U431" s="1">
        <f>1505910+10125989</f>
        <v>11631899</v>
      </c>
      <c r="W431" s="1">
        <v>0</v>
      </c>
      <c r="Y431" s="1">
        <v>15413535</v>
      </c>
      <c r="AA431" s="1">
        <f t="shared" ref="AA431" si="73">+Y431+W431++U431</f>
        <v>27045434</v>
      </c>
      <c r="AB431" s="16"/>
      <c r="AC431" s="16">
        <f t="shared" ref="AC431:AC494" si="74">+G431+I431+K431-O431-Q431-Y431-W431-U431</f>
        <v>0</v>
      </c>
    </row>
    <row r="432" spans="1:29" s="1" customFormat="1" ht="12" customHeight="1">
      <c r="A432" s="12" t="s">
        <v>298</v>
      </c>
      <c r="B432" s="12"/>
      <c r="C432" s="12" t="s">
        <v>20</v>
      </c>
      <c r="D432" s="12"/>
      <c r="E432" s="12">
        <v>46573</v>
      </c>
      <c r="G432" s="1">
        <v>5644443</v>
      </c>
      <c r="I432" s="1">
        <v>223918</v>
      </c>
      <c r="K432" s="41">
        <f t="shared" si="71"/>
        <v>22592693</v>
      </c>
      <c r="M432" s="1">
        <v>28461054</v>
      </c>
      <c r="O432" s="41">
        <f t="shared" si="72"/>
        <v>6325126</v>
      </c>
      <c r="Q432" s="1">
        <v>19901646</v>
      </c>
      <c r="S432" s="1">
        <v>26226772</v>
      </c>
      <c r="U432" s="1">
        <f>883629+2077872+223918</f>
        <v>3185419</v>
      </c>
      <c r="W432" s="1">
        <v>0</v>
      </c>
      <c r="Y432" s="1">
        <v>-951137</v>
      </c>
      <c r="AA432" s="58">
        <f>+Y432+W432++U432</f>
        <v>2234282</v>
      </c>
      <c r="AC432" s="1">
        <f t="shared" si="74"/>
        <v>0</v>
      </c>
    </row>
    <row r="433" spans="1:29" ht="12" customHeight="1">
      <c r="A433" s="17" t="s">
        <v>546</v>
      </c>
      <c r="B433" s="17"/>
      <c r="C433" s="17" t="s">
        <v>112</v>
      </c>
      <c r="D433" s="17"/>
      <c r="E433" s="13">
        <v>49478</v>
      </c>
      <c r="G433" s="1">
        <v>5628118</v>
      </c>
      <c r="I433" s="1">
        <v>0</v>
      </c>
      <c r="K433" s="41">
        <f t="shared" si="71"/>
        <v>9313029</v>
      </c>
      <c r="M433" s="1">
        <v>14941147</v>
      </c>
      <c r="O433" s="41">
        <f t="shared" si="72"/>
        <v>2086349</v>
      </c>
      <c r="Q433" s="1">
        <f>7086366+707884</f>
        <v>7794250</v>
      </c>
      <c r="S433" s="1">
        <v>9880599</v>
      </c>
      <c r="U433" s="1">
        <f>1150+179130+2752+1266704</f>
        <v>1449736</v>
      </c>
      <c r="W433" s="1">
        <v>0</v>
      </c>
      <c r="Y433" s="1">
        <v>3610812</v>
      </c>
      <c r="AA433" s="58">
        <f t="shared" ref="AA433:AA490" si="75">+Y433+W433++U433</f>
        <v>5060548</v>
      </c>
      <c r="AB433" s="1"/>
      <c r="AC433" s="1">
        <f t="shared" si="74"/>
        <v>0</v>
      </c>
    </row>
    <row r="434" spans="1:29" ht="12" customHeight="1">
      <c r="A434" s="17" t="s">
        <v>299</v>
      </c>
      <c r="B434" s="17"/>
      <c r="C434" s="17" t="s">
        <v>20</v>
      </c>
      <c r="D434" s="17"/>
      <c r="E434" s="13">
        <v>46581</v>
      </c>
      <c r="G434" s="1">
        <v>29397793</v>
      </c>
      <c r="I434" s="1">
        <v>0</v>
      </c>
      <c r="K434" s="41">
        <f t="shared" si="71"/>
        <v>36932078</v>
      </c>
      <c r="M434" s="1">
        <v>66329871</v>
      </c>
      <c r="O434" s="41">
        <f t="shared" si="72"/>
        <v>6231314</v>
      </c>
      <c r="Q434" s="1">
        <f>3408367+28521299</f>
        <v>31929666</v>
      </c>
      <c r="S434" s="1">
        <v>38160980</v>
      </c>
      <c r="U434" s="1">
        <f>53961+4455569</f>
        <v>4509530</v>
      </c>
      <c r="W434" s="1">
        <v>0</v>
      </c>
      <c r="Y434" s="1">
        <v>23659361</v>
      </c>
      <c r="AA434" s="58">
        <f t="shared" si="75"/>
        <v>28168891</v>
      </c>
      <c r="AB434" s="1"/>
      <c r="AC434" s="1">
        <f t="shared" si="74"/>
        <v>0</v>
      </c>
    </row>
    <row r="435" spans="1:29" ht="12" customHeight="1">
      <c r="A435" s="17" t="s">
        <v>451</v>
      </c>
      <c r="B435" s="17"/>
      <c r="C435" s="17" t="s">
        <v>117</v>
      </c>
      <c r="D435" s="17"/>
      <c r="E435" s="13">
        <v>44602</v>
      </c>
      <c r="G435" s="1">
        <v>5192458</v>
      </c>
      <c r="I435" s="1">
        <v>201560</v>
      </c>
      <c r="K435" s="41">
        <f t="shared" si="71"/>
        <v>22467015</v>
      </c>
      <c r="M435" s="1">
        <v>27861033</v>
      </c>
      <c r="O435" s="41">
        <f t="shared" si="72"/>
        <v>5001459</v>
      </c>
      <c r="Q435" s="1">
        <f>2637199+18165600</f>
        <v>20802799</v>
      </c>
      <c r="S435" s="1">
        <v>25804258</v>
      </c>
      <c r="U435" s="1">
        <f>467254+201560+792731+60366</f>
        <v>1521911</v>
      </c>
      <c r="W435" s="1">
        <v>0</v>
      </c>
      <c r="Y435" s="1">
        <v>534864</v>
      </c>
      <c r="AA435" s="58">
        <f t="shared" si="75"/>
        <v>2056775</v>
      </c>
      <c r="AB435" s="1"/>
      <c r="AC435" s="1">
        <f t="shared" si="74"/>
        <v>0</v>
      </c>
    </row>
    <row r="436" spans="1:29" ht="12" customHeight="1">
      <c r="A436" s="17" t="s">
        <v>641</v>
      </c>
      <c r="B436" s="17"/>
      <c r="C436" s="17" t="s">
        <v>71</v>
      </c>
      <c r="D436" s="17"/>
      <c r="E436" s="13">
        <v>44610</v>
      </c>
      <c r="G436" s="1">
        <v>913696</v>
      </c>
      <c r="I436" s="1">
        <v>0</v>
      </c>
      <c r="K436" s="41">
        <f t="shared" si="71"/>
        <v>6188832</v>
      </c>
      <c r="M436" s="1">
        <v>7102528</v>
      </c>
      <c r="O436" s="41">
        <f t="shared" si="72"/>
        <v>1944585</v>
      </c>
      <c r="Q436" s="1">
        <v>5785126</v>
      </c>
      <c r="S436" s="1">
        <v>7729711</v>
      </c>
      <c r="U436" s="1">
        <f>181635+392500</f>
        <v>574135</v>
      </c>
      <c r="W436" s="1">
        <v>0</v>
      </c>
      <c r="Y436" s="1">
        <v>-1201318</v>
      </c>
      <c r="AA436" s="58">
        <f t="shared" si="75"/>
        <v>-627183</v>
      </c>
      <c r="AB436" s="1"/>
      <c r="AC436" s="1">
        <f t="shared" si="74"/>
        <v>0</v>
      </c>
    </row>
    <row r="437" spans="1:29" ht="12" customHeight="1">
      <c r="A437" s="17" t="s">
        <v>583</v>
      </c>
      <c r="B437" s="17"/>
      <c r="C437" s="17" t="s">
        <v>62</v>
      </c>
      <c r="D437" s="17"/>
      <c r="E437" s="13">
        <v>49916</v>
      </c>
      <c r="G437" s="1">
        <v>3086034</v>
      </c>
      <c r="I437" s="1">
        <v>28109</v>
      </c>
      <c r="K437" s="41">
        <f t="shared" si="71"/>
        <v>2729847</v>
      </c>
      <c r="M437" s="1">
        <v>5843990</v>
      </c>
      <c r="O437" s="41">
        <f t="shared" si="72"/>
        <v>3215016</v>
      </c>
      <c r="Q437" s="1">
        <v>420550</v>
      </c>
      <c r="S437" s="1">
        <v>3635566</v>
      </c>
      <c r="U437" s="1">
        <f>171604+6701+73400+1153+26956</f>
        <v>279814</v>
      </c>
      <c r="W437" s="1">
        <v>0</v>
      </c>
      <c r="Y437" s="1">
        <v>1928610</v>
      </c>
      <c r="AA437" s="58">
        <f t="shared" si="75"/>
        <v>2208424</v>
      </c>
      <c r="AB437" s="1"/>
      <c r="AC437" s="1">
        <f t="shared" si="74"/>
        <v>0</v>
      </c>
    </row>
    <row r="438" spans="1:29" ht="12" customHeight="1">
      <c r="A438" s="17" t="s">
        <v>650</v>
      </c>
      <c r="B438" s="17"/>
      <c r="C438" s="17" t="s">
        <v>72</v>
      </c>
      <c r="D438" s="17"/>
      <c r="E438" s="13">
        <v>50724</v>
      </c>
      <c r="G438" s="1">
        <v>679451</v>
      </c>
      <c r="I438" s="1">
        <v>91738</v>
      </c>
      <c r="K438" s="41">
        <f t="shared" si="71"/>
        <v>5045683</v>
      </c>
      <c r="M438" s="1">
        <v>5816872</v>
      </c>
      <c r="O438" s="41">
        <f t="shared" si="72"/>
        <v>1384647</v>
      </c>
      <c r="Q438" s="1">
        <v>3686941</v>
      </c>
      <c r="S438" s="1">
        <v>5071588</v>
      </c>
      <c r="U438" s="1">
        <f>745284-57847</f>
        <v>687437</v>
      </c>
      <c r="W438" s="1">
        <v>0</v>
      </c>
      <c r="Y438" s="1">
        <v>57847</v>
      </c>
      <c r="AA438" s="58">
        <f t="shared" si="75"/>
        <v>745284</v>
      </c>
      <c r="AB438" s="1"/>
      <c r="AC438" s="1">
        <f t="shared" si="74"/>
        <v>0</v>
      </c>
    </row>
    <row r="439" spans="1:29" ht="12" customHeight="1">
      <c r="A439" s="17" t="s">
        <v>452</v>
      </c>
      <c r="B439" s="17"/>
      <c r="C439" s="17" t="s">
        <v>117</v>
      </c>
      <c r="D439" s="17"/>
      <c r="E439" s="13">
        <v>48215</v>
      </c>
      <c r="F439" s="18" t="s">
        <v>754</v>
      </c>
      <c r="G439" s="1">
        <f>2543542+2021471</f>
        <v>4565013</v>
      </c>
      <c r="I439" s="1">
        <v>56845</v>
      </c>
      <c r="K439" s="41">
        <f t="shared" si="71"/>
        <v>9035387</v>
      </c>
      <c r="M439" s="1">
        <v>13657245</v>
      </c>
      <c r="O439" s="41">
        <f t="shared" si="72"/>
        <v>1258008</v>
      </c>
      <c r="Q439" s="1">
        <f>5569+8550929</f>
        <v>8556498</v>
      </c>
      <c r="S439" s="1">
        <v>9814506</v>
      </c>
      <c r="U439" s="1">
        <f>3842739-3370556</f>
        <v>472183</v>
      </c>
      <c r="W439" s="1">
        <v>0</v>
      </c>
      <c r="Y439" s="1">
        <v>3370556</v>
      </c>
      <c r="AA439" s="58">
        <f t="shared" si="75"/>
        <v>3842739</v>
      </c>
      <c r="AB439" s="1"/>
      <c r="AC439" s="1">
        <f t="shared" si="74"/>
        <v>0</v>
      </c>
    </row>
    <row r="440" spans="1:29" ht="12" hidden="1" customHeight="1">
      <c r="A440" s="12" t="s">
        <v>885</v>
      </c>
      <c r="B440" s="17"/>
      <c r="C440" s="17" t="s">
        <v>542</v>
      </c>
      <c r="D440" s="17"/>
      <c r="E440" s="13">
        <v>49379</v>
      </c>
      <c r="K440" s="41">
        <f t="shared" si="71"/>
        <v>0</v>
      </c>
      <c r="O440" s="41">
        <f t="shared" si="72"/>
        <v>0</v>
      </c>
      <c r="AA440" s="58">
        <f t="shared" si="75"/>
        <v>0</v>
      </c>
      <c r="AB440" s="1"/>
      <c r="AC440" s="1">
        <f t="shared" si="74"/>
        <v>0</v>
      </c>
    </row>
    <row r="441" spans="1:29" ht="12" hidden="1" customHeight="1">
      <c r="A441" s="12" t="s">
        <v>884</v>
      </c>
      <c r="B441" s="17"/>
      <c r="C441" s="17" t="s">
        <v>542</v>
      </c>
      <c r="D441" s="17"/>
      <c r="E441" s="13">
        <v>49387</v>
      </c>
      <c r="K441" s="41">
        <f t="shared" si="71"/>
        <v>0</v>
      </c>
      <c r="O441" s="41">
        <f t="shared" si="72"/>
        <v>0</v>
      </c>
      <c r="AA441" s="58">
        <f t="shared" si="75"/>
        <v>0</v>
      </c>
      <c r="AB441" s="1"/>
      <c r="AC441" s="1">
        <f t="shared" si="74"/>
        <v>0</v>
      </c>
    </row>
    <row r="442" spans="1:29" ht="12" customHeight="1">
      <c r="A442" s="17" t="s">
        <v>417</v>
      </c>
      <c r="B442" s="17"/>
      <c r="C442" s="17" t="s">
        <v>41</v>
      </c>
      <c r="D442" s="17"/>
      <c r="E442" s="13">
        <v>44628</v>
      </c>
      <c r="G442" s="1">
        <v>823019</v>
      </c>
      <c r="I442" s="1">
        <v>538690</v>
      </c>
      <c r="K442" s="41">
        <f t="shared" si="71"/>
        <v>7611403</v>
      </c>
      <c r="M442" s="1">
        <v>8973112</v>
      </c>
      <c r="O442" s="41">
        <f t="shared" si="72"/>
        <v>3965388</v>
      </c>
      <c r="Q442" s="1">
        <v>6250129</v>
      </c>
      <c r="S442" s="1">
        <v>10215517</v>
      </c>
      <c r="U442" s="1">
        <f>304204+657048+105468</f>
        <v>1066720</v>
      </c>
      <c r="W442" s="1">
        <v>0</v>
      </c>
      <c r="Y442" s="1">
        <v>-2309125</v>
      </c>
      <c r="AA442" s="58">
        <f t="shared" si="75"/>
        <v>-1242405</v>
      </c>
      <c r="AB442" s="1"/>
      <c r="AC442" s="1">
        <f t="shared" si="74"/>
        <v>0</v>
      </c>
    </row>
    <row r="443" spans="1:29" ht="12" hidden="1" customHeight="1">
      <c r="A443" s="17" t="s">
        <v>852</v>
      </c>
      <c r="B443" s="17"/>
      <c r="C443" s="17" t="s">
        <v>41</v>
      </c>
      <c r="D443" s="17"/>
      <c r="E443" s="13">
        <v>47894</v>
      </c>
      <c r="K443" s="41">
        <f t="shared" si="71"/>
        <v>0</v>
      </c>
      <c r="O443" s="41">
        <f t="shared" si="72"/>
        <v>0</v>
      </c>
      <c r="AA443" s="58">
        <f t="shared" si="75"/>
        <v>0</v>
      </c>
      <c r="AB443" s="1"/>
      <c r="AC443" s="1">
        <f t="shared" si="74"/>
        <v>0</v>
      </c>
    </row>
    <row r="444" spans="1:29" ht="12" customHeight="1">
      <c r="A444" s="17" t="s">
        <v>552</v>
      </c>
      <c r="B444" s="17"/>
      <c r="C444" s="17" t="s">
        <v>58</v>
      </c>
      <c r="D444" s="17"/>
      <c r="E444" s="13">
        <v>49510</v>
      </c>
      <c r="G444" s="1">
        <v>3517874</v>
      </c>
      <c r="I444" s="1">
        <v>211442</v>
      </c>
      <c r="K444" s="41">
        <f t="shared" si="71"/>
        <v>1496812</v>
      </c>
      <c r="M444" s="1">
        <v>5226128</v>
      </c>
      <c r="O444" s="41">
        <f t="shared" si="72"/>
        <v>1057544</v>
      </c>
      <c r="Q444" s="1">
        <v>1255292</v>
      </c>
      <c r="S444" s="1">
        <v>2312836</v>
      </c>
      <c r="U444" s="1">
        <f>2913292-2339480</f>
        <v>573812</v>
      </c>
      <c r="W444" s="1">
        <v>0</v>
      </c>
      <c r="Y444" s="1">
        <v>2339480</v>
      </c>
      <c r="AA444" s="58">
        <f t="shared" si="75"/>
        <v>2913292</v>
      </c>
      <c r="AB444" s="1"/>
      <c r="AC444" s="1">
        <f t="shared" si="74"/>
        <v>0</v>
      </c>
    </row>
    <row r="445" spans="1:29" ht="12" hidden="1" customHeight="1">
      <c r="A445" s="17" t="s">
        <v>853</v>
      </c>
      <c r="B445" s="17"/>
      <c r="C445" s="17" t="s">
        <v>542</v>
      </c>
      <c r="D445" s="17"/>
      <c r="E445" s="13">
        <v>49395</v>
      </c>
      <c r="K445" s="41">
        <f t="shared" si="71"/>
        <v>0</v>
      </c>
      <c r="O445" s="41">
        <f t="shared" si="72"/>
        <v>0</v>
      </c>
      <c r="AA445" s="58">
        <f t="shared" si="75"/>
        <v>0</v>
      </c>
      <c r="AB445" s="1"/>
      <c r="AC445" s="1">
        <f t="shared" si="74"/>
        <v>0</v>
      </c>
    </row>
    <row r="446" spans="1:29" ht="12" hidden="1" customHeight="1">
      <c r="A446" s="17" t="s">
        <v>854</v>
      </c>
      <c r="B446" s="17"/>
      <c r="C446" s="17" t="s">
        <v>486</v>
      </c>
      <c r="D446" s="17"/>
      <c r="E446" s="13">
        <v>48579</v>
      </c>
      <c r="K446" s="41">
        <f t="shared" si="71"/>
        <v>0</v>
      </c>
      <c r="O446" s="41">
        <f t="shared" si="72"/>
        <v>0</v>
      </c>
      <c r="AA446" s="58">
        <f t="shared" si="75"/>
        <v>0</v>
      </c>
      <c r="AB446" s="1"/>
      <c r="AC446" s="1">
        <f t="shared" si="74"/>
        <v>0</v>
      </c>
    </row>
    <row r="447" spans="1:29" ht="12" customHeight="1">
      <c r="A447" s="17" t="s">
        <v>300</v>
      </c>
      <c r="B447" s="17"/>
      <c r="C447" s="17" t="s">
        <v>20</v>
      </c>
      <c r="D447" s="17"/>
      <c r="E447" s="13">
        <v>44636</v>
      </c>
      <c r="G447" s="1">
        <v>7763213</v>
      </c>
      <c r="I447" s="1">
        <v>0</v>
      </c>
      <c r="K447" s="41">
        <f t="shared" si="71"/>
        <v>86420599</v>
      </c>
      <c r="M447" s="1">
        <v>94183812</v>
      </c>
      <c r="O447" s="41">
        <f t="shared" si="72"/>
        <v>15230296</v>
      </c>
      <c r="Q447" s="1">
        <v>72111311</v>
      </c>
      <c r="S447" s="1">
        <v>87341607</v>
      </c>
      <c r="U447" s="1">
        <f>736550+11717990</f>
        <v>12454540</v>
      </c>
      <c r="W447" s="1">
        <v>0</v>
      </c>
      <c r="Y447" s="1">
        <v>-5612335</v>
      </c>
      <c r="AA447" s="58">
        <f t="shared" si="75"/>
        <v>6842205</v>
      </c>
      <c r="AB447" s="1"/>
      <c r="AC447" s="1">
        <f t="shared" si="74"/>
        <v>0</v>
      </c>
    </row>
    <row r="448" spans="1:29" ht="12" customHeight="1">
      <c r="A448" s="17" t="s">
        <v>393</v>
      </c>
      <c r="B448" s="17"/>
      <c r="C448" s="17" t="s">
        <v>34</v>
      </c>
      <c r="D448" s="17"/>
      <c r="E448" s="13">
        <v>47597</v>
      </c>
      <c r="G448" s="1">
        <v>1128277</v>
      </c>
      <c r="I448" s="1">
        <v>23745</v>
      </c>
      <c r="K448" s="41">
        <f t="shared" si="71"/>
        <v>4994673</v>
      </c>
      <c r="M448" s="1">
        <v>6146695</v>
      </c>
      <c r="O448" s="41">
        <f t="shared" si="72"/>
        <v>1209088</v>
      </c>
      <c r="Q448" s="1">
        <v>4156767</v>
      </c>
      <c r="S448" s="1">
        <v>5365855</v>
      </c>
      <c r="U448" s="1">
        <f>780840-152051</f>
        <v>628789</v>
      </c>
      <c r="W448" s="1">
        <v>0</v>
      </c>
      <c r="Y448" s="1">
        <v>152051</v>
      </c>
      <c r="AA448" s="58">
        <f t="shared" si="75"/>
        <v>780840</v>
      </c>
      <c r="AB448" s="1"/>
      <c r="AC448" s="1">
        <f t="shared" si="74"/>
        <v>0</v>
      </c>
    </row>
    <row r="449" spans="1:29" ht="12" hidden="1" customHeight="1">
      <c r="A449" s="17" t="s">
        <v>855</v>
      </c>
      <c r="B449" s="17"/>
      <c r="C449" s="17" t="s">
        <v>523</v>
      </c>
      <c r="D449" s="17"/>
      <c r="E449" s="13">
        <v>45575</v>
      </c>
      <c r="K449" s="41">
        <f t="shared" si="71"/>
        <v>0</v>
      </c>
      <c r="O449" s="41">
        <f t="shared" si="72"/>
        <v>0</v>
      </c>
      <c r="AA449" s="58">
        <f t="shared" si="75"/>
        <v>0</v>
      </c>
      <c r="AB449" s="1"/>
      <c r="AC449" s="1">
        <f t="shared" si="74"/>
        <v>0</v>
      </c>
    </row>
    <row r="450" spans="1:29" ht="12" customHeight="1">
      <c r="A450" s="17" t="s">
        <v>318</v>
      </c>
      <c r="B450" s="17"/>
      <c r="C450" s="17" t="s">
        <v>24</v>
      </c>
      <c r="D450" s="17"/>
      <c r="E450" s="13">
        <v>46813</v>
      </c>
      <c r="G450" s="1">
        <v>6327519</v>
      </c>
      <c r="I450" s="1">
        <v>0</v>
      </c>
      <c r="K450" s="41">
        <f t="shared" si="71"/>
        <v>13902605</v>
      </c>
      <c r="M450" s="1">
        <v>20230124</v>
      </c>
      <c r="O450" s="41">
        <f t="shared" si="72"/>
        <v>12659499</v>
      </c>
      <c r="Q450" s="1">
        <v>2429949</v>
      </c>
      <c r="S450" s="1">
        <v>15089448</v>
      </c>
      <c r="U450" s="1">
        <f>5140676-3308811</f>
        <v>1831865</v>
      </c>
      <c r="W450" s="1">
        <v>0</v>
      </c>
      <c r="Y450" s="1">
        <v>3308811</v>
      </c>
      <c r="AA450" s="58">
        <f t="shared" si="75"/>
        <v>5140676</v>
      </c>
      <c r="AB450" s="1"/>
      <c r="AC450" s="1">
        <f t="shared" si="74"/>
        <v>0</v>
      </c>
    </row>
    <row r="451" spans="1:29" ht="12" hidden="1" customHeight="1">
      <c r="A451" s="17" t="s">
        <v>856</v>
      </c>
      <c r="B451" s="17"/>
      <c r="C451" s="17" t="s">
        <v>10</v>
      </c>
      <c r="D451" s="17"/>
      <c r="E451" s="13"/>
      <c r="K451" s="41">
        <f t="shared" si="71"/>
        <v>0</v>
      </c>
      <c r="O451" s="41">
        <f t="shared" si="72"/>
        <v>0</v>
      </c>
      <c r="AA451" s="58">
        <f t="shared" si="75"/>
        <v>0</v>
      </c>
      <c r="AB451" s="1"/>
      <c r="AC451" s="1">
        <f t="shared" si="74"/>
        <v>0</v>
      </c>
    </row>
    <row r="452" spans="1:29" ht="12" customHeight="1">
      <c r="A452" s="17" t="s">
        <v>205</v>
      </c>
      <c r="B452" s="17"/>
      <c r="C452" s="17" t="s">
        <v>41</v>
      </c>
      <c r="D452" s="17"/>
      <c r="E452" s="13">
        <v>47902</v>
      </c>
      <c r="G452" s="1">
        <v>17207182</v>
      </c>
      <c r="I452" s="1">
        <v>58165</v>
      </c>
      <c r="K452" s="41">
        <f t="shared" si="71"/>
        <v>26191939</v>
      </c>
      <c r="M452" s="1">
        <v>43457286</v>
      </c>
      <c r="O452" s="41">
        <f t="shared" si="72"/>
        <v>2031808</v>
      </c>
      <c r="Q452" s="1">
        <v>25059556</v>
      </c>
      <c r="S452" s="1">
        <v>27091364</v>
      </c>
      <c r="U452" s="1">
        <f>207602+58165+627079</f>
        <v>892846</v>
      </c>
      <c r="W452" s="1">
        <v>0</v>
      </c>
      <c r="Y452" s="1">
        <v>15473076</v>
      </c>
      <c r="AA452" s="58">
        <f t="shared" si="75"/>
        <v>16365922</v>
      </c>
      <c r="AB452" s="1"/>
      <c r="AC452" s="1">
        <f t="shared" si="74"/>
        <v>0</v>
      </c>
    </row>
    <row r="453" spans="1:29" ht="12" customHeight="1">
      <c r="A453" s="17" t="s">
        <v>205</v>
      </c>
      <c r="B453" s="17"/>
      <c r="C453" s="17" t="s">
        <v>62</v>
      </c>
      <c r="D453" s="17"/>
      <c r="E453" s="13">
        <v>49924</v>
      </c>
      <c r="G453" s="1">
        <v>26119741</v>
      </c>
      <c r="I453" s="1">
        <v>0</v>
      </c>
      <c r="K453" s="41">
        <f t="shared" si="71"/>
        <v>19365714</v>
      </c>
      <c r="M453" s="1">
        <v>45485455</v>
      </c>
      <c r="O453" s="41">
        <f t="shared" si="72"/>
        <v>6063319</v>
      </c>
      <c r="Q453" s="1">
        <v>18345198</v>
      </c>
      <c r="S453" s="1">
        <v>24408517</v>
      </c>
      <c r="U453" s="1">
        <f>2197157+649950</f>
        <v>2847107</v>
      </c>
      <c r="W453" s="1">
        <v>0</v>
      </c>
      <c r="Y453" s="1">
        <v>18229831</v>
      </c>
      <c r="AA453" s="58">
        <f t="shared" si="75"/>
        <v>21076938</v>
      </c>
      <c r="AB453" s="1"/>
      <c r="AC453" s="1">
        <f t="shared" si="74"/>
        <v>0</v>
      </c>
    </row>
    <row r="454" spans="1:29" ht="12" customHeight="1">
      <c r="A454" s="17" t="s">
        <v>651</v>
      </c>
      <c r="B454" s="17"/>
      <c r="C454" s="17" t="s">
        <v>72</v>
      </c>
      <c r="D454" s="17"/>
      <c r="E454" s="13">
        <v>45583</v>
      </c>
      <c r="G454" s="1">
        <v>0</v>
      </c>
      <c r="I454" s="1">
        <v>157481</v>
      </c>
      <c r="K454" s="41">
        <f t="shared" si="71"/>
        <v>23733989</v>
      </c>
      <c r="M454" s="1">
        <v>23891470</v>
      </c>
      <c r="O454" s="41">
        <f t="shared" si="72"/>
        <v>24610185</v>
      </c>
      <c r="Q454" s="1">
        <v>810280</v>
      </c>
      <c r="S454" s="1">
        <v>25420465</v>
      </c>
      <c r="U454" s="1">
        <f>-1528995+4867087</f>
        <v>3338092</v>
      </c>
      <c r="W454" s="1">
        <v>0</v>
      </c>
      <c r="Y454" s="1">
        <v>-4867087</v>
      </c>
      <c r="AA454" s="58">
        <f t="shared" si="75"/>
        <v>-1528995</v>
      </c>
      <c r="AB454" s="1"/>
      <c r="AC454" s="1">
        <f t="shared" si="74"/>
        <v>0</v>
      </c>
    </row>
    <row r="455" spans="1:29" ht="12" customHeight="1">
      <c r="A455" s="17" t="s">
        <v>345</v>
      </c>
      <c r="B455" s="17"/>
      <c r="C455" s="17" t="s">
        <v>28</v>
      </c>
      <c r="D455" s="17"/>
      <c r="E455" s="13">
        <v>47076</v>
      </c>
      <c r="G455" s="1">
        <v>1167233</v>
      </c>
      <c r="I455" s="1">
        <v>0</v>
      </c>
      <c r="K455" s="41">
        <f t="shared" si="71"/>
        <v>1383991</v>
      </c>
      <c r="M455" s="1">
        <v>2551224</v>
      </c>
      <c r="O455" s="41">
        <f t="shared" si="72"/>
        <v>689347</v>
      </c>
      <c r="Q455" s="1">
        <v>1097773</v>
      </c>
      <c r="S455" s="1">
        <v>1787120</v>
      </c>
      <c r="U455" s="1">
        <f>10933+80827</f>
        <v>91760</v>
      </c>
      <c r="W455" s="1">
        <v>0</v>
      </c>
      <c r="Y455" s="1">
        <v>672344</v>
      </c>
      <c r="AA455" s="58">
        <f t="shared" si="75"/>
        <v>764104</v>
      </c>
      <c r="AB455" s="1"/>
      <c r="AC455" s="1">
        <f t="shared" si="74"/>
        <v>0</v>
      </c>
    </row>
    <row r="456" spans="1:29" ht="12" customHeight="1">
      <c r="A456" s="17" t="s">
        <v>326</v>
      </c>
      <c r="B456" s="17"/>
      <c r="C456" s="17" t="s">
        <v>25</v>
      </c>
      <c r="D456" s="17"/>
      <c r="E456" s="13">
        <v>46896</v>
      </c>
      <c r="G456" s="1">
        <v>11659792</v>
      </c>
      <c r="I456" s="1">
        <v>22684</v>
      </c>
      <c r="K456" s="41">
        <f t="shared" si="71"/>
        <v>33806392</v>
      </c>
      <c r="M456" s="1">
        <v>45488868</v>
      </c>
      <c r="O456" s="41">
        <f t="shared" si="72"/>
        <v>37844580</v>
      </c>
      <c r="Q456" s="1">
        <v>1458286</v>
      </c>
      <c r="S456" s="1">
        <v>39302866</v>
      </c>
      <c r="U456" s="1">
        <f>6186002-2458979</f>
        <v>3727023</v>
      </c>
      <c r="W456" s="1">
        <v>2458979</v>
      </c>
      <c r="Y456" s="1">
        <v>0</v>
      </c>
      <c r="AA456" s="58">
        <f t="shared" si="75"/>
        <v>6186002</v>
      </c>
      <c r="AB456" s="1"/>
      <c r="AC456" s="1">
        <f t="shared" si="74"/>
        <v>0</v>
      </c>
    </row>
    <row r="457" spans="1:29" ht="12" customHeight="1">
      <c r="A457" s="17" t="s">
        <v>346</v>
      </c>
      <c r="B457" s="17"/>
      <c r="C457" s="17" t="s">
        <v>28</v>
      </c>
      <c r="D457" s="17"/>
      <c r="E457" s="13">
        <v>47084</v>
      </c>
      <c r="G457" s="1">
        <v>3184099</v>
      </c>
      <c r="I457" s="1">
        <v>26007</v>
      </c>
      <c r="K457" s="41">
        <f t="shared" si="71"/>
        <v>3201411</v>
      </c>
      <c r="M457" s="1">
        <v>6411517</v>
      </c>
      <c r="O457" s="41">
        <f t="shared" si="72"/>
        <v>1783564</v>
      </c>
      <c r="Q457" s="1">
        <v>2935502</v>
      </c>
      <c r="S457" s="1">
        <v>4719066</v>
      </c>
      <c r="U457" s="1">
        <f>11365+26007+145937</f>
        <v>183309</v>
      </c>
      <c r="W457" s="1">
        <v>0</v>
      </c>
      <c r="Y457" s="1">
        <v>1509142</v>
      </c>
      <c r="AA457" s="58">
        <f t="shared" si="75"/>
        <v>1692451</v>
      </c>
      <c r="AB457" s="1"/>
      <c r="AC457" s="1">
        <f t="shared" si="74"/>
        <v>0</v>
      </c>
    </row>
    <row r="458" spans="1:29" ht="12" customHeight="1">
      <c r="A458" s="17" t="s">
        <v>490</v>
      </c>
      <c r="B458" s="17"/>
      <c r="C458" s="17" t="s">
        <v>48</v>
      </c>
      <c r="D458" s="17"/>
      <c r="E458" s="13">
        <v>44644</v>
      </c>
      <c r="G458" s="1">
        <f>3196939+2937875</f>
        <v>6134814</v>
      </c>
      <c r="I458" s="1">
        <v>346249</v>
      </c>
      <c r="K458" s="41">
        <f t="shared" si="71"/>
        <v>13462575</v>
      </c>
      <c r="M458" s="1">
        <v>19943638</v>
      </c>
      <c r="O458" s="41">
        <f t="shared" si="72"/>
        <v>3640851</v>
      </c>
      <c r="Q458" s="1">
        <v>10850798</v>
      </c>
      <c r="S458" s="1">
        <v>14491649</v>
      </c>
      <c r="U458" s="1">
        <f>5451989-3785161</f>
        <v>1666828</v>
      </c>
      <c r="W458" s="1">
        <v>0</v>
      </c>
      <c r="Y458" s="1">
        <v>3785161</v>
      </c>
      <c r="AA458" s="58">
        <f t="shared" si="75"/>
        <v>5451989</v>
      </c>
      <c r="AB458" s="1"/>
      <c r="AC458" s="1">
        <f t="shared" si="74"/>
        <v>0</v>
      </c>
    </row>
    <row r="459" spans="1:29" ht="12" hidden="1" customHeight="1">
      <c r="A459" s="17" t="s">
        <v>857</v>
      </c>
      <c r="B459" s="17"/>
      <c r="C459" s="17" t="s">
        <v>27</v>
      </c>
      <c r="D459" s="17"/>
      <c r="E459" s="13">
        <v>46995</v>
      </c>
      <c r="K459" s="41">
        <f t="shared" si="71"/>
        <v>0</v>
      </c>
      <c r="O459" s="41">
        <f t="shared" si="72"/>
        <v>0</v>
      </c>
      <c r="AA459" s="58">
        <f t="shared" si="75"/>
        <v>0</v>
      </c>
      <c r="AB459" s="1"/>
      <c r="AC459" s="1">
        <f t="shared" si="74"/>
        <v>0</v>
      </c>
    </row>
    <row r="460" spans="1:29" ht="12" customHeight="1">
      <c r="A460" s="17" t="s">
        <v>338</v>
      </c>
      <c r="B460" s="17"/>
      <c r="C460" s="17" t="s">
        <v>62</v>
      </c>
      <c r="D460" s="17"/>
      <c r="E460" s="13">
        <v>49932</v>
      </c>
      <c r="G460" s="1">
        <v>9532437</v>
      </c>
      <c r="I460" s="1">
        <v>229590</v>
      </c>
      <c r="K460" s="41">
        <f t="shared" si="71"/>
        <v>28970656</v>
      </c>
      <c r="M460" s="1">
        <v>38732683</v>
      </c>
      <c r="O460" s="41">
        <f t="shared" si="72"/>
        <v>34091788</v>
      </c>
      <c r="Q460" s="1">
        <v>2135040</v>
      </c>
      <c r="S460" s="1">
        <v>36226828</v>
      </c>
      <c r="U460" s="1">
        <f>2505855+637986</f>
        <v>3143841</v>
      </c>
      <c r="W460" s="1">
        <v>0</v>
      </c>
      <c r="Y460" s="1">
        <v>-637986</v>
      </c>
      <c r="AA460" s="58">
        <f t="shared" si="75"/>
        <v>2505855</v>
      </c>
      <c r="AB460" s="1"/>
      <c r="AC460" s="1">
        <f t="shared" si="74"/>
        <v>0</v>
      </c>
    </row>
    <row r="461" spans="1:29" ht="12" customHeight="1">
      <c r="A461" s="17" t="s">
        <v>475</v>
      </c>
      <c r="B461" s="17"/>
      <c r="C461" s="17" t="s">
        <v>46</v>
      </c>
      <c r="D461" s="17"/>
      <c r="E461" s="13">
        <v>48421</v>
      </c>
      <c r="G461" s="1">
        <v>2262910</v>
      </c>
      <c r="I461" s="1">
        <v>119429</v>
      </c>
      <c r="K461" s="41">
        <f t="shared" si="71"/>
        <v>4088521</v>
      </c>
      <c r="M461" s="1">
        <v>6470860</v>
      </c>
      <c r="O461" s="41">
        <f t="shared" si="72"/>
        <v>1095840</v>
      </c>
      <c r="Q461" s="1">
        <v>2356028</v>
      </c>
      <c r="S461" s="1">
        <v>3451868</v>
      </c>
      <c r="U461" s="1">
        <f>1535081+119429+244945</f>
        <v>1899455</v>
      </c>
      <c r="W461" s="1">
        <v>0</v>
      </c>
      <c r="Y461" s="1">
        <v>1119537</v>
      </c>
      <c r="AA461" s="58">
        <f t="shared" si="75"/>
        <v>3018992</v>
      </c>
      <c r="AB461" s="1"/>
      <c r="AC461" s="1">
        <f t="shared" si="74"/>
        <v>0</v>
      </c>
    </row>
    <row r="462" spans="1:29" ht="12" customHeight="1">
      <c r="A462" s="17" t="s">
        <v>547</v>
      </c>
      <c r="B462" s="17"/>
      <c r="C462" s="17" t="s">
        <v>112</v>
      </c>
      <c r="D462" s="17"/>
      <c r="E462" s="13">
        <v>49460</v>
      </c>
      <c r="G462" s="1">
        <f>2344248+311681</f>
        <v>2655929</v>
      </c>
      <c r="I462" s="1">
        <v>25818</v>
      </c>
      <c r="K462" s="41">
        <f t="shared" si="71"/>
        <v>2499877</v>
      </c>
      <c r="M462" s="1">
        <v>5181624</v>
      </c>
      <c r="O462" s="41">
        <f t="shared" si="72"/>
        <v>2310374</v>
      </c>
      <c r="Q462" s="1">
        <v>722168</v>
      </c>
      <c r="S462" s="1">
        <v>3032542</v>
      </c>
      <c r="U462" s="1">
        <f>2149082-1782336</f>
        <v>366746</v>
      </c>
      <c r="W462" s="1">
        <v>0</v>
      </c>
      <c r="Y462" s="1">
        <v>1782336</v>
      </c>
      <c r="AA462" s="58">
        <f t="shared" si="75"/>
        <v>2149082</v>
      </c>
      <c r="AB462" s="1"/>
      <c r="AC462" s="1">
        <f t="shared" si="74"/>
        <v>0</v>
      </c>
    </row>
    <row r="463" spans="1:29" ht="12" customHeight="1">
      <c r="A463" s="17" t="s">
        <v>467</v>
      </c>
      <c r="B463" s="17"/>
      <c r="C463" s="17" t="s">
        <v>45</v>
      </c>
      <c r="D463" s="17"/>
      <c r="E463" s="13">
        <v>48348</v>
      </c>
      <c r="G463" s="1">
        <v>4345046</v>
      </c>
      <c r="I463" s="1">
        <v>91267</v>
      </c>
      <c r="K463" s="41">
        <f t="shared" si="71"/>
        <v>10432140</v>
      </c>
      <c r="M463" s="1">
        <v>14868453</v>
      </c>
      <c r="O463" s="41">
        <f t="shared" si="72"/>
        <v>2856118</v>
      </c>
      <c r="Q463" s="1">
        <v>10432081</v>
      </c>
      <c r="S463" s="1">
        <v>13288199</v>
      </c>
      <c r="U463" s="1">
        <f>288659+14032+77235</f>
        <v>379926</v>
      </c>
      <c r="W463" s="1">
        <v>247765</v>
      </c>
      <c r="Y463" s="1">
        <v>952563</v>
      </c>
      <c r="AA463" s="58">
        <f t="shared" si="75"/>
        <v>1580254</v>
      </c>
      <c r="AB463" s="1"/>
      <c r="AC463" s="1">
        <f t="shared" si="74"/>
        <v>0</v>
      </c>
    </row>
    <row r="464" spans="1:29" ht="12" customHeight="1">
      <c r="A464" s="17" t="s">
        <v>522</v>
      </c>
      <c r="B464" s="17"/>
      <c r="C464" s="17" t="s">
        <v>53</v>
      </c>
      <c r="D464" s="17"/>
      <c r="E464" s="13">
        <v>44651</v>
      </c>
      <c r="G464" s="1">
        <v>8440414</v>
      </c>
      <c r="I464" s="1">
        <v>0</v>
      </c>
      <c r="K464" s="41">
        <f t="shared" si="71"/>
        <v>13626351</v>
      </c>
      <c r="M464" s="1">
        <v>22066765</v>
      </c>
      <c r="O464" s="41">
        <f t="shared" si="72"/>
        <v>12965791</v>
      </c>
      <c r="Q464" s="1">
        <v>689958</v>
      </c>
      <c r="S464" s="1">
        <v>13655749</v>
      </c>
      <c r="U464" s="1">
        <f>8411016-6378939</f>
        <v>2032077</v>
      </c>
      <c r="W464" s="1">
        <v>0</v>
      </c>
      <c r="Y464" s="1">
        <v>6378939</v>
      </c>
      <c r="AA464" s="58">
        <f t="shared" si="75"/>
        <v>8411016</v>
      </c>
      <c r="AB464" s="1"/>
      <c r="AC464" s="1">
        <f t="shared" si="74"/>
        <v>0</v>
      </c>
    </row>
    <row r="465" spans="1:29" ht="12" customHeight="1">
      <c r="A465" s="17" t="s">
        <v>564</v>
      </c>
      <c r="B465" s="17"/>
      <c r="C465" s="17" t="s">
        <v>59</v>
      </c>
      <c r="D465" s="17"/>
      <c r="E465" s="13">
        <v>44669</v>
      </c>
      <c r="G465" s="1">
        <v>3111942</v>
      </c>
      <c r="I465" s="1">
        <v>182690</v>
      </c>
      <c r="K465" s="41">
        <f t="shared" si="71"/>
        <v>5470396</v>
      </c>
      <c r="M465" s="1">
        <v>8765028</v>
      </c>
      <c r="O465" s="41">
        <f t="shared" si="72"/>
        <v>1755904</v>
      </c>
      <c r="Q465" s="1">
        <v>5032741</v>
      </c>
      <c r="S465" s="1">
        <v>6788645</v>
      </c>
      <c r="U465" s="1">
        <f>1976383-111202-1349680</f>
        <v>515501</v>
      </c>
      <c r="W465" s="1">
        <v>111202</v>
      </c>
      <c r="Y465" s="1">
        <v>1349680</v>
      </c>
      <c r="AA465" s="58">
        <f t="shared" si="75"/>
        <v>1976383</v>
      </c>
      <c r="AB465" s="1"/>
      <c r="AC465" s="1">
        <f t="shared" si="74"/>
        <v>0</v>
      </c>
    </row>
    <row r="466" spans="1:29" ht="12" hidden="1" customHeight="1">
      <c r="A466" s="17" t="s">
        <v>858</v>
      </c>
      <c r="B466" s="17"/>
      <c r="C466" s="17" t="s">
        <v>57</v>
      </c>
      <c r="D466" s="17"/>
      <c r="E466" s="13">
        <v>49288</v>
      </c>
      <c r="K466" s="41">
        <f t="shared" si="71"/>
        <v>0</v>
      </c>
      <c r="O466" s="41">
        <f t="shared" si="72"/>
        <v>0</v>
      </c>
      <c r="AA466" s="58">
        <f t="shared" si="75"/>
        <v>0</v>
      </c>
      <c r="AB466" s="1"/>
      <c r="AC466" s="1">
        <f t="shared" si="74"/>
        <v>0</v>
      </c>
    </row>
    <row r="467" spans="1:29" ht="12" customHeight="1">
      <c r="A467" s="17" t="s">
        <v>372</v>
      </c>
      <c r="B467" s="17"/>
      <c r="C467" s="17" t="s">
        <v>32</v>
      </c>
      <c r="D467" s="17"/>
      <c r="E467" s="13">
        <v>44677</v>
      </c>
      <c r="G467" s="1">
        <v>18099241</v>
      </c>
      <c r="I467" s="1">
        <v>212907</v>
      </c>
      <c r="K467" s="41">
        <f t="shared" si="71"/>
        <v>67453937</v>
      </c>
      <c r="M467" s="1">
        <v>85766085</v>
      </c>
      <c r="O467" s="41">
        <f t="shared" si="72"/>
        <v>9843184</v>
      </c>
      <c r="Q467" s="1">
        <v>53467358</v>
      </c>
      <c r="S467" s="1">
        <v>63310542</v>
      </c>
      <c r="U467" s="1">
        <f>22455543-7223096</f>
        <v>15232447</v>
      </c>
      <c r="W467" s="1">
        <v>0</v>
      </c>
      <c r="Y467" s="1">
        <v>7223096</v>
      </c>
      <c r="AA467" s="58">
        <f t="shared" si="75"/>
        <v>22455543</v>
      </c>
      <c r="AB467" s="1"/>
      <c r="AC467" s="1">
        <f t="shared" si="74"/>
        <v>0</v>
      </c>
    </row>
    <row r="468" spans="1:29" ht="12" customHeight="1">
      <c r="A468" s="17" t="s">
        <v>213</v>
      </c>
      <c r="B468" s="17"/>
      <c r="C468" s="17" t="s">
        <v>12</v>
      </c>
      <c r="D468" s="17"/>
      <c r="E468" s="13">
        <v>45880</v>
      </c>
      <c r="G468" s="1">
        <v>396989</v>
      </c>
      <c r="I468" s="1">
        <v>599398</v>
      </c>
      <c r="K468" s="41">
        <f t="shared" si="71"/>
        <v>3873417</v>
      </c>
      <c r="M468" s="1">
        <v>4869804</v>
      </c>
      <c r="O468" s="41">
        <f t="shared" si="72"/>
        <v>1178327</v>
      </c>
      <c r="Q468" s="1">
        <v>2593471</v>
      </c>
      <c r="S468" s="1">
        <v>3771798</v>
      </c>
      <c r="U468" s="1">
        <f>1098006+701680</f>
        <v>1799686</v>
      </c>
      <c r="W468" s="1">
        <v>0</v>
      </c>
      <c r="Y468" s="1">
        <v>-701680</v>
      </c>
      <c r="AA468" s="58">
        <f t="shared" si="75"/>
        <v>1098006</v>
      </c>
      <c r="AB468" s="1"/>
      <c r="AC468" s="1">
        <f t="shared" si="74"/>
        <v>0</v>
      </c>
    </row>
    <row r="469" spans="1:29" ht="12" customHeight="1">
      <c r="A469" s="17" t="s">
        <v>765</v>
      </c>
      <c r="B469" s="17"/>
      <c r="C469" s="17" t="s">
        <v>56</v>
      </c>
      <c r="D469" s="17"/>
      <c r="E469" s="13"/>
      <c r="G469" s="1">
        <v>2876618</v>
      </c>
      <c r="I469" s="1">
        <v>180940</v>
      </c>
      <c r="K469" s="41">
        <f t="shared" si="71"/>
        <v>11301351</v>
      </c>
      <c r="M469" s="1">
        <v>14358909</v>
      </c>
      <c r="O469" s="41">
        <f t="shared" si="72"/>
        <v>3627421</v>
      </c>
      <c r="Q469" s="1">
        <v>9444079</v>
      </c>
      <c r="S469" s="1">
        <v>13071500</v>
      </c>
      <c r="U469" s="1">
        <f>1287409+757619</f>
        <v>2045028</v>
      </c>
      <c r="W469" s="1">
        <v>0</v>
      </c>
      <c r="Y469" s="1">
        <v>-757619</v>
      </c>
      <c r="AA469" s="58">
        <f t="shared" si="75"/>
        <v>1287409</v>
      </c>
      <c r="AB469" s="1"/>
      <c r="AC469" s="1">
        <f t="shared" si="74"/>
        <v>0</v>
      </c>
    </row>
    <row r="470" spans="1:29" ht="12" customHeight="1">
      <c r="A470" s="17" t="s">
        <v>373</v>
      </c>
      <c r="B470" s="17"/>
      <c r="C470" s="17" t="s">
        <v>32</v>
      </c>
      <c r="D470" s="17"/>
      <c r="E470" s="13">
        <v>44693</v>
      </c>
      <c r="G470" s="1">
        <v>1346588</v>
      </c>
      <c r="I470" s="1">
        <v>0</v>
      </c>
      <c r="K470" s="41">
        <f t="shared" si="71"/>
        <v>7840515</v>
      </c>
      <c r="M470" s="1">
        <v>9187103</v>
      </c>
      <c r="O470" s="41">
        <f t="shared" si="72"/>
        <v>1156691</v>
      </c>
      <c r="Q470" s="1">
        <v>5580475</v>
      </c>
      <c r="S470" s="1">
        <v>6737166</v>
      </c>
      <c r="U470" s="1">
        <f>363136+2147000+103826</f>
        <v>2613962</v>
      </c>
      <c r="W470" s="1">
        <v>0</v>
      </c>
      <c r="Y470" s="1">
        <v>-164025</v>
      </c>
      <c r="AA470" s="58">
        <f t="shared" si="75"/>
        <v>2449937</v>
      </c>
      <c r="AB470" s="1"/>
      <c r="AC470" s="1">
        <f t="shared" si="74"/>
        <v>0</v>
      </c>
    </row>
    <row r="471" spans="1:29" ht="12" customHeight="1">
      <c r="A471" s="17" t="s">
        <v>594</v>
      </c>
      <c r="B471" s="17"/>
      <c r="C471" s="17" t="s">
        <v>63</v>
      </c>
      <c r="D471" s="17"/>
      <c r="E471" s="13">
        <v>50054</v>
      </c>
      <c r="G471" s="1">
        <v>14147919</v>
      </c>
      <c r="I471" s="1">
        <v>0</v>
      </c>
      <c r="K471" s="41">
        <f t="shared" si="71"/>
        <v>23316965</v>
      </c>
      <c r="M471" s="1">
        <v>37464884</v>
      </c>
      <c r="O471" s="41">
        <f t="shared" si="72"/>
        <v>4095474</v>
      </c>
      <c r="Q471" s="1">
        <v>20822573</v>
      </c>
      <c r="S471" s="1">
        <v>24918047</v>
      </c>
      <c r="U471" s="1">
        <f>602566+2481470</f>
        <v>3084036</v>
      </c>
      <c r="W471" s="1">
        <v>0</v>
      </c>
      <c r="Y471" s="1">
        <v>9462801</v>
      </c>
      <c r="AA471" s="58">
        <f t="shared" si="75"/>
        <v>12546837</v>
      </c>
      <c r="AB471" s="1"/>
      <c r="AC471" s="1">
        <f t="shared" si="74"/>
        <v>0</v>
      </c>
    </row>
    <row r="472" spans="1:29" ht="12" customHeight="1">
      <c r="A472" s="17" t="s">
        <v>339</v>
      </c>
      <c r="B472" s="17"/>
      <c r="C472" s="17" t="s">
        <v>27</v>
      </c>
      <c r="D472" s="17"/>
      <c r="E472" s="13">
        <v>47001</v>
      </c>
      <c r="G472" s="1">
        <v>1440264</v>
      </c>
      <c r="I472" s="1">
        <v>172006</v>
      </c>
      <c r="K472" s="41">
        <f t="shared" si="71"/>
        <v>23470849</v>
      </c>
      <c r="M472" s="1">
        <v>25083119</v>
      </c>
      <c r="O472" s="41">
        <f t="shared" si="72"/>
        <v>6336093</v>
      </c>
      <c r="Q472" s="1">
        <v>15135093</v>
      </c>
      <c r="S472" s="1">
        <v>21471186</v>
      </c>
      <c r="U472" s="1">
        <f>3611933+3344455</f>
        <v>6956388</v>
      </c>
      <c r="W472" s="1">
        <v>0</v>
      </c>
      <c r="Y472" s="1">
        <v>-3344455</v>
      </c>
      <c r="AA472" s="58">
        <f t="shared" si="75"/>
        <v>3611933</v>
      </c>
      <c r="AB472" s="1"/>
      <c r="AC472" s="1">
        <f t="shared" si="74"/>
        <v>0</v>
      </c>
    </row>
    <row r="473" spans="1:29" ht="12" customHeight="1">
      <c r="A473" s="17" t="s">
        <v>301</v>
      </c>
      <c r="B473" s="17"/>
      <c r="C473" s="17" t="s">
        <v>20</v>
      </c>
      <c r="D473" s="17"/>
      <c r="E473" s="13">
        <v>46599</v>
      </c>
      <c r="G473" s="1">
        <v>113220</v>
      </c>
      <c r="I473" s="1">
        <v>269783</v>
      </c>
      <c r="K473" s="41">
        <f t="shared" si="71"/>
        <v>11229789</v>
      </c>
      <c r="M473" s="1">
        <v>11612792</v>
      </c>
      <c r="O473" s="41">
        <f t="shared" si="72"/>
        <v>1397047</v>
      </c>
      <c r="Q473" s="1">
        <v>9677604</v>
      </c>
      <c r="S473" s="1">
        <v>11074651</v>
      </c>
      <c r="U473" s="1">
        <f>269783+28900+115065</f>
        <v>413748</v>
      </c>
      <c r="W473" s="1">
        <v>0</v>
      </c>
      <c r="Y473" s="1">
        <v>124393</v>
      </c>
      <c r="AA473" s="58">
        <f t="shared" si="75"/>
        <v>538141</v>
      </c>
      <c r="AB473" s="1"/>
      <c r="AC473" s="1">
        <f t="shared" si="74"/>
        <v>0</v>
      </c>
    </row>
    <row r="474" spans="1:29" ht="12" customHeight="1">
      <c r="A474" s="17" t="s">
        <v>476</v>
      </c>
      <c r="B474" s="17"/>
      <c r="C474" s="17" t="s">
        <v>46</v>
      </c>
      <c r="D474" s="17"/>
      <c r="E474" s="13">
        <v>48439</v>
      </c>
      <c r="G474" s="1">
        <v>1952591</v>
      </c>
      <c r="I474" s="1">
        <v>210576</v>
      </c>
      <c r="K474" s="41">
        <f t="shared" si="71"/>
        <v>2645899</v>
      </c>
      <c r="M474" s="1">
        <v>4809066</v>
      </c>
      <c r="O474" s="41">
        <f t="shared" si="72"/>
        <v>807106</v>
      </c>
      <c r="Q474" s="1">
        <v>1731096</v>
      </c>
      <c r="S474" s="1">
        <v>2538202</v>
      </c>
      <c r="U474" s="1">
        <f>2270864-1177304</f>
        <v>1093560</v>
      </c>
      <c r="W474" s="1">
        <v>0</v>
      </c>
      <c r="Y474" s="1">
        <v>1177304</v>
      </c>
      <c r="AA474" s="58">
        <f t="shared" si="75"/>
        <v>2270864</v>
      </c>
      <c r="AB474" s="1"/>
      <c r="AC474" s="1">
        <f t="shared" si="74"/>
        <v>0</v>
      </c>
    </row>
    <row r="475" spans="1:29" ht="12" customHeight="1">
      <c r="A475" s="12" t="s">
        <v>386</v>
      </c>
      <c r="B475" s="17"/>
      <c r="C475" s="17" t="s">
        <v>383</v>
      </c>
      <c r="D475" s="17"/>
      <c r="E475" s="13">
        <v>47506</v>
      </c>
      <c r="G475" s="1">
        <v>798953</v>
      </c>
      <c r="I475" s="1">
        <v>0</v>
      </c>
      <c r="K475" s="41">
        <f t="shared" si="71"/>
        <v>1379463</v>
      </c>
      <c r="M475" s="1">
        <v>2178416</v>
      </c>
      <c r="O475" s="41">
        <f t="shared" si="72"/>
        <v>481528</v>
      </c>
      <c r="Q475" s="1">
        <v>970125</v>
      </c>
      <c r="S475" s="1">
        <v>1451653</v>
      </c>
      <c r="U475" s="1">
        <f>32340+93654</f>
        <v>125994</v>
      </c>
      <c r="W475" s="1">
        <v>0</v>
      </c>
      <c r="Y475" s="1">
        <v>600769</v>
      </c>
      <c r="AA475" s="58">
        <f t="shared" si="75"/>
        <v>726763</v>
      </c>
      <c r="AB475" s="1"/>
      <c r="AC475" s="1">
        <f t="shared" si="74"/>
        <v>0</v>
      </c>
    </row>
    <row r="476" spans="1:29" ht="12" customHeight="1">
      <c r="A476" s="17" t="s">
        <v>273</v>
      </c>
      <c r="B476" s="17"/>
      <c r="C476" s="17" t="s">
        <v>19</v>
      </c>
      <c r="D476" s="17"/>
      <c r="E476" s="13">
        <v>46474</v>
      </c>
      <c r="G476" s="1">
        <v>3408716</v>
      </c>
      <c r="I476" s="1">
        <v>161752</v>
      </c>
      <c r="K476" s="41">
        <f t="shared" si="71"/>
        <v>2544295</v>
      </c>
      <c r="M476" s="1">
        <v>6114763</v>
      </c>
      <c r="O476" s="41">
        <f t="shared" si="72"/>
        <v>3315799</v>
      </c>
      <c r="Q476" s="1">
        <v>167841</v>
      </c>
      <c r="S476" s="1">
        <v>3483640</v>
      </c>
      <c r="U476" s="1">
        <f>2631123-54777-2128802</f>
        <v>447544</v>
      </c>
      <c r="W476" s="1">
        <v>54777</v>
      </c>
      <c r="Y476" s="1">
        <v>2128802</v>
      </c>
      <c r="AA476" s="58">
        <f t="shared" si="75"/>
        <v>2631123</v>
      </c>
      <c r="AB476" s="1"/>
      <c r="AC476" s="1">
        <f t="shared" si="74"/>
        <v>0</v>
      </c>
    </row>
    <row r="477" spans="1:29" ht="12" customHeight="1">
      <c r="A477" s="17" t="s">
        <v>766</v>
      </c>
      <c r="B477" s="17"/>
      <c r="C477" s="17" t="s">
        <v>77</v>
      </c>
      <c r="D477" s="17"/>
      <c r="E477" s="13">
        <v>46078</v>
      </c>
      <c r="G477" s="1">
        <v>1028951</v>
      </c>
      <c r="I477" s="1">
        <v>25894</v>
      </c>
      <c r="K477" s="41">
        <f t="shared" si="71"/>
        <v>2077428</v>
      </c>
      <c r="M477" s="1">
        <v>3132273</v>
      </c>
      <c r="O477" s="41">
        <f t="shared" si="72"/>
        <v>918251</v>
      </c>
      <c r="Q477" s="1">
        <v>1476041</v>
      </c>
      <c r="S477" s="1">
        <v>2394292</v>
      </c>
      <c r="U477" s="1">
        <f>737981-300776</f>
        <v>437205</v>
      </c>
      <c r="W477" s="1">
        <v>0</v>
      </c>
      <c r="Y477" s="1">
        <v>300776</v>
      </c>
      <c r="AA477" s="58">
        <f t="shared" si="75"/>
        <v>737981</v>
      </c>
      <c r="AB477" s="1"/>
      <c r="AC477" s="1">
        <f t="shared" si="74"/>
        <v>0</v>
      </c>
    </row>
    <row r="478" spans="1:29" ht="12" customHeight="1">
      <c r="A478" s="17" t="s">
        <v>642</v>
      </c>
      <c r="B478" s="17"/>
      <c r="C478" s="17" t="s">
        <v>71</v>
      </c>
      <c r="D478" s="17"/>
      <c r="E478" s="13">
        <v>45591</v>
      </c>
      <c r="G478" s="1">
        <v>3657431</v>
      </c>
      <c r="I478" s="1">
        <v>96299</v>
      </c>
      <c r="K478" s="41">
        <f t="shared" si="71"/>
        <v>2928448</v>
      </c>
      <c r="M478" s="1">
        <v>6682178</v>
      </c>
      <c r="O478" s="41">
        <f t="shared" si="72"/>
        <v>1228268</v>
      </c>
      <c r="Q478" s="1">
        <v>2728851</v>
      </c>
      <c r="S478" s="1">
        <v>3957119</v>
      </c>
      <c r="U478" s="1">
        <f>2725059-2330294</f>
        <v>394765</v>
      </c>
      <c r="W478" s="1">
        <v>0</v>
      </c>
      <c r="Y478" s="1">
        <v>2330294</v>
      </c>
      <c r="AA478" s="58">
        <f t="shared" si="75"/>
        <v>2725059</v>
      </c>
      <c r="AB478" s="1"/>
      <c r="AC478" s="1">
        <f t="shared" si="74"/>
        <v>0</v>
      </c>
    </row>
    <row r="479" spans="1:29" ht="12" customHeight="1">
      <c r="A479" s="17" t="s">
        <v>477</v>
      </c>
      <c r="B479" s="17"/>
      <c r="C479" s="17" t="s">
        <v>46</v>
      </c>
      <c r="D479" s="17"/>
      <c r="E479" s="13">
        <v>48447</v>
      </c>
      <c r="G479" s="1">
        <v>1632512</v>
      </c>
      <c r="I479" s="1">
        <v>33907</v>
      </c>
      <c r="K479" s="41">
        <f t="shared" si="71"/>
        <v>6121752</v>
      </c>
      <c r="M479" s="1">
        <v>7788171</v>
      </c>
      <c r="O479" s="41">
        <f t="shared" si="72"/>
        <v>2287389</v>
      </c>
      <c r="Q479" s="1">
        <v>3879437</v>
      </c>
      <c r="S479" s="1">
        <v>6166826</v>
      </c>
      <c r="U479" s="1">
        <f>1621345+598515-85600</f>
        <v>2134260</v>
      </c>
      <c r="W479" s="1">
        <v>85600</v>
      </c>
      <c r="Y479" s="1">
        <v>-598515</v>
      </c>
      <c r="AA479" s="58">
        <f t="shared" si="75"/>
        <v>1621345</v>
      </c>
      <c r="AB479" s="1"/>
      <c r="AC479" s="1">
        <f t="shared" si="74"/>
        <v>0</v>
      </c>
    </row>
    <row r="480" spans="1:29" ht="12" customHeight="1">
      <c r="A480" s="17" t="s">
        <v>274</v>
      </c>
      <c r="B480" s="17"/>
      <c r="C480" s="17" t="s">
        <v>19</v>
      </c>
      <c r="D480" s="17"/>
      <c r="E480" s="13">
        <v>46482</v>
      </c>
      <c r="G480" s="1">
        <v>5159008</v>
      </c>
      <c r="I480" s="1">
        <v>120824</v>
      </c>
      <c r="K480" s="41">
        <f t="shared" si="71"/>
        <v>8210771</v>
      </c>
      <c r="M480" s="1">
        <v>13490603</v>
      </c>
      <c r="O480" s="41">
        <f t="shared" si="72"/>
        <v>2158871</v>
      </c>
      <c r="Q480" s="1">
        <v>7429912</v>
      </c>
      <c r="S480" s="1">
        <v>9588783</v>
      </c>
      <c r="U480" s="1">
        <f>3901820-80351-2932775</f>
        <v>888694</v>
      </c>
      <c r="W480" s="1">
        <v>80351</v>
      </c>
      <c r="Y480" s="1">
        <v>2932775</v>
      </c>
      <c r="AA480" s="58">
        <f t="shared" si="75"/>
        <v>3901820</v>
      </c>
      <c r="AB480" s="1"/>
      <c r="AC480" s="1">
        <f t="shared" si="74"/>
        <v>0</v>
      </c>
    </row>
    <row r="481" spans="1:29" ht="12" hidden="1" customHeight="1">
      <c r="A481" s="12" t="s">
        <v>932</v>
      </c>
      <c r="B481" s="17"/>
      <c r="C481" s="17" t="s">
        <v>383</v>
      </c>
      <c r="D481" s="17"/>
      <c r="E481" s="13">
        <v>47514</v>
      </c>
      <c r="K481" s="41">
        <f t="shared" si="71"/>
        <v>0</v>
      </c>
      <c r="O481" s="41">
        <f t="shared" si="72"/>
        <v>0</v>
      </c>
      <c r="AA481" s="58">
        <f t="shared" si="75"/>
        <v>0</v>
      </c>
      <c r="AB481" s="1"/>
      <c r="AC481" s="1">
        <f t="shared" si="74"/>
        <v>0</v>
      </c>
    </row>
    <row r="482" spans="1:29" ht="12" customHeight="1">
      <c r="A482" s="17" t="s">
        <v>435</v>
      </c>
      <c r="B482" s="17"/>
      <c r="C482" s="17" t="s">
        <v>41</v>
      </c>
      <c r="D482" s="17"/>
      <c r="E482" s="13"/>
      <c r="G482" s="1">
        <f>3729203+2264+151338</f>
        <v>3882805</v>
      </c>
      <c r="I482" s="1">
        <v>585565</v>
      </c>
      <c r="K482" s="41">
        <f t="shared" si="71"/>
        <v>24328470</v>
      </c>
      <c r="M482" s="1">
        <v>28796840</v>
      </c>
      <c r="O482" s="41">
        <f t="shared" si="72"/>
        <v>5448359</v>
      </c>
      <c r="Q482" s="1">
        <v>20824752</v>
      </c>
      <c r="S482" s="1">
        <v>26273111</v>
      </c>
      <c r="U482" s="1">
        <f>2523729+2074051</f>
        <v>4597780</v>
      </c>
      <c r="W482" s="1">
        <v>0</v>
      </c>
      <c r="Y482" s="1">
        <v>-2074051</v>
      </c>
      <c r="AA482" s="58">
        <f t="shared" si="75"/>
        <v>2523729</v>
      </c>
      <c r="AB482" s="1"/>
      <c r="AC482" s="1">
        <f t="shared" si="74"/>
        <v>0</v>
      </c>
    </row>
    <row r="483" spans="1:29" ht="12" customHeight="1">
      <c r="A483" s="17" t="s">
        <v>435</v>
      </c>
      <c r="B483" s="17"/>
      <c r="C483" s="17" t="s">
        <v>43</v>
      </c>
      <c r="D483" s="17"/>
      <c r="E483" s="13">
        <v>48090</v>
      </c>
      <c r="G483" s="1">
        <v>198110</v>
      </c>
      <c r="I483" s="1">
        <v>17111</v>
      </c>
      <c r="K483" s="41">
        <f t="shared" si="71"/>
        <v>1576990</v>
      </c>
      <c r="M483" s="1">
        <v>1792211</v>
      </c>
      <c r="O483" s="41">
        <f t="shared" si="72"/>
        <v>1926218</v>
      </c>
      <c r="Q483" s="1">
        <v>135884</v>
      </c>
      <c r="S483" s="1">
        <v>2062102</v>
      </c>
      <c r="U483" s="1">
        <f>-269891+431076</f>
        <v>161185</v>
      </c>
      <c r="W483" s="1">
        <v>0</v>
      </c>
      <c r="Y483" s="1">
        <v>-431076</v>
      </c>
      <c r="AA483" s="58">
        <f t="shared" si="75"/>
        <v>-269891</v>
      </c>
      <c r="AB483" s="1"/>
      <c r="AC483" s="1">
        <f t="shared" si="74"/>
        <v>0</v>
      </c>
    </row>
    <row r="484" spans="1:29" ht="12" customHeight="1">
      <c r="A484" s="17" t="s">
        <v>424</v>
      </c>
      <c r="B484" s="17"/>
      <c r="C484" s="17" t="s">
        <v>420</v>
      </c>
      <c r="D484" s="17"/>
      <c r="E484" s="13">
        <v>47944</v>
      </c>
      <c r="G484" s="1">
        <v>1896642</v>
      </c>
      <c r="I484" s="1">
        <v>279156</v>
      </c>
      <c r="K484" s="41">
        <f t="shared" si="71"/>
        <v>2184883</v>
      </c>
      <c r="M484" s="1">
        <v>4360681</v>
      </c>
      <c r="O484" s="41">
        <f t="shared" si="72"/>
        <v>2196958</v>
      </c>
      <c r="Q484" s="1">
        <v>1954780</v>
      </c>
      <c r="S484" s="1">
        <v>4151738</v>
      </c>
      <c r="U484" s="1">
        <f>208943+758028</f>
        <v>966971</v>
      </c>
      <c r="W484" s="1">
        <v>0</v>
      </c>
      <c r="Y484" s="1">
        <v>-758028</v>
      </c>
      <c r="AA484" s="58">
        <f t="shared" si="75"/>
        <v>208943</v>
      </c>
      <c r="AB484" s="1"/>
      <c r="AC484" s="1">
        <f t="shared" si="74"/>
        <v>0</v>
      </c>
    </row>
    <row r="485" spans="1:29" ht="12" customHeight="1">
      <c r="A485" s="12" t="s">
        <v>896</v>
      </c>
      <c r="B485" s="17"/>
      <c r="C485" s="17" t="s">
        <v>20</v>
      </c>
      <c r="D485" s="17"/>
      <c r="E485" s="13">
        <v>44701</v>
      </c>
      <c r="G485" s="1">
        <v>1149064</v>
      </c>
      <c r="I485" s="1">
        <v>0</v>
      </c>
      <c r="K485" s="41">
        <f t="shared" si="71"/>
        <v>26391586</v>
      </c>
      <c r="M485" s="1">
        <v>27540650</v>
      </c>
      <c r="O485" s="41">
        <f t="shared" si="72"/>
        <v>25871245</v>
      </c>
      <c r="Q485" s="1">
        <v>1298767</v>
      </c>
      <c r="S485" s="1">
        <v>27170012</v>
      </c>
      <c r="U485" s="1">
        <f>370638+3416462</f>
        <v>3787100</v>
      </c>
      <c r="W485" s="1">
        <v>0</v>
      </c>
      <c r="Y485" s="1">
        <v>-3416462</v>
      </c>
      <c r="AA485" s="58">
        <f t="shared" si="75"/>
        <v>370638</v>
      </c>
      <c r="AB485" s="1"/>
      <c r="AC485" s="1">
        <f t="shared" si="74"/>
        <v>0</v>
      </c>
    </row>
    <row r="486" spans="1:29" ht="12" customHeight="1">
      <c r="A486" s="17" t="s">
        <v>362</v>
      </c>
      <c r="B486" s="17"/>
      <c r="C486" s="17" t="s">
        <v>31</v>
      </c>
      <c r="D486" s="17"/>
      <c r="E486" s="13">
        <v>47308</v>
      </c>
      <c r="G486" s="1">
        <v>1463584</v>
      </c>
      <c r="I486" s="1">
        <v>367458</v>
      </c>
      <c r="K486" s="41">
        <f t="shared" si="71"/>
        <v>6500697</v>
      </c>
      <c r="M486" s="1">
        <v>8331739</v>
      </c>
      <c r="O486" s="41">
        <f t="shared" si="72"/>
        <v>2187996</v>
      </c>
      <c r="Q486" s="1">
        <v>5959597</v>
      </c>
      <c r="S486" s="1">
        <v>8147593</v>
      </c>
      <c r="U486" s="1">
        <f>184146+1597988</f>
        <v>1782134</v>
      </c>
      <c r="W486" s="1">
        <v>0</v>
      </c>
      <c r="Y486" s="1">
        <v>-1597988</v>
      </c>
      <c r="AA486" s="58">
        <f t="shared" si="75"/>
        <v>184146</v>
      </c>
      <c r="AB486" s="1"/>
      <c r="AC486" s="1">
        <f t="shared" si="74"/>
        <v>0</v>
      </c>
    </row>
    <row r="487" spans="1:29" ht="12" customHeight="1">
      <c r="A487" s="17" t="s">
        <v>536</v>
      </c>
      <c r="B487" s="17"/>
      <c r="C487" s="17" t="s">
        <v>56</v>
      </c>
      <c r="D487" s="17"/>
      <c r="E487" s="13">
        <v>49213</v>
      </c>
      <c r="G487" s="1">
        <v>610320</v>
      </c>
      <c r="I487" s="1">
        <v>61881</v>
      </c>
      <c r="K487" s="41">
        <f t="shared" si="71"/>
        <v>5000348</v>
      </c>
      <c r="M487" s="1">
        <v>5672549</v>
      </c>
      <c r="O487" s="41">
        <f t="shared" si="72"/>
        <v>1601688</v>
      </c>
      <c r="Q487" s="1">
        <v>4158246</v>
      </c>
      <c r="S487" s="1">
        <v>5759934</v>
      </c>
      <c r="U487" s="1">
        <f>15860+837804+61881</f>
        <v>915545</v>
      </c>
      <c r="W487" s="1">
        <v>0</v>
      </c>
      <c r="Y487" s="1">
        <v>-1002930</v>
      </c>
      <c r="AA487" s="58">
        <f t="shared" si="75"/>
        <v>-87385</v>
      </c>
      <c r="AB487" s="1"/>
      <c r="AC487" s="1">
        <f t="shared" si="74"/>
        <v>0</v>
      </c>
    </row>
    <row r="488" spans="1:29" ht="12" customHeight="1">
      <c r="A488" s="17" t="s">
        <v>897</v>
      </c>
      <c r="B488" s="17"/>
      <c r="C488" s="17" t="s">
        <v>227</v>
      </c>
      <c r="D488" s="17"/>
      <c r="E488" s="13">
        <v>46144</v>
      </c>
      <c r="G488" s="1">
        <v>3766653</v>
      </c>
      <c r="I488" s="1">
        <v>456679</v>
      </c>
      <c r="K488" s="41">
        <f t="shared" si="71"/>
        <v>10098654</v>
      </c>
      <c r="M488" s="1">
        <v>14321986</v>
      </c>
      <c r="O488" s="41">
        <f t="shared" si="72"/>
        <v>2588323</v>
      </c>
      <c r="Q488" s="1">
        <v>9223503</v>
      </c>
      <c r="S488" s="1">
        <v>11811826</v>
      </c>
      <c r="U488" s="1">
        <f>2510160-1367920</f>
        <v>1142240</v>
      </c>
      <c r="W488" s="1">
        <v>0</v>
      </c>
      <c r="Y488" s="1">
        <v>1367920</v>
      </c>
      <c r="AA488" s="58">
        <f t="shared" si="75"/>
        <v>2510160</v>
      </c>
      <c r="AB488" s="1"/>
      <c r="AC488" s="1">
        <f t="shared" si="74"/>
        <v>0</v>
      </c>
    </row>
    <row r="489" spans="1:29" ht="12" customHeight="1">
      <c r="A489" s="17" t="s">
        <v>652</v>
      </c>
      <c r="B489" s="17"/>
      <c r="C489" s="17" t="s">
        <v>72</v>
      </c>
      <c r="D489" s="17"/>
      <c r="E489" s="13">
        <v>45609</v>
      </c>
      <c r="G489" s="1">
        <v>11224958</v>
      </c>
      <c r="I489" s="1">
        <v>1214621</v>
      </c>
      <c r="K489" s="41">
        <f t="shared" si="71"/>
        <v>13184840</v>
      </c>
      <c r="M489" s="1">
        <v>25624419</v>
      </c>
      <c r="O489" s="41">
        <f t="shared" si="72"/>
        <v>3919039</v>
      </c>
      <c r="Q489" s="1">
        <v>11131279</v>
      </c>
      <c r="S489" s="1">
        <v>15050318</v>
      </c>
      <c r="U489" s="1">
        <f>10574101-6986752</f>
        <v>3587349</v>
      </c>
      <c r="W489" s="1">
        <v>0</v>
      </c>
      <c r="Y489" s="1">
        <v>6986752</v>
      </c>
      <c r="AA489" s="58">
        <f t="shared" si="75"/>
        <v>10574101</v>
      </c>
      <c r="AB489" s="1"/>
      <c r="AC489" s="1">
        <f t="shared" si="74"/>
        <v>0</v>
      </c>
    </row>
    <row r="490" spans="1:29" ht="12" customHeight="1">
      <c r="A490" s="17" t="s">
        <v>570</v>
      </c>
      <c r="B490" s="17"/>
      <c r="C490" s="17" t="s">
        <v>61</v>
      </c>
      <c r="D490" s="17"/>
      <c r="E490" s="13">
        <v>49817</v>
      </c>
      <c r="G490" s="1">
        <v>1203129</v>
      </c>
      <c r="I490" s="1">
        <v>6942</v>
      </c>
      <c r="K490" s="41">
        <f t="shared" si="71"/>
        <v>975508</v>
      </c>
      <c r="M490" s="1">
        <v>2185579</v>
      </c>
      <c r="O490" s="41">
        <f t="shared" si="72"/>
        <v>434270</v>
      </c>
      <c r="Q490" s="1">
        <v>827871</v>
      </c>
      <c r="S490" s="1">
        <v>1262141</v>
      </c>
      <c r="U490" s="1">
        <f>29162+63131+6942</f>
        <v>99235</v>
      </c>
      <c r="W490" s="1">
        <v>0</v>
      </c>
      <c r="Y490" s="1">
        <v>824203</v>
      </c>
      <c r="AA490" s="58">
        <f t="shared" si="75"/>
        <v>923438</v>
      </c>
      <c r="AB490" s="1"/>
      <c r="AC490" s="1">
        <f t="shared" si="74"/>
        <v>0</v>
      </c>
    </row>
    <row r="491" spans="1:29" ht="12" customHeight="1">
      <c r="A491" s="17" t="s">
        <v>725</v>
      </c>
      <c r="B491" s="17"/>
      <c r="C491" s="17" t="s">
        <v>114</v>
      </c>
      <c r="D491" s="17"/>
      <c r="E491" s="13"/>
      <c r="G491" s="1">
        <v>2485210</v>
      </c>
      <c r="I491" s="1">
        <v>150902</v>
      </c>
      <c r="K491" s="41">
        <f>+M491-I491-G491</f>
        <v>8734151</v>
      </c>
      <c r="M491" s="1">
        <v>11370263</v>
      </c>
      <c r="O491" s="41">
        <f>+S491-Q491</f>
        <v>9356425</v>
      </c>
      <c r="Q491" s="1">
        <v>572954</v>
      </c>
      <c r="S491" s="1">
        <v>9929379</v>
      </c>
      <c r="U491" s="1">
        <f>1440884-541279</f>
        <v>899605</v>
      </c>
      <c r="W491" s="1">
        <v>0</v>
      </c>
      <c r="Y491" s="1">
        <v>541279</v>
      </c>
      <c r="AA491" s="58">
        <f>+Y491+W491++U491</f>
        <v>1440884</v>
      </c>
      <c r="AB491" s="1"/>
      <c r="AC491" s="1">
        <f t="shared" si="74"/>
        <v>0</v>
      </c>
    </row>
    <row r="492" spans="1:29" ht="12" customHeight="1">
      <c r="A492" s="17" t="s">
        <v>319</v>
      </c>
      <c r="B492" s="17"/>
      <c r="C492" s="17" t="s">
        <v>24</v>
      </c>
      <c r="D492" s="17"/>
      <c r="E492" s="13">
        <v>44743</v>
      </c>
      <c r="G492" s="1">
        <v>5781274</v>
      </c>
      <c r="I492" s="1">
        <v>0</v>
      </c>
      <c r="K492" s="41">
        <f>+M492-I492-G492</f>
        <v>16863792</v>
      </c>
      <c r="M492" s="1">
        <v>22645066</v>
      </c>
      <c r="O492" s="41">
        <f>+S492-Q492</f>
        <v>5918182</v>
      </c>
      <c r="Q492" s="1">
        <v>14935659</v>
      </c>
      <c r="S492" s="1">
        <v>20853841</v>
      </c>
      <c r="U492" s="1">
        <f>1791225+171629</f>
        <v>1962854</v>
      </c>
      <c r="W492" s="1">
        <v>0</v>
      </c>
      <c r="Y492" s="1">
        <v>-171629</v>
      </c>
      <c r="AA492" s="58">
        <f>+Y492+W492++U492</f>
        <v>1791225</v>
      </c>
      <c r="AB492" s="1"/>
      <c r="AC492" s="1">
        <f t="shared" si="74"/>
        <v>0</v>
      </c>
    </row>
    <row r="493" spans="1:29" ht="12" customHeight="1">
      <c r="A493" s="17" t="s">
        <v>584</v>
      </c>
      <c r="B493" s="17"/>
      <c r="C493" s="17" t="s">
        <v>62</v>
      </c>
      <c r="D493" s="17"/>
      <c r="E493" s="13">
        <v>49940</v>
      </c>
      <c r="G493" s="1">
        <v>2298687</v>
      </c>
      <c r="I493" s="1">
        <v>0</v>
      </c>
      <c r="K493" s="41">
        <f>+M493-I493-G493</f>
        <v>3603071</v>
      </c>
      <c r="M493" s="1">
        <v>5901758</v>
      </c>
      <c r="O493" s="41">
        <f>+S493-Q493</f>
        <v>4726530</v>
      </c>
      <c r="Q493" s="1">
        <v>359765</v>
      </c>
      <c r="S493" s="1">
        <v>5086295</v>
      </c>
      <c r="U493" s="1">
        <f>815463-548201</f>
        <v>267262</v>
      </c>
      <c r="W493" s="1">
        <v>0</v>
      </c>
      <c r="Y493" s="1">
        <v>548201</v>
      </c>
      <c r="AA493" s="58">
        <f>+Y493+W493++U493</f>
        <v>815463</v>
      </c>
      <c r="AB493" s="1"/>
      <c r="AC493" s="1">
        <f t="shared" si="74"/>
        <v>0</v>
      </c>
    </row>
    <row r="494" spans="1:29" ht="12" customHeight="1">
      <c r="A494" s="17" t="s">
        <v>529</v>
      </c>
      <c r="B494" s="17"/>
      <c r="C494" s="17" t="s">
        <v>55</v>
      </c>
      <c r="D494" s="17"/>
      <c r="E494" s="13"/>
      <c r="G494" s="1">
        <v>6518106</v>
      </c>
      <c r="I494" s="1">
        <v>313150</v>
      </c>
      <c r="K494" s="41">
        <f>+M494-I494-G494</f>
        <v>2388338</v>
      </c>
      <c r="M494" s="1">
        <v>9219594</v>
      </c>
      <c r="O494" s="41">
        <f>+S494-Q494</f>
        <v>1714078</v>
      </c>
      <c r="Q494" s="1">
        <v>1922849</v>
      </c>
      <c r="S494" s="1">
        <v>3636927</v>
      </c>
      <c r="U494" s="1">
        <f>5582667-4934346</f>
        <v>648321</v>
      </c>
      <c r="W494" s="1">
        <v>0</v>
      </c>
      <c r="Y494" s="1">
        <v>4934346</v>
      </c>
      <c r="AA494" s="58">
        <f>+Y494+W494++U494</f>
        <v>5582667</v>
      </c>
      <c r="AB494" s="1"/>
      <c r="AC494" s="1">
        <f t="shared" si="74"/>
        <v>0</v>
      </c>
    </row>
    <row r="495" spans="1:29" ht="12" customHeight="1">
      <c r="A495" s="17" t="s">
        <v>468</v>
      </c>
      <c r="B495" s="17"/>
      <c r="C495" s="17" t="s">
        <v>45</v>
      </c>
      <c r="D495" s="17"/>
      <c r="E495" s="13">
        <v>48355</v>
      </c>
      <c r="G495" s="1">
        <v>817703</v>
      </c>
      <c r="I495" s="1">
        <v>29468</v>
      </c>
      <c r="K495" s="41">
        <f>+M495-I495-G495</f>
        <v>1516489</v>
      </c>
      <c r="M495" s="1">
        <v>2363660</v>
      </c>
      <c r="O495" s="41">
        <f>+S495-Q495</f>
        <v>695564</v>
      </c>
      <c r="Q495" s="1">
        <v>1351381</v>
      </c>
      <c r="S495" s="1">
        <v>2046945</v>
      </c>
      <c r="U495" s="1">
        <f>316715-263120</f>
        <v>53595</v>
      </c>
      <c r="W495" s="1">
        <v>0</v>
      </c>
      <c r="Y495" s="1">
        <v>263120</v>
      </c>
      <c r="AA495" s="58">
        <f>+Y495+W495++U495</f>
        <v>316715</v>
      </c>
      <c r="AB495" s="1"/>
      <c r="AC495" s="1">
        <f t="shared" ref="AC495:AC496" si="76">+G495+I495+K495-O495-Q495-Y495-W495-U495</f>
        <v>0</v>
      </c>
    </row>
    <row r="496" spans="1:29" ht="12" customHeight="1">
      <c r="A496" s="17" t="s">
        <v>567</v>
      </c>
      <c r="B496" s="17"/>
      <c r="C496" s="17" t="s">
        <v>60</v>
      </c>
      <c r="D496" s="17"/>
      <c r="E496" s="13">
        <v>49684</v>
      </c>
      <c r="G496" s="1">
        <v>1422047</v>
      </c>
      <c r="I496" s="1">
        <v>0</v>
      </c>
      <c r="K496" s="41">
        <f t="shared" ref="K496:K558" si="77">+M496-I496-G496</f>
        <v>2309481</v>
      </c>
      <c r="M496" s="1">
        <v>3731528</v>
      </c>
      <c r="O496" s="41">
        <f t="shared" ref="O496:O558" si="78">+S496-Q496</f>
        <v>1472445</v>
      </c>
      <c r="Q496" s="1">
        <v>261967</v>
      </c>
      <c r="S496" s="1">
        <v>1734412</v>
      </c>
      <c r="U496" s="1">
        <f>1997116-861252</f>
        <v>1135864</v>
      </c>
      <c r="W496" s="1">
        <v>0</v>
      </c>
      <c r="Y496" s="1">
        <v>861252</v>
      </c>
      <c r="AA496" s="58">
        <f t="shared" ref="AA496:AA558" si="79">+Y496+W496++U496</f>
        <v>1997116</v>
      </c>
      <c r="AB496" s="1"/>
      <c r="AC496" s="1">
        <f t="shared" si="76"/>
        <v>0</v>
      </c>
    </row>
    <row r="497" spans="1:29" ht="12" customHeight="1">
      <c r="A497" s="17" t="s">
        <v>222</v>
      </c>
      <c r="B497" s="17"/>
      <c r="C497" s="17" t="s">
        <v>15</v>
      </c>
      <c r="D497" s="17"/>
      <c r="E497" s="13">
        <v>46003</v>
      </c>
      <c r="G497" s="1">
        <v>1921377</v>
      </c>
      <c r="I497" s="1">
        <v>2126</v>
      </c>
      <c r="K497" s="1">
        <f t="shared" si="77"/>
        <v>2511963</v>
      </c>
      <c r="M497" s="1">
        <v>4435466</v>
      </c>
      <c r="O497" s="1">
        <f t="shared" si="78"/>
        <v>745844</v>
      </c>
      <c r="Q497" s="1">
        <v>2345443</v>
      </c>
      <c r="S497" s="1">
        <v>3091287</v>
      </c>
      <c r="U497" s="1">
        <f>1344179-1214210</f>
        <v>129969</v>
      </c>
      <c r="W497" s="1">
        <v>0</v>
      </c>
      <c r="Y497" s="1">
        <v>1214210</v>
      </c>
      <c r="AA497" s="1">
        <f t="shared" si="79"/>
        <v>1344179</v>
      </c>
      <c r="AB497" s="16"/>
      <c r="AC497" s="16">
        <f t="shared" ref="AC497:AC519" si="80">+G497+I497+K497-O497-Q497-Y497-W497-U497</f>
        <v>0</v>
      </c>
    </row>
    <row r="498" spans="1:29" ht="12" customHeight="1">
      <c r="A498" s="17" t="s">
        <v>898</v>
      </c>
      <c r="B498" s="17"/>
      <c r="C498" s="17" t="s">
        <v>20</v>
      </c>
      <c r="D498" s="17"/>
      <c r="E498" s="13">
        <v>44750</v>
      </c>
      <c r="G498" s="1">
        <v>23516019</v>
      </c>
      <c r="I498" s="1">
        <v>353070</v>
      </c>
      <c r="K498" s="41">
        <f t="shared" si="77"/>
        <v>66029262</v>
      </c>
      <c r="M498" s="1">
        <v>89898351</v>
      </c>
      <c r="O498" s="41">
        <f t="shared" si="78"/>
        <v>12189765</v>
      </c>
      <c r="Q498" s="1">
        <v>57518739</v>
      </c>
      <c r="S498" s="1">
        <v>69708504</v>
      </c>
      <c r="U498" s="1">
        <f>20189847-7828916</f>
        <v>12360931</v>
      </c>
      <c r="W498" s="1">
        <v>0</v>
      </c>
      <c r="Y498" s="1">
        <v>7828916</v>
      </c>
      <c r="AA498" s="58">
        <f t="shared" si="79"/>
        <v>20189847</v>
      </c>
      <c r="AB498" s="1"/>
      <c r="AC498" s="1">
        <f t="shared" si="80"/>
        <v>0</v>
      </c>
    </row>
    <row r="499" spans="1:29" ht="12" hidden="1" customHeight="1">
      <c r="A499" s="17" t="s">
        <v>872</v>
      </c>
      <c r="B499" s="17"/>
      <c r="C499" s="17" t="s">
        <v>10</v>
      </c>
      <c r="D499" s="17"/>
      <c r="E499" s="13"/>
      <c r="K499" s="41">
        <f t="shared" si="77"/>
        <v>0</v>
      </c>
      <c r="O499" s="41"/>
      <c r="W499" s="2"/>
      <c r="AA499" s="58">
        <f t="shared" si="79"/>
        <v>0</v>
      </c>
      <c r="AB499" s="1"/>
      <c r="AC499" s="1">
        <f t="shared" si="80"/>
        <v>0</v>
      </c>
    </row>
    <row r="500" spans="1:29" ht="12" customHeight="1">
      <c r="A500" s="17" t="s">
        <v>447</v>
      </c>
      <c r="B500" s="17"/>
      <c r="C500" s="17" t="s">
        <v>44</v>
      </c>
      <c r="D500" s="17"/>
      <c r="E500" s="13">
        <v>44768</v>
      </c>
      <c r="G500" s="1">
        <v>11391829</v>
      </c>
      <c r="I500" s="1">
        <v>0</v>
      </c>
      <c r="K500" s="41">
        <f t="shared" si="77"/>
        <v>12053841</v>
      </c>
      <c r="M500" s="1">
        <v>23445670</v>
      </c>
      <c r="O500" s="41">
        <f t="shared" si="78"/>
        <v>2111339</v>
      </c>
      <c r="Q500" s="1">
        <v>11340479</v>
      </c>
      <c r="S500" s="1">
        <v>13451818</v>
      </c>
      <c r="U500" s="1">
        <f>9993852-9289904</f>
        <v>703948</v>
      </c>
      <c r="W500" s="1">
        <v>0</v>
      </c>
      <c r="Y500" s="1">
        <v>9289904</v>
      </c>
      <c r="AA500" s="58">
        <f t="shared" si="79"/>
        <v>9993852</v>
      </c>
      <c r="AB500" s="1"/>
      <c r="AC500" s="1">
        <f t="shared" si="80"/>
        <v>0</v>
      </c>
    </row>
    <row r="501" spans="1:29" ht="12" customHeight="1">
      <c r="A501" s="17" t="s">
        <v>548</v>
      </c>
      <c r="B501" s="17"/>
      <c r="C501" s="17" t="s">
        <v>112</v>
      </c>
      <c r="D501" s="17"/>
      <c r="E501" s="13">
        <v>44776</v>
      </c>
      <c r="G501" s="1">
        <f>5015217+7074</f>
        <v>5022291</v>
      </c>
      <c r="I501" s="1">
        <v>42922</v>
      </c>
      <c r="K501" s="41">
        <f t="shared" si="77"/>
        <v>6251661</v>
      </c>
      <c r="M501" s="1">
        <v>11316874</v>
      </c>
      <c r="O501" s="41">
        <f t="shared" si="78"/>
        <v>6480564</v>
      </c>
      <c r="Q501" s="1">
        <v>451205</v>
      </c>
      <c r="S501" s="1">
        <v>6931769</v>
      </c>
      <c r="U501" s="1">
        <f>4385105-3479838</f>
        <v>905267</v>
      </c>
      <c r="W501" s="1">
        <v>0</v>
      </c>
      <c r="Y501" s="1">
        <v>3479838</v>
      </c>
      <c r="AA501" s="58">
        <f t="shared" si="79"/>
        <v>4385105</v>
      </c>
      <c r="AB501" s="1"/>
      <c r="AC501" s="1">
        <f t="shared" si="80"/>
        <v>0</v>
      </c>
    </row>
    <row r="502" spans="1:29" ht="12" customHeight="1">
      <c r="A502" s="17" t="s">
        <v>571</v>
      </c>
      <c r="B502" s="17"/>
      <c r="C502" s="17" t="s">
        <v>61</v>
      </c>
      <c r="D502" s="17"/>
      <c r="E502" s="13">
        <v>44784</v>
      </c>
      <c r="G502" s="1">
        <v>3658704</v>
      </c>
      <c r="I502" s="1">
        <v>1798</v>
      </c>
      <c r="K502" s="41">
        <f t="shared" si="77"/>
        <v>15857568</v>
      </c>
      <c r="M502" s="1">
        <v>19518070</v>
      </c>
      <c r="O502" s="41">
        <f t="shared" si="78"/>
        <v>4035896</v>
      </c>
      <c r="Q502" s="1">
        <v>14564825</v>
      </c>
      <c r="S502" s="1">
        <v>18600721</v>
      </c>
      <c r="U502" s="1">
        <f>33109+1798+108029+326669</f>
        <v>469605</v>
      </c>
      <c r="W502" s="1">
        <v>0</v>
      </c>
      <c r="Y502" s="1">
        <v>447744</v>
      </c>
      <c r="AA502" s="58">
        <f t="shared" si="79"/>
        <v>917349</v>
      </c>
      <c r="AB502" s="1"/>
      <c r="AC502" s="1">
        <f t="shared" si="80"/>
        <v>0</v>
      </c>
    </row>
    <row r="503" spans="1:29" ht="12" customHeight="1">
      <c r="A503" s="17" t="s">
        <v>304</v>
      </c>
      <c r="B503" s="17"/>
      <c r="C503" s="17" t="s">
        <v>20</v>
      </c>
      <c r="D503" s="17"/>
      <c r="E503" s="13">
        <v>46607</v>
      </c>
      <c r="G503" s="1">
        <v>9131922</v>
      </c>
      <c r="I503" s="1">
        <v>0</v>
      </c>
      <c r="K503" s="41">
        <f t="shared" si="77"/>
        <v>49088069</v>
      </c>
      <c r="M503" s="1">
        <v>58219991</v>
      </c>
      <c r="O503" s="41">
        <f t="shared" si="78"/>
        <v>48969926</v>
      </c>
      <c r="Q503" s="1">
        <v>2824234</v>
      </c>
      <c r="S503" s="1">
        <v>51794160</v>
      </c>
      <c r="U503" s="1">
        <f>6425831+1019597</f>
        <v>7445428</v>
      </c>
      <c r="W503" s="1">
        <v>0</v>
      </c>
      <c r="Y503" s="1">
        <v>-1019597</v>
      </c>
      <c r="AA503" s="58">
        <f t="shared" si="79"/>
        <v>6425831</v>
      </c>
      <c r="AB503" s="1"/>
      <c r="AC503" s="1">
        <f t="shared" si="80"/>
        <v>0</v>
      </c>
    </row>
    <row r="504" spans="1:29" ht="12" customHeight="1">
      <c r="A504" s="17" t="s">
        <v>767</v>
      </c>
      <c r="B504" s="17"/>
      <c r="C504" s="17" t="s">
        <v>37</v>
      </c>
      <c r="D504" s="17"/>
      <c r="E504" s="13"/>
      <c r="G504" s="1">
        <v>2467409</v>
      </c>
      <c r="I504" s="1">
        <v>302881</v>
      </c>
      <c r="K504" s="41">
        <f t="shared" si="77"/>
        <v>1702246</v>
      </c>
      <c r="M504" s="1">
        <v>4472536</v>
      </c>
      <c r="O504" s="41">
        <f t="shared" si="78"/>
        <v>1591326</v>
      </c>
      <c r="Q504" s="1">
        <v>113880</v>
      </c>
      <c r="S504" s="1">
        <v>1705206</v>
      </c>
      <c r="U504" s="1">
        <f>2767330-1611864-484783</f>
        <v>670683</v>
      </c>
      <c r="W504" s="1">
        <v>484783</v>
      </c>
      <c r="Y504" s="1">
        <v>1611864</v>
      </c>
      <c r="AA504" s="58">
        <f t="shared" si="79"/>
        <v>2767330</v>
      </c>
      <c r="AB504" s="1"/>
      <c r="AC504" s="1">
        <f t="shared" si="80"/>
        <v>0</v>
      </c>
    </row>
    <row r="505" spans="1:29" s="16" customFormat="1" ht="12" customHeight="1">
      <c r="A505" s="14" t="s">
        <v>305</v>
      </c>
      <c r="B505" s="14"/>
      <c r="C505" s="14" t="s">
        <v>20</v>
      </c>
      <c r="D505" s="14"/>
      <c r="E505" s="13">
        <v>44792</v>
      </c>
      <c r="G505" s="1">
        <v>9827705</v>
      </c>
      <c r="H505" s="1"/>
      <c r="I505" s="1">
        <v>43301</v>
      </c>
      <c r="J505" s="1"/>
      <c r="K505" s="41">
        <f t="shared" si="77"/>
        <v>50980173</v>
      </c>
      <c r="L505" s="1"/>
      <c r="M505" s="1">
        <v>60851179</v>
      </c>
      <c r="N505" s="1"/>
      <c r="O505" s="41">
        <f t="shared" si="78"/>
        <v>6223226</v>
      </c>
      <c r="P505" s="1"/>
      <c r="Q505" s="1">
        <v>44428172</v>
      </c>
      <c r="R505" s="1"/>
      <c r="S505" s="1">
        <v>50651398</v>
      </c>
      <c r="T505" s="1"/>
      <c r="U505" s="1">
        <f>10199781-3879377</f>
        <v>6320404</v>
      </c>
      <c r="V505" s="1"/>
      <c r="W505" s="1">
        <v>0</v>
      </c>
      <c r="X505" s="1"/>
      <c r="Y505" s="1">
        <v>3879377</v>
      </c>
      <c r="Z505" s="1"/>
      <c r="AA505" s="58">
        <f t="shared" si="79"/>
        <v>10199781</v>
      </c>
      <c r="AB505" s="1"/>
      <c r="AC505" s="1">
        <f t="shared" si="80"/>
        <v>0</v>
      </c>
    </row>
    <row r="506" spans="1:29" ht="12" customHeight="1">
      <c r="A506" s="17" t="s">
        <v>425</v>
      </c>
      <c r="B506" s="17"/>
      <c r="C506" s="17" t="s">
        <v>420</v>
      </c>
      <c r="D506" s="17"/>
      <c r="E506" s="13">
        <v>47951</v>
      </c>
      <c r="G506" s="1">
        <v>4156413</v>
      </c>
      <c r="I506" s="1">
        <v>357489</v>
      </c>
      <c r="K506" s="41">
        <f t="shared" si="77"/>
        <v>3150076</v>
      </c>
      <c r="M506" s="1">
        <v>7663978</v>
      </c>
      <c r="O506" s="41">
        <f t="shared" si="78"/>
        <v>2000806</v>
      </c>
      <c r="Q506" s="1">
        <v>2682119</v>
      </c>
      <c r="S506" s="1">
        <v>4682925</v>
      </c>
      <c r="U506" s="1">
        <f>2981053-1897551</f>
        <v>1083502</v>
      </c>
      <c r="W506" s="1">
        <v>0</v>
      </c>
      <c r="Y506" s="1">
        <v>1897551</v>
      </c>
      <c r="AA506" s="58">
        <f t="shared" si="79"/>
        <v>2981053</v>
      </c>
      <c r="AB506" s="1"/>
      <c r="AC506" s="1">
        <f t="shared" si="80"/>
        <v>0</v>
      </c>
    </row>
    <row r="507" spans="1:29" ht="12" customHeight="1">
      <c r="A507" s="17"/>
      <c r="B507" s="17"/>
      <c r="C507" s="17"/>
      <c r="D507" s="17"/>
      <c r="E507" s="13"/>
      <c r="K507" s="41"/>
      <c r="O507" s="41"/>
      <c r="AA507" s="58"/>
      <c r="AB507" s="1"/>
    </row>
    <row r="508" spans="1:29" ht="12" customHeight="1">
      <c r="A508" s="17"/>
      <c r="B508" s="17"/>
      <c r="C508" s="17"/>
      <c r="D508" s="17"/>
      <c r="E508" s="13"/>
      <c r="K508" s="41"/>
      <c r="O508" s="41"/>
      <c r="AA508" s="20" t="s">
        <v>709</v>
      </c>
      <c r="AB508" s="1"/>
    </row>
    <row r="509" spans="1:29" ht="12" customHeight="1">
      <c r="A509" s="17"/>
      <c r="B509" s="17"/>
      <c r="C509" s="17"/>
      <c r="D509" s="17"/>
      <c r="E509" s="13"/>
      <c r="K509" s="41"/>
      <c r="O509" s="41"/>
      <c r="AA509" s="58"/>
      <c r="AB509" s="1"/>
    </row>
    <row r="510" spans="1:29" ht="12" customHeight="1">
      <c r="A510" s="17" t="s">
        <v>469</v>
      </c>
      <c r="B510" s="17"/>
      <c r="C510" s="17" t="s">
        <v>45</v>
      </c>
      <c r="D510" s="17"/>
      <c r="E510" s="13">
        <v>48363</v>
      </c>
      <c r="G510" s="16">
        <v>3479832</v>
      </c>
      <c r="H510" s="16"/>
      <c r="I510" s="16">
        <v>104300</v>
      </c>
      <c r="J510" s="16"/>
      <c r="K510" s="59">
        <f t="shared" si="77"/>
        <v>5272095</v>
      </c>
      <c r="L510" s="16"/>
      <c r="M510" s="16">
        <v>8856227</v>
      </c>
      <c r="N510" s="16"/>
      <c r="O510" s="59">
        <f t="shared" si="78"/>
        <v>6256452</v>
      </c>
      <c r="P510" s="16"/>
      <c r="Q510" s="16">
        <v>432758</v>
      </c>
      <c r="R510" s="16"/>
      <c r="S510" s="16">
        <v>6689210</v>
      </c>
      <c r="T510" s="16"/>
      <c r="U510" s="16">
        <f>2167017-1990520</f>
        <v>176497</v>
      </c>
      <c r="V510" s="16"/>
      <c r="W510" s="16">
        <v>0</v>
      </c>
      <c r="X510" s="16"/>
      <c r="Y510" s="16">
        <v>1990520</v>
      </c>
      <c r="Z510" s="16"/>
      <c r="AA510" s="90">
        <f t="shared" si="79"/>
        <v>2167017</v>
      </c>
      <c r="AB510" s="1"/>
      <c r="AC510" s="1">
        <f t="shared" si="80"/>
        <v>0</v>
      </c>
    </row>
    <row r="511" spans="1:29" ht="12" customHeight="1">
      <c r="A511" s="17" t="s">
        <v>537</v>
      </c>
      <c r="B511" s="17"/>
      <c r="C511" s="17" t="s">
        <v>56</v>
      </c>
      <c r="D511" s="17"/>
      <c r="E511" s="13">
        <v>49221</v>
      </c>
      <c r="G511" s="1">
        <v>6730656</v>
      </c>
      <c r="I511" s="1">
        <v>39855</v>
      </c>
      <c r="K511" s="41">
        <f t="shared" si="77"/>
        <v>6216745</v>
      </c>
      <c r="M511" s="1">
        <v>12987256</v>
      </c>
      <c r="O511" s="41">
        <f t="shared" si="78"/>
        <v>2140512</v>
      </c>
      <c r="Q511" s="1">
        <v>5025184</v>
      </c>
      <c r="S511" s="1">
        <v>7165696</v>
      </c>
      <c r="U511" s="1">
        <f>18386+1188318+39855</f>
        <v>1246559</v>
      </c>
      <c r="W511" s="1">
        <v>0</v>
      </c>
      <c r="Y511" s="1">
        <v>4575001</v>
      </c>
      <c r="AA511" s="58">
        <f t="shared" si="79"/>
        <v>5821560</v>
      </c>
      <c r="AB511" s="1"/>
      <c r="AC511" s="1">
        <f t="shared" si="80"/>
        <v>0</v>
      </c>
    </row>
    <row r="512" spans="1:29">
      <c r="A512" s="17" t="s">
        <v>537</v>
      </c>
      <c r="B512" s="17"/>
      <c r="C512" s="17" t="s">
        <v>71</v>
      </c>
      <c r="D512" s="17"/>
      <c r="E512" s="13">
        <v>50583</v>
      </c>
      <c r="G512" s="1">
        <v>1341512</v>
      </c>
      <c r="I512" s="1">
        <v>0</v>
      </c>
      <c r="K512" s="41">
        <f t="shared" si="77"/>
        <v>6194256</v>
      </c>
      <c r="M512" s="1">
        <v>7535768</v>
      </c>
      <c r="O512" s="41">
        <f t="shared" si="78"/>
        <v>2194700</v>
      </c>
      <c r="Q512" s="1">
        <v>5629126</v>
      </c>
      <c r="S512" s="1">
        <v>7823826</v>
      </c>
      <c r="U512" s="1">
        <f>3437+186760+378286</f>
        <v>568483</v>
      </c>
      <c r="W512" s="1">
        <v>0</v>
      </c>
      <c r="Y512" s="1">
        <v>-856541</v>
      </c>
      <c r="AA512" s="58">
        <f t="shared" si="79"/>
        <v>-288058</v>
      </c>
      <c r="AB512" s="1"/>
      <c r="AC512" s="1">
        <f t="shared" si="80"/>
        <v>0</v>
      </c>
    </row>
    <row r="513" spans="1:29">
      <c r="A513" s="17" t="s">
        <v>249</v>
      </c>
      <c r="B513" s="17"/>
      <c r="C513" s="17" t="s">
        <v>17</v>
      </c>
      <c r="D513" s="17"/>
      <c r="E513" s="13">
        <v>46276</v>
      </c>
      <c r="G513" s="1">
        <v>5266402</v>
      </c>
      <c r="I513" s="1">
        <v>184918</v>
      </c>
      <c r="K513" s="41">
        <f t="shared" si="77"/>
        <v>2462648</v>
      </c>
      <c r="M513" s="1">
        <v>7913968</v>
      </c>
      <c r="O513" s="41">
        <f t="shared" si="78"/>
        <v>821091</v>
      </c>
      <c r="Q513" s="1">
        <v>1696819</v>
      </c>
      <c r="S513" s="1">
        <v>2517910</v>
      </c>
      <c r="U513" s="1">
        <f>5396058-83786-4693970</f>
        <v>618302</v>
      </c>
      <c r="W513" s="1">
        <v>83786</v>
      </c>
      <c r="Y513" s="1">
        <v>4693970</v>
      </c>
      <c r="AA513" s="58">
        <f t="shared" si="79"/>
        <v>5396058</v>
      </c>
      <c r="AB513" s="1"/>
      <c r="AC513" s="1">
        <f t="shared" si="80"/>
        <v>0</v>
      </c>
    </row>
    <row r="514" spans="1:29">
      <c r="A514" s="17" t="s">
        <v>249</v>
      </c>
      <c r="B514" s="17"/>
      <c r="C514" s="17" t="s">
        <v>58</v>
      </c>
      <c r="D514" s="17"/>
      <c r="E514" s="13">
        <v>49528</v>
      </c>
      <c r="G514" s="1">
        <v>6462719</v>
      </c>
      <c r="I514" s="1">
        <v>0</v>
      </c>
      <c r="K514" s="41">
        <f t="shared" si="77"/>
        <v>1630124</v>
      </c>
      <c r="M514" s="1">
        <v>8092843</v>
      </c>
      <c r="O514" s="41">
        <f t="shared" si="78"/>
        <v>1077109</v>
      </c>
      <c r="Q514" s="1">
        <v>1304859</v>
      </c>
      <c r="S514" s="1">
        <v>2381968</v>
      </c>
      <c r="U514" s="1">
        <f>392716+216295</f>
        <v>609011</v>
      </c>
      <c r="W514" s="1">
        <v>0</v>
      </c>
      <c r="Y514" s="1">
        <v>5101864</v>
      </c>
      <c r="AA514" s="58">
        <f t="shared" si="79"/>
        <v>5710875</v>
      </c>
      <c r="AB514" s="1"/>
      <c r="AC514" s="1">
        <f t="shared" si="80"/>
        <v>0</v>
      </c>
    </row>
    <row r="515" spans="1:29">
      <c r="A515" s="17" t="s">
        <v>269</v>
      </c>
      <c r="B515" s="17"/>
      <c r="C515" s="17" t="s">
        <v>114</v>
      </c>
      <c r="D515" s="17"/>
      <c r="E515" s="13">
        <v>46441</v>
      </c>
      <c r="G515" s="1">
        <v>732132</v>
      </c>
      <c r="I515" s="1">
        <v>24797</v>
      </c>
      <c r="K515" s="41">
        <f t="shared" si="77"/>
        <v>1584381</v>
      </c>
      <c r="M515" s="1">
        <v>2341310</v>
      </c>
      <c r="O515" s="41">
        <f t="shared" si="78"/>
        <v>2135420</v>
      </c>
      <c r="Q515" s="1">
        <v>226862</v>
      </c>
      <c r="S515" s="1">
        <v>2362282</v>
      </c>
      <c r="U515" s="1">
        <f>4412+387+28413+24797</f>
        <v>58009</v>
      </c>
      <c r="W515" s="1">
        <v>0</v>
      </c>
      <c r="Y515" s="1">
        <v>-78981</v>
      </c>
      <c r="AA515" s="58">
        <f t="shared" si="79"/>
        <v>-20972</v>
      </c>
      <c r="AB515" s="1"/>
      <c r="AC515" s="1">
        <f t="shared" si="80"/>
        <v>0</v>
      </c>
    </row>
    <row r="516" spans="1:29">
      <c r="A516" s="17" t="s">
        <v>269</v>
      </c>
      <c r="B516" s="17"/>
      <c r="C516" s="17" t="s">
        <v>484</v>
      </c>
      <c r="D516" s="17"/>
      <c r="E516" s="13">
        <v>46441</v>
      </c>
      <c r="G516" s="1">
        <v>1735581</v>
      </c>
      <c r="I516" s="1">
        <v>67465</v>
      </c>
      <c r="K516" s="41">
        <f t="shared" si="77"/>
        <v>2045489</v>
      </c>
      <c r="M516" s="1">
        <v>3848535</v>
      </c>
      <c r="O516" s="41">
        <f t="shared" si="78"/>
        <v>658555</v>
      </c>
      <c r="Q516" s="1">
        <v>1884447</v>
      </c>
      <c r="S516" s="1">
        <v>2543002</v>
      </c>
      <c r="U516" s="1">
        <f>1305533-1116982</f>
        <v>188551</v>
      </c>
      <c r="W516" s="1">
        <v>0</v>
      </c>
      <c r="Y516" s="1">
        <v>1116982</v>
      </c>
      <c r="AA516" s="58">
        <f t="shared" si="79"/>
        <v>1305533</v>
      </c>
      <c r="AB516" s="1"/>
      <c r="AC516" s="1">
        <f t="shared" si="80"/>
        <v>0</v>
      </c>
    </row>
    <row r="517" spans="1:29" hidden="1">
      <c r="A517" s="12" t="s">
        <v>873</v>
      </c>
      <c r="B517" s="12"/>
      <c r="C517" s="12" t="s">
        <v>524</v>
      </c>
      <c r="D517" s="17"/>
      <c r="E517" s="13"/>
      <c r="K517" s="41">
        <f t="shared" si="77"/>
        <v>0</v>
      </c>
      <c r="O517" s="41"/>
      <c r="AA517" s="58">
        <f t="shared" si="79"/>
        <v>0</v>
      </c>
      <c r="AB517" s="1"/>
      <c r="AC517" s="1">
        <f t="shared" si="80"/>
        <v>0</v>
      </c>
    </row>
    <row r="518" spans="1:29">
      <c r="A518" s="17" t="s">
        <v>615</v>
      </c>
      <c r="B518" s="17"/>
      <c r="C518" s="17" t="s">
        <v>64</v>
      </c>
      <c r="D518" s="17"/>
      <c r="E518" s="13">
        <v>50237</v>
      </c>
      <c r="G518" s="1">
        <v>1024461</v>
      </c>
      <c r="I518" s="1">
        <v>292455</v>
      </c>
      <c r="K518" s="41">
        <f t="shared" si="77"/>
        <v>1596308</v>
      </c>
      <c r="M518" s="1">
        <v>2913224</v>
      </c>
      <c r="O518" s="41">
        <f t="shared" si="78"/>
        <v>517505</v>
      </c>
      <c r="Q518" s="1">
        <v>1545899</v>
      </c>
      <c r="S518" s="1">
        <v>2063404</v>
      </c>
      <c r="U518" s="1">
        <f>292455+96245</f>
        <v>388700</v>
      </c>
      <c r="W518" s="1">
        <v>0</v>
      </c>
      <c r="Y518" s="1">
        <v>461120</v>
      </c>
      <c r="AA518" s="58">
        <f t="shared" si="79"/>
        <v>849820</v>
      </c>
      <c r="AB518" s="1"/>
      <c r="AC518" s="1">
        <f t="shared" si="80"/>
        <v>0</v>
      </c>
    </row>
    <row r="519" spans="1:29">
      <c r="A519" s="17" t="s">
        <v>434</v>
      </c>
      <c r="B519" s="17"/>
      <c r="C519" s="17" t="s">
        <v>42</v>
      </c>
      <c r="D519" s="17"/>
      <c r="E519" s="13">
        <v>48041</v>
      </c>
      <c r="G519" s="1">
        <v>5106989</v>
      </c>
      <c r="I519" s="1">
        <v>4054</v>
      </c>
      <c r="K519" s="41">
        <f t="shared" si="77"/>
        <v>15888581</v>
      </c>
      <c r="M519" s="1">
        <v>20999624</v>
      </c>
      <c r="O519" s="41">
        <f t="shared" si="78"/>
        <v>3843519</v>
      </c>
      <c r="Q519" s="1">
        <v>11626193</v>
      </c>
      <c r="S519" s="1">
        <v>15469712</v>
      </c>
      <c r="U519" s="1">
        <f>5529912-2716938</f>
        <v>2812974</v>
      </c>
      <c r="W519" s="1">
        <v>0</v>
      </c>
      <c r="Y519" s="1">
        <v>2716938</v>
      </c>
      <c r="AA519" s="58">
        <f t="shared" si="79"/>
        <v>5529912</v>
      </c>
      <c r="AB519" s="1"/>
      <c r="AC519" s="1">
        <f t="shared" si="80"/>
        <v>0</v>
      </c>
    </row>
    <row r="520" spans="1:29">
      <c r="A520" s="17" t="s">
        <v>374</v>
      </c>
      <c r="B520" s="17"/>
      <c r="C520" s="17" t="s">
        <v>32</v>
      </c>
      <c r="D520" s="17"/>
      <c r="E520" s="13">
        <v>47381</v>
      </c>
      <c r="G520" s="1">
        <v>157515</v>
      </c>
      <c r="I520" s="1">
        <v>0</v>
      </c>
      <c r="K520" s="41">
        <f t="shared" si="77"/>
        <v>12876487</v>
      </c>
      <c r="M520" s="1">
        <v>13034002</v>
      </c>
      <c r="O520" s="41">
        <f t="shared" si="78"/>
        <v>4600944</v>
      </c>
      <c r="Q520" s="1">
        <v>8673805</v>
      </c>
      <c r="S520" s="1">
        <v>13274749</v>
      </c>
      <c r="U520" s="1">
        <f>42554+3124000</f>
        <v>3166554</v>
      </c>
      <c r="W520" s="1">
        <v>0</v>
      </c>
      <c r="Y520" s="1">
        <v>-3407301</v>
      </c>
      <c r="AA520" s="58">
        <f t="shared" si="79"/>
        <v>-240747</v>
      </c>
      <c r="AB520" s="1"/>
      <c r="AC520" s="1">
        <f>+G520+I520+K520-O520-Q520-Y520-W520-U520</f>
        <v>0</v>
      </c>
    </row>
    <row r="521" spans="1:29" s="1" customFormat="1">
      <c r="A521" s="12" t="s">
        <v>340</v>
      </c>
      <c r="B521" s="12"/>
      <c r="C521" s="12" t="s">
        <v>27</v>
      </c>
      <c r="D521" s="12"/>
      <c r="E521" s="12">
        <v>44800</v>
      </c>
      <c r="G521" s="1">
        <v>31603254</v>
      </c>
      <c r="I521" s="1">
        <v>0</v>
      </c>
      <c r="K521" s="41">
        <f t="shared" si="77"/>
        <v>107068269</v>
      </c>
      <c r="M521" s="1">
        <v>138671523</v>
      </c>
      <c r="O521" s="41">
        <f t="shared" si="78"/>
        <v>19443799</v>
      </c>
      <c r="Q521" s="1">
        <v>63910585</v>
      </c>
      <c r="S521" s="1">
        <v>83354384</v>
      </c>
      <c r="U521" s="1">
        <f>2796199+40993112</f>
        <v>43789311</v>
      </c>
      <c r="W521" s="1">
        <v>0</v>
      </c>
      <c r="Y521" s="1">
        <v>11527828</v>
      </c>
      <c r="AA521" s="58">
        <f t="shared" si="79"/>
        <v>55317139</v>
      </c>
      <c r="AC521" s="1">
        <f t="shared" ref="AC521:AC581" si="81">+G521+I521+K521-O521-Q521-Y521-W521-U521</f>
        <v>0</v>
      </c>
    </row>
    <row r="522" spans="1:29" hidden="1">
      <c r="A522" s="17" t="s">
        <v>875</v>
      </c>
      <c r="B522" s="17"/>
      <c r="C522" s="17" t="s">
        <v>10</v>
      </c>
      <c r="D522" s="17"/>
      <c r="E522" s="13">
        <v>45807</v>
      </c>
      <c r="K522" s="41">
        <f t="shared" si="77"/>
        <v>0</v>
      </c>
      <c r="O522" s="41">
        <f t="shared" si="78"/>
        <v>0</v>
      </c>
      <c r="AA522" s="58">
        <f t="shared" si="79"/>
        <v>0</v>
      </c>
      <c r="AB522" s="1"/>
      <c r="AC522" s="1">
        <f t="shared" si="81"/>
        <v>0</v>
      </c>
    </row>
    <row r="523" spans="1:29" hidden="1">
      <c r="A523" s="17" t="s">
        <v>874</v>
      </c>
      <c r="B523" s="17"/>
      <c r="C523" s="17" t="s">
        <v>69</v>
      </c>
      <c r="D523" s="17"/>
      <c r="E523" s="13">
        <v>50427</v>
      </c>
      <c r="K523" s="41">
        <f t="shared" si="77"/>
        <v>0</v>
      </c>
      <c r="O523" s="41">
        <f t="shared" si="78"/>
        <v>0</v>
      </c>
      <c r="AA523" s="58">
        <f t="shared" si="79"/>
        <v>0</v>
      </c>
      <c r="AB523" s="1"/>
      <c r="AC523" s="1">
        <f t="shared" si="81"/>
        <v>0</v>
      </c>
    </row>
    <row r="524" spans="1:29">
      <c r="A524" s="17" t="s">
        <v>761</v>
      </c>
      <c r="B524" s="17"/>
      <c r="C524" s="17" t="s">
        <v>17</v>
      </c>
      <c r="D524" s="17"/>
      <c r="E524" s="13"/>
      <c r="G524" s="1">
        <v>24299136</v>
      </c>
      <c r="I524" s="1">
        <v>1322558</v>
      </c>
      <c r="K524" s="41">
        <f t="shared" si="77"/>
        <v>27932695</v>
      </c>
      <c r="M524" s="1">
        <v>53554389</v>
      </c>
      <c r="O524" s="41">
        <f t="shared" si="78"/>
        <v>10604883</v>
      </c>
      <c r="Q524" s="1">
        <v>21086705</v>
      </c>
      <c r="S524" s="1">
        <v>31691588</v>
      </c>
      <c r="U524" s="1">
        <f>21862801-14144691</f>
        <v>7718110</v>
      </c>
      <c r="W524" s="1">
        <v>0</v>
      </c>
      <c r="Y524" s="1">
        <v>14144691</v>
      </c>
      <c r="AA524" s="58">
        <f t="shared" si="79"/>
        <v>21862801</v>
      </c>
      <c r="AB524" s="1"/>
      <c r="AC524" s="1">
        <f t="shared" si="81"/>
        <v>0</v>
      </c>
    </row>
    <row r="525" spans="1:29">
      <c r="A525" s="17" t="s">
        <v>899</v>
      </c>
      <c r="B525" s="17"/>
      <c r="C525" s="17" t="s">
        <v>117</v>
      </c>
      <c r="D525" s="17"/>
      <c r="E525" s="13">
        <v>48223</v>
      </c>
      <c r="G525" s="1">
        <v>1082262</v>
      </c>
      <c r="I525" s="1">
        <v>0</v>
      </c>
      <c r="K525" s="41">
        <f t="shared" si="77"/>
        <v>21257666</v>
      </c>
      <c r="M525" s="1">
        <v>22339928</v>
      </c>
      <c r="O525" s="41">
        <f t="shared" si="78"/>
        <v>5706012</v>
      </c>
      <c r="Q525" s="1">
        <v>20020916</v>
      </c>
      <c r="S525" s="1">
        <v>25726928</v>
      </c>
      <c r="U525" s="1">
        <f>202690+1235127</f>
        <v>1437817</v>
      </c>
      <c r="W525" s="1">
        <v>0</v>
      </c>
      <c r="Y525" s="1">
        <v>-4824817</v>
      </c>
      <c r="AA525" s="58">
        <f t="shared" si="79"/>
        <v>-3387000</v>
      </c>
      <c r="AB525" s="1"/>
      <c r="AC525" s="1">
        <f t="shared" si="81"/>
        <v>0</v>
      </c>
    </row>
    <row r="526" spans="1:29">
      <c r="A526" s="17" t="s">
        <v>453</v>
      </c>
      <c r="B526" s="17"/>
      <c r="C526" s="17" t="s">
        <v>45</v>
      </c>
      <c r="D526" s="17"/>
      <c r="E526" s="13">
        <v>48371</v>
      </c>
      <c r="G526" s="1">
        <v>1530294</v>
      </c>
      <c r="I526" s="1">
        <v>0</v>
      </c>
      <c r="K526" s="41">
        <f t="shared" si="77"/>
        <v>3553873</v>
      </c>
      <c r="M526" s="1">
        <v>5084167</v>
      </c>
      <c r="O526" s="41">
        <f t="shared" si="78"/>
        <v>3733976</v>
      </c>
      <c r="Q526" s="1">
        <v>154041</v>
      </c>
      <c r="S526" s="1">
        <v>3888017</v>
      </c>
      <c r="U526" s="1">
        <f>36628+352</f>
        <v>36980</v>
      </c>
      <c r="W526" s="1">
        <v>0</v>
      </c>
      <c r="Y526" s="1">
        <v>1159170</v>
      </c>
      <c r="AA526" s="58">
        <f t="shared" si="79"/>
        <v>1196150</v>
      </c>
      <c r="AB526" s="1"/>
      <c r="AC526" s="1">
        <f t="shared" si="81"/>
        <v>0</v>
      </c>
    </row>
    <row r="527" spans="1:29">
      <c r="A527" s="17" t="s">
        <v>453</v>
      </c>
      <c r="B527" s="17"/>
      <c r="C527" s="17" t="s">
        <v>63</v>
      </c>
      <c r="D527" s="17"/>
      <c r="E527" s="13">
        <v>50062</v>
      </c>
      <c r="G527" s="1">
        <v>1104407</v>
      </c>
      <c r="I527" s="1">
        <v>0</v>
      </c>
      <c r="K527" s="41">
        <f t="shared" si="77"/>
        <v>11641970</v>
      </c>
      <c r="M527" s="1">
        <v>12746377</v>
      </c>
      <c r="O527" s="41">
        <f t="shared" si="78"/>
        <v>3282344</v>
      </c>
      <c r="Q527" s="1">
        <v>10175907</v>
      </c>
      <c r="S527" s="1">
        <v>13458251</v>
      </c>
      <c r="U527" s="1">
        <f>48397+1219426</f>
        <v>1267823</v>
      </c>
      <c r="W527" s="1">
        <v>0</v>
      </c>
      <c r="Y527" s="1">
        <v>-1979697</v>
      </c>
      <c r="AA527" s="58">
        <f t="shared" si="79"/>
        <v>-711874</v>
      </c>
      <c r="AB527" s="1"/>
      <c r="AC527" s="1">
        <f t="shared" si="81"/>
        <v>0</v>
      </c>
    </row>
    <row r="528" spans="1:29">
      <c r="A528" s="17" t="s">
        <v>770</v>
      </c>
      <c r="B528" s="17"/>
      <c r="C528" s="17" t="s">
        <v>32</v>
      </c>
      <c r="D528" s="17"/>
      <c r="E528" s="13">
        <v>44719</v>
      </c>
      <c r="G528" s="1">
        <v>3663423</v>
      </c>
      <c r="I528" s="1">
        <v>0</v>
      </c>
      <c r="K528" s="41">
        <f t="shared" si="77"/>
        <v>10004218</v>
      </c>
      <c r="M528" s="1">
        <v>13667641</v>
      </c>
      <c r="O528" s="41">
        <f t="shared" si="78"/>
        <v>823701</v>
      </c>
      <c r="Q528" s="1">
        <v>7998193</v>
      </c>
      <c r="S528" s="1">
        <v>8821894</v>
      </c>
      <c r="U528" s="1">
        <v>1548000</v>
      </c>
      <c r="W528" s="1">
        <v>0</v>
      </c>
      <c r="Y528" s="1">
        <v>3297747</v>
      </c>
      <c r="AA528" s="58">
        <f t="shared" si="79"/>
        <v>4845747</v>
      </c>
      <c r="AB528" s="1"/>
      <c r="AC528" s="1">
        <f t="shared" si="81"/>
        <v>0</v>
      </c>
    </row>
    <row r="529" spans="1:29">
      <c r="A529" s="17" t="s">
        <v>769</v>
      </c>
      <c r="B529" s="17"/>
      <c r="C529" s="17" t="s">
        <v>15</v>
      </c>
      <c r="D529" s="17"/>
      <c r="E529" s="13">
        <v>45997</v>
      </c>
      <c r="G529" s="1">
        <f>2855522+204914</f>
        <v>3060436</v>
      </c>
      <c r="I529" s="1">
        <v>63426</v>
      </c>
      <c r="K529" s="41">
        <f t="shared" si="77"/>
        <v>6739461</v>
      </c>
      <c r="M529" s="1">
        <v>9863323</v>
      </c>
      <c r="O529" s="41">
        <f t="shared" si="78"/>
        <v>1695223</v>
      </c>
      <c r="Q529" s="1">
        <v>6272961</v>
      </c>
      <c r="S529" s="1">
        <v>7968184</v>
      </c>
      <c r="U529" s="1">
        <f>1895139-1137488</f>
        <v>757651</v>
      </c>
      <c r="W529" s="1">
        <v>0</v>
      </c>
      <c r="Y529" s="1">
        <v>1137488</v>
      </c>
      <c r="AA529" s="58">
        <f t="shared" si="79"/>
        <v>1895139</v>
      </c>
      <c r="AB529" s="1"/>
      <c r="AC529" s="1">
        <f t="shared" si="81"/>
        <v>0</v>
      </c>
    </row>
    <row r="530" spans="1:29" hidden="1">
      <c r="A530" s="17" t="s">
        <v>876</v>
      </c>
      <c r="B530" s="17"/>
      <c r="C530" s="17" t="s">
        <v>486</v>
      </c>
      <c r="D530" s="17"/>
      <c r="E530" s="13">
        <v>48587</v>
      </c>
      <c r="K530" s="41">
        <f t="shared" si="77"/>
        <v>0</v>
      </c>
      <c r="O530" s="41">
        <f t="shared" si="78"/>
        <v>0</v>
      </c>
      <c r="AA530" s="58">
        <f t="shared" si="79"/>
        <v>0</v>
      </c>
      <c r="AB530" s="1"/>
      <c r="AC530" s="1">
        <f t="shared" si="81"/>
        <v>0</v>
      </c>
    </row>
    <row r="531" spans="1:29" hidden="1">
      <c r="A531" s="17" t="s">
        <v>877</v>
      </c>
      <c r="B531" s="17"/>
      <c r="C531" s="17" t="s">
        <v>14</v>
      </c>
      <c r="D531" s="17"/>
      <c r="E531" s="13">
        <v>44727</v>
      </c>
      <c r="K531" s="41">
        <f t="shared" si="77"/>
        <v>0</v>
      </c>
      <c r="O531" s="41">
        <f t="shared" si="78"/>
        <v>0</v>
      </c>
      <c r="AA531" s="58">
        <f t="shared" si="79"/>
        <v>0</v>
      </c>
      <c r="AB531" s="1"/>
      <c r="AC531" s="1">
        <f t="shared" si="81"/>
        <v>0</v>
      </c>
    </row>
    <row r="532" spans="1:29">
      <c r="A532" s="17" t="s">
        <v>412</v>
      </c>
      <c r="B532" s="17"/>
      <c r="C532" s="17" t="s">
        <v>39</v>
      </c>
      <c r="D532" s="17"/>
      <c r="E532" s="13">
        <v>44826</v>
      </c>
      <c r="G532" s="1">
        <v>3801134</v>
      </c>
      <c r="I532" s="1">
        <v>85496</v>
      </c>
      <c r="K532" s="41">
        <f t="shared" si="77"/>
        <v>4960729</v>
      </c>
      <c r="M532" s="1">
        <v>8847359</v>
      </c>
      <c r="O532" s="41">
        <f t="shared" si="78"/>
        <v>2107368</v>
      </c>
      <c r="Q532" s="1">
        <v>4454576</v>
      </c>
      <c r="S532" s="1">
        <v>6561944</v>
      </c>
      <c r="U532" s="1">
        <f>336367+439677+85496</f>
        <v>861540</v>
      </c>
      <c r="W532" s="1">
        <f>259332+800670+159593</f>
        <v>1219595</v>
      </c>
      <c r="Y532" s="1">
        <v>204280</v>
      </c>
      <c r="AA532" s="58">
        <f t="shared" si="79"/>
        <v>2285415</v>
      </c>
      <c r="AB532" s="1"/>
      <c r="AC532" s="1">
        <f t="shared" si="81"/>
        <v>0</v>
      </c>
    </row>
    <row r="533" spans="1:29">
      <c r="A533" s="17" t="s">
        <v>595</v>
      </c>
      <c r="B533" s="17"/>
      <c r="C533" s="17" t="s">
        <v>63</v>
      </c>
      <c r="D533" s="17"/>
      <c r="E533" s="13">
        <v>44834</v>
      </c>
      <c r="G533" s="1">
        <v>12794851</v>
      </c>
      <c r="I533" s="1">
        <v>540027</v>
      </c>
      <c r="K533" s="41">
        <f t="shared" si="77"/>
        <v>29911143</v>
      </c>
      <c r="M533" s="1">
        <v>43246021</v>
      </c>
      <c r="O533" s="41">
        <f t="shared" si="78"/>
        <v>31191323</v>
      </c>
      <c r="Q533" s="1">
        <v>659848</v>
      </c>
      <c r="S533" s="1">
        <v>31851171</v>
      </c>
      <c r="U533" s="1">
        <f>11394850-6860332</f>
        <v>4534518</v>
      </c>
      <c r="W533" s="1">
        <v>0</v>
      </c>
      <c r="Y533" s="1">
        <v>6860332</v>
      </c>
      <c r="AA533" s="58">
        <f t="shared" si="79"/>
        <v>11394850</v>
      </c>
      <c r="AB533" s="1"/>
      <c r="AC533" s="1">
        <f t="shared" si="81"/>
        <v>0</v>
      </c>
    </row>
    <row r="534" spans="1:29" hidden="1">
      <c r="A534" s="12" t="s">
        <v>878</v>
      </c>
      <c r="B534" s="17"/>
      <c r="C534" s="17" t="s">
        <v>65</v>
      </c>
      <c r="D534" s="17"/>
      <c r="E534" s="13">
        <v>50294</v>
      </c>
      <c r="K534" s="41">
        <f t="shared" si="77"/>
        <v>0</v>
      </c>
      <c r="O534" s="41">
        <f t="shared" si="78"/>
        <v>0</v>
      </c>
      <c r="AA534" s="58">
        <f t="shared" si="79"/>
        <v>0</v>
      </c>
      <c r="AB534" s="1"/>
      <c r="AC534" s="1">
        <f t="shared" si="81"/>
        <v>0</v>
      </c>
    </row>
    <row r="535" spans="1:29">
      <c r="A535" s="17" t="s">
        <v>538</v>
      </c>
      <c r="B535" s="17"/>
      <c r="C535" s="17" t="s">
        <v>56</v>
      </c>
      <c r="D535" s="17"/>
      <c r="E535" s="13">
        <v>49239</v>
      </c>
      <c r="G535" s="1">
        <v>699869</v>
      </c>
      <c r="I535" s="1">
        <v>0</v>
      </c>
      <c r="K535" s="41">
        <f t="shared" si="77"/>
        <v>11834021</v>
      </c>
      <c r="M535" s="1">
        <v>12533890</v>
      </c>
      <c r="O535" s="41">
        <f t="shared" si="78"/>
        <v>2613412</v>
      </c>
      <c r="Q535" s="1">
        <v>9466190</v>
      </c>
      <c r="S535" s="1">
        <v>12079602</v>
      </c>
      <c r="U535" s="1">
        <f>118842+2345256</f>
        <v>2464098</v>
      </c>
      <c r="W535" s="1">
        <v>0</v>
      </c>
      <c r="Y535" s="1">
        <v>-2009810</v>
      </c>
      <c r="AA535" s="58">
        <f t="shared" si="79"/>
        <v>454288</v>
      </c>
      <c r="AB535" s="1"/>
      <c r="AC535" s="1">
        <f t="shared" si="81"/>
        <v>0</v>
      </c>
    </row>
    <row r="536" spans="1:29">
      <c r="A536" s="17" t="s">
        <v>306</v>
      </c>
      <c r="B536" s="17"/>
      <c r="C536" s="17" t="s">
        <v>20</v>
      </c>
      <c r="D536" s="17"/>
      <c r="E536" s="13">
        <v>44842</v>
      </c>
      <c r="G536" s="1">
        <v>1250</v>
      </c>
      <c r="I536" s="1">
        <v>220427</v>
      </c>
      <c r="K536" s="41">
        <f t="shared" si="77"/>
        <v>47604508</v>
      </c>
      <c r="M536" s="1">
        <v>47826185</v>
      </c>
      <c r="O536" s="41">
        <f t="shared" si="78"/>
        <v>11249053</v>
      </c>
      <c r="Q536" s="1">
        <v>42802268</v>
      </c>
      <c r="S536" s="1">
        <v>54051321</v>
      </c>
      <c r="U536" s="1">
        <f>4802040+3708256+829</f>
        <v>8511125</v>
      </c>
      <c r="W536" s="1">
        <v>0</v>
      </c>
      <c r="Y536" s="1">
        <v>-14736261</v>
      </c>
      <c r="AA536" s="58">
        <f t="shared" si="79"/>
        <v>-6225136</v>
      </c>
      <c r="AB536" s="1"/>
      <c r="AC536" s="1">
        <f t="shared" si="81"/>
        <v>0</v>
      </c>
    </row>
    <row r="537" spans="1:29">
      <c r="A537" s="17" t="s">
        <v>470</v>
      </c>
      <c r="B537" s="17"/>
      <c r="C537" s="17" t="s">
        <v>45</v>
      </c>
      <c r="D537" s="17"/>
      <c r="E537" s="13">
        <v>44859</v>
      </c>
      <c r="G537" s="1">
        <v>5267930</v>
      </c>
      <c r="I537" s="1">
        <v>8124</v>
      </c>
      <c r="K537" s="41">
        <f t="shared" si="77"/>
        <v>5528966</v>
      </c>
      <c r="M537" s="1">
        <v>10805020</v>
      </c>
      <c r="O537" s="41">
        <f t="shared" si="78"/>
        <v>1763004</v>
      </c>
      <c r="Q537" s="41">
        <v>4773459</v>
      </c>
      <c r="S537" s="1">
        <v>6536463</v>
      </c>
      <c r="U537" s="1">
        <f>595746+8124</f>
        <v>603870</v>
      </c>
      <c r="W537" s="1">
        <v>0</v>
      </c>
      <c r="Y537" s="1">
        <v>3664687</v>
      </c>
      <c r="AA537" s="58">
        <f t="shared" si="79"/>
        <v>4268557</v>
      </c>
      <c r="AB537" s="1"/>
      <c r="AC537" s="1">
        <f t="shared" si="81"/>
        <v>0</v>
      </c>
    </row>
    <row r="538" spans="1:29">
      <c r="A538" s="17" t="s">
        <v>645</v>
      </c>
      <c r="B538" s="17"/>
      <c r="C538" s="17" t="s">
        <v>643</v>
      </c>
      <c r="D538" s="17"/>
      <c r="E538" s="13">
        <v>50658</v>
      </c>
      <c r="G538" s="1">
        <v>691454</v>
      </c>
      <c r="I538" s="1">
        <v>15473</v>
      </c>
      <c r="K538" s="41">
        <f t="shared" si="77"/>
        <v>1429286</v>
      </c>
      <c r="M538" s="1">
        <v>2136213</v>
      </c>
      <c r="O538" s="41">
        <f t="shared" si="78"/>
        <v>432016</v>
      </c>
      <c r="Q538" s="1">
        <v>1081312</v>
      </c>
      <c r="S538" s="1">
        <v>1513328</v>
      </c>
      <c r="U538" s="1">
        <f>622885-501516</f>
        <v>121369</v>
      </c>
      <c r="W538" s="1">
        <v>0</v>
      </c>
      <c r="Y538" s="1">
        <v>501516</v>
      </c>
      <c r="AA538" s="58">
        <f t="shared" si="79"/>
        <v>622885</v>
      </c>
      <c r="AB538" s="1"/>
      <c r="AC538" s="1">
        <f t="shared" si="81"/>
        <v>0</v>
      </c>
    </row>
    <row r="539" spans="1:29">
      <c r="A539" s="17" t="s">
        <v>347</v>
      </c>
      <c r="B539" s="17"/>
      <c r="C539" s="17" t="s">
        <v>28</v>
      </c>
      <c r="D539" s="17"/>
      <c r="E539" s="13">
        <v>47092</v>
      </c>
      <c r="G539" s="1">
        <f>7950973+1944514</f>
        <v>9895487</v>
      </c>
      <c r="I539" s="1">
        <v>39569</v>
      </c>
      <c r="K539" s="41">
        <f t="shared" si="77"/>
        <v>5973022</v>
      </c>
      <c r="M539" s="1">
        <v>15908078</v>
      </c>
      <c r="O539" s="41">
        <f t="shared" si="78"/>
        <v>1491566</v>
      </c>
      <c r="Q539" s="1">
        <v>4943416</v>
      </c>
      <c r="S539" s="1">
        <v>6434982</v>
      </c>
      <c r="U539" s="1">
        <f>9473096-8607716</f>
        <v>865380</v>
      </c>
      <c r="W539" s="1">
        <v>0</v>
      </c>
      <c r="Y539" s="1">
        <v>8607716</v>
      </c>
      <c r="AA539" s="58">
        <f t="shared" si="79"/>
        <v>9473096</v>
      </c>
      <c r="AB539" s="1"/>
      <c r="AC539" s="1">
        <f t="shared" si="81"/>
        <v>0</v>
      </c>
    </row>
    <row r="540" spans="1:29">
      <c r="A540" s="17" t="s">
        <v>760</v>
      </c>
      <c r="B540" s="17"/>
      <c r="C540" s="17" t="s">
        <v>49</v>
      </c>
      <c r="D540" s="17"/>
      <c r="E540" s="13">
        <v>48652</v>
      </c>
      <c r="G540" s="1">
        <v>0</v>
      </c>
      <c r="I540" s="1">
        <v>5702</v>
      </c>
      <c r="K540" s="41">
        <f t="shared" si="77"/>
        <v>5851666</v>
      </c>
      <c r="M540" s="1">
        <v>5857368</v>
      </c>
      <c r="O540" s="41">
        <f t="shared" si="78"/>
        <v>3015059</v>
      </c>
      <c r="Q540" s="1">
        <v>5624689</v>
      </c>
      <c r="S540" s="1">
        <v>8639748</v>
      </c>
      <c r="U540" s="1">
        <f>107351+5702+138350</f>
        <v>251403</v>
      </c>
      <c r="W540" s="1">
        <v>0</v>
      </c>
      <c r="Y540" s="1">
        <v>-3033783</v>
      </c>
      <c r="AA540" s="58">
        <f t="shared" si="79"/>
        <v>-2782380</v>
      </c>
      <c r="AB540" s="1"/>
      <c r="AC540" s="1">
        <f t="shared" si="81"/>
        <v>0</v>
      </c>
    </row>
    <row r="541" spans="1:29">
      <c r="A541" s="17" t="s">
        <v>375</v>
      </c>
      <c r="B541" s="17"/>
      <c r="C541" s="17" t="s">
        <v>32</v>
      </c>
      <c r="D541" s="17"/>
      <c r="E541" s="13">
        <v>44867</v>
      </c>
      <c r="G541" s="1">
        <f>41464532+1060741</f>
        <v>42525273</v>
      </c>
      <c r="I541" s="1">
        <v>468958</v>
      </c>
      <c r="K541" s="41">
        <f t="shared" si="77"/>
        <v>54623170</v>
      </c>
      <c r="M541" s="1">
        <v>97617401</v>
      </c>
      <c r="O541" s="41">
        <f t="shared" si="78"/>
        <v>9069253</v>
      </c>
      <c r="Q541" s="1">
        <v>33471427</v>
      </c>
      <c r="S541" s="1">
        <v>42540680</v>
      </c>
      <c r="U541" s="1">
        <f>55076721-32164401</f>
        <v>22912320</v>
      </c>
      <c r="W541" s="1">
        <v>0</v>
      </c>
      <c r="Y541" s="1">
        <v>32164401</v>
      </c>
      <c r="AA541" s="58">
        <f t="shared" si="79"/>
        <v>55076721</v>
      </c>
      <c r="AB541" s="1"/>
      <c r="AC541" s="1">
        <f t="shared" si="81"/>
        <v>0</v>
      </c>
    </row>
    <row r="542" spans="1:29">
      <c r="A542" s="17" t="s">
        <v>454</v>
      </c>
      <c r="B542" s="17"/>
      <c r="C542" s="17" t="s">
        <v>117</v>
      </c>
      <c r="D542" s="17"/>
      <c r="E542" s="13">
        <v>44875</v>
      </c>
      <c r="G542" s="1">
        <v>7755120</v>
      </c>
      <c r="I542" s="1">
        <v>79049</v>
      </c>
      <c r="K542" s="41">
        <f t="shared" si="77"/>
        <v>50909079</v>
      </c>
      <c r="M542" s="1">
        <v>58743248</v>
      </c>
      <c r="O542" s="41">
        <f t="shared" si="78"/>
        <v>58088267</v>
      </c>
      <c r="Q542" s="1">
        <v>1538880</v>
      </c>
      <c r="S542" s="1">
        <v>59627147</v>
      </c>
      <c r="U542" s="1">
        <f>511949+2248598+79049</f>
        <v>2839596</v>
      </c>
      <c r="W542" s="1">
        <v>0</v>
      </c>
      <c r="Y542" s="1">
        <v>-3723495</v>
      </c>
      <c r="AA542" s="58">
        <f t="shared" si="79"/>
        <v>-883899</v>
      </c>
      <c r="AB542" s="1"/>
      <c r="AC542" s="1">
        <f t="shared" si="81"/>
        <v>0</v>
      </c>
    </row>
    <row r="543" spans="1:29">
      <c r="A543" s="17" t="s">
        <v>426</v>
      </c>
      <c r="B543" s="17"/>
      <c r="C543" s="17" t="s">
        <v>420</v>
      </c>
      <c r="D543" s="17"/>
      <c r="E543" s="13">
        <v>47969</v>
      </c>
      <c r="G543" s="1">
        <v>3606711</v>
      </c>
      <c r="I543" s="1">
        <v>300387</v>
      </c>
      <c r="K543" s="41">
        <f t="shared" si="77"/>
        <v>972408</v>
      </c>
      <c r="M543" s="1">
        <v>4879506</v>
      </c>
      <c r="O543" s="41">
        <f t="shared" si="78"/>
        <v>879419</v>
      </c>
      <c r="Q543" s="1">
        <v>834894</v>
      </c>
      <c r="S543" s="1">
        <v>1714313</v>
      </c>
      <c r="U543" s="1">
        <f>3165193-2754414</f>
        <v>410779</v>
      </c>
      <c r="W543" s="1">
        <v>0</v>
      </c>
      <c r="Y543" s="1">
        <v>2754414</v>
      </c>
      <c r="AA543" s="58">
        <f t="shared" si="79"/>
        <v>3165193</v>
      </c>
      <c r="AB543" s="1"/>
      <c r="AC543" s="1">
        <f t="shared" si="81"/>
        <v>0</v>
      </c>
    </row>
    <row r="544" spans="1:29">
      <c r="A544" s="17" t="s">
        <v>900</v>
      </c>
      <c r="B544" s="17"/>
      <c r="C544" s="17" t="s">
        <v>227</v>
      </c>
      <c r="D544" s="17"/>
      <c r="E544" s="13">
        <v>46151</v>
      </c>
      <c r="G544" s="1">
        <v>15646193</v>
      </c>
      <c r="I544" s="1">
        <v>223328</v>
      </c>
      <c r="K544" s="41">
        <f t="shared" si="77"/>
        <v>17664492</v>
      </c>
      <c r="M544" s="1">
        <v>33534013</v>
      </c>
      <c r="O544" s="41">
        <f t="shared" si="78"/>
        <v>3810146</v>
      </c>
      <c r="Q544" s="1">
        <v>15512386</v>
      </c>
      <c r="S544" s="1">
        <v>19322532</v>
      </c>
      <c r="U544" s="1">
        <f>14211481-13598950</f>
        <v>612531</v>
      </c>
      <c r="W544" s="1">
        <v>0</v>
      </c>
      <c r="Y544" s="1">
        <v>13598950</v>
      </c>
      <c r="AA544" s="58">
        <f t="shared" si="79"/>
        <v>14211481</v>
      </c>
      <c r="AB544" s="1"/>
      <c r="AC544" s="1">
        <f t="shared" si="81"/>
        <v>0</v>
      </c>
    </row>
    <row r="545" spans="1:29">
      <c r="A545" s="17" t="s">
        <v>596</v>
      </c>
      <c r="B545" s="17"/>
      <c r="C545" s="17" t="s">
        <v>63</v>
      </c>
      <c r="D545" s="17"/>
      <c r="E545" s="13">
        <v>44883</v>
      </c>
      <c r="G545" s="1">
        <v>2625303</v>
      </c>
      <c r="I545" s="1">
        <v>72479</v>
      </c>
      <c r="K545" s="41">
        <f t="shared" si="77"/>
        <v>16752404</v>
      </c>
      <c r="M545" s="1">
        <v>19450186</v>
      </c>
      <c r="O545" s="41">
        <f t="shared" si="78"/>
        <v>17130057</v>
      </c>
      <c r="Q545" s="1">
        <v>460074</v>
      </c>
      <c r="S545" s="1">
        <v>17590131</v>
      </c>
      <c r="U545" s="1">
        <f>284896+1711176+72474</f>
        <v>2068546</v>
      </c>
      <c r="W545" s="1">
        <v>0</v>
      </c>
      <c r="Y545" s="1">
        <v>-208491</v>
      </c>
      <c r="AA545" s="58">
        <f t="shared" si="79"/>
        <v>1860055</v>
      </c>
      <c r="AB545" s="1"/>
      <c r="AC545" s="1">
        <f t="shared" si="81"/>
        <v>0</v>
      </c>
    </row>
    <row r="546" spans="1:29">
      <c r="A546" s="17" t="s">
        <v>527</v>
      </c>
      <c r="B546" s="17"/>
      <c r="C546" s="17" t="s">
        <v>54</v>
      </c>
      <c r="D546" s="17"/>
      <c r="E546" s="13">
        <v>49098</v>
      </c>
      <c r="G546" s="1">
        <v>8210594</v>
      </c>
      <c r="I546" s="1">
        <v>0</v>
      </c>
      <c r="K546" s="41">
        <f t="shared" si="77"/>
        <v>8288184</v>
      </c>
      <c r="M546" s="1">
        <v>16498778</v>
      </c>
      <c r="O546" s="41">
        <f t="shared" si="78"/>
        <v>4416014</v>
      </c>
      <c r="Q546" s="1">
        <v>5899678</v>
      </c>
      <c r="S546" s="1">
        <v>10315692</v>
      </c>
      <c r="U546" s="1">
        <f>6183086-4461034</f>
        <v>1722052</v>
      </c>
      <c r="W546" s="1">
        <v>0</v>
      </c>
      <c r="Y546" s="1">
        <v>4461034</v>
      </c>
      <c r="AA546" s="58">
        <f t="shared" si="79"/>
        <v>6183086</v>
      </c>
      <c r="AB546" s="1"/>
      <c r="AC546" s="1">
        <f t="shared" si="81"/>
        <v>0</v>
      </c>
    </row>
    <row r="547" spans="1:29">
      <c r="A547" s="17" t="s">
        <v>250</v>
      </c>
      <c r="B547" s="17"/>
      <c r="C547" s="17" t="s">
        <v>17</v>
      </c>
      <c r="D547" s="17"/>
      <c r="E547" s="13">
        <v>46243</v>
      </c>
      <c r="G547" s="1">
        <v>2590468</v>
      </c>
      <c r="I547" s="1">
        <v>80264</v>
      </c>
      <c r="K547" s="41">
        <f t="shared" si="77"/>
        <v>8765502</v>
      </c>
      <c r="M547" s="1">
        <v>11436234</v>
      </c>
      <c r="O547" s="41">
        <f t="shared" si="78"/>
        <v>3140415</v>
      </c>
      <c r="Q547" s="1">
        <v>5979849</v>
      </c>
      <c r="S547" s="1">
        <v>9120264</v>
      </c>
      <c r="U547" s="1">
        <f>607335+2079863+80264</f>
        <v>2767462</v>
      </c>
      <c r="W547" s="1">
        <v>0</v>
      </c>
      <c r="Y547" s="1">
        <v>-451492</v>
      </c>
      <c r="AA547" s="58">
        <f t="shared" si="79"/>
        <v>2315970</v>
      </c>
      <c r="AB547" s="1"/>
      <c r="AC547" s="1">
        <f t="shared" si="81"/>
        <v>0</v>
      </c>
    </row>
    <row r="548" spans="1:29">
      <c r="A548" s="12" t="s">
        <v>910</v>
      </c>
      <c r="B548" s="17"/>
      <c r="C548" s="17" t="s">
        <v>32</v>
      </c>
      <c r="D548" s="17"/>
      <c r="E548" s="13">
        <v>47399</v>
      </c>
      <c r="G548" s="1">
        <v>7361386</v>
      </c>
      <c r="I548" s="1">
        <v>182210</v>
      </c>
      <c r="K548" s="41">
        <f t="shared" si="77"/>
        <v>14074783</v>
      </c>
      <c r="M548" s="1">
        <v>21618379</v>
      </c>
      <c r="O548" s="41">
        <f t="shared" si="78"/>
        <v>2488369</v>
      </c>
      <c r="Q548" s="1">
        <v>9761755</v>
      </c>
      <c r="S548" s="1">
        <v>12250124</v>
      </c>
      <c r="U548" s="1">
        <f>9368255-4875604</f>
        <v>4492651</v>
      </c>
      <c r="W548" s="1">
        <v>0</v>
      </c>
      <c r="Y548" s="1">
        <v>4875604</v>
      </c>
      <c r="AA548" s="58">
        <f t="shared" si="79"/>
        <v>9368255</v>
      </c>
      <c r="AB548" s="1"/>
      <c r="AC548" s="1">
        <f t="shared" si="81"/>
        <v>0</v>
      </c>
    </row>
    <row r="549" spans="1:29">
      <c r="A549" s="17" t="s">
        <v>568</v>
      </c>
      <c r="B549" s="17"/>
      <c r="C549" s="17" t="s">
        <v>60</v>
      </c>
      <c r="D549" s="17"/>
      <c r="E549" s="13">
        <v>44891</v>
      </c>
      <c r="G549" s="1">
        <f>3205775+192825</f>
        <v>3398600</v>
      </c>
      <c r="I549" s="1">
        <v>367603</v>
      </c>
      <c r="K549" s="41">
        <f t="shared" si="77"/>
        <v>10002182</v>
      </c>
      <c r="M549" s="1">
        <v>13768385</v>
      </c>
      <c r="O549" s="41">
        <f t="shared" si="78"/>
        <v>9976753</v>
      </c>
      <c r="Q549" s="1">
        <v>826306</v>
      </c>
      <c r="S549" s="1">
        <v>10803059</v>
      </c>
      <c r="U549" s="1">
        <f>2965326-683398</f>
        <v>2281928</v>
      </c>
      <c r="W549" s="1">
        <v>0</v>
      </c>
      <c r="Y549" s="1">
        <v>683398</v>
      </c>
      <c r="AA549" s="58">
        <f t="shared" si="79"/>
        <v>2965326</v>
      </c>
      <c r="AB549" s="1"/>
      <c r="AC549" s="1">
        <f t="shared" si="81"/>
        <v>0</v>
      </c>
    </row>
    <row r="550" spans="1:29">
      <c r="A550" s="17" t="s">
        <v>491</v>
      </c>
      <c r="B550" s="17"/>
      <c r="C550" s="17" t="s">
        <v>48</v>
      </c>
      <c r="D550" s="17"/>
      <c r="E550" s="13">
        <v>45617</v>
      </c>
      <c r="G550" s="1">
        <v>1484615</v>
      </c>
      <c r="I550" s="1">
        <v>0</v>
      </c>
      <c r="K550" s="41">
        <f t="shared" si="77"/>
        <v>7111250</v>
      </c>
      <c r="M550" s="1">
        <v>8595865</v>
      </c>
      <c r="O550" s="41">
        <f t="shared" si="78"/>
        <v>2034005</v>
      </c>
      <c r="Q550" s="1">
        <v>6448007</v>
      </c>
      <c r="S550" s="1">
        <v>8482012</v>
      </c>
      <c r="U550" s="1">
        <f>50384+54663+565480</f>
        <v>670527</v>
      </c>
      <c r="W550" s="1">
        <v>0</v>
      </c>
      <c r="Y550" s="1">
        <v>-556674</v>
      </c>
      <c r="AA550" s="58">
        <f t="shared" si="79"/>
        <v>113853</v>
      </c>
      <c r="AB550" s="1"/>
      <c r="AC550" s="1">
        <f t="shared" si="81"/>
        <v>0</v>
      </c>
    </row>
    <row r="551" spans="1:29">
      <c r="A551" s="17" t="s">
        <v>455</v>
      </c>
      <c r="B551" s="17"/>
      <c r="C551" s="17" t="s">
        <v>117</v>
      </c>
      <c r="D551" s="17"/>
      <c r="E551" s="13">
        <v>44909</v>
      </c>
      <c r="G551" s="1">
        <v>5961989</v>
      </c>
      <c r="I551" s="1">
        <v>3700671</v>
      </c>
      <c r="K551" s="41">
        <f t="shared" si="77"/>
        <v>99654939</v>
      </c>
      <c r="M551" s="1">
        <v>109317599</v>
      </c>
      <c r="O551" s="41">
        <f t="shared" si="78"/>
        <v>29586489</v>
      </c>
      <c r="Q551" s="1">
        <v>92436353</v>
      </c>
      <c r="S551" s="1">
        <v>122022842</v>
      </c>
      <c r="U551" s="1">
        <f>-12705243+25259943</f>
        <v>12554700</v>
      </c>
      <c r="W551" s="1">
        <v>0</v>
      </c>
      <c r="Y551" s="1">
        <v>-25259943</v>
      </c>
      <c r="AA551" s="58">
        <f t="shared" si="79"/>
        <v>-12705243</v>
      </c>
      <c r="AB551" s="1"/>
      <c r="AC551" s="1">
        <f t="shared" si="81"/>
        <v>0</v>
      </c>
    </row>
    <row r="552" spans="1:29" hidden="1">
      <c r="A552" s="12" t="s">
        <v>952</v>
      </c>
      <c r="B552" s="12"/>
      <c r="C552" s="12" t="s">
        <v>117</v>
      </c>
      <c r="D552" s="17"/>
      <c r="E552" s="13"/>
      <c r="K552" s="41">
        <f t="shared" si="77"/>
        <v>0</v>
      </c>
      <c r="O552" s="41">
        <f t="shared" si="78"/>
        <v>0</v>
      </c>
      <c r="AA552" s="58">
        <f t="shared" si="79"/>
        <v>0</v>
      </c>
      <c r="AB552" s="1"/>
      <c r="AC552" s="1">
        <f t="shared" si="81"/>
        <v>0</v>
      </c>
    </row>
    <row r="553" spans="1:29">
      <c r="A553" s="12" t="s">
        <v>911</v>
      </c>
      <c r="B553" s="17"/>
      <c r="C553" s="17" t="s">
        <v>39</v>
      </c>
      <c r="D553" s="17"/>
      <c r="E553" s="13">
        <v>44917</v>
      </c>
      <c r="G553" s="1">
        <f>1874347+875000</f>
        <v>2749347</v>
      </c>
      <c r="I553" s="1">
        <v>27259</v>
      </c>
      <c r="K553" s="41">
        <f t="shared" si="77"/>
        <v>1658184</v>
      </c>
      <c r="M553" s="1">
        <v>4434790</v>
      </c>
      <c r="O553" s="41">
        <f t="shared" si="78"/>
        <v>786502</v>
      </c>
      <c r="Q553" s="1">
        <v>1438078</v>
      </c>
      <c r="S553" s="1">
        <v>2224580</v>
      </c>
      <c r="U553" s="1">
        <f>2210210-1885513</f>
        <v>324697</v>
      </c>
      <c r="W553" s="1">
        <v>0</v>
      </c>
      <c r="Y553" s="1">
        <v>1885513</v>
      </c>
      <c r="AA553" s="58">
        <f t="shared" si="79"/>
        <v>2210210</v>
      </c>
      <c r="AB553" s="1"/>
      <c r="AC553" s="1">
        <f t="shared" si="81"/>
        <v>0</v>
      </c>
    </row>
    <row r="554" spans="1:29">
      <c r="A554" s="17" t="s">
        <v>242</v>
      </c>
      <c r="B554" s="17"/>
      <c r="C554" s="17" t="s">
        <v>240</v>
      </c>
      <c r="D554" s="17"/>
      <c r="E554" s="13">
        <v>46201</v>
      </c>
      <c r="G554" s="1">
        <v>1041340</v>
      </c>
      <c r="I554" s="1">
        <v>2500</v>
      </c>
      <c r="K554" s="41">
        <f t="shared" si="77"/>
        <v>2553813</v>
      </c>
      <c r="M554" s="1">
        <v>3597653</v>
      </c>
      <c r="O554" s="41">
        <f t="shared" si="78"/>
        <v>2524361</v>
      </c>
      <c r="Q554" s="1">
        <v>83155</v>
      </c>
      <c r="S554" s="1">
        <v>2607516</v>
      </c>
      <c r="U554" s="1">
        <f>990137-570162</f>
        <v>419975</v>
      </c>
      <c r="W554" s="1">
        <v>0</v>
      </c>
      <c r="Y554" s="1">
        <v>570162</v>
      </c>
      <c r="AA554" s="58">
        <f t="shared" si="79"/>
        <v>990137</v>
      </c>
      <c r="AB554" s="1"/>
      <c r="AC554" s="1">
        <f t="shared" si="81"/>
        <v>0</v>
      </c>
    </row>
    <row r="555" spans="1:29">
      <c r="A555" s="17" t="s">
        <v>541</v>
      </c>
      <c r="B555" s="17"/>
      <c r="C555" s="17" t="s">
        <v>57</v>
      </c>
      <c r="D555" s="17"/>
      <c r="E555" s="13">
        <v>91397</v>
      </c>
      <c r="G555" s="1">
        <v>3484796</v>
      </c>
      <c r="I555" s="1">
        <v>239149</v>
      </c>
      <c r="K555" s="41">
        <f t="shared" si="77"/>
        <v>4858482</v>
      </c>
      <c r="M555" s="1">
        <v>8582427</v>
      </c>
      <c r="O555" s="41">
        <f t="shared" si="78"/>
        <v>1093446</v>
      </c>
      <c r="Q555" s="1">
        <v>4416507</v>
      </c>
      <c r="S555" s="1">
        <v>5509953</v>
      </c>
      <c r="U555" s="1">
        <f>3072474-1603454</f>
        <v>1469020</v>
      </c>
      <c r="W555" s="1">
        <v>0</v>
      </c>
      <c r="Y555" s="1">
        <v>1603454</v>
      </c>
      <c r="AA555" s="58">
        <f t="shared" si="79"/>
        <v>3072474</v>
      </c>
      <c r="AB555" s="1"/>
      <c r="AC555" s="1">
        <f t="shared" si="81"/>
        <v>0</v>
      </c>
    </row>
    <row r="556" spans="1:29">
      <c r="A556" s="17" t="s">
        <v>216</v>
      </c>
      <c r="B556" s="17"/>
      <c r="C556" s="17" t="s">
        <v>13</v>
      </c>
      <c r="D556" s="17"/>
      <c r="E556" s="13">
        <v>45922</v>
      </c>
      <c r="G556" s="1">
        <v>561394</v>
      </c>
      <c r="I556" s="1">
        <v>0</v>
      </c>
      <c r="K556" s="41">
        <f t="shared" si="77"/>
        <v>1052211</v>
      </c>
      <c r="M556" s="1">
        <v>1613605</v>
      </c>
      <c r="O556" s="41">
        <f t="shared" si="78"/>
        <v>1026955</v>
      </c>
      <c r="Q556" s="1">
        <v>941578</v>
      </c>
      <c r="S556" s="1">
        <v>1968533</v>
      </c>
      <c r="U556" s="1">
        <f>8268+92618+3489</f>
        <v>104375</v>
      </c>
      <c r="W556" s="1">
        <v>0</v>
      </c>
      <c r="Y556" s="1">
        <v>-459303</v>
      </c>
      <c r="AA556" s="58">
        <f t="shared" si="79"/>
        <v>-354928</v>
      </c>
      <c r="AB556" s="1"/>
      <c r="AC556" s="1">
        <f t="shared" si="81"/>
        <v>0</v>
      </c>
    </row>
    <row r="557" spans="1:29">
      <c r="A557" s="17" t="s">
        <v>514</v>
      </c>
      <c r="B557" s="17"/>
      <c r="C557" s="17" t="s">
        <v>51</v>
      </c>
      <c r="D557" s="17"/>
      <c r="E557" s="13">
        <v>48876</v>
      </c>
      <c r="G557" s="1">
        <v>1183833</v>
      </c>
      <c r="I557" s="1">
        <v>0</v>
      </c>
      <c r="K557" s="41">
        <f t="shared" si="77"/>
        <v>8840828</v>
      </c>
      <c r="M557" s="1">
        <v>10024661</v>
      </c>
      <c r="O557" s="41">
        <f t="shared" si="78"/>
        <v>3224003</v>
      </c>
      <c r="Q557" s="1">
        <v>8641795</v>
      </c>
      <c r="S557" s="1">
        <v>11865798</v>
      </c>
      <c r="U557" s="1">
        <f>150823+85605</f>
        <v>236428</v>
      </c>
      <c r="W557" s="1">
        <v>0</v>
      </c>
      <c r="Y557" s="1">
        <v>-2077565</v>
      </c>
      <c r="AA557" s="58">
        <f t="shared" si="79"/>
        <v>-1841137</v>
      </c>
      <c r="AB557" s="1"/>
      <c r="AC557" s="1">
        <f t="shared" si="81"/>
        <v>0</v>
      </c>
    </row>
    <row r="558" spans="1:29" hidden="1">
      <c r="A558" s="17" t="s">
        <v>859</v>
      </c>
      <c r="B558" s="17"/>
      <c r="C558" s="17" t="s">
        <v>21</v>
      </c>
      <c r="D558" s="17"/>
      <c r="E558" s="13">
        <v>46680</v>
      </c>
      <c r="K558" s="41">
        <f t="shared" si="77"/>
        <v>0</v>
      </c>
      <c r="O558" s="41">
        <f t="shared" si="78"/>
        <v>0</v>
      </c>
      <c r="AA558" s="58">
        <f t="shared" si="79"/>
        <v>0</v>
      </c>
      <c r="AB558" s="1"/>
      <c r="AC558" s="1">
        <f t="shared" si="81"/>
        <v>0</v>
      </c>
    </row>
    <row r="559" spans="1:29" hidden="1">
      <c r="A559" s="17" t="s">
        <v>933</v>
      </c>
      <c r="B559" s="17"/>
      <c r="C559" s="17" t="s">
        <v>71</v>
      </c>
      <c r="D559" s="17"/>
      <c r="E559" s="13">
        <v>50591</v>
      </c>
      <c r="K559" s="41">
        <f t="shared" ref="K559:K591" si="82">+M559-I559-G559</f>
        <v>0</v>
      </c>
      <c r="O559" s="41">
        <f t="shared" ref="O559:O591" si="83">+S559-Q559</f>
        <v>0</v>
      </c>
      <c r="AA559" s="58">
        <f t="shared" ref="AA559:AA581" si="84">+Y559+W559++U559</f>
        <v>0</v>
      </c>
      <c r="AB559" s="1"/>
      <c r="AC559" s="1">
        <f t="shared" si="81"/>
        <v>0</v>
      </c>
    </row>
    <row r="560" spans="1:29">
      <c r="A560" s="17" t="s">
        <v>505</v>
      </c>
      <c r="B560" s="17"/>
      <c r="C560" s="17" t="s">
        <v>50</v>
      </c>
      <c r="D560" s="17"/>
      <c r="E560" s="13">
        <v>48694</v>
      </c>
      <c r="G560" s="1">
        <v>8533896</v>
      </c>
      <c r="I560" s="1">
        <v>81076</v>
      </c>
      <c r="K560" s="41">
        <f t="shared" si="82"/>
        <v>13264975</v>
      </c>
      <c r="M560" s="1">
        <v>21879947</v>
      </c>
      <c r="O560" s="41">
        <f t="shared" si="83"/>
        <v>2966036</v>
      </c>
      <c r="Q560" s="1">
        <v>10103964</v>
      </c>
      <c r="S560" s="1">
        <v>13070000</v>
      </c>
      <c r="U560" s="1">
        <f>544320+81076</f>
        <v>625396</v>
      </c>
      <c r="W560" s="1">
        <v>0</v>
      </c>
      <c r="Y560" s="1">
        <v>8184551</v>
      </c>
      <c r="AA560" s="58">
        <f t="shared" si="84"/>
        <v>8809947</v>
      </c>
      <c r="AB560" s="1"/>
      <c r="AC560" s="1">
        <f t="shared" si="81"/>
        <v>0</v>
      </c>
    </row>
    <row r="561" spans="1:29">
      <c r="A561" s="17" t="s">
        <v>492</v>
      </c>
      <c r="B561" s="17"/>
      <c r="C561" s="17" t="s">
        <v>48</v>
      </c>
      <c r="D561" s="17"/>
      <c r="E561" s="13">
        <v>44925</v>
      </c>
      <c r="G561" s="1">
        <v>11311141</v>
      </c>
      <c r="I561" s="1">
        <v>0</v>
      </c>
      <c r="K561" s="41">
        <f t="shared" si="82"/>
        <v>17039867</v>
      </c>
      <c r="M561" s="1">
        <v>28351008</v>
      </c>
      <c r="O561" s="41">
        <f t="shared" si="83"/>
        <v>4232668</v>
      </c>
      <c r="Q561" s="1">
        <v>12578897</v>
      </c>
      <c r="S561" s="1">
        <v>16811565</v>
      </c>
      <c r="U561" s="1">
        <f>11539443-9739140</f>
        <v>1800303</v>
      </c>
      <c r="W561" s="1">
        <v>0</v>
      </c>
      <c r="Y561" s="1">
        <v>9739140</v>
      </c>
      <c r="AA561" s="58">
        <f t="shared" si="84"/>
        <v>11539443</v>
      </c>
      <c r="AB561" s="1"/>
      <c r="AC561" s="1">
        <f t="shared" si="81"/>
        <v>0</v>
      </c>
    </row>
    <row r="562" spans="1:29">
      <c r="A562" s="17" t="s">
        <v>624</v>
      </c>
      <c r="B562" s="17"/>
      <c r="C562" s="17" t="s">
        <v>65</v>
      </c>
      <c r="D562" s="17"/>
      <c r="E562" s="13">
        <v>50302</v>
      </c>
      <c r="G562" s="1">
        <v>2560302</v>
      </c>
      <c r="I562" s="1">
        <v>0</v>
      </c>
      <c r="K562" s="41">
        <f t="shared" si="82"/>
        <v>5257323</v>
      </c>
      <c r="M562" s="1">
        <v>7817625</v>
      </c>
      <c r="O562" s="41">
        <f t="shared" si="83"/>
        <v>5436145</v>
      </c>
      <c r="Q562" s="1">
        <v>572595</v>
      </c>
      <c r="S562" s="1">
        <v>6008740</v>
      </c>
      <c r="U562" s="1">
        <f>1808885-1255795</f>
        <v>553090</v>
      </c>
      <c r="W562" s="1">
        <v>0</v>
      </c>
      <c r="Y562" s="1">
        <v>1255795</v>
      </c>
      <c r="AA562" s="58">
        <f t="shared" si="84"/>
        <v>1808885</v>
      </c>
      <c r="AB562" s="1"/>
      <c r="AC562" s="1">
        <f t="shared" si="81"/>
        <v>0</v>
      </c>
    </row>
    <row r="563" spans="1:29">
      <c r="A563" s="17" t="s">
        <v>585</v>
      </c>
      <c r="B563" s="17"/>
      <c r="C563" s="17" t="s">
        <v>62</v>
      </c>
      <c r="D563" s="17"/>
      <c r="E563" s="13">
        <v>49957</v>
      </c>
      <c r="G563" s="1">
        <v>832860</v>
      </c>
      <c r="I563" s="1">
        <v>0</v>
      </c>
      <c r="K563" s="41">
        <f t="shared" si="82"/>
        <v>4413316</v>
      </c>
      <c r="M563" s="1">
        <v>5246176</v>
      </c>
      <c r="O563" s="41">
        <f t="shared" si="83"/>
        <v>1097326</v>
      </c>
      <c r="Q563" s="1">
        <v>4283769</v>
      </c>
      <c r="S563" s="1">
        <v>5381095</v>
      </c>
      <c r="U563" s="1">
        <f>283606+120900</f>
        <v>404506</v>
      </c>
      <c r="W563" s="1">
        <v>0</v>
      </c>
      <c r="Y563" s="1">
        <v>-539425</v>
      </c>
      <c r="AA563" s="58">
        <f t="shared" si="84"/>
        <v>-134919</v>
      </c>
      <c r="AB563" s="1"/>
      <c r="AC563" s="1">
        <f t="shared" si="81"/>
        <v>0</v>
      </c>
    </row>
    <row r="564" spans="1:29" hidden="1">
      <c r="A564" s="17" t="s">
        <v>865</v>
      </c>
      <c r="B564" s="17"/>
      <c r="C564" s="17" t="s">
        <v>57</v>
      </c>
      <c r="D564" s="17"/>
      <c r="E564" s="13">
        <v>49296</v>
      </c>
      <c r="K564" s="41">
        <f t="shared" si="82"/>
        <v>0</v>
      </c>
      <c r="O564" s="41">
        <f t="shared" si="83"/>
        <v>0</v>
      </c>
      <c r="AA564" s="58">
        <f t="shared" si="84"/>
        <v>0</v>
      </c>
      <c r="AB564" s="1"/>
      <c r="AC564" s="1">
        <f t="shared" si="81"/>
        <v>0</v>
      </c>
    </row>
    <row r="565" spans="1:29">
      <c r="A565" s="17" t="s">
        <v>597</v>
      </c>
      <c r="B565" s="17"/>
      <c r="C565" s="17" t="s">
        <v>63</v>
      </c>
      <c r="D565" s="17"/>
      <c r="E565" s="13">
        <v>50070</v>
      </c>
      <c r="G565" s="41">
        <v>31177282</v>
      </c>
      <c r="H565" s="41"/>
      <c r="I565" s="41">
        <v>0</v>
      </c>
      <c r="J565" s="41"/>
      <c r="K565" s="41">
        <f t="shared" si="82"/>
        <v>24595362</v>
      </c>
      <c r="L565" s="41"/>
      <c r="M565" s="41">
        <v>55772644</v>
      </c>
      <c r="N565" s="41"/>
      <c r="O565" s="41">
        <f t="shared" si="83"/>
        <v>5369744</v>
      </c>
      <c r="P565" s="41"/>
      <c r="Q565" s="41">
        <v>21925826</v>
      </c>
      <c r="R565" s="41"/>
      <c r="S565" s="41">
        <v>27295570</v>
      </c>
      <c r="T565" s="41"/>
      <c r="U565" s="41">
        <v>418309</v>
      </c>
      <c r="V565" s="41"/>
      <c r="W565" s="41">
        <v>0</v>
      </c>
      <c r="X565" s="41"/>
      <c r="Y565" s="41">
        <v>28058765</v>
      </c>
      <c r="Z565" s="41"/>
      <c r="AA565" s="41">
        <f t="shared" ref="AA565:AA573" si="85">+Y565+W565++U565</f>
        <v>28477074</v>
      </c>
      <c r="AB565" s="59"/>
      <c r="AC565" s="59">
        <f t="shared" ref="AC565:AC573" si="86">+G565+I565+K565-O565-Q565-Y565-W565-U565</f>
        <v>0</v>
      </c>
    </row>
    <row r="566" spans="1:29" hidden="1">
      <c r="A566" s="12" t="s">
        <v>931</v>
      </c>
      <c r="B566" s="17"/>
      <c r="C566" s="17" t="s">
        <v>15</v>
      </c>
      <c r="D566" s="17"/>
      <c r="E566" s="13">
        <v>46011</v>
      </c>
      <c r="K566" s="41">
        <f t="shared" si="82"/>
        <v>0</v>
      </c>
      <c r="O566" s="41">
        <f t="shared" si="83"/>
        <v>0</v>
      </c>
      <c r="AA566" s="58">
        <f t="shared" si="85"/>
        <v>0</v>
      </c>
      <c r="AB566" s="1"/>
      <c r="AC566" s="1">
        <f t="shared" si="86"/>
        <v>0</v>
      </c>
    </row>
    <row r="567" spans="1:29">
      <c r="A567" s="17" t="s">
        <v>553</v>
      </c>
      <c r="B567" s="17"/>
      <c r="C567" s="17" t="s">
        <v>58</v>
      </c>
      <c r="D567" s="17"/>
      <c r="E567" s="13">
        <v>49536</v>
      </c>
      <c r="G567" s="1">
        <v>10016689</v>
      </c>
      <c r="I567" s="1">
        <v>421356</v>
      </c>
      <c r="K567" s="41">
        <f t="shared" si="82"/>
        <v>3290285</v>
      </c>
      <c r="M567" s="41">
        <v>13728330</v>
      </c>
      <c r="O567" s="41">
        <f t="shared" si="83"/>
        <v>1667894</v>
      </c>
      <c r="Q567" s="1">
        <v>2291523</v>
      </c>
      <c r="S567" s="1">
        <v>3959417</v>
      </c>
      <c r="U567" s="1">
        <f>9768913-7514033</f>
        <v>2254880</v>
      </c>
      <c r="W567" s="1">
        <v>0</v>
      </c>
      <c r="Y567" s="1">
        <v>7514033</v>
      </c>
      <c r="AA567" s="58">
        <f t="shared" si="85"/>
        <v>9768913</v>
      </c>
      <c r="AB567" s="1"/>
      <c r="AC567" s="1">
        <f t="shared" si="86"/>
        <v>0</v>
      </c>
    </row>
    <row r="568" spans="1:29">
      <c r="A568" s="17" t="s">
        <v>270</v>
      </c>
      <c r="B568" s="17"/>
      <c r="C568" s="17" t="s">
        <v>114</v>
      </c>
      <c r="D568" s="17"/>
      <c r="E568" s="13">
        <v>46458</v>
      </c>
      <c r="G568" s="1">
        <v>3935161</v>
      </c>
      <c r="I568" s="1">
        <v>62146</v>
      </c>
      <c r="K568" s="41">
        <f t="shared" si="82"/>
        <v>2616165</v>
      </c>
      <c r="M568" s="1">
        <v>6613472</v>
      </c>
      <c r="O568" s="41">
        <f t="shared" si="83"/>
        <v>3526525</v>
      </c>
      <c r="Q568" s="1">
        <v>168736</v>
      </c>
      <c r="S568" s="1">
        <v>3695261</v>
      </c>
      <c r="U568" s="1">
        <f>56120+984+211443+62146</f>
        <v>330693</v>
      </c>
      <c r="W568" s="1">
        <f>11000+97257</f>
        <v>108257</v>
      </c>
      <c r="Y568" s="1">
        <v>2479261</v>
      </c>
      <c r="AA568" s="58">
        <f t="shared" si="85"/>
        <v>2918211</v>
      </c>
      <c r="AB568" s="1"/>
      <c r="AC568" s="1">
        <f t="shared" si="86"/>
        <v>0</v>
      </c>
    </row>
    <row r="569" spans="1:29">
      <c r="A569" s="17" t="s">
        <v>341</v>
      </c>
      <c r="B569" s="17"/>
      <c r="C569" s="17" t="s">
        <v>27</v>
      </c>
      <c r="D569" s="17"/>
      <c r="E569" s="13">
        <v>44933</v>
      </c>
      <c r="G569" s="1">
        <v>43814661</v>
      </c>
      <c r="I569" s="1">
        <v>285453</v>
      </c>
      <c r="K569" s="41">
        <f t="shared" si="82"/>
        <v>55317593</v>
      </c>
      <c r="M569" s="1">
        <v>99417707</v>
      </c>
      <c r="O569" s="41">
        <f t="shared" si="83"/>
        <v>10537038</v>
      </c>
      <c r="Q569" s="1">
        <v>38622200</v>
      </c>
      <c r="S569" s="1">
        <v>49159238</v>
      </c>
      <c r="U569" s="1">
        <f>50258469-25447451-879851</f>
        <v>23931167</v>
      </c>
      <c r="W569" s="1">
        <v>879851</v>
      </c>
      <c r="Y569" s="1">
        <v>25447451</v>
      </c>
      <c r="AA569" s="58">
        <f t="shared" si="85"/>
        <v>50258469</v>
      </c>
      <c r="AB569" s="1"/>
      <c r="AC569" s="1">
        <f t="shared" si="86"/>
        <v>0</v>
      </c>
    </row>
    <row r="570" spans="1:29" hidden="1">
      <c r="A570" s="17" t="s">
        <v>866</v>
      </c>
      <c r="B570" s="17"/>
      <c r="C570" s="17" t="s">
        <v>653</v>
      </c>
      <c r="D570" s="17"/>
      <c r="E570" s="13">
        <v>45625</v>
      </c>
      <c r="K570" s="41">
        <f t="shared" si="82"/>
        <v>0</v>
      </c>
      <c r="O570" s="41">
        <f t="shared" si="83"/>
        <v>0</v>
      </c>
      <c r="AA570" s="58">
        <f t="shared" si="85"/>
        <v>0</v>
      </c>
      <c r="AB570" s="1"/>
      <c r="AC570" s="1">
        <f t="shared" si="86"/>
        <v>0</v>
      </c>
    </row>
    <row r="571" spans="1:29" hidden="1">
      <c r="A571" s="17" t="s">
        <v>867</v>
      </c>
      <c r="B571" s="17"/>
      <c r="C571" s="17" t="s">
        <v>383</v>
      </c>
      <c r="D571" s="17"/>
      <c r="E571" s="13">
        <v>47522</v>
      </c>
      <c r="K571" s="41">
        <f t="shared" si="82"/>
        <v>0</v>
      </c>
      <c r="O571" s="41">
        <f t="shared" si="83"/>
        <v>0</v>
      </c>
      <c r="AA571" s="58">
        <f t="shared" si="85"/>
        <v>0</v>
      </c>
      <c r="AB571" s="1"/>
      <c r="AC571" s="1">
        <f t="shared" si="86"/>
        <v>0</v>
      </c>
    </row>
    <row r="572" spans="1:29">
      <c r="A572" s="17" t="s">
        <v>243</v>
      </c>
      <c r="B572" s="17"/>
      <c r="C572" s="17" t="s">
        <v>240</v>
      </c>
      <c r="D572" s="17"/>
      <c r="E572" s="13">
        <v>44941</v>
      </c>
      <c r="G572" s="1">
        <v>4070276</v>
      </c>
      <c r="I572" s="1">
        <v>593611</v>
      </c>
      <c r="K572" s="41">
        <f t="shared" si="82"/>
        <v>8713628</v>
      </c>
      <c r="M572" s="1">
        <v>13377515</v>
      </c>
      <c r="O572" s="41">
        <f t="shared" si="83"/>
        <v>8545474</v>
      </c>
      <c r="Q572" s="1">
        <v>602523</v>
      </c>
      <c r="S572" s="1">
        <v>9147997</v>
      </c>
      <c r="U572" s="1">
        <f>4229518+53886</f>
        <v>4283404</v>
      </c>
      <c r="W572" s="1">
        <v>0</v>
      </c>
      <c r="Y572" s="1">
        <v>-53886</v>
      </c>
      <c r="AA572" s="58">
        <f t="shared" si="85"/>
        <v>4229518</v>
      </c>
      <c r="AB572" s="1"/>
      <c r="AC572" s="1">
        <f t="shared" si="86"/>
        <v>0</v>
      </c>
    </row>
    <row r="573" spans="1:29" hidden="1">
      <c r="A573" s="17" t="s">
        <v>868</v>
      </c>
      <c r="B573" s="17"/>
      <c r="C573" s="17" t="s">
        <v>59</v>
      </c>
      <c r="D573" s="17"/>
      <c r="E573" s="13">
        <v>49643</v>
      </c>
      <c r="K573" s="41">
        <f t="shared" si="82"/>
        <v>0</v>
      </c>
      <c r="O573" s="41">
        <f t="shared" si="83"/>
        <v>0</v>
      </c>
      <c r="AA573" s="58">
        <f t="shared" si="85"/>
        <v>0</v>
      </c>
      <c r="AB573" s="1"/>
      <c r="AC573" s="1">
        <f t="shared" si="86"/>
        <v>0</v>
      </c>
    </row>
    <row r="574" spans="1:29">
      <c r="A574" s="17" t="s">
        <v>506</v>
      </c>
      <c r="B574" s="17"/>
      <c r="C574" s="17" t="s">
        <v>50</v>
      </c>
      <c r="D574" s="17"/>
      <c r="E574" s="13">
        <v>48744</v>
      </c>
      <c r="G574" s="1">
        <v>5546391</v>
      </c>
      <c r="I574" s="1">
        <v>613</v>
      </c>
      <c r="K574" s="41">
        <f t="shared" si="82"/>
        <v>5722081</v>
      </c>
      <c r="M574" s="1">
        <v>11269085</v>
      </c>
      <c r="O574" s="41">
        <f t="shared" si="83"/>
        <v>6815890</v>
      </c>
      <c r="Q574" s="1">
        <v>283768</v>
      </c>
      <c r="S574" s="1">
        <v>7099658</v>
      </c>
      <c r="U574" s="1">
        <f>4169427-3985306</f>
        <v>184121</v>
      </c>
      <c r="W574" s="1">
        <v>0</v>
      </c>
      <c r="Y574" s="1">
        <v>3985306</v>
      </c>
      <c r="AA574" s="58">
        <f t="shared" si="84"/>
        <v>4169427</v>
      </c>
      <c r="AB574" s="1"/>
      <c r="AC574" s="1">
        <f t="shared" si="81"/>
        <v>0</v>
      </c>
    </row>
    <row r="575" spans="1:29">
      <c r="A575" s="17" t="s">
        <v>382</v>
      </c>
      <c r="B575" s="17"/>
      <c r="C575" s="17" t="s">
        <v>33</v>
      </c>
      <c r="D575" s="17"/>
      <c r="E575" s="13">
        <v>47464</v>
      </c>
      <c r="G575" s="1">
        <v>6235413</v>
      </c>
      <c r="I575" s="1">
        <v>666147</v>
      </c>
      <c r="K575" s="41">
        <f t="shared" si="82"/>
        <v>5475181</v>
      </c>
      <c r="M575" s="1">
        <v>12376741</v>
      </c>
      <c r="O575" s="41">
        <f t="shared" si="83"/>
        <v>1054314</v>
      </c>
      <c r="Q575" s="1">
        <v>5133882</v>
      </c>
      <c r="S575" s="1">
        <v>6188196</v>
      </c>
      <c r="U575" s="1">
        <f>6188545-5116667</f>
        <v>1071878</v>
      </c>
      <c r="W575" s="1">
        <v>0</v>
      </c>
      <c r="Y575" s="1">
        <v>5116667</v>
      </c>
      <c r="AA575" s="58">
        <f t="shared" si="84"/>
        <v>6188545</v>
      </c>
      <c r="AB575" s="1"/>
      <c r="AC575" s="1">
        <f t="shared" si="81"/>
        <v>0</v>
      </c>
    </row>
    <row r="576" spans="1:29">
      <c r="A576" s="12" t="s">
        <v>629</v>
      </c>
      <c r="B576" s="17"/>
      <c r="C576" s="17" t="s">
        <v>67</v>
      </c>
      <c r="D576" s="17"/>
      <c r="E576" s="13">
        <v>44966</v>
      </c>
      <c r="G576" s="1">
        <v>6346919</v>
      </c>
      <c r="I576" s="1">
        <v>59390</v>
      </c>
      <c r="K576" s="41">
        <f t="shared" si="82"/>
        <v>6068996</v>
      </c>
      <c r="M576" s="1">
        <v>12475305</v>
      </c>
      <c r="O576" s="41">
        <f t="shared" si="83"/>
        <v>2107289</v>
      </c>
      <c r="Q576" s="1">
        <v>4732879</v>
      </c>
      <c r="S576" s="1">
        <v>6840168</v>
      </c>
      <c r="U576" s="1">
        <f>6397+354475+120513</f>
        <v>481385</v>
      </c>
      <c r="W576" s="1">
        <v>52993</v>
      </c>
      <c r="Y576" s="1">
        <v>5100759</v>
      </c>
      <c r="AA576" s="58">
        <f t="shared" si="84"/>
        <v>5635137</v>
      </c>
      <c r="AB576" s="1"/>
      <c r="AC576" s="1">
        <f t="shared" si="81"/>
        <v>0</v>
      </c>
    </row>
    <row r="577" spans="1:29">
      <c r="A577" s="17" t="s">
        <v>507</v>
      </c>
      <c r="B577" s="17"/>
      <c r="C577" s="17" t="s">
        <v>50</v>
      </c>
      <c r="D577" s="17"/>
      <c r="E577" s="13">
        <v>44958</v>
      </c>
      <c r="G577" s="1">
        <v>13453043</v>
      </c>
      <c r="I577" s="1">
        <v>0</v>
      </c>
      <c r="K577" s="41">
        <f t="shared" si="82"/>
        <v>19692678</v>
      </c>
      <c r="M577" s="1">
        <v>33145721</v>
      </c>
      <c r="O577" s="41">
        <f t="shared" si="83"/>
        <v>4757996</v>
      </c>
      <c r="Q577" s="1">
        <v>17797728</v>
      </c>
      <c r="S577" s="1">
        <v>22555724</v>
      </c>
      <c r="U577" s="1">
        <f>493597+866656</f>
        <v>1360253</v>
      </c>
      <c r="W577" s="1">
        <v>0</v>
      </c>
      <c r="Y577" s="1">
        <v>9229744</v>
      </c>
      <c r="AA577" s="58">
        <f t="shared" si="84"/>
        <v>10589997</v>
      </c>
      <c r="AB577" s="1"/>
      <c r="AC577" s="1">
        <f t="shared" si="81"/>
        <v>0</v>
      </c>
    </row>
    <row r="578" spans="1:29" hidden="1">
      <c r="A578" s="17" t="s">
        <v>870</v>
      </c>
      <c r="B578" s="17"/>
      <c r="C578" s="17" t="s">
        <v>33</v>
      </c>
      <c r="D578" s="17"/>
      <c r="E578" s="13">
        <v>47472</v>
      </c>
      <c r="K578" s="41">
        <f t="shared" si="82"/>
        <v>0</v>
      </c>
      <c r="O578" s="41">
        <f t="shared" si="83"/>
        <v>0</v>
      </c>
      <c r="AA578" s="58">
        <f t="shared" si="84"/>
        <v>0</v>
      </c>
      <c r="AB578" s="1"/>
      <c r="AC578" s="1">
        <f t="shared" si="81"/>
        <v>0</v>
      </c>
    </row>
    <row r="579" spans="1:29">
      <c r="A579" s="17" t="s">
        <v>320</v>
      </c>
      <c r="B579" s="17"/>
      <c r="C579" s="17" t="s">
        <v>24</v>
      </c>
      <c r="D579" s="17"/>
      <c r="E579" s="13">
        <v>46821</v>
      </c>
      <c r="G579" s="1">
        <v>12644430</v>
      </c>
      <c r="I579" s="1">
        <v>0</v>
      </c>
      <c r="K579" s="41">
        <f t="shared" si="82"/>
        <v>16216634</v>
      </c>
      <c r="M579" s="1">
        <v>28861064</v>
      </c>
      <c r="O579" s="41">
        <f t="shared" si="83"/>
        <v>15198395</v>
      </c>
      <c r="Q579" s="1">
        <v>1275368</v>
      </c>
      <c r="S579" s="1">
        <v>16473763</v>
      </c>
      <c r="U579" s="1">
        <f>12387301-7285623</f>
        <v>5101678</v>
      </c>
      <c r="W579" s="1">
        <v>0</v>
      </c>
      <c r="Y579" s="1">
        <v>7285623</v>
      </c>
      <c r="AA579" s="58">
        <f t="shared" si="84"/>
        <v>12387301</v>
      </c>
      <c r="AB579" s="1"/>
      <c r="AC579" s="1">
        <f t="shared" si="81"/>
        <v>0</v>
      </c>
    </row>
    <row r="580" spans="1:29" hidden="1">
      <c r="A580" s="17" t="s">
        <v>871</v>
      </c>
      <c r="B580" s="17"/>
      <c r="C580" s="17" t="s">
        <v>21</v>
      </c>
      <c r="D580" s="17"/>
      <c r="E580" s="13"/>
      <c r="K580" s="41">
        <f t="shared" si="82"/>
        <v>0</v>
      </c>
      <c r="O580" s="41">
        <f t="shared" si="83"/>
        <v>0</v>
      </c>
      <c r="AA580" s="58">
        <f t="shared" si="84"/>
        <v>0</v>
      </c>
      <c r="AB580" s="1"/>
      <c r="AC580" s="1">
        <f t="shared" si="81"/>
        <v>0</v>
      </c>
    </row>
    <row r="581" spans="1:29">
      <c r="A581" s="17" t="s">
        <v>630</v>
      </c>
      <c r="B581" s="17"/>
      <c r="C581" s="17" t="s">
        <v>68</v>
      </c>
      <c r="D581" s="17"/>
      <c r="E581" s="13">
        <v>50393</v>
      </c>
      <c r="G581" s="1">
        <v>12492516</v>
      </c>
      <c r="I581" s="1">
        <v>1053086</v>
      </c>
      <c r="K581" s="41">
        <f t="shared" si="82"/>
        <v>5521831</v>
      </c>
      <c r="M581" s="1">
        <v>19067433</v>
      </c>
      <c r="O581" s="41">
        <f t="shared" si="83"/>
        <v>2811855</v>
      </c>
      <c r="Q581" s="1">
        <v>4901111</v>
      </c>
      <c r="S581" s="1">
        <v>7712966</v>
      </c>
      <c r="U581" s="1">
        <f>11354467-9390876</f>
        <v>1963591</v>
      </c>
      <c r="W581" s="1">
        <v>0</v>
      </c>
      <c r="Y581" s="1">
        <v>9390876</v>
      </c>
      <c r="AA581" s="58">
        <f t="shared" si="84"/>
        <v>11354467</v>
      </c>
      <c r="AB581" s="1"/>
      <c r="AC581" s="1">
        <f t="shared" si="81"/>
        <v>0</v>
      </c>
    </row>
    <row r="582" spans="1:29">
      <c r="A582" s="17" t="s">
        <v>483</v>
      </c>
      <c r="B582" s="17"/>
      <c r="C582" s="17" t="s">
        <v>47</v>
      </c>
      <c r="D582" s="17"/>
      <c r="E582" s="13">
        <v>44974</v>
      </c>
      <c r="G582" s="1">
        <v>8211271</v>
      </c>
      <c r="I582" s="1">
        <v>0</v>
      </c>
      <c r="K582" s="41">
        <f t="shared" si="82"/>
        <v>16351285</v>
      </c>
      <c r="M582" s="1">
        <v>24562556</v>
      </c>
      <c r="O582" s="41">
        <f t="shared" si="83"/>
        <v>4173355</v>
      </c>
      <c r="Q582" s="1">
        <v>14184670</v>
      </c>
      <c r="S582" s="1">
        <v>18358025</v>
      </c>
      <c r="U582" s="1">
        <f>355381+1956609</f>
        <v>2311990</v>
      </c>
      <c r="W582" s="1">
        <v>0</v>
      </c>
      <c r="Y582" s="1">
        <v>3892541</v>
      </c>
      <c r="AA582" s="58">
        <f>+Y582+W582++U582</f>
        <v>6204531</v>
      </c>
      <c r="AB582" s="1"/>
      <c r="AC582" s="1">
        <f>+G582+I582+K582-O582-Q582-Y582-W582-U582</f>
        <v>0</v>
      </c>
    </row>
    <row r="583" spans="1:29">
      <c r="A583" s="17" t="s">
        <v>616</v>
      </c>
      <c r="B583" s="17"/>
      <c r="C583" s="17" t="s">
        <v>64</v>
      </c>
      <c r="D583" s="17"/>
      <c r="E583" s="13">
        <v>44990</v>
      </c>
      <c r="G583" s="1">
        <v>17800695</v>
      </c>
      <c r="I583" s="1">
        <v>323647</v>
      </c>
      <c r="K583" s="41">
        <f t="shared" si="82"/>
        <v>17608830</v>
      </c>
      <c r="M583" s="1">
        <v>35733172</v>
      </c>
      <c r="O583" s="41">
        <f t="shared" si="83"/>
        <v>18718452</v>
      </c>
      <c r="Q583" s="1">
        <v>3755236</v>
      </c>
      <c r="S583" s="1">
        <v>22473688</v>
      </c>
      <c r="U583" s="1">
        <f>13259484-12028646</f>
        <v>1230838</v>
      </c>
      <c r="W583" s="1">
        <v>0</v>
      </c>
      <c r="Y583" s="1">
        <v>12028646</v>
      </c>
      <c r="AA583" s="58">
        <f t="shared" ref="AA583:AA635" si="87">+Y583+W583++U583</f>
        <v>13259484</v>
      </c>
      <c r="AB583" s="1"/>
      <c r="AC583" s="1">
        <f t="shared" ref="AC583:AC633" si="88">+G583+I583+K583-O583-Q583-Y583-W583-U583</f>
        <v>0</v>
      </c>
    </row>
    <row r="584" spans="1:29">
      <c r="A584" s="17" t="s">
        <v>638</v>
      </c>
      <c r="B584" s="17"/>
      <c r="C584" s="17" t="s">
        <v>70</v>
      </c>
      <c r="D584" s="17"/>
      <c r="E584" s="13">
        <v>50500</v>
      </c>
      <c r="G584" s="1">
        <v>2927729</v>
      </c>
      <c r="I584" s="1">
        <v>317269</v>
      </c>
      <c r="K584" s="41">
        <f t="shared" si="82"/>
        <v>6635897</v>
      </c>
      <c r="M584" s="1">
        <v>9880895</v>
      </c>
      <c r="O584" s="41">
        <f t="shared" si="83"/>
        <v>2215260</v>
      </c>
      <c r="Q584" s="1">
        <v>6145675</v>
      </c>
      <c r="S584" s="1">
        <v>8360935</v>
      </c>
      <c r="U584" s="1">
        <f>1519960-454474</f>
        <v>1065486</v>
      </c>
      <c r="W584" s="1">
        <v>0</v>
      </c>
      <c r="Y584" s="1">
        <v>454474</v>
      </c>
      <c r="AA584" s="58">
        <f t="shared" si="87"/>
        <v>1519960</v>
      </c>
      <c r="AB584" s="1"/>
      <c r="AC584" s="1">
        <f t="shared" si="88"/>
        <v>0</v>
      </c>
    </row>
    <row r="585" spans="1:29">
      <c r="A585" s="17" t="s">
        <v>307</v>
      </c>
      <c r="B585" s="17"/>
      <c r="C585" s="17" t="s">
        <v>20</v>
      </c>
      <c r="D585" s="17"/>
      <c r="E585" s="13">
        <v>45005</v>
      </c>
      <c r="G585" s="1">
        <v>3099949</v>
      </c>
      <c r="I585" s="1">
        <v>152466</v>
      </c>
      <c r="K585" s="41">
        <f t="shared" si="82"/>
        <v>28416043</v>
      </c>
      <c r="M585" s="1">
        <v>31668458</v>
      </c>
      <c r="O585" s="41">
        <f t="shared" si="83"/>
        <v>3405531</v>
      </c>
      <c r="Q585" s="1">
        <v>27342345</v>
      </c>
      <c r="S585" s="1">
        <v>30747876</v>
      </c>
      <c r="U585" s="1">
        <f>2294261+162442+152466</f>
        <v>2609169</v>
      </c>
      <c r="W585" s="1">
        <v>0</v>
      </c>
      <c r="Y585" s="1">
        <v>-1688587</v>
      </c>
      <c r="AA585" s="58">
        <f t="shared" si="87"/>
        <v>920582</v>
      </c>
      <c r="AB585" s="1"/>
      <c r="AC585" s="1">
        <f t="shared" si="88"/>
        <v>0</v>
      </c>
    </row>
    <row r="586" spans="1:29">
      <c r="A586" s="17" t="s">
        <v>328</v>
      </c>
      <c r="B586" s="17"/>
      <c r="C586" s="17" t="s">
        <v>26</v>
      </c>
      <c r="D586" s="17"/>
      <c r="E586" s="13">
        <v>45013</v>
      </c>
      <c r="G586" s="1">
        <f>114151+1194228</f>
        <v>1308379</v>
      </c>
      <c r="I586" s="1">
        <v>42756</v>
      </c>
      <c r="K586" s="41">
        <f t="shared" si="82"/>
        <v>5047643</v>
      </c>
      <c r="M586" s="1">
        <v>6398778</v>
      </c>
      <c r="O586" s="41">
        <f t="shared" si="83"/>
        <v>2773105</v>
      </c>
      <c r="Q586" s="1">
        <v>3204867</v>
      </c>
      <c r="S586" s="1">
        <v>5977972</v>
      </c>
      <c r="U586" s="1">
        <f>1582127+42756</f>
        <v>1624883</v>
      </c>
      <c r="W586" s="1">
        <v>0</v>
      </c>
      <c r="Y586" s="1">
        <v>-1204077</v>
      </c>
      <c r="AA586" s="58">
        <f t="shared" si="87"/>
        <v>420806</v>
      </c>
      <c r="AB586" s="1"/>
      <c r="AC586" s="1">
        <f t="shared" si="88"/>
        <v>0</v>
      </c>
    </row>
    <row r="587" spans="1:29">
      <c r="A587" s="17" t="s">
        <v>456</v>
      </c>
      <c r="B587" s="17"/>
      <c r="C587" s="17" t="s">
        <v>117</v>
      </c>
      <c r="D587" s="17"/>
      <c r="E587" s="13">
        <v>48231</v>
      </c>
      <c r="G587" s="1">
        <f>34220911+3467</f>
        <v>34224378</v>
      </c>
      <c r="I587" s="1">
        <v>0</v>
      </c>
      <c r="K587" s="41">
        <f t="shared" si="82"/>
        <v>39493781</v>
      </c>
      <c r="M587" s="1">
        <v>73718159</v>
      </c>
      <c r="O587" s="41">
        <f t="shared" si="83"/>
        <v>42526859</v>
      </c>
      <c r="Q587" s="1">
        <v>4580229</v>
      </c>
      <c r="S587" s="1">
        <v>47107088</v>
      </c>
      <c r="U587" s="1">
        <f>26611071-1800000-21788230</f>
        <v>3022841</v>
      </c>
      <c r="W587" s="1">
        <v>1800000</v>
      </c>
      <c r="Y587" s="1">
        <v>21788230</v>
      </c>
      <c r="AA587" s="58">
        <f t="shared" si="87"/>
        <v>26611071</v>
      </c>
      <c r="AB587" s="1"/>
      <c r="AC587" s="1">
        <f t="shared" si="88"/>
        <v>0</v>
      </c>
    </row>
    <row r="588" spans="1:29" s="16" customFormat="1">
      <c r="A588" s="14" t="s">
        <v>565</v>
      </c>
      <c r="B588" s="14"/>
      <c r="C588" s="14" t="s">
        <v>59</v>
      </c>
      <c r="D588" s="14"/>
      <c r="E588" s="13">
        <v>49650</v>
      </c>
      <c r="G588" s="1">
        <v>2797427</v>
      </c>
      <c r="H588" s="1"/>
      <c r="I588" s="1">
        <v>168692</v>
      </c>
      <c r="J588" s="1"/>
      <c r="K588" s="41">
        <f t="shared" si="82"/>
        <v>1799917</v>
      </c>
      <c r="L588" s="1"/>
      <c r="M588" s="1">
        <v>4766036</v>
      </c>
      <c r="N588" s="1"/>
      <c r="O588" s="41">
        <f t="shared" si="83"/>
        <v>1350443</v>
      </c>
      <c r="P588" s="1"/>
      <c r="Q588" s="1">
        <v>1578589</v>
      </c>
      <c r="R588" s="1"/>
      <c r="S588" s="1">
        <v>2929032</v>
      </c>
      <c r="T588" s="1"/>
      <c r="U588" s="1">
        <f>1837004-1150381-252906</f>
        <v>433717</v>
      </c>
      <c r="V588" s="1"/>
      <c r="W588" s="1">
        <v>252906</v>
      </c>
      <c r="X588" s="1"/>
      <c r="Y588" s="1">
        <v>1150381</v>
      </c>
      <c r="Z588" s="1"/>
      <c r="AA588" s="58">
        <f t="shared" si="87"/>
        <v>1837004</v>
      </c>
      <c r="AB588" s="1"/>
      <c r="AC588" s="1">
        <f t="shared" si="88"/>
        <v>0</v>
      </c>
    </row>
    <row r="589" spans="1:29">
      <c r="A589" s="17" t="s">
        <v>539</v>
      </c>
      <c r="B589" s="17"/>
      <c r="C589" s="17" t="s">
        <v>56</v>
      </c>
      <c r="D589" s="17"/>
      <c r="E589" s="13">
        <v>49247</v>
      </c>
      <c r="G589" s="1">
        <v>1196726</v>
      </c>
      <c r="I589" s="1">
        <v>0</v>
      </c>
      <c r="K589" s="41">
        <f t="shared" si="82"/>
        <v>3125301</v>
      </c>
      <c r="M589" s="1">
        <v>4322027</v>
      </c>
      <c r="O589" s="41">
        <f t="shared" si="83"/>
        <v>3424604</v>
      </c>
      <c r="Q589" s="1">
        <v>162757</v>
      </c>
      <c r="S589" s="1">
        <v>3587361</v>
      </c>
      <c r="U589" s="1">
        <f>734666+403000</f>
        <v>1137666</v>
      </c>
      <c r="W589" s="1">
        <v>0</v>
      </c>
      <c r="Y589" s="1">
        <v>-403000</v>
      </c>
      <c r="AA589" s="58">
        <f t="shared" si="87"/>
        <v>734666</v>
      </c>
      <c r="AB589" s="1"/>
      <c r="AC589" s="1">
        <f t="shared" si="88"/>
        <v>0</v>
      </c>
    </row>
    <row r="590" spans="1:29">
      <c r="A590" s="17" t="s">
        <v>348</v>
      </c>
      <c r="B590" s="17"/>
      <c r="C590" s="17" t="s">
        <v>28</v>
      </c>
      <c r="D590" s="17"/>
      <c r="E590" s="13">
        <v>45641</v>
      </c>
      <c r="G590" s="1">
        <v>4747092</v>
      </c>
      <c r="I590" s="1">
        <v>19607</v>
      </c>
      <c r="K590" s="41">
        <f t="shared" si="82"/>
        <v>4383404</v>
      </c>
      <c r="M590" s="1">
        <v>9150103</v>
      </c>
      <c r="O590" s="41">
        <f t="shared" si="83"/>
        <v>5785732</v>
      </c>
      <c r="Q590" s="1">
        <v>117219</v>
      </c>
      <c r="S590" s="1">
        <v>5902951</v>
      </c>
      <c r="U590" s="1">
        <f>3247152-2680319</f>
        <v>566833</v>
      </c>
      <c r="W590" s="1">
        <v>0</v>
      </c>
      <c r="Y590" s="1">
        <v>2680319</v>
      </c>
      <c r="AA590" s="58">
        <f t="shared" si="87"/>
        <v>3247152</v>
      </c>
      <c r="AB590" s="1"/>
      <c r="AC590" s="1">
        <f t="shared" si="88"/>
        <v>0</v>
      </c>
    </row>
    <row r="591" spans="1:29">
      <c r="A591" s="17" t="s">
        <v>530</v>
      </c>
      <c r="B591" s="17"/>
      <c r="C591" s="17" t="s">
        <v>55</v>
      </c>
      <c r="D591" s="17"/>
      <c r="E591" s="13">
        <v>49148</v>
      </c>
      <c r="G591" s="1">
        <v>1494001</v>
      </c>
      <c r="I591" s="1">
        <v>57076</v>
      </c>
      <c r="K591" s="41">
        <f t="shared" si="82"/>
        <v>4147335</v>
      </c>
      <c r="M591" s="1">
        <v>5698412</v>
      </c>
      <c r="O591" s="41">
        <f t="shared" si="83"/>
        <v>1597205</v>
      </c>
      <c r="Q591" s="1">
        <v>3258719</v>
      </c>
      <c r="S591" s="1">
        <v>4855924</v>
      </c>
      <c r="U591" s="1">
        <f>842488-152021</f>
        <v>690467</v>
      </c>
      <c r="W591" s="1">
        <v>0</v>
      </c>
      <c r="Y591" s="1">
        <v>152021</v>
      </c>
      <c r="AA591" s="58">
        <f t="shared" si="87"/>
        <v>842488</v>
      </c>
      <c r="AB591" s="1"/>
      <c r="AC591" s="1">
        <f t="shared" si="88"/>
        <v>0</v>
      </c>
    </row>
    <row r="592" spans="1:29" hidden="1">
      <c r="A592" s="17" t="s">
        <v>881</v>
      </c>
      <c r="B592" s="17"/>
      <c r="C592" s="17" t="s">
        <v>69</v>
      </c>
      <c r="D592" s="17"/>
      <c r="E592" s="13">
        <v>50468</v>
      </c>
      <c r="K592" s="41">
        <f>+M592-I592-G592</f>
        <v>0</v>
      </c>
      <c r="O592" s="41">
        <f>+S592-Q592</f>
        <v>0</v>
      </c>
      <c r="AA592" s="58">
        <f t="shared" si="87"/>
        <v>0</v>
      </c>
      <c r="AB592" s="1"/>
      <c r="AC592" s="1">
        <f t="shared" si="88"/>
        <v>0</v>
      </c>
    </row>
    <row r="593" spans="1:29" hidden="1">
      <c r="A593" s="17" t="s">
        <v>746</v>
      </c>
      <c r="B593" s="17"/>
      <c r="C593" s="17" t="s">
        <v>523</v>
      </c>
      <c r="D593" s="17"/>
      <c r="E593" s="13">
        <v>49031</v>
      </c>
      <c r="K593" s="41">
        <f>+M593-I593-G593</f>
        <v>0</v>
      </c>
      <c r="O593" s="41">
        <f>+S593-Q593</f>
        <v>0</v>
      </c>
      <c r="AA593" s="58">
        <f t="shared" si="87"/>
        <v>0</v>
      </c>
      <c r="AB593" s="1"/>
      <c r="AC593" s="1">
        <f t="shared" si="88"/>
        <v>0</v>
      </c>
    </row>
    <row r="594" spans="1:29" hidden="1">
      <c r="A594" s="17" t="s">
        <v>789</v>
      </c>
      <c r="B594" s="17"/>
      <c r="C594" s="17" t="s">
        <v>14</v>
      </c>
      <c r="D594" s="17"/>
      <c r="E594" s="13">
        <v>45971</v>
      </c>
      <c r="K594" s="41">
        <f t="shared" ref="K594:K635" si="89">+M594-I594-G594</f>
        <v>0</v>
      </c>
      <c r="O594" s="41">
        <f t="shared" ref="O594:O635" si="90">+S594-Q594</f>
        <v>0</v>
      </c>
      <c r="AA594" s="58">
        <f t="shared" si="87"/>
        <v>0</v>
      </c>
      <c r="AB594" s="1"/>
      <c r="AC594" s="1">
        <f t="shared" si="88"/>
        <v>0</v>
      </c>
    </row>
    <row r="595" spans="1:29">
      <c r="A595" s="17"/>
      <c r="B595" s="17"/>
      <c r="C595" s="17"/>
      <c r="D595" s="17"/>
      <c r="E595" s="13"/>
      <c r="K595" s="41"/>
      <c r="O595" s="41"/>
      <c r="AA595" s="58"/>
      <c r="AB595" s="1"/>
    </row>
    <row r="596" spans="1:29">
      <c r="A596" s="17"/>
      <c r="B596" s="17"/>
      <c r="C596" s="17"/>
      <c r="D596" s="17"/>
      <c r="E596" s="13"/>
      <c r="K596" s="41"/>
      <c r="O596" s="41"/>
      <c r="AA596" s="20" t="s">
        <v>709</v>
      </c>
      <c r="AB596" s="1"/>
    </row>
    <row r="597" spans="1:29">
      <c r="A597" s="17"/>
      <c r="B597" s="17"/>
      <c r="C597" s="17"/>
      <c r="D597" s="17"/>
      <c r="E597" s="13"/>
      <c r="K597" s="41"/>
      <c r="O597" s="41"/>
      <c r="AA597" s="58"/>
      <c r="AB597" s="1"/>
    </row>
    <row r="598" spans="1:29">
      <c r="A598" s="17" t="s">
        <v>617</v>
      </c>
      <c r="B598" s="17"/>
      <c r="C598" s="17" t="s">
        <v>64</v>
      </c>
      <c r="D598" s="17"/>
      <c r="E598" s="13">
        <v>50252</v>
      </c>
      <c r="G598" s="16">
        <f>1581396+6425</f>
        <v>1587821</v>
      </c>
      <c r="H598" s="16"/>
      <c r="I598" s="16">
        <v>0</v>
      </c>
      <c r="J598" s="16"/>
      <c r="K598" s="59">
        <f t="shared" si="89"/>
        <v>3014962</v>
      </c>
      <c r="L598" s="16"/>
      <c r="M598" s="16">
        <v>4602783</v>
      </c>
      <c r="N598" s="16"/>
      <c r="O598" s="59">
        <f t="shared" si="90"/>
        <v>3448033</v>
      </c>
      <c r="P598" s="16"/>
      <c r="Q598" s="16">
        <v>447875</v>
      </c>
      <c r="R598" s="16"/>
      <c r="S598" s="16">
        <v>3895908</v>
      </c>
      <c r="T598" s="16"/>
      <c r="U598" s="16">
        <f>706875-533262</f>
        <v>173613</v>
      </c>
      <c r="V598" s="16"/>
      <c r="W598" s="16">
        <v>0</v>
      </c>
      <c r="X598" s="16"/>
      <c r="Y598" s="16">
        <v>533262</v>
      </c>
      <c r="Z598" s="16"/>
      <c r="AA598" s="90">
        <f t="shared" si="87"/>
        <v>706875</v>
      </c>
      <c r="AB598" s="1"/>
      <c r="AC598" s="1">
        <f t="shared" si="88"/>
        <v>0</v>
      </c>
    </row>
    <row r="599" spans="1:29">
      <c r="A599" s="17" t="s">
        <v>448</v>
      </c>
      <c r="B599" s="17"/>
      <c r="C599" s="17" t="s">
        <v>44</v>
      </c>
      <c r="D599" s="17"/>
      <c r="E599" s="13">
        <v>45658</v>
      </c>
      <c r="G599" s="1">
        <v>4365539</v>
      </c>
      <c r="I599" s="1">
        <v>0</v>
      </c>
      <c r="K599" s="41">
        <f t="shared" si="89"/>
        <v>4401115</v>
      </c>
      <c r="M599" s="1">
        <v>8766654</v>
      </c>
      <c r="O599" s="41">
        <f t="shared" si="90"/>
        <v>1503049</v>
      </c>
      <c r="Q599" s="1">
        <v>3423239</v>
      </c>
      <c r="S599" s="1">
        <v>4926288</v>
      </c>
      <c r="U599" s="1">
        <f>34273+34406+206107</f>
        <v>274786</v>
      </c>
      <c r="W599" s="1">
        <v>0</v>
      </c>
      <c r="Y599" s="1">
        <v>3565580</v>
      </c>
      <c r="AA599" s="58">
        <f t="shared" si="87"/>
        <v>3840366</v>
      </c>
      <c r="AB599" s="1"/>
      <c r="AC599" s="1">
        <f t="shared" si="88"/>
        <v>0</v>
      </c>
    </row>
    <row r="600" spans="1:29">
      <c r="A600" s="17" t="s">
        <v>409</v>
      </c>
      <c r="B600" s="17"/>
      <c r="C600" s="17" t="s">
        <v>38</v>
      </c>
      <c r="D600" s="17"/>
      <c r="E600" s="13">
        <v>45021</v>
      </c>
      <c r="G600" s="1">
        <v>7174274</v>
      </c>
      <c r="I600" s="1">
        <v>74339</v>
      </c>
      <c r="K600" s="41">
        <f t="shared" si="89"/>
        <v>3224527</v>
      </c>
      <c r="M600" s="1">
        <v>10473140</v>
      </c>
      <c r="O600" s="41">
        <f t="shared" si="90"/>
        <v>1477637</v>
      </c>
      <c r="Q600" s="1">
        <v>2863784</v>
      </c>
      <c r="S600" s="1">
        <v>4341421</v>
      </c>
      <c r="U600" s="1">
        <f>6131719-5844063</f>
        <v>287656</v>
      </c>
      <c r="W600" s="1">
        <v>0</v>
      </c>
      <c r="Y600" s="1">
        <v>5844063</v>
      </c>
      <c r="AA600" s="58">
        <f t="shared" si="87"/>
        <v>6131719</v>
      </c>
      <c r="AB600" s="1"/>
      <c r="AC600" s="1">
        <f t="shared" si="88"/>
        <v>0</v>
      </c>
    </row>
    <row r="601" spans="1:29">
      <c r="A601" s="17" t="s">
        <v>271</v>
      </c>
      <c r="B601" s="17"/>
      <c r="C601" s="17" t="s">
        <v>114</v>
      </c>
      <c r="D601" s="17"/>
      <c r="E601" s="13">
        <v>45039</v>
      </c>
      <c r="G601" s="1">
        <v>1916196</v>
      </c>
      <c r="I601" s="1">
        <v>741956</v>
      </c>
      <c r="K601" s="41">
        <f t="shared" si="89"/>
        <v>1154462</v>
      </c>
      <c r="M601" s="1">
        <v>3812614</v>
      </c>
      <c r="O601" s="41">
        <f t="shared" si="90"/>
        <v>1696587</v>
      </c>
      <c r="Q601" s="1">
        <v>187954</v>
      </c>
      <c r="S601" s="1">
        <v>1884541</v>
      </c>
      <c r="U601" s="1">
        <f>1928073-1057390</f>
        <v>870683</v>
      </c>
      <c r="W601" s="1">
        <v>0</v>
      </c>
      <c r="Y601" s="1">
        <v>1057390</v>
      </c>
      <c r="AA601" s="58">
        <f t="shared" si="87"/>
        <v>1928073</v>
      </c>
      <c r="AB601" s="1"/>
      <c r="AC601" s="1">
        <f t="shared" si="88"/>
        <v>0</v>
      </c>
    </row>
    <row r="602" spans="1:29">
      <c r="A602" s="17" t="s">
        <v>471</v>
      </c>
      <c r="B602" s="17"/>
      <c r="C602" s="17" t="s">
        <v>45</v>
      </c>
      <c r="D602" s="17"/>
      <c r="E602" s="13">
        <v>48389</v>
      </c>
      <c r="G602" s="1">
        <v>4436254</v>
      </c>
      <c r="I602" s="1">
        <v>0</v>
      </c>
      <c r="K602" s="41">
        <f t="shared" si="89"/>
        <v>4896341</v>
      </c>
      <c r="M602" s="1">
        <v>9332595</v>
      </c>
      <c r="O602" s="41">
        <f t="shared" si="90"/>
        <v>6688586</v>
      </c>
      <c r="Q602" s="1">
        <v>689089</v>
      </c>
      <c r="S602" s="1">
        <v>7377675</v>
      </c>
      <c r="U602" s="1">
        <f>73478+35170+33630</f>
        <v>142278</v>
      </c>
      <c r="W602" s="1">
        <v>0</v>
      </c>
      <c r="Y602" s="1">
        <v>1812642</v>
      </c>
      <c r="AA602" s="58">
        <f t="shared" si="87"/>
        <v>1954920</v>
      </c>
      <c r="AB602" s="1"/>
      <c r="AC602" s="1">
        <f t="shared" si="88"/>
        <v>0</v>
      </c>
    </row>
    <row r="603" spans="1:29">
      <c r="A603" s="17" t="s">
        <v>880</v>
      </c>
      <c r="B603" s="17"/>
      <c r="C603" s="17" t="s">
        <v>50</v>
      </c>
      <c r="D603" s="17"/>
      <c r="E603" s="13"/>
      <c r="G603" s="1">
        <v>16873345</v>
      </c>
      <c r="I603" s="1">
        <v>0</v>
      </c>
      <c r="K603" s="41">
        <f t="shared" si="89"/>
        <v>17248339</v>
      </c>
      <c r="M603" s="1">
        <v>34121684</v>
      </c>
      <c r="O603" s="41">
        <f t="shared" si="90"/>
        <v>19693903</v>
      </c>
      <c r="Q603" s="1">
        <v>912442</v>
      </c>
      <c r="S603" s="1">
        <v>20606345</v>
      </c>
      <c r="U603" s="1">
        <f>13515339-11802694</f>
        <v>1712645</v>
      </c>
      <c r="W603" s="1">
        <v>0</v>
      </c>
      <c r="Y603" s="1">
        <v>11802694</v>
      </c>
      <c r="AA603" s="58">
        <f t="shared" si="87"/>
        <v>13515339</v>
      </c>
      <c r="AB603" s="1"/>
      <c r="AC603" s="1">
        <f t="shared" si="88"/>
        <v>0</v>
      </c>
    </row>
    <row r="604" spans="1:29">
      <c r="A604" s="17" t="s">
        <v>257</v>
      </c>
      <c r="B604" s="17"/>
      <c r="C604" s="17" t="s">
        <v>115</v>
      </c>
      <c r="D604" s="17"/>
      <c r="E604" s="13">
        <v>46359</v>
      </c>
      <c r="G604" s="1">
        <v>2866187</v>
      </c>
      <c r="I604" s="1">
        <v>0</v>
      </c>
      <c r="K604" s="41">
        <f t="shared" si="89"/>
        <v>37549813</v>
      </c>
      <c r="M604" s="1">
        <v>40416000</v>
      </c>
      <c r="O604" s="41">
        <f t="shared" si="90"/>
        <v>8625581</v>
      </c>
      <c r="Q604" s="1">
        <v>32783933</v>
      </c>
      <c r="S604" s="1">
        <v>41409514</v>
      </c>
      <c r="U604" s="1">
        <f>690781+1456100</f>
        <v>2146881</v>
      </c>
      <c r="W604" s="1">
        <v>0</v>
      </c>
      <c r="Y604" s="1">
        <v>-3140395</v>
      </c>
      <c r="AA604" s="58">
        <f t="shared" si="87"/>
        <v>-993514</v>
      </c>
      <c r="AB604" s="1"/>
      <c r="AC604" s="1">
        <f t="shared" si="88"/>
        <v>0</v>
      </c>
    </row>
    <row r="605" spans="1:29" s="1" customFormat="1">
      <c r="A605" s="12" t="s">
        <v>356</v>
      </c>
      <c r="B605" s="12"/>
      <c r="C605" s="12" t="s">
        <v>30</v>
      </c>
      <c r="D605" s="12"/>
      <c r="E605" s="12">
        <v>47225</v>
      </c>
      <c r="G605" s="1">
        <v>4780665</v>
      </c>
      <c r="I605" s="1">
        <v>538900</v>
      </c>
      <c r="K605" s="41">
        <f t="shared" si="89"/>
        <v>17595234</v>
      </c>
      <c r="M605" s="1">
        <v>22914799</v>
      </c>
      <c r="O605" s="41">
        <f t="shared" si="90"/>
        <v>2668109</v>
      </c>
      <c r="Q605" s="1">
        <v>15980670</v>
      </c>
      <c r="S605" s="1">
        <v>18648779</v>
      </c>
      <c r="U605" s="1">
        <f>512441+1561198+538900</f>
        <v>2612539</v>
      </c>
      <c r="W605" s="1">
        <v>0</v>
      </c>
      <c r="Y605" s="1">
        <v>1653481</v>
      </c>
      <c r="AA605" s="58">
        <f t="shared" si="87"/>
        <v>4266020</v>
      </c>
      <c r="AC605" s="1">
        <f t="shared" si="88"/>
        <v>0</v>
      </c>
    </row>
    <row r="606" spans="1:29">
      <c r="A606" s="17" t="s">
        <v>402</v>
      </c>
      <c r="B606" s="17"/>
      <c r="C606" s="17" t="s">
        <v>36</v>
      </c>
      <c r="D606" s="17"/>
      <c r="E606" s="13">
        <v>47696</v>
      </c>
      <c r="G606" s="1">
        <v>10449723</v>
      </c>
      <c r="I606" s="1">
        <v>0</v>
      </c>
      <c r="K606" s="41">
        <f t="shared" si="89"/>
        <v>8809831</v>
      </c>
      <c r="M606" s="1">
        <v>19259554</v>
      </c>
      <c r="O606" s="41">
        <f t="shared" si="90"/>
        <v>2934311</v>
      </c>
      <c r="Q606" s="1">
        <v>7884378</v>
      </c>
      <c r="S606" s="1">
        <v>10818689</v>
      </c>
      <c r="U606" s="1">
        <f>376215+604811+250000</f>
        <v>1231026</v>
      </c>
      <c r="W606" s="1">
        <v>0</v>
      </c>
      <c r="Y606" s="1">
        <v>7209839</v>
      </c>
      <c r="AA606" s="58">
        <f t="shared" si="87"/>
        <v>8440865</v>
      </c>
      <c r="AB606" s="1"/>
      <c r="AC606" s="1">
        <f t="shared" si="88"/>
        <v>0</v>
      </c>
    </row>
    <row r="607" spans="1:29">
      <c r="A607" s="17" t="s">
        <v>244</v>
      </c>
      <c r="B607" s="17"/>
      <c r="C607" s="17" t="s">
        <v>240</v>
      </c>
      <c r="D607" s="17"/>
      <c r="E607" s="13">
        <v>46219</v>
      </c>
      <c r="G607" s="1">
        <f>1255121+900000</f>
        <v>2155121</v>
      </c>
      <c r="I607" s="1">
        <v>47429</v>
      </c>
      <c r="K607" s="41">
        <f t="shared" si="89"/>
        <v>2719546</v>
      </c>
      <c r="M607" s="1">
        <v>4922096</v>
      </c>
      <c r="O607" s="41">
        <f t="shared" si="90"/>
        <v>3346421</v>
      </c>
      <c r="Q607" s="1">
        <v>115141</v>
      </c>
      <c r="S607" s="1">
        <v>3461562</v>
      </c>
      <c r="U607" s="1">
        <f>35754+9785+309135+47429</f>
        <v>402103</v>
      </c>
      <c r="W607" s="1">
        <v>175700</v>
      </c>
      <c r="Y607" s="1">
        <v>882731</v>
      </c>
      <c r="AA607" s="58">
        <f t="shared" si="87"/>
        <v>1460534</v>
      </c>
      <c r="AB607" s="1"/>
      <c r="AC607" s="1">
        <f t="shared" si="88"/>
        <v>0</v>
      </c>
    </row>
    <row r="608" spans="1:29">
      <c r="A608" s="17" t="s">
        <v>515</v>
      </c>
      <c r="B608" s="17"/>
      <c r="C608" s="17" t="s">
        <v>51</v>
      </c>
      <c r="D608" s="17"/>
      <c r="E608" s="13">
        <v>48884</v>
      </c>
      <c r="G608" s="1">
        <v>507544</v>
      </c>
      <c r="I608" s="1">
        <v>0</v>
      </c>
      <c r="K608" s="41">
        <f t="shared" si="89"/>
        <v>5785661</v>
      </c>
      <c r="M608" s="1">
        <v>6293205</v>
      </c>
      <c r="O608" s="41">
        <f t="shared" si="90"/>
        <v>1428007</v>
      </c>
      <c r="Q608" s="1">
        <v>5628196</v>
      </c>
      <c r="S608" s="1">
        <v>7056203</v>
      </c>
      <c r="U608" s="1">
        <f>372177+35789</f>
        <v>407966</v>
      </c>
      <c r="W608" s="1">
        <v>0</v>
      </c>
      <c r="Y608" s="1">
        <v>-1170964</v>
      </c>
      <c r="AA608" s="58">
        <f t="shared" si="87"/>
        <v>-762998</v>
      </c>
      <c r="AB608" s="1"/>
      <c r="AC608" s="1">
        <f t="shared" si="88"/>
        <v>0</v>
      </c>
    </row>
    <row r="609" spans="1:29">
      <c r="A609" s="17" t="s">
        <v>225</v>
      </c>
      <c r="B609" s="17"/>
      <c r="C609" s="17" t="s">
        <v>77</v>
      </c>
      <c r="D609" s="17"/>
      <c r="E609" s="13">
        <v>46060</v>
      </c>
      <c r="G609" s="1">
        <v>1004048</v>
      </c>
      <c r="I609" s="1">
        <v>1084762</v>
      </c>
      <c r="K609" s="41">
        <f t="shared" si="89"/>
        <v>4918963</v>
      </c>
      <c r="M609" s="1">
        <v>7007773</v>
      </c>
      <c r="O609" s="41">
        <f t="shared" si="90"/>
        <v>2853918</v>
      </c>
      <c r="Q609" s="1">
        <v>4010060</v>
      </c>
      <c r="S609" s="1">
        <v>6863978</v>
      </c>
      <c r="U609" s="1">
        <f>2009853+143795</f>
        <v>2153648</v>
      </c>
      <c r="W609" s="1">
        <v>0</v>
      </c>
      <c r="Y609" s="1">
        <v>-2009853</v>
      </c>
      <c r="AA609" s="58">
        <f t="shared" si="87"/>
        <v>143795</v>
      </c>
      <c r="AB609" s="1"/>
      <c r="AC609" s="1">
        <f t="shared" si="88"/>
        <v>0</v>
      </c>
    </row>
    <row r="610" spans="1:29">
      <c r="A610" s="17" t="s">
        <v>531</v>
      </c>
      <c r="B610" s="17"/>
      <c r="C610" s="17" t="s">
        <v>55</v>
      </c>
      <c r="D610" s="17"/>
      <c r="E610" s="13">
        <v>49155</v>
      </c>
      <c r="G610" s="1">
        <v>4455056</v>
      </c>
      <c r="I610" s="1">
        <v>0</v>
      </c>
      <c r="K610" s="41">
        <f t="shared" si="89"/>
        <v>1183781</v>
      </c>
      <c r="M610" s="1">
        <v>5638837</v>
      </c>
      <c r="O610" s="41">
        <f t="shared" si="90"/>
        <v>743279</v>
      </c>
      <c r="Q610" s="1">
        <v>1023699</v>
      </c>
      <c r="S610" s="1">
        <v>1766978</v>
      </c>
      <c r="U610" s="1">
        <f>279451+92700</f>
        <v>372151</v>
      </c>
      <c r="W610" s="1">
        <v>0</v>
      </c>
      <c r="Y610" s="1">
        <v>3499708</v>
      </c>
      <c r="AA610" s="58">
        <f t="shared" si="87"/>
        <v>3871859</v>
      </c>
      <c r="AB610" s="1"/>
      <c r="AC610" s="1">
        <f t="shared" si="88"/>
        <v>0</v>
      </c>
    </row>
    <row r="611" spans="1:29">
      <c r="A611" s="17" t="s">
        <v>407</v>
      </c>
      <c r="B611" s="17"/>
      <c r="C611" s="17" t="s">
        <v>37</v>
      </c>
      <c r="D611" s="17"/>
      <c r="E611" s="13">
        <v>47746</v>
      </c>
      <c r="G611" s="1">
        <v>1189998</v>
      </c>
      <c r="I611" s="1">
        <v>5378</v>
      </c>
      <c r="K611" s="41">
        <f t="shared" si="89"/>
        <v>2677320</v>
      </c>
      <c r="M611" s="1">
        <v>3872696</v>
      </c>
      <c r="O611" s="41">
        <f t="shared" si="90"/>
        <v>2881663</v>
      </c>
      <c r="Q611" s="1">
        <v>202655</v>
      </c>
      <c r="S611" s="1">
        <v>3084318</v>
      </c>
      <c r="U611" s="1">
        <f>788378-477301</f>
        <v>311077</v>
      </c>
      <c r="W611" s="1">
        <v>200000</v>
      </c>
      <c r="Y611" s="1">
        <v>277301</v>
      </c>
      <c r="AA611" s="58">
        <f t="shared" si="87"/>
        <v>788378</v>
      </c>
      <c r="AB611" s="1"/>
      <c r="AC611" s="1">
        <f t="shared" si="88"/>
        <v>0</v>
      </c>
    </row>
    <row r="612" spans="1:29">
      <c r="A612" s="17" t="s">
        <v>407</v>
      </c>
      <c r="B612" s="17"/>
      <c r="C612" s="17" t="s">
        <v>45</v>
      </c>
      <c r="D612" s="17"/>
      <c r="E612" s="13">
        <v>48397</v>
      </c>
      <c r="G612" s="1">
        <v>1522896</v>
      </c>
      <c r="I612" s="1">
        <v>260485</v>
      </c>
      <c r="K612" s="41">
        <f t="shared" si="89"/>
        <v>2871681</v>
      </c>
      <c r="M612" s="1">
        <v>4655062</v>
      </c>
      <c r="O612" s="41">
        <f t="shared" si="90"/>
        <v>824248</v>
      </c>
      <c r="Q612" s="1">
        <v>2665667</v>
      </c>
      <c r="S612" s="1">
        <v>3489915</v>
      </c>
      <c r="U612" s="1">
        <f>1165147-899452</f>
        <v>265695</v>
      </c>
      <c r="W612" s="1">
        <v>0</v>
      </c>
      <c r="Y612" s="1">
        <v>899452</v>
      </c>
      <c r="AA612" s="58">
        <f t="shared" si="87"/>
        <v>1165147</v>
      </c>
      <c r="AB612" s="1"/>
      <c r="AC612" s="1">
        <f t="shared" si="88"/>
        <v>0</v>
      </c>
    </row>
    <row r="613" spans="1:29">
      <c r="A613" s="17" t="s">
        <v>342</v>
      </c>
      <c r="B613" s="17"/>
      <c r="C613" s="17" t="s">
        <v>27</v>
      </c>
      <c r="D613" s="17"/>
      <c r="E613" s="13">
        <v>45047</v>
      </c>
      <c r="G613" s="1">
        <v>12022046</v>
      </c>
      <c r="I613" s="1">
        <v>536933</v>
      </c>
      <c r="K613" s="41">
        <f t="shared" si="89"/>
        <v>107576614</v>
      </c>
      <c r="M613" s="1">
        <v>120135593</v>
      </c>
      <c r="O613" s="41">
        <f t="shared" si="90"/>
        <v>20323733</v>
      </c>
      <c r="Q613" s="1">
        <v>77864473</v>
      </c>
      <c r="S613" s="1">
        <v>98188206</v>
      </c>
      <c r="U613" s="1">
        <f>21947387+8480367</f>
        <v>30427754</v>
      </c>
      <c r="W613" s="1">
        <v>0</v>
      </c>
      <c r="Y613" s="1">
        <v>-8480367</v>
      </c>
      <c r="AA613" s="58">
        <f t="shared" si="87"/>
        <v>21947387</v>
      </c>
      <c r="AB613" s="1"/>
      <c r="AC613" s="1">
        <f t="shared" si="88"/>
        <v>0</v>
      </c>
    </row>
    <row r="614" spans="1:29">
      <c r="A614" s="17" t="s">
        <v>528</v>
      </c>
      <c r="B614" s="17"/>
      <c r="C614" s="17" t="s">
        <v>54</v>
      </c>
      <c r="D614" s="17"/>
      <c r="E614" s="13">
        <v>49106</v>
      </c>
      <c r="G614" s="1">
        <v>1470019</v>
      </c>
      <c r="I614" s="1">
        <v>408547</v>
      </c>
      <c r="K614" s="41">
        <f t="shared" si="89"/>
        <v>4357831</v>
      </c>
      <c r="M614" s="1">
        <v>6236397</v>
      </c>
      <c r="O614" s="41">
        <f t="shared" si="90"/>
        <v>1379524</v>
      </c>
      <c r="Q614" s="1">
        <v>3464551</v>
      </c>
      <c r="S614" s="1">
        <v>4844075</v>
      </c>
      <c r="U614" s="1">
        <f>1392322-475440</f>
        <v>916882</v>
      </c>
      <c r="W614" s="1">
        <v>0</v>
      </c>
      <c r="Y614" s="1">
        <v>475440</v>
      </c>
      <c r="AA614" s="58">
        <f t="shared" si="87"/>
        <v>1392322</v>
      </c>
      <c r="AB614" s="1"/>
      <c r="AC614" s="1">
        <f t="shared" si="88"/>
        <v>0</v>
      </c>
    </row>
    <row r="615" spans="1:29">
      <c r="A615" s="17" t="s">
        <v>308</v>
      </c>
      <c r="B615" s="17"/>
      <c r="C615" s="17" t="s">
        <v>20</v>
      </c>
      <c r="D615" s="17"/>
      <c r="E615" s="13">
        <v>45062</v>
      </c>
      <c r="G615" s="1">
        <v>22940794</v>
      </c>
      <c r="I615" s="1">
        <v>0</v>
      </c>
      <c r="K615" s="41">
        <f t="shared" si="89"/>
        <v>40411333</v>
      </c>
      <c r="M615" s="1">
        <v>63352127</v>
      </c>
      <c r="O615" s="41">
        <f t="shared" si="90"/>
        <v>40223708</v>
      </c>
      <c r="Q615" s="1">
        <v>2279698</v>
      </c>
      <c r="S615" s="1">
        <v>42503406</v>
      </c>
      <c r="U615" s="1">
        <f>2666902+5001385</f>
        <v>7668287</v>
      </c>
      <c r="W615" s="1">
        <v>0</v>
      </c>
      <c r="Y615" s="1">
        <v>13180434</v>
      </c>
      <c r="AA615" s="58">
        <f t="shared" si="87"/>
        <v>20848721</v>
      </c>
      <c r="AB615" s="1"/>
      <c r="AC615" s="1">
        <f t="shared" si="88"/>
        <v>0</v>
      </c>
    </row>
    <row r="616" spans="1:29">
      <c r="A616" s="17" t="s">
        <v>566</v>
      </c>
      <c r="B616" s="17"/>
      <c r="C616" s="17" t="s">
        <v>59</v>
      </c>
      <c r="D616" s="17"/>
      <c r="E616" s="13">
        <v>49668</v>
      </c>
      <c r="G616" s="1">
        <v>1851352</v>
      </c>
      <c r="I616" s="1">
        <v>16294</v>
      </c>
      <c r="K616" s="41">
        <f t="shared" si="89"/>
        <v>3084222</v>
      </c>
      <c r="M616" s="1">
        <v>4951868</v>
      </c>
      <c r="O616" s="41">
        <f t="shared" si="90"/>
        <v>1281409</v>
      </c>
      <c r="Q616" s="1">
        <v>2387087</v>
      </c>
      <c r="S616" s="1">
        <v>3668496</v>
      </c>
      <c r="U616" s="1">
        <f>99865+247050+16294</f>
        <v>363209</v>
      </c>
      <c r="W616" s="1">
        <v>210958</v>
      </c>
      <c r="Y616" s="1">
        <v>709205</v>
      </c>
      <c r="AA616" s="58">
        <f t="shared" si="87"/>
        <v>1283372</v>
      </c>
      <c r="AB616" s="1"/>
      <c r="AC616" s="1">
        <f t="shared" si="88"/>
        <v>0</v>
      </c>
    </row>
    <row r="617" spans="1:29">
      <c r="A617" s="17" t="s">
        <v>343</v>
      </c>
      <c r="B617" s="17"/>
      <c r="C617" s="17" t="s">
        <v>27</v>
      </c>
      <c r="D617" s="17"/>
      <c r="E617" s="13">
        <v>45070</v>
      </c>
      <c r="G617" s="1">
        <v>15767326</v>
      </c>
      <c r="I617" s="1">
        <v>158536</v>
      </c>
      <c r="K617" s="41">
        <f t="shared" si="89"/>
        <v>10606978</v>
      </c>
      <c r="M617" s="1">
        <v>26532840</v>
      </c>
      <c r="O617" s="41">
        <f t="shared" si="90"/>
        <v>2698179</v>
      </c>
      <c r="Q617" s="1">
        <v>7416505</v>
      </c>
      <c r="S617" s="1">
        <v>10114684</v>
      </c>
      <c r="U617" s="1">
        <f>60566+2801583+158536</f>
        <v>3020685</v>
      </c>
      <c r="W617" s="1">
        <v>339359</v>
      </c>
      <c r="Y617" s="1">
        <v>13058112</v>
      </c>
      <c r="AA617" s="58">
        <f t="shared" si="87"/>
        <v>16418156</v>
      </c>
      <c r="AB617" s="1"/>
      <c r="AC617" s="1">
        <f t="shared" si="88"/>
        <v>0</v>
      </c>
    </row>
    <row r="618" spans="1:29" hidden="1">
      <c r="A618" s="17" t="s">
        <v>744</v>
      </c>
      <c r="B618" s="17"/>
      <c r="C618" s="17" t="s">
        <v>41</v>
      </c>
      <c r="D618" s="17"/>
      <c r="E618" s="13">
        <v>45088</v>
      </c>
      <c r="K618" s="41">
        <f t="shared" si="89"/>
        <v>0</v>
      </c>
      <c r="O618" s="41">
        <f t="shared" si="90"/>
        <v>0</v>
      </c>
      <c r="AA618" s="58">
        <f t="shared" si="87"/>
        <v>0</v>
      </c>
      <c r="AB618" s="1"/>
      <c r="AC618" s="1">
        <f t="shared" si="88"/>
        <v>0</v>
      </c>
    </row>
    <row r="619" spans="1:29">
      <c r="A619" s="17" t="s">
        <v>408</v>
      </c>
      <c r="B619" s="17"/>
      <c r="C619" s="17" t="s">
        <v>37</v>
      </c>
      <c r="D619" s="17"/>
      <c r="E619" s="13">
        <v>45096</v>
      </c>
      <c r="G619" s="1">
        <v>1723037</v>
      </c>
      <c r="I619" s="1">
        <v>0</v>
      </c>
      <c r="K619" s="41">
        <f t="shared" si="89"/>
        <v>5785733</v>
      </c>
      <c r="M619" s="1">
        <v>7508770</v>
      </c>
      <c r="O619" s="41">
        <f t="shared" si="90"/>
        <v>5992854</v>
      </c>
      <c r="Q619" s="1">
        <v>400098</v>
      </c>
      <c r="S619" s="1">
        <v>6392952</v>
      </c>
      <c r="U619" s="1">
        <f>651215+69519+52903+725851</f>
        <v>1499488</v>
      </c>
      <c r="W619" s="1">
        <v>0</v>
      </c>
      <c r="Y619" s="1">
        <v>-383670</v>
      </c>
      <c r="AA619" s="58">
        <f t="shared" si="87"/>
        <v>1115818</v>
      </c>
      <c r="AB619" s="1"/>
      <c r="AC619" s="1">
        <f t="shared" si="88"/>
        <v>0</v>
      </c>
    </row>
    <row r="620" spans="1:29">
      <c r="A620" s="17" t="s">
        <v>258</v>
      </c>
      <c r="B620" s="17"/>
      <c r="C620" s="17" t="s">
        <v>115</v>
      </c>
      <c r="D620" s="17"/>
      <c r="E620" s="13">
        <v>46367</v>
      </c>
      <c r="G620" s="1">
        <v>1816140</v>
      </c>
      <c r="I620" s="1">
        <v>201287</v>
      </c>
      <c r="K620" s="41">
        <f t="shared" si="89"/>
        <v>3674130</v>
      </c>
      <c r="M620" s="1">
        <v>5691557</v>
      </c>
      <c r="O620" s="41">
        <f t="shared" si="90"/>
        <v>1049224</v>
      </c>
      <c r="Q620" s="1">
        <v>3252877</v>
      </c>
      <c r="S620" s="1">
        <v>4302101</v>
      </c>
      <c r="U620" s="1">
        <f>1389456-698721</f>
        <v>690735</v>
      </c>
      <c r="W620" s="1">
        <v>0</v>
      </c>
      <c r="Y620" s="1">
        <v>698721</v>
      </c>
      <c r="AA620" s="58">
        <f t="shared" si="87"/>
        <v>1389456</v>
      </c>
      <c r="AB620" s="1"/>
      <c r="AC620" s="1">
        <f t="shared" si="88"/>
        <v>0</v>
      </c>
    </row>
    <row r="621" spans="1:29">
      <c r="A621" s="17" t="s">
        <v>418</v>
      </c>
      <c r="B621" s="17"/>
      <c r="C621" s="17" t="s">
        <v>41</v>
      </c>
      <c r="D621" s="17"/>
      <c r="E621" s="13">
        <v>45104</v>
      </c>
      <c r="G621" s="1">
        <v>15728959</v>
      </c>
      <c r="I621" s="1">
        <v>0</v>
      </c>
      <c r="K621" s="41">
        <f t="shared" si="89"/>
        <v>58295121</v>
      </c>
      <c r="M621" s="1">
        <v>74024080</v>
      </c>
      <c r="O621" s="41">
        <f t="shared" si="90"/>
        <v>12034280</v>
      </c>
      <c r="Q621" s="1">
        <v>53402647</v>
      </c>
      <c r="S621" s="1">
        <v>65436927</v>
      </c>
      <c r="U621" s="1">
        <f>350510+3808810</f>
        <v>4159320</v>
      </c>
      <c r="W621" s="1">
        <v>0</v>
      </c>
      <c r="Y621" s="1">
        <v>4427833</v>
      </c>
      <c r="AA621" s="58">
        <f t="shared" si="87"/>
        <v>8587153</v>
      </c>
      <c r="AB621" s="1"/>
      <c r="AC621" s="1">
        <f t="shared" si="88"/>
        <v>0</v>
      </c>
    </row>
    <row r="622" spans="1:29">
      <c r="A622" s="17" t="s">
        <v>262</v>
      </c>
      <c r="B622" s="17"/>
      <c r="C622" s="17" t="s">
        <v>18</v>
      </c>
      <c r="D622" s="17"/>
      <c r="E622" s="13">
        <v>45112</v>
      </c>
      <c r="G622" s="1">
        <v>4523495</v>
      </c>
      <c r="I622" s="1">
        <v>57982</v>
      </c>
      <c r="K622" s="41">
        <f t="shared" si="89"/>
        <v>17061910</v>
      </c>
      <c r="M622" s="1">
        <v>21643387</v>
      </c>
      <c r="O622" s="41">
        <f t="shared" si="90"/>
        <v>2691704</v>
      </c>
      <c r="Q622" s="1">
        <v>14398849</v>
      </c>
      <c r="S622" s="1">
        <v>17090553</v>
      </c>
      <c r="U622" s="1">
        <f>4552834-3059054</f>
        <v>1493780</v>
      </c>
      <c r="W622" s="1">
        <v>0</v>
      </c>
      <c r="Y622" s="1">
        <v>3059054</v>
      </c>
      <c r="AA622" s="58">
        <f t="shared" si="87"/>
        <v>4552834</v>
      </c>
      <c r="AB622" s="1"/>
      <c r="AC622" s="1">
        <f t="shared" si="88"/>
        <v>0</v>
      </c>
    </row>
    <row r="623" spans="1:29">
      <c r="A623" s="17" t="s">
        <v>540</v>
      </c>
      <c r="B623" s="17"/>
      <c r="C623" s="17" t="s">
        <v>56</v>
      </c>
      <c r="D623" s="17"/>
      <c r="E623" s="13">
        <v>45666</v>
      </c>
      <c r="G623" s="1">
        <v>1304014</v>
      </c>
      <c r="I623" s="1">
        <v>9046</v>
      </c>
      <c r="K623" s="41">
        <f t="shared" si="89"/>
        <v>1615284</v>
      </c>
      <c r="M623" s="1">
        <v>2928344</v>
      </c>
      <c r="O623" s="41">
        <f t="shared" si="90"/>
        <v>1975891</v>
      </c>
      <c r="Q623" s="1">
        <v>156258</v>
      </c>
      <c r="S623" s="1">
        <v>2132149</v>
      </c>
      <c r="U623" s="1">
        <f>796195-497744</f>
        <v>298451</v>
      </c>
      <c r="W623" s="1">
        <v>0</v>
      </c>
      <c r="Y623" s="1">
        <v>497744</v>
      </c>
      <c r="AA623" s="58">
        <f t="shared" si="87"/>
        <v>796195</v>
      </c>
      <c r="AB623" s="1"/>
      <c r="AC623" s="1">
        <f t="shared" si="88"/>
        <v>0</v>
      </c>
    </row>
    <row r="624" spans="1:29">
      <c r="A624" s="17" t="s">
        <v>376</v>
      </c>
      <c r="B624" s="17"/>
      <c r="C624" s="17" t="s">
        <v>32</v>
      </c>
      <c r="D624" s="17"/>
      <c r="E624" s="13">
        <v>44081</v>
      </c>
      <c r="G624" s="1">
        <v>3328179</v>
      </c>
      <c r="I624" s="1">
        <v>0</v>
      </c>
      <c r="K624" s="41">
        <f t="shared" si="89"/>
        <v>25024090</v>
      </c>
      <c r="M624" s="1">
        <v>28352269</v>
      </c>
      <c r="O624" s="41">
        <f t="shared" si="90"/>
        <v>4786227</v>
      </c>
      <c r="Q624" s="1">
        <v>16547955</v>
      </c>
      <c r="S624" s="1">
        <v>21334182</v>
      </c>
      <c r="U624" s="1">
        <f>206268+8461000</f>
        <v>8667268</v>
      </c>
      <c r="W624" s="1">
        <v>0</v>
      </c>
      <c r="Y624" s="1">
        <v>-1649181</v>
      </c>
      <c r="AA624" s="58">
        <f t="shared" si="87"/>
        <v>7018087</v>
      </c>
      <c r="AB624" s="1"/>
      <c r="AC624" s="1">
        <f t="shared" si="88"/>
        <v>0</v>
      </c>
    </row>
    <row r="625" spans="1:29">
      <c r="A625" s="17" t="s">
        <v>639</v>
      </c>
      <c r="B625" s="17"/>
      <c r="C625" s="17" t="s">
        <v>70</v>
      </c>
      <c r="D625" s="17"/>
      <c r="E625" s="13">
        <v>50518</v>
      </c>
      <c r="G625" s="1">
        <v>6761218</v>
      </c>
      <c r="I625" s="1">
        <v>89171</v>
      </c>
      <c r="K625" s="41">
        <f t="shared" si="89"/>
        <v>4460903</v>
      </c>
      <c r="M625" s="1">
        <v>11311292</v>
      </c>
      <c r="O625" s="41">
        <f t="shared" si="90"/>
        <v>650609</v>
      </c>
      <c r="Q625" s="1">
        <v>4388720</v>
      </c>
      <c r="S625" s="1">
        <v>5039329</v>
      </c>
      <c r="U625" s="1">
        <f>6271963-5986553-31496</f>
        <v>253914</v>
      </c>
      <c r="W625" s="1">
        <v>31496</v>
      </c>
      <c r="Y625" s="1">
        <v>5986553</v>
      </c>
      <c r="AA625" s="58">
        <f t="shared" si="87"/>
        <v>6271963</v>
      </c>
      <c r="AB625" s="1"/>
      <c r="AC625" s="1">
        <f t="shared" si="88"/>
        <v>0</v>
      </c>
    </row>
    <row r="626" spans="1:29">
      <c r="A626" s="17" t="s">
        <v>558</v>
      </c>
      <c r="B626" s="17"/>
      <c r="C626" s="17" t="s">
        <v>79</v>
      </c>
      <c r="D626" s="17"/>
      <c r="E626" s="13">
        <v>49577</v>
      </c>
      <c r="G626" s="1">
        <v>1162120</v>
      </c>
      <c r="I626" s="1">
        <v>38522</v>
      </c>
      <c r="K626" s="41">
        <f t="shared" si="89"/>
        <v>3616119</v>
      </c>
      <c r="M626" s="1">
        <v>4816761</v>
      </c>
      <c r="O626" s="41">
        <f t="shared" si="90"/>
        <v>3736848</v>
      </c>
      <c r="Q626" s="1">
        <v>156687</v>
      </c>
      <c r="S626" s="1">
        <v>3893535</v>
      </c>
      <c r="U626" s="1">
        <f>923226-231704</f>
        <v>691522</v>
      </c>
      <c r="W626" s="1">
        <v>0</v>
      </c>
      <c r="Y626" s="1">
        <v>231704</v>
      </c>
      <c r="AA626" s="58">
        <f t="shared" si="87"/>
        <v>923226</v>
      </c>
      <c r="AB626" s="1"/>
      <c r="AC626" s="1">
        <f t="shared" si="88"/>
        <v>0</v>
      </c>
    </row>
    <row r="627" spans="1:29">
      <c r="A627" s="17" t="s">
        <v>598</v>
      </c>
      <c r="B627" s="17"/>
      <c r="C627" s="17" t="s">
        <v>63</v>
      </c>
      <c r="D627" s="17"/>
      <c r="E627" s="13">
        <v>49973</v>
      </c>
      <c r="G627" s="1">
        <v>8646757</v>
      </c>
      <c r="I627" s="1">
        <v>54230</v>
      </c>
      <c r="K627" s="41">
        <f t="shared" si="89"/>
        <v>15121771</v>
      </c>
      <c r="M627" s="1">
        <v>23822758</v>
      </c>
      <c r="O627" s="41">
        <f t="shared" si="90"/>
        <v>2446238</v>
      </c>
      <c r="Q627" s="1">
        <v>13373926</v>
      </c>
      <c r="S627" s="1">
        <v>15820164</v>
      </c>
      <c r="U627" s="1">
        <f>260885+54230</f>
        <v>315115</v>
      </c>
      <c r="W627" s="1">
        <v>0</v>
      </c>
      <c r="Y627" s="1">
        <v>7687479</v>
      </c>
      <c r="AA627" s="58">
        <f t="shared" si="87"/>
        <v>8002594</v>
      </c>
      <c r="AB627" s="1"/>
      <c r="AC627" s="1">
        <f t="shared" si="88"/>
        <v>0</v>
      </c>
    </row>
    <row r="628" spans="1:29">
      <c r="A628" s="17" t="s">
        <v>745</v>
      </c>
      <c r="B628" s="17"/>
      <c r="C628" s="17" t="s">
        <v>71</v>
      </c>
      <c r="D628" s="17"/>
      <c r="E628" s="13">
        <v>45138</v>
      </c>
      <c r="G628" s="1">
        <v>16068053</v>
      </c>
      <c r="I628" s="1">
        <v>0</v>
      </c>
      <c r="K628" s="41">
        <f t="shared" si="89"/>
        <v>22856642</v>
      </c>
      <c r="M628" s="1">
        <v>38924695</v>
      </c>
      <c r="O628" s="41">
        <f t="shared" si="90"/>
        <v>4890513</v>
      </c>
      <c r="Q628" s="1">
        <v>20651807</v>
      </c>
      <c r="S628" s="1">
        <v>25542320</v>
      </c>
      <c r="U628" s="1">
        <f>340051+1344464</f>
        <v>1684515</v>
      </c>
      <c r="W628" s="1">
        <v>0</v>
      </c>
      <c r="Y628" s="1">
        <v>11697860</v>
      </c>
      <c r="AA628" s="58">
        <f t="shared" si="87"/>
        <v>13382375</v>
      </c>
      <c r="AB628" s="1"/>
      <c r="AC628" s="1">
        <f t="shared" si="88"/>
        <v>0</v>
      </c>
    </row>
    <row r="629" spans="1:29">
      <c r="A629" s="17" t="s">
        <v>344</v>
      </c>
      <c r="B629" s="17"/>
      <c r="C629" s="17" t="s">
        <v>27</v>
      </c>
      <c r="D629" s="17"/>
      <c r="E629" s="13">
        <v>46524</v>
      </c>
      <c r="G629" s="1">
        <v>45229375</v>
      </c>
      <c r="I629" s="1">
        <v>0</v>
      </c>
      <c r="K629" s="41">
        <f t="shared" si="89"/>
        <v>71958155</v>
      </c>
      <c r="M629" s="1">
        <v>117187530</v>
      </c>
      <c r="O629" s="41">
        <f t="shared" si="90"/>
        <v>16620601</v>
      </c>
      <c r="Q629" s="1">
        <v>47793000</v>
      </c>
      <c r="S629" s="1">
        <v>64413601</v>
      </c>
      <c r="U629" s="1">
        <f>141145+3118000+1166656</f>
        <v>4425801</v>
      </c>
      <c r="W629" s="1">
        <v>0</v>
      </c>
      <c r="Y629" s="1">
        <v>48348128</v>
      </c>
      <c r="AA629" s="58">
        <f t="shared" si="87"/>
        <v>52773929</v>
      </c>
      <c r="AB629" s="1"/>
      <c r="AC629" s="1">
        <f t="shared" si="88"/>
        <v>0</v>
      </c>
    </row>
    <row r="630" spans="1:29">
      <c r="A630" s="17" t="s">
        <v>279</v>
      </c>
      <c r="B630" s="17"/>
      <c r="C630" s="17" t="s">
        <v>113</v>
      </c>
      <c r="D630" s="17"/>
      <c r="E630" s="13">
        <v>45146</v>
      </c>
      <c r="G630" s="1">
        <v>1306021</v>
      </c>
      <c r="I630" s="1">
        <v>51618</v>
      </c>
      <c r="K630" s="41">
        <f t="shared" si="89"/>
        <v>3357592</v>
      </c>
      <c r="M630" s="1">
        <v>4715231</v>
      </c>
      <c r="O630" s="41">
        <f t="shared" si="90"/>
        <v>3175284</v>
      </c>
      <c r="Q630" s="1">
        <v>176170</v>
      </c>
      <c r="S630" s="1">
        <v>3351454</v>
      </c>
      <c r="U630" s="1">
        <f>1363777-152638</f>
        <v>1211139</v>
      </c>
      <c r="W630" s="1">
        <v>0</v>
      </c>
      <c r="Y630" s="1">
        <v>152638</v>
      </c>
      <c r="AA630" s="58">
        <f t="shared" si="87"/>
        <v>1363777</v>
      </c>
      <c r="AB630" s="1"/>
      <c r="AC630" s="1">
        <f t="shared" si="88"/>
        <v>0</v>
      </c>
    </row>
    <row r="631" spans="1:29">
      <c r="A631" s="17" t="s">
        <v>377</v>
      </c>
      <c r="B631" s="17"/>
      <c r="C631" s="17" t="s">
        <v>32</v>
      </c>
      <c r="D631" s="17"/>
      <c r="E631" s="13">
        <v>45153</v>
      </c>
      <c r="G631" s="1">
        <v>11214204</v>
      </c>
      <c r="I631" s="1">
        <v>0</v>
      </c>
      <c r="K631" s="41">
        <f t="shared" si="89"/>
        <v>10878380</v>
      </c>
      <c r="M631" s="1">
        <v>22092584</v>
      </c>
      <c r="O631" s="41">
        <f t="shared" si="90"/>
        <v>3014338</v>
      </c>
      <c r="Q631" s="1">
        <v>5301853</v>
      </c>
      <c r="S631" s="1">
        <v>8316191</v>
      </c>
      <c r="U631" s="1">
        <f>793220+3290000</f>
        <v>4083220</v>
      </c>
      <c r="W631" s="1">
        <v>0</v>
      </c>
      <c r="Y631" s="1">
        <v>9693173</v>
      </c>
      <c r="AA631" s="58">
        <f t="shared" si="87"/>
        <v>13776393</v>
      </c>
      <c r="AB631" s="1"/>
      <c r="AC631" s="1">
        <f t="shared" si="88"/>
        <v>0</v>
      </c>
    </row>
    <row r="632" spans="1:29">
      <c r="A632" s="17" t="s">
        <v>359</v>
      </c>
      <c r="B632" s="17"/>
      <c r="C632" s="17" t="s">
        <v>116</v>
      </c>
      <c r="D632" s="17"/>
      <c r="E632" s="13">
        <v>45674</v>
      </c>
      <c r="G632" s="1">
        <v>2735418</v>
      </c>
      <c r="I632" s="1">
        <v>0</v>
      </c>
      <c r="K632" s="41">
        <f t="shared" si="89"/>
        <v>3020320</v>
      </c>
      <c r="M632" s="1">
        <v>5755738</v>
      </c>
      <c r="O632" s="41">
        <f t="shared" si="90"/>
        <v>1191085</v>
      </c>
      <c r="Q632" s="1">
        <v>2277497</v>
      </c>
      <c r="S632" s="1">
        <v>3468582</v>
      </c>
      <c r="U632" s="1">
        <f>2287156-1437640</f>
        <v>849516</v>
      </c>
      <c r="W632" s="1">
        <v>0</v>
      </c>
      <c r="Y632" s="1">
        <v>1437640</v>
      </c>
      <c r="AA632" s="58">
        <f t="shared" si="87"/>
        <v>2287156</v>
      </c>
      <c r="AB632" s="1"/>
      <c r="AC632" s="1">
        <f t="shared" si="88"/>
        <v>0</v>
      </c>
    </row>
    <row r="633" spans="1:29">
      <c r="A633" s="17" t="s">
        <v>472</v>
      </c>
      <c r="B633" s="17"/>
      <c r="C633" s="17" t="s">
        <v>45</v>
      </c>
      <c r="D633" s="17"/>
      <c r="E633" s="13">
        <v>45161</v>
      </c>
      <c r="G633" s="1">
        <v>675614</v>
      </c>
      <c r="I633" s="1">
        <v>760420</v>
      </c>
      <c r="K633" s="41">
        <f t="shared" si="89"/>
        <v>24495493</v>
      </c>
      <c r="M633" s="1">
        <v>25931527</v>
      </c>
      <c r="O633" s="41">
        <f t="shared" si="90"/>
        <v>13606667</v>
      </c>
      <c r="Q633" s="1">
        <v>23237255</v>
      </c>
      <c r="S633" s="1">
        <v>36843922</v>
      </c>
      <c r="U633" s="1">
        <f>319462+760420+120820</f>
        <v>1200702</v>
      </c>
      <c r="W633" s="1">
        <v>0</v>
      </c>
      <c r="Y633" s="1">
        <v>-12113097</v>
      </c>
      <c r="AA633" s="58">
        <f t="shared" si="87"/>
        <v>-10912395</v>
      </c>
      <c r="AB633" s="1"/>
      <c r="AC633" s="1">
        <f t="shared" si="88"/>
        <v>0</v>
      </c>
    </row>
    <row r="634" spans="1:29">
      <c r="A634" s="17" t="s">
        <v>554</v>
      </c>
      <c r="B634" s="17"/>
      <c r="C634" s="17" t="s">
        <v>58</v>
      </c>
      <c r="D634" s="17"/>
      <c r="E634" s="13">
        <v>49544</v>
      </c>
      <c r="G634" s="1">
        <v>4645720</v>
      </c>
      <c r="I634" s="1">
        <v>764682</v>
      </c>
      <c r="K634" s="41">
        <f t="shared" si="89"/>
        <v>4207124</v>
      </c>
      <c r="M634" s="1">
        <v>9617526</v>
      </c>
      <c r="O634" s="41">
        <f t="shared" si="90"/>
        <v>1563855</v>
      </c>
      <c r="Q634" s="1">
        <v>3521742</v>
      </c>
      <c r="S634" s="1">
        <v>5085597</v>
      </c>
      <c r="U634" s="1">
        <f>4531929-2926243</f>
        <v>1605686</v>
      </c>
      <c r="W634" s="1">
        <v>0</v>
      </c>
      <c r="Y634" s="1">
        <v>2926243</v>
      </c>
      <c r="AA634" s="58">
        <f t="shared" si="87"/>
        <v>4531929</v>
      </c>
      <c r="AB634" s="1"/>
      <c r="AC634" s="1">
        <f>+G634+I634+K634-O634-Q634-Y634-W634-U634</f>
        <v>0</v>
      </c>
    </row>
    <row r="635" spans="1:29">
      <c r="A635" s="17" t="s">
        <v>516</v>
      </c>
      <c r="B635" s="17"/>
      <c r="C635" s="17" t="s">
        <v>51</v>
      </c>
      <c r="D635" s="17"/>
      <c r="E635" s="13">
        <v>45179</v>
      </c>
      <c r="G635" s="1">
        <v>5635674</v>
      </c>
      <c r="I635" s="1">
        <v>5357</v>
      </c>
      <c r="K635" s="41">
        <f t="shared" si="89"/>
        <v>10553077</v>
      </c>
      <c r="M635" s="1">
        <v>16194108</v>
      </c>
      <c r="O635" s="41">
        <f t="shared" si="90"/>
        <v>4268704</v>
      </c>
      <c r="Q635" s="1">
        <v>10180160</v>
      </c>
      <c r="S635" s="1">
        <v>14448864</v>
      </c>
      <c r="U635" s="1">
        <f>28838+5357+55198</f>
        <v>89393</v>
      </c>
      <c r="W635" s="1">
        <v>0</v>
      </c>
      <c r="Y635" s="1">
        <v>1655851</v>
      </c>
      <c r="AA635" s="58">
        <f t="shared" si="87"/>
        <v>1745244</v>
      </c>
      <c r="AB635" s="1"/>
      <c r="AC635" s="1">
        <f>+G635+I635+K635-O635-Q635-Y635-W635-U635</f>
        <v>0</v>
      </c>
    </row>
    <row r="636" spans="1:29">
      <c r="A636" s="17"/>
      <c r="B636" s="17"/>
      <c r="C636" s="17"/>
      <c r="D636" s="17"/>
      <c r="E636" s="13"/>
      <c r="K636" s="41"/>
      <c r="O636" s="41"/>
      <c r="AA636" s="58"/>
      <c r="AB636" s="1"/>
    </row>
    <row r="637" spans="1:29">
      <c r="A637" s="17"/>
      <c r="B637" s="17"/>
      <c r="C637" s="17"/>
      <c r="D637" s="17"/>
    </row>
  </sheetData>
  <mergeCells count="3">
    <mergeCell ref="G6:K6"/>
    <mergeCell ref="U6:Y6"/>
    <mergeCell ref="O6:Q6"/>
  </mergeCells>
  <phoneticPr fontId="3" type="noConversion"/>
  <pageMargins left="0.9" right="0.75" top="0.5" bottom="0.5" header="0.25" footer="0.25"/>
  <pageSetup scale="77" firstPageNumber="70" pageOrder="overThenDown" orientation="portrait" useFirstPageNumber="1" r:id="rId1"/>
  <headerFooter scaleWithDoc="0" alignWithMargins="0">
    <oddFooter>&amp;C&amp;"Times New Roman,Regular"&amp;11&amp;P</oddFooter>
  </headerFooter>
  <colBreaks count="2" manualBreakCount="2">
    <brk id="13" max="636" man="1"/>
    <brk id="2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M639"/>
  <sheetViews>
    <sheetView zoomScaleNormal="100" zoomScaleSheetLayoutView="100" workbookViewId="0">
      <pane xSplit="6" ySplit="9" topLeftCell="V10" activePane="bottomRight" state="frozen"/>
      <selection pane="topRight" activeCell="G1" sqref="G1"/>
      <selection pane="bottomLeft" activeCell="A10" sqref="A10"/>
      <selection pane="bottomRight" activeCell="AN1" sqref="AN1:AN1048576"/>
    </sheetView>
  </sheetViews>
  <sheetFormatPr defaultColWidth="9.140625" defaultRowHeight="12"/>
  <cols>
    <col min="1" max="1" width="32" style="1" customWidth="1"/>
    <col min="2" max="2" width="1.7109375" style="1" customWidth="1"/>
    <col min="3" max="3" width="10.140625" style="1" bestFit="1" customWidth="1"/>
    <col min="4" max="4" width="1.7109375" style="1" hidden="1" customWidth="1"/>
    <col min="5" max="5" width="11.7109375" style="3" hidden="1" customWidth="1"/>
    <col min="6" max="6" width="1.7109375" style="1" customWidth="1"/>
    <col min="7" max="7" width="10.140625" style="1" bestFit="1" customWidth="1"/>
    <col min="8" max="8" width="1.7109375" style="1" customWidth="1"/>
    <col min="9" max="9" width="9.28515625" style="1" bestFit="1" customWidth="1"/>
    <col min="10" max="10" width="1.7109375" style="1" customWidth="1"/>
    <col min="11" max="11" width="10.140625" style="1" bestFit="1" customWidth="1"/>
    <col min="12" max="12" width="1.7109375" style="1" customWidth="1"/>
    <col min="13" max="13" width="9.42578125" style="1" bestFit="1" customWidth="1"/>
    <col min="14" max="14" width="1.7109375" style="1" customWidth="1"/>
    <col min="15" max="15" width="9.28515625" style="1" bestFit="1" customWidth="1"/>
    <col min="16" max="16" width="1.7109375" style="1" customWidth="1"/>
    <col min="17" max="17" width="8.42578125" style="1" bestFit="1" customWidth="1"/>
    <col min="18" max="18" width="1.7109375" style="1" customWidth="1"/>
    <col min="19" max="19" width="10.85546875" style="1" customWidth="1"/>
    <col min="20" max="20" width="1.7109375" style="1" customWidth="1"/>
    <col min="21" max="21" width="10.5703125" style="1" bestFit="1" customWidth="1"/>
    <col min="22" max="22" width="1.7109375" style="1" customWidth="1"/>
    <col min="23" max="23" width="9.42578125" style="1" customWidth="1"/>
    <col min="24" max="24" width="1.7109375" style="1" customWidth="1"/>
    <col min="25" max="25" width="11" style="1" bestFit="1" customWidth="1"/>
    <col min="26" max="26" width="1.7109375" style="1" customWidth="1"/>
    <col min="27" max="27" width="9.28515625" style="1" bestFit="1" customWidth="1"/>
    <col min="28" max="28" width="1.7109375" style="1" hidden="1" customWidth="1"/>
    <col min="29" max="29" width="11.7109375" style="1" hidden="1" customWidth="1"/>
    <col min="30" max="30" width="1.7109375" style="1" customWidth="1"/>
    <col min="31" max="31" width="10.5703125" style="1" customWidth="1"/>
    <col min="32" max="32" width="1.7109375" style="1" customWidth="1"/>
    <col min="33" max="33" width="10.5703125" style="1" customWidth="1"/>
    <col min="34" max="34" width="1.7109375" style="1" customWidth="1"/>
    <col min="35" max="35" width="10.85546875" style="1" customWidth="1"/>
    <col min="36" max="36" width="1.7109375" style="1" hidden="1" customWidth="1"/>
    <col min="37" max="37" width="11.7109375" style="1" hidden="1" customWidth="1"/>
    <col min="38" max="38" width="1.7109375" style="1" customWidth="1"/>
    <col min="39" max="39" width="12" style="1" customWidth="1"/>
    <col min="40" max="16384" width="9.140625" style="1"/>
  </cols>
  <sheetData>
    <row r="1" spans="1:39" s="2" customFormat="1">
      <c r="A1" s="35" t="s">
        <v>128</v>
      </c>
      <c r="B1" s="35"/>
      <c r="C1" s="35"/>
      <c r="D1" s="35"/>
      <c r="E1" s="36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5"/>
      <c r="AA1" s="35"/>
    </row>
    <row r="2" spans="1:39" s="2" customFormat="1">
      <c r="A2" s="35" t="s">
        <v>919</v>
      </c>
      <c r="B2" s="35"/>
      <c r="C2" s="35"/>
      <c r="D2" s="35"/>
      <c r="E2" s="36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5"/>
      <c r="AA2" s="35"/>
    </row>
    <row r="3" spans="1:39" s="2" customFormat="1">
      <c r="A3" s="55"/>
      <c r="B3" s="35"/>
      <c r="C3" s="35"/>
      <c r="D3" s="35"/>
      <c r="E3" s="36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5"/>
      <c r="AA3" s="35"/>
    </row>
    <row r="4" spans="1:39">
      <c r="A4" s="35" t="s">
        <v>171</v>
      </c>
      <c r="B4" s="35"/>
      <c r="C4" s="35"/>
      <c r="D4" s="35"/>
      <c r="E4" s="36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8"/>
      <c r="AA4" s="8"/>
      <c r="AM4" s="103" t="s">
        <v>3</v>
      </c>
    </row>
    <row r="5" spans="1:39">
      <c r="A5" s="2"/>
      <c r="AM5" s="103" t="s">
        <v>711</v>
      </c>
    </row>
    <row r="6" spans="1:39">
      <c r="A6" s="77" t="s">
        <v>688</v>
      </c>
      <c r="B6" s="56"/>
      <c r="C6" s="56"/>
      <c r="D6" s="56"/>
      <c r="E6" s="57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8"/>
      <c r="AA6" s="105" t="s">
        <v>190</v>
      </c>
      <c r="AB6" s="105"/>
      <c r="AC6" s="105"/>
      <c r="AD6" s="105"/>
      <c r="AE6" s="105"/>
      <c r="AF6" s="105"/>
      <c r="AG6" s="105"/>
      <c r="AH6" s="9"/>
      <c r="AI6" s="9"/>
      <c r="AK6" s="103" t="s">
        <v>3</v>
      </c>
      <c r="AL6" s="103"/>
      <c r="AM6" s="103" t="s">
        <v>750</v>
      </c>
    </row>
    <row r="7" spans="1:39">
      <c r="A7" s="77" t="s">
        <v>917</v>
      </c>
      <c r="B7" s="56"/>
      <c r="C7" s="56"/>
      <c r="D7" s="56"/>
      <c r="E7" s="57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 t="s">
        <v>174</v>
      </c>
      <c r="R7" s="102"/>
      <c r="S7" s="102" t="s">
        <v>176</v>
      </c>
      <c r="T7" s="102"/>
      <c r="U7" s="102" t="s">
        <v>111</v>
      </c>
      <c r="V7" s="102"/>
      <c r="W7" s="102"/>
      <c r="X7" s="102"/>
      <c r="Y7" s="102"/>
      <c r="Z7" s="8"/>
      <c r="AA7" s="103"/>
      <c r="AB7" s="103"/>
      <c r="AC7" s="103"/>
      <c r="AD7" s="103"/>
      <c r="AE7" s="103"/>
      <c r="AF7" s="103"/>
      <c r="AG7" s="103" t="s">
        <v>129</v>
      </c>
      <c r="AH7" s="103"/>
      <c r="AK7" s="103" t="s">
        <v>82</v>
      </c>
      <c r="AL7" s="103"/>
      <c r="AM7" s="103" t="s">
        <v>715</v>
      </c>
    </row>
    <row r="8" spans="1:39">
      <c r="A8" s="102"/>
      <c r="B8" s="102"/>
      <c r="C8" s="102"/>
      <c r="D8" s="102"/>
      <c r="E8" s="26"/>
      <c r="F8" s="102"/>
      <c r="G8" s="102" t="s">
        <v>107</v>
      </c>
      <c r="H8" s="102"/>
      <c r="I8" s="102" t="s">
        <v>668</v>
      </c>
      <c r="J8" s="102"/>
      <c r="K8" s="102" t="s">
        <v>1</v>
      </c>
      <c r="L8" s="102"/>
      <c r="M8" s="102" t="s">
        <v>706</v>
      </c>
      <c r="N8" s="102"/>
      <c r="O8" s="102" t="s">
        <v>172</v>
      </c>
      <c r="P8" s="102"/>
      <c r="Q8" s="102" t="s">
        <v>175</v>
      </c>
      <c r="R8" s="102"/>
      <c r="S8" s="102" t="s">
        <v>177</v>
      </c>
      <c r="T8" s="102"/>
      <c r="U8" s="102" t="s">
        <v>179</v>
      </c>
      <c r="V8" s="102"/>
      <c r="W8" s="102" t="s">
        <v>129</v>
      </c>
      <c r="X8" s="102"/>
      <c r="Y8" s="102" t="s">
        <v>3</v>
      </c>
      <c r="Z8" s="8"/>
      <c r="AA8" s="102"/>
      <c r="AB8" s="103"/>
      <c r="AC8" s="103"/>
      <c r="AD8" s="103"/>
      <c r="AE8" s="103" t="s">
        <v>714</v>
      </c>
      <c r="AF8" s="103"/>
      <c r="AG8" s="103" t="s">
        <v>195</v>
      </c>
      <c r="AH8" s="103"/>
      <c r="AI8" s="103" t="s">
        <v>673</v>
      </c>
      <c r="AK8" s="103" t="s">
        <v>195</v>
      </c>
      <c r="AL8" s="103"/>
      <c r="AM8" s="103" t="s">
        <v>673</v>
      </c>
    </row>
    <row r="9" spans="1:39">
      <c r="A9" s="101" t="s">
        <v>202</v>
      </c>
      <c r="B9" s="103"/>
      <c r="C9" s="101" t="s">
        <v>4</v>
      </c>
      <c r="D9" s="103"/>
      <c r="E9" s="11" t="s">
        <v>201</v>
      </c>
      <c r="F9" s="8"/>
      <c r="G9" s="101" t="s">
        <v>729</v>
      </c>
      <c r="H9" s="8"/>
      <c r="I9" s="101" t="s">
        <v>5</v>
      </c>
      <c r="J9" s="8"/>
      <c r="K9" s="101" t="s">
        <v>7</v>
      </c>
      <c r="L9" s="8"/>
      <c r="M9" s="101" t="s">
        <v>92</v>
      </c>
      <c r="N9" s="8"/>
      <c r="O9" s="101" t="s">
        <v>173</v>
      </c>
      <c r="P9" s="8"/>
      <c r="Q9" s="101" t="s">
        <v>162</v>
      </c>
      <c r="R9" s="8"/>
      <c r="S9" s="101" t="s">
        <v>178</v>
      </c>
      <c r="T9" s="102"/>
      <c r="U9" s="101" t="s">
        <v>180</v>
      </c>
      <c r="V9" s="8"/>
      <c r="W9" s="101" t="s">
        <v>8</v>
      </c>
      <c r="X9" s="8"/>
      <c r="Y9" s="101" t="s">
        <v>9</v>
      </c>
      <c r="Z9" s="8"/>
      <c r="AA9" s="101" t="s">
        <v>191</v>
      </c>
      <c r="AB9" s="103"/>
      <c r="AC9" s="101" t="s">
        <v>192</v>
      </c>
      <c r="AD9" s="103"/>
      <c r="AE9" s="101" t="s">
        <v>716</v>
      </c>
      <c r="AF9" s="103"/>
      <c r="AG9" s="101" t="s">
        <v>196</v>
      </c>
      <c r="AH9" s="103"/>
      <c r="AI9" s="101" t="s">
        <v>692</v>
      </c>
      <c r="AK9" s="101" t="s">
        <v>196</v>
      </c>
      <c r="AL9" s="103"/>
      <c r="AM9" s="101" t="s">
        <v>692</v>
      </c>
    </row>
    <row r="10" spans="1:39">
      <c r="A10" s="12"/>
      <c r="B10" s="12"/>
      <c r="C10" s="12"/>
      <c r="D10" s="12"/>
      <c r="E10" s="13"/>
      <c r="F10" s="8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58"/>
      <c r="X10" s="58"/>
      <c r="Y10" s="41"/>
      <c r="Z10" s="8"/>
      <c r="AA10" s="8"/>
    </row>
    <row r="11" spans="1:39" s="16" customFormat="1">
      <c r="A11" s="14" t="s">
        <v>920</v>
      </c>
      <c r="B11" s="14"/>
      <c r="C11" s="14" t="s">
        <v>203</v>
      </c>
      <c r="D11" s="14"/>
      <c r="E11" s="13">
        <v>61903</v>
      </c>
      <c r="F11" s="15"/>
      <c r="G11" s="16">
        <v>5940309</v>
      </c>
      <c r="I11" s="16">
        <v>0</v>
      </c>
      <c r="K11" s="16">
        <v>25690603</v>
      </c>
      <c r="M11" s="16">
        <v>72396</v>
      </c>
      <c r="O11" s="16">
        <v>1088501</v>
      </c>
      <c r="Q11" s="16">
        <v>4624</v>
      </c>
      <c r="S11" s="16">
        <v>0</v>
      </c>
      <c r="U11" s="16">
        <v>0</v>
      </c>
      <c r="W11" s="16">
        <f>47735+95992</f>
        <v>143727</v>
      </c>
      <c r="Y11" s="59">
        <f>SUM(G11:X11)</f>
        <v>32940160</v>
      </c>
      <c r="AA11" s="16">
        <v>0</v>
      </c>
      <c r="AE11" s="16">
        <v>0</v>
      </c>
      <c r="AG11" s="16">
        <v>110839</v>
      </c>
      <c r="AI11" s="16">
        <v>0</v>
      </c>
      <c r="AK11" s="16">
        <f>SUM(AA11:AJ11)</f>
        <v>110839</v>
      </c>
      <c r="AM11" s="16">
        <f t="shared" ref="AM11:AM43" si="0">+AK11+Y11</f>
        <v>33050999</v>
      </c>
    </row>
    <row r="12" spans="1:39">
      <c r="A12" s="12" t="s">
        <v>549</v>
      </c>
      <c r="B12" s="12"/>
      <c r="C12" s="12" t="s">
        <v>58</v>
      </c>
      <c r="D12" s="12"/>
      <c r="E12" s="13">
        <v>49494</v>
      </c>
      <c r="G12" s="1">
        <v>3495560</v>
      </c>
      <c r="I12" s="1">
        <v>0</v>
      </c>
      <c r="K12" s="1">
        <v>6843110</v>
      </c>
      <c r="M12" s="1">
        <v>23446</v>
      </c>
      <c r="O12" s="1">
        <v>475481</v>
      </c>
      <c r="Q12" s="1">
        <v>66720</v>
      </c>
      <c r="S12" s="1">
        <v>0</v>
      </c>
      <c r="U12" s="1">
        <v>6882</v>
      </c>
      <c r="W12" s="1">
        <f>1624+44740</f>
        <v>46364</v>
      </c>
      <c r="Y12" s="41">
        <f t="shared" ref="Y12:Y78" si="1">SUM(G12:X12)</f>
        <v>10957563</v>
      </c>
      <c r="AA12" s="1">
        <v>0</v>
      </c>
      <c r="AE12" s="1">
        <v>0</v>
      </c>
      <c r="AG12" s="1">
        <v>1025</v>
      </c>
      <c r="AI12" s="1">
        <v>0</v>
      </c>
      <c r="AK12" s="1">
        <f t="shared" ref="AK12:AK78" si="2">SUM(AA12:AJ12)</f>
        <v>1025</v>
      </c>
      <c r="AM12" s="1">
        <f t="shared" si="0"/>
        <v>10958588</v>
      </c>
    </row>
    <row r="13" spans="1:39">
      <c r="A13" s="12" t="s">
        <v>586</v>
      </c>
      <c r="B13" s="12"/>
      <c r="C13" s="12" t="s">
        <v>63</v>
      </c>
      <c r="D13" s="12"/>
      <c r="E13" s="13">
        <v>43489</v>
      </c>
      <c r="G13" s="1">
        <v>100342942</v>
      </c>
      <c r="I13" s="1">
        <v>0</v>
      </c>
      <c r="K13" s="1">
        <v>177016111</v>
      </c>
      <c r="M13" s="1">
        <v>223346</v>
      </c>
      <c r="O13" s="1">
        <v>4353097</v>
      </c>
      <c r="Q13" s="1">
        <v>0</v>
      </c>
      <c r="S13" s="1">
        <v>1000558</v>
      </c>
      <c r="U13" s="1">
        <v>933425</v>
      </c>
      <c r="W13" s="1">
        <f>296172+353645+3883602+1947005</f>
        <v>6480424</v>
      </c>
      <c r="Y13" s="41">
        <f t="shared" si="1"/>
        <v>290349903</v>
      </c>
      <c r="AA13" s="1">
        <v>19004</v>
      </c>
      <c r="AE13" s="1">
        <v>0</v>
      </c>
      <c r="AG13" s="1">
        <v>0</v>
      </c>
      <c r="AI13" s="1">
        <v>0</v>
      </c>
      <c r="AK13" s="1">
        <f t="shared" si="2"/>
        <v>19004</v>
      </c>
      <c r="AM13" s="1">
        <f t="shared" si="0"/>
        <v>290368907</v>
      </c>
    </row>
    <row r="14" spans="1:39" hidden="1">
      <c r="A14" s="12" t="s">
        <v>738</v>
      </c>
      <c r="B14" s="12"/>
      <c r="C14" s="12" t="s">
        <v>13</v>
      </c>
      <c r="D14" s="12"/>
      <c r="E14" s="13">
        <v>45906</v>
      </c>
      <c r="F14" s="8"/>
      <c r="Y14" s="41">
        <f t="shared" si="1"/>
        <v>0</v>
      </c>
      <c r="AK14" s="1">
        <f t="shared" si="2"/>
        <v>0</v>
      </c>
      <c r="AM14" s="1">
        <f t="shared" si="0"/>
        <v>0</v>
      </c>
    </row>
    <row r="15" spans="1:39">
      <c r="A15" s="12" t="s">
        <v>572</v>
      </c>
      <c r="B15" s="12"/>
      <c r="C15" s="12" t="s">
        <v>62</v>
      </c>
      <c r="D15" s="12"/>
      <c r="E15" s="13">
        <v>43497</v>
      </c>
      <c r="G15" s="1">
        <v>6348389</v>
      </c>
      <c r="I15" s="1">
        <v>0</v>
      </c>
      <c r="K15" s="1">
        <v>17398948</v>
      </c>
      <c r="M15" s="1">
        <v>60095</v>
      </c>
      <c r="O15" s="1">
        <v>71561</v>
      </c>
      <c r="Q15" s="1">
        <v>0</v>
      </c>
      <c r="S15" s="1">
        <v>0</v>
      </c>
      <c r="U15" s="1">
        <v>0</v>
      </c>
      <c r="W15" s="1">
        <f>22533+20320+80316</f>
        <v>123169</v>
      </c>
      <c r="Y15" s="41">
        <f t="shared" si="1"/>
        <v>24002162</v>
      </c>
      <c r="AA15" s="1">
        <v>0</v>
      </c>
      <c r="AE15" s="1">
        <v>0</v>
      </c>
      <c r="AG15" s="1">
        <v>0</v>
      </c>
      <c r="AI15" s="1">
        <v>0</v>
      </c>
      <c r="AK15" s="1">
        <f t="shared" si="2"/>
        <v>0</v>
      </c>
      <c r="AM15" s="1">
        <f t="shared" si="0"/>
        <v>24002162</v>
      </c>
    </row>
    <row r="16" spans="1:39">
      <c r="A16" s="12" t="s">
        <v>321</v>
      </c>
      <c r="B16" s="12"/>
      <c r="C16" s="12" t="s">
        <v>25</v>
      </c>
      <c r="D16" s="12"/>
      <c r="E16" s="13">
        <v>46847</v>
      </c>
      <c r="G16" s="1">
        <v>2547877</v>
      </c>
      <c r="I16" s="1">
        <v>0</v>
      </c>
      <c r="K16" s="1">
        <v>9340605</v>
      </c>
      <c r="M16" s="1">
        <v>34079</v>
      </c>
      <c r="O16" s="1">
        <v>640183</v>
      </c>
      <c r="Q16" s="1">
        <v>0</v>
      </c>
      <c r="S16" s="1">
        <v>0</v>
      </c>
      <c r="U16" s="1">
        <v>0</v>
      </c>
      <c r="W16" s="1">
        <f>920+142893</f>
        <v>143813</v>
      </c>
      <c r="Y16" s="41">
        <f t="shared" si="1"/>
        <v>12706557</v>
      </c>
      <c r="AA16" s="1">
        <v>0</v>
      </c>
      <c r="AE16" s="1">
        <v>0</v>
      </c>
      <c r="AG16" s="1">
        <v>100</v>
      </c>
      <c r="AI16" s="1">
        <v>0</v>
      </c>
      <c r="AK16" s="1">
        <f t="shared" si="2"/>
        <v>100</v>
      </c>
      <c r="AM16" s="1">
        <f t="shared" si="0"/>
        <v>12706657</v>
      </c>
    </row>
    <row r="17" spans="1:39">
      <c r="A17" s="12" t="s">
        <v>685</v>
      </c>
      <c r="B17" s="12"/>
      <c r="C17" s="12" t="s">
        <v>44</v>
      </c>
      <c r="D17" s="12"/>
      <c r="E17" s="13">
        <v>45195</v>
      </c>
      <c r="F17" s="8"/>
      <c r="G17" s="1">
        <v>14752163</v>
      </c>
      <c r="I17" s="1">
        <v>0</v>
      </c>
      <c r="K17" s="1">
        <v>18493795</v>
      </c>
      <c r="M17" s="1">
        <v>53927</v>
      </c>
      <c r="O17" s="1">
        <v>225491</v>
      </c>
      <c r="Q17" s="1">
        <v>334324</v>
      </c>
      <c r="S17" s="1">
        <v>0</v>
      </c>
      <c r="U17" s="1">
        <v>3000</v>
      </c>
      <c r="W17" s="1">
        <f>294666+9120+20420</f>
        <v>324206</v>
      </c>
      <c r="Y17" s="41">
        <f>SUM(G17:X17)</f>
        <v>34186906</v>
      </c>
      <c r="AA17" s="1">
        <v>0</v>
      </c>
      <c r="AE17" s="1">
        <v>0</v>
      </c>
      <c r="AG17" s="1">
        <v>0</v>
      </c>
      <c r="AI17" s="1">
        <v>0</v>
      </c>
      <c r="AK17" s="1">
        <f>SUM(AA17:AJ17)</f>
        <v>0</v>
      </c>
      <c r="AM17" s="1">
        <f t="shared" si="0"/>
        <v>34186906</v>
      </c>
    </row>
    <row r="18" spans="1:39" hidden="1">
      <c r="A18" s="12" t="s">
        <v>921</v>
      </c>
      <c r="B18" s="12"/>
      <c r="C18" s="12" t="s">
        <v>61</v>
      </c>
      <c r="D18" s="12"/>
      <c r="E18" s="13">
        <v>49759</v>
      </c>
      <c r="Y18" s="41">
        <f t="shared" si="1"/>
        <v>0</v>
      </c>
      <c r="AI18" s="1">
        <v>0</v>
      </c>
      <c r="AK18" s="1">
        <f t="shared" si="2"/>
        <v>0</v>
      </c>
      <c r="AM18" s="1">
        <f t="shared" si="0"/>
        <v>0</v>
      </c>
    </row>
    <row r="19" spans="1:39" hidden="1">
      <c r="A19" s="12" t="s">
        <v>860</v>
      </c>
      <c r="B19" s="12"/>
      <c r="C19" s="12" t="s">
        <v>718</v>
      </c>
      <c r="D19" s="12"/>
      <c r="E19" s="13"/>
      <c r="Y19" s="41">
        <f t="shared" si="1"/>
        <v>0</v>
      </c>
      <c r="AI19" s="1">
        <v>0</v>
      </c>
      <c r="AK19" s="1">
        <f t="shared" si="2"/>
        <v>0</v>
      </c>
      <c r="AM19" s="1">
        <f t="shared" si="0"/>
        <v>0</v>
      </c>
    </row>
    <row r="20" spans="1:39">
      <c r="A20" s="12" t="s">
        <v>449</v>
      </c>
      <c r="B20" s="12"/>
      <c r="C20" s="12" t="s">
        <v>117</v>
      </c>
      <c r="D20" s="12"/>
      <c r="E20" s="13">
        <v>48207</v>
      </c>
      <c r="G20" s="1">
        <v>19668997</v>
      </c>
      <c r="I20" s="1">
        <v>0</v>
      </c>
      <c r="K20" s="1">
        <v>12408792</v>
      </c>
      <c r="M20" s="1">
        <v>0</v>
      </c>
      <c r="O20" s="1">
        <v>415644</v>
      </c>
      <c r="Q20" s="1">
        <v>43457</v>
      </c>
      <c r="S20" s="1">
        <v>627296</v>
      </c>
      <c r="U20" s="1">
        <v>0</v>
      </c>
      <c r="W20" s="1">
        <f>211956+679</f>
        <v>212635</v>
      </c>
      <c r="Y20" s="41">
        <f t="shared" si="1"/>
        <v>33376821</v>
      </c>
      <c r="AA20" s="1">
        <v>0</v>
      </c>
      <c r="AE20" s="1">
        <v>0</v>
      </c>
      <c r="AG20" s="1">
        <v>3161</v>
      </c>
      <c r="AI20" s="1">
        <v>0</v>
      </c>
      <c r="AK20" s="1">
        <f t="shared" si="2"/>
        <v>3161</v>
      </c>
      <c r="AM20" s="1">
        <f t="shared" si="0"/>
        <v>33379982</v>
      </c>
    </row>
    <row r="21" spans="1:39">
      <c r="A21" s="12" t="s">
        <v>378</v>
      </c>
      <c r="B21" s="12"/>
      <c r="C21" s="12" t="s">
        <v>33</v>
      </c>
      <c r="D21" s="12"/>
      <c r="E21" s="13">
        <v>47415</v>
      </c>
      <c r="G21" s="1">
        <v>1972525</v>
      </c>
      <c r="I21" s="1">
        <v>644248</v>
      </c>
      <c r="K21" s="1">
        <v>2245579</v>
      </c>
      <c r="M21" s="1">
        <v>7282</v>
      </c>
      <c r="O21" s="1">
        <v>645010</v>
      </c>
      <c r="Q21" s="1">
        <v>0</v>
      </c>
      <c r="S21" s="1">
        <v>0</v>
      </c>
      <c r="U21" s="1">
        <v>0</v>
      </c>
      <c r="W21" s="1">
        <v>1314</v>
      </c>
      <c r="Y21" s="41">
        <f t="shared" si="1"/>
        <v>5515958</v>
      </c>
      <c r="AA21" s="1">
        <v>0</v>
      </c>
      <c r="AE21" s="1">
        <v>0</v>
      </c>
      <c r="AG21" s="1">
        <v>0</v>
      </c>
      <c r="AI21" s="1">
        <v>0</v>
      </c>
      <c r="AK21" s="1">
        <f t="shared" si="2"/>
        <v>0</v>
      </c>
      <c r="AM21" s="1">
        <f t="shared" si="0"/>
        <v>5515958</v>
      </c>
    </row>
    <row r="22" spans="1:39" hidden="1">
      <c r="A22" s="12" t="s">
        <v>823</v>
      </c>
      <c r="B22" s="12"/>
      <c r="C22" s="12" t="s">
        <v>21</v>
      </c>
      <c r="D22" s="12"/>
      <c r="E22" s="13">
        <v>46631</v>
      </c>
      <c r="Y22" s="41">
        <f t="shared" si="1"/>
        <v>0</v>
      </c>
      <c r="AK22" s="1">
        <f t="shared" si="2"/>
        <v>0</v>
      </c>
      <c r="AM22" s="1">
        <f t="shared" si="0"/>
        <v>0</v>
      </c>
    </row>
    <row r="23" spans="1:39">
      <c r="A23" s="12" t="s">
        <v>922</v>
      </c>
      <c r="B23" s="12"/>
      <c r="C23" s="12" t="s">
        <v>28</v>
      </c>
      <c r="D23" s="12"/>
      <c r="E23" s="13">
        <v>47043</v>
      </c>
      <c r="G23" s="1">
        <v>5265042</v>
      </c>
      <c r="I23" s="1">
        <v>0</v>
      </c>
      <c r="K23" s="1">
        <v>5895593</v>
      </c>
      <c r="M23" s="1">
        <v>72603</v>
      </c>
      <c r="O23" s="1">
        <v>336484</v>
      </c>
      <c r="Q23" s="1">
        <v>0</v>
      </c>
      <c r="S23" s="1">
        <v>257388</v>
      </c>
      <c r="U23" s="1">
        <v>9605</v>
      </c>
      <c r="W23" s="1">
        <f>79509+3913</f>
        <v>83422</v>
      </c>
      <c r="Y23" s="41">
        <f t="shared" si="1"/>
        <v>11920137</v>
      </c>
      <c r="AA23" s="1">
        <v>0</v>
      </c>
      <c r="AE23" s="1">
        <v>0</v>
      </c>
      <c r="AG23" s="1">
        <v>100</v>
      </c>
      <c r="AI23" s="1">
        <v>0</v>
      </c>
      <c r="AK23" s="1">
        <f t="shared" si="2"/>
        <v>100</v>
      </c>
      <c r="AM23" s="1">
        <f t="shared" si="0"/>
        <v>11920237</v>
      </c>
    </row>
    <row r="24" spans="1:39">
      <c r="A24" s="12" t="s">
        <v>379</v>
      </c>
      <c r="B24" s="12"/>
      <c r="C24" s="12" t="s">
        <v>33</v>
      </c>
      <c r="D24" s="12"/>
      <c r="E24" s="13">
        <v>47423</v>
      </c>
      <c r="G24" s="1">
        <v>1110631</v>
      </c>
      <c r="I24" s="1">
        <v>897920</v>
      </c>
      <c r="K24" s="1">
        <v>3240976</v>
      </c>
      <c r="M24" s="1">
        <v>22272</v>
      </c>
      <c r="O24" s="1">
        <v>217018</v>
      </c>
      <c r="Q24" s="1">
        <v>1076</v>
      </c>
      <c r="S24" s="1">
        <v>0</v>
      </c>
      <c r="U24" s="1">
        <v>14252</v>
      </c>
      <c r="W24" s="1">
        <v>43660</v>
      </c>
      <c r="Y24" s="41">
        <f t="shared" si="1"/>
        <v>5547805</v>
      </c>
      <c r="AA24" s="1">
        <v>0</v>
      </c>
      <c r="AE24" s="1">
        <v>570000</v>
      </c>
      <c r="AG24" s="1">
        <v>0</v>
      </c>
      <c r="AI24" s="1">
        <v>0</v>
      </c>
      <c r="AK24" s="1">
        <f t="shared" si="2"/>
        <v>570000</v>
      </c>
      <c r="AM24" s="1">
        <f t="shared" si="0"/>
        <v>6117805</v>
      </c>
    </row>
    <row r="25" spans="1:39">
      <c r="A25" s="12" t="s">
        <v>206</v>
      </c>
      <c r="B25" s="12"/>
      <c r="C25" s="12" t="s">
        <v>11</v>
      </c>
      <c r="D25" s="12"/>
      <c r="E25" s="13">
        <v>43505</v>
      </c>
      <c r="F25" s="8"/>
      <c r="G25" s="1">
        <v>13778626</v>
      </c>
      <c r="I25" s="1">
        <v>0</v>
      </c>
      <c r="K25" s="1">
        <v>14704503</v>
      </c>
      <c r="M25" s="1">
        <v>140185</v>
      </c>
      <c r="O25" s="1">
        <v>899365</v>
      </c>
      <c r="Q25" s="1">
        <v>72085</v>
      </c>
      <c r="S25" s="1">
        <v>252742</v>
      </c>
      <c r="U25" s="1">
        <v>1575</v>
      </c>
      <c r="W25" s="1">
        <f>114355+6765+19354</f>
        <v>140474</v>
      </c>
      <c r="Y25" s="41">
        <f t="shared" si="1"/>
        <v>29989555</v>
      </c>
      <c r="AA25" s="1">
        <v>0</v>
      </c>
      <c r="AE25" s="1">
        <v>0</v>
      </c>
      <c r="AG25" s="1">
        <v>0</v>
      </c>
      <c r="AI25" s="1">
        <v>0</v>
      </c>
      <c r="AK25" s="1">
        <f t="shared" si="2"/>
        <v>0</v>
      </c>
      <c r="AM25" s="1">
        <f t="shared" si="0"/>
        <v>29989555</v>
      </c>
    </row>
    <row r="26" spans="1:39">
      <c r="A26" s="12" t="s">
        <v>672</v>
      </c>
      <c r="B26" s="12"/>
      <c r="C26" s="12" t="s">
        <v>12</v>
      </c>
      <c r="D26" s="12"/>
      <c r="E26" s="13">
        <v>43513</v>
      </c>
      <c r="F26" s="8"/>
      <c r="G26" s="1">
        <v>9274550</v>
      </c>
      <c r="I26" s="1">
        <v>0</v>
      </c>
      <c r="K26" s="1">
        <v>25084332</v>
      </c>
      <c r="M26" s="1">
        <v>93056</v>
      </c>
      <c r="O26" s="1">
        <v>429444</v>
      </c>
      <c r="Q26" s="1">
        <v>1612</v>
      </c>
      <c r="S26" s="1">
        <v>0</v>
      </c>
      <c r="U26" s="1">
        <v>0</v>
      </c>
      <c r="W26" s="1">
        <v>526927</v>
      </c>
      <c r="Y26" s="41">
        <f t="shared" si="1"/>
        <v>35409921</v>
      </c>
      <c r="AA26" s="1">
        <v>0</v>
      </c>
      <c r="AE26" s="1">
        <v>0</v>
      </c>
      <c r="AG26" s="1">
        <f>40+6688</f>
        <v>6728</v>
      </c>
      <c r="AI26" s="1">
        <v>0</v>
      </c>
      <c r="AK26" s="1">
        <f t="shared" si="2"/>
        <v>6728</v>
      </c>
      <c r="AM26" s="1">
        <f t="shared" si="0"/>
        <v>35416649</v>
      </c>
    </row>
    <row r="27" spans="1:39">
      <c r="A27" s="12" t="s">
        <v>214</v>
      </c>
      <c r="B27" s="12"/>
      <c r="C27" s="12" t="s">
        <v>13</v>
      </c>
      <c r="D27" s="12"/>
      <c r="E27" s="13">
        <v>43521</v>
      </c>
      <c r="F27" s="8"/>
      <c r="G27" s="1">
        <v>12956307</v>
      </c>
      <c r="I27" s="1">
        <v>3378878</v>
      </c>
      <c r="K27" s="1">
        <v>10438640</v>
      </c>
      <c r="M27" s="1">
        <v>151790</v>
      </c>
      <c r="O27" s="1">
        <v>2710144</v>
      </c>
      <c r="Q27" s="1">
        <v>0</v>
      </c>
      <c r="S27" s="1">
        <v>165468</v>
      </c>
      <c r="U27" s="1">
        <v>0</v>
      </c>
      <c r="W27" s="1">
        <f>4637+61427</f>
        <v>66064</v>
      </c>
      <c r="Y27" s="41">
        <f t="shared" si="1"/>
        <v>29867291</v>
      </c>
      <c r="AA27" s="1">
        <v>0</v>
      </c>
      <c r="AE27" s="1">
        <v>0</v>
      </c>
      <c r="AG27" s="1">
        <v>0</v>
      </c>
      <c r="AI27" s="1">
        <v>0</v>
      </c>
      <c r="AK27" s="1">
        <f t="shared" si="2"/>
        <v>0</v>
      </c>
      <c r="AM27" s="1">
        <f t="shared" si="0"/>
        <v>29867291</v>
      </c>
    </row>
    <row r="28" spans="1:39">
      <c r="A28" s="12" t="s">
        <v>532</v>
      </c>
      <c r="B28" s="12"/>
      <c r="C28" s="12" t="s">
        <v>56</v>
      </c>
      <c r="D28" s="12"/>
      <c r="E28" s="13">
        <v>49171</v>
      </c>
      <c r="G28" s="1">
        <v>19819860</v>
      </c>
      <c r="I28" s="1">
        <v>0</v>
      </c>
      <c r="K28" s="1">
        <v>8585063</v>
      </c>
      <c r="M28" s="1">
        <v>9761</v>
      </c>
      <c r="O28" s="1">
        <v>426927</v>
      </c>
      <c r="Q28" s="1">
        <v>0</v>
      </c>
      <c r="S28" s="1">
        <v>0</v>
      </c>
      <c r="U28" s="1">
        <v>2500</v>
      </c>
      <c r="W28" s="1">
        <f>18423+90954</f>
        <v>109377</v>
      </c>
      <c r="Y28" s="41">
        <f t="shared" si="1"/>
        <v>28953488</v>
      </c>
      <c r="AA28" s="1">
        <v>0</v>
      </c>
      <c r="AE28" s="1">
        <v>0</v>
      </c>
      <c r="AG28" s="1">
        <v>0</v>
      </c>
      <c r="AI28" s="1">
        <v>0</v>
      </c>
      <c r="AK28" s="1">
        <f t="shared" si="2"/>
        <v>0</v>
      </c>
      <c r="AM28" s="1">
        <f t="shared" si="0"/>
        <v>28953488</v>
      </c>
    </row>
    <row r="29" spans="1:39">
      <c r="A29" s="12" t="s">
        <v>461</v>
      </c>
      <c r="B29" s="12"/>
      <c r="C29" s="12" t="s">
        <v>45</v>
      </c>
      <c r="D29" s="12"/>
      <c r="E29" s="13">
        <v>48298</v>
      </c>
      <c r="G29" s="1">
        <v>15701596</v>
      </c>
      <c r="I29" s="1">
        <v>0</v>
      </c>
      <c r="K29" s="1">
        <v>23073236</v>
      </c>
      <c r="M29" s="1">
        <v>89584</v>
      </c>
      <c r="O29" s="1">
        <v>1181377</v>
      </c>
      <c r="Q29" s="1">
        <v>4820</v>
      </c>
      <c r="S29" s="1">
        <v>0</v>
      </c>
      <c r="U29" s="1">
        <v>0</v>
      </c>
      <c r="W29" s="1">
        <f>45736+121827+1035</f>
        <v>168598</v>
      </c>
      <c r="Y29" s="41">
        <f t="shared" si="1"/>
        <v>40219211</v>
      </c>
      <c r="AA29" s="1">
        <v>0</v>
      </c>
      <c r="AE29" s="1">
        <v>0</v>
      </c>
      <c r="AG29" s="1">
        <v>1858</v>
      </c>
      <c r="AI29" s="1">
        <v>0</v>
      </c>
      <c r="AK29" s="1">
        <f t="shared" si="2"/>
        <v>1858</v>
      </c>
      <c r="AM29" s="1">
        <f t="shared" si="0"/>
        <v>40221069</v>
      </c>
    </row>
    <row r="30" spans="1:39">
      <c r="A30" s="12" t="s">
        <v>436</v>
      </c>
      <c r="B30" s="12"/>
      <c r="C30" s="12" t="s">
        <v>44</v>
      </c>
      <c r="D30" s="12"/>
      <c r="E30" s="13">
        <v>48124</v>
      </c>
      <c r="G30" s="1">
        <v>25329857</v>
      </c>
      <c r="I30" s="1">
        <v>0</v>
      </c>
      <c r="K30" s="1">
        <v>10149358</v>
      </c>
      <c r="M30" s="1">
        <v>295798</v>
      </c>
      <c r="O30" s="1">
        <v>775037</v>
      </c>
      <c r="Q30" s="1">
        <v>0</v>
      </c>
      <c r="S30" s="1">
        <v>0</v>
      </c>
      <c r="U30" s="1">
        <v>0</v>
      </c>
      <c r="W30" s="1">
        <v>119228</v>
      </c>
      <c r="Y30" s="41">
        <f t="shared" si="1"/>
        <v>36669278</v>
      </c>
      <c r="AA30" s="1">
        <v>0</v>
      </c>
      <c r="AE30" s="1">
        <v>0</v>
      </c>
      <c r="AG30" s="1">
        <v>28668</v>
      </c>
      <c r="AI30" s="1">
        <v>0</v>
      </c>
      <c r="AK30" s="1">
        <f t="shared" si="2"/>
        <v>28668</v>
      </c>
      <c r="AM30" s="1">
        <f t="shared" si="0"/>
        <v>36697946</v>
      </c>
    </row>
    <row r="31" spans="1:39">
      <c r="A31" s="12" t="s">
        <v>437</v>
      </c>
      <c r="B31" s="12"/>
      <c r="C31" s="12" t="s">
        <v>44</v>
      </c>
      <c r="D31" s="12"/>
      <c r="E31" s="13">
        <v>48116</v>
      </c>
      <c r="G31" s="1">
        <v>17430281</v>
      </c>
      <c r="I31" s="1">
        <v>0</v>
      </c>
      <c r="K31" s="1">
        <v>6912686</v>
      </c>
      <c r="M31" s="1">
        <v>56961</v>
      </c>
      <c r="O31" s="1">
        <v>796721</v>
      </c>
      <c r="Q31" s="1">
        <v>2671</v>
      </c>
      <c r="S31" s="1">
        <v>0</v>
      </c>
      <c r="U31" s="1">
        <v>0</v>
      </c>
      <c r="W31" s="1">
        <v>397632</v>
      </c>
      <c r="Y31" s="41">
        <f t="shared" si="1"/>
        <v>25596952</v>
      </c>
      <c r="AA31" s="1">
        <v>0</v>
      </c>
      <c r="AE31" s="1">
        <v>0</v>
      </c>
      <c r="AG31" s="1">
        <v>0</v>
      </c>
      <c r="AI31" s="1">
        <v>0</v>
      </c>
      <c r="AK31" s="1">
        <f t="shared" si="2"/>
        <v>0</v>
      </c>
      <c r="AM31" s="1">
        <f t="shared" si="0"/>
        <v>25596952</v>
      </c>
    </row>
    <row r="32" spans="1:39">
      <c r="A32" s="12" t="s">
        <v>310</v>
      </c>
      <c r="B32" s="12"/>
      <c r="C32" s="12" t="s">
        <v>22</v>
      </c>
      <c r="D32" s="12"/>
      <c r="E32" s="13">
        <v>46706</v>
      </c>
      <c r="G32" s="1">
        <v>2107431</v>
      </c>
      <c r="I32" s="1">
        <v>712542</v>
      </c>
      <c r="K32" s="1">
        <f>3206333+17168</f>
        <v>3223501</v>
      </c>
      <c r="M32" s="1">
        <v>6293</v>
      </c>
      <c r="O32" s="1">
        <v>1130902</v>
      </c>
      <c r="Q32" s="1">
        <v>0</v>
      </c>
      <c r="S32" s="1">
        <v>110255</v>
      </c>
      <c r="U32" s="1">
        <v>2500</v>
      </c>
      <c r="W32" s="1">
        <f>2735+33998</f>
        <v>36733</v>
      </c>
      <c r="Y32" s="41">
        <f t="shared" si="1"/>
        <v>7330157</v>
      </c>
      <c r="AA32" s="1">
        <v>0</v>
      </c>
      <c r="AE32" s="1">
        <v>0</v>
      </c>
      <c r="AG32" s="1">
        <v>1239</v>
      </c>
      <c r="AI32" s="1">
        <v>0</v>
      </c>
      <c r="AK32" s="1">
        <f t="shared" si="2"/>
        <v>1239</v>
      </c>
      <c r="AM32" s="1">
        <f t="shared" si="0"/>
        <v>7331396</v>
      </c>
    </row>
    <row r="33" spans="1:39">
      <c r="A33" s="12" t="s">
        <v>587</v>
      </c>
      <c r="B33" s="12"/>
      <c r="C33" s="12" t="s">
        <v>63</v>
      </c>
      <c r="D33" s="12"/>
      <c r="E33" s="13">
        <v>43539</v>
      </c>
      <c r="G33" s="1">
        <v>10578390</v>
      </c>
      <c r="I33" s="1">
        <v>0</v>
      </c>
      <c r="K33" s="1">
        <f>24187982+436249</f>
        <v>24624231</v>
      </c>
      <c r="M33" s="1">
        <v>65874</v>
      </c>
      <c r="O33" s="1">
        <v>395523</v>
      </c>
      <c r="Q33" s="1">
        <v>0</v>
      </c>
      <c r="S33" s="1">
        <v>0</v>
      </c>
      <c r="U33" s="1">
        <v>0</v>
      </c>
      <c r="W33" s="1">
        <f>362667+1925</f>
        <v>364592</v>
      </c>
      <c r="Y33" s="41">
        <f t="shared" si="1"/>
        <v>36028610</v>
      </c>
      <c r="AA33" s="1">
        <v>0</v>
      </c>
      <c r="AE33" s="1">
        <v>0</v>
      </c>
      <c r="AG33" s="1">
        <v>0</v>
      </c>
      <c r="AI33" s="1">
        <v>0</v>
      </c>
      <c r="AK33" s="1">
        <f t="shared" si="2"/>
        <v>0</v>
      </c>
      <c r="AM33" s="1">
        <f t="shared" si="0"/>
        <v>36028610</v>
      </c>
    </row>
    <row r="34" spans="1:39">
      <c r="A34" s="12" t="s">
        <v>719</v>
      </c>
      <c r="B34" s="12"/>
      <c r="C34" s="12" t="s">
        <v>15</v>
      </c>
      <c r="D34" s="12"/>
      <c r="E34" s="13"/>
      <c r="G34" s="1">
        <v>2084058</v>
      </c>
      <c r="I34" s="1">
        <v>0</v>
      </c>
      <c r="K34" s="1">
        <v>5964322</v>
      </c>
      <c r="M34" s="1">
        <v>38976</v>
      </c>
      <c r="O34" s="1">
        <v>531071</v>
      </c>
      <c r="Q34" s="1">
        <v>0</v>
      </c>
      <c r="S34" s="1">
        <v>0</v>
      </c>
      <c r="U34" s="1">
        <v>0</v>
      </c>
      <c r="W34" s="1">
        <f>6330+102900</f>
        <v>109230</v>
      </c>
      <c r="Y34" s="41">
        <f t="shared" si="1"/>
        <v>8727657</v>
      </c>
      <c r="AA34" s="1">
        <v>0</v>
      </c>
      <c r="AE34" s="1">
        <v>0</v>
      </c>
      <c r="AG34" s="1">
        <v>0</v>
      </c>
      <c r="AI34" s="1">
        <v>0</v>
      </c>
      <c r="AK34" s="1">
        <f t="shared" si="2"/>
        <v>0</v>
      </c>
      <c r="AM34" s="1">
        <f t="shared" si="0"/>
        <v>8727657</v>
      </c>
    </row>
    <row r="35" spans="1:39">
      <c r="A35" s="12" t="s">
        <v>251</v>
      </c>
      <c r="B35" s="12"/>
      <c r="C35" s="12" t="s">
        <v>115</v>
      </c>
      <c r="D35" s="12"/>
      <c r="E35" s="13">
        <v>46300</v>
      </c>
      <c r="F35" s="8"/>
      <c r="G35" s="1">
        <v>6213243</v>
      </c>
      <c r="I35" s="1">
        <v>0</v>
      </c>
      <c r="K35" s="1">
        <v>9161785</v>
      </c>
      <c r="M35" s="1">
        <v>3690</v>
      </c>
      <c r="O35" s="1">
        <v>1025833</v>
      </c>
      <c r="Q35" s="1">
        <v>0</v>
      </c>
      <c r="S35" s="1">
        <v>662197</v>
      </c>
      <c r="U35" s="1">
        <v>0</v>
      </c>
      <c r="W35" s="1">
        <v>26046</v>
      </c>
      <c r="Y35" s="41">
        <f t="shared" si="1"/>
        <v>17092794</v>
      </c>
      <c r="AA35" s="1">
        <v>0</v>
      </c>
      <c r="AE35" s="1">
        <v>0</v>
      </c>
      <c r="AG35" s="1">
        <v>0</v>
      </c>
      <c r="AI35" s="1">
        <v>0</v>
      </c>
      <c r="AK35" s="1">
        <f t="shared" si="2"/>
        <v>0</v>
      </c>
      <c r="AM35" s="1">
        <f t="shared" si="0"/>
        <v>17092794</v>
      </c>
    </row>
    <row r="36" spans="1:39" hidden="1">
      <c r="A36" s="12" t="s">
        <v>824</v>
      </c>
      <c r="B36" s="12"/>
      <c r="C36" s="12" t="s">
        <v>10</v>
      </c>
      <c r="D36" s="12"/>
      <c r="E36" s="13">
        <v>45765</v>
      </c>
      <c r="F36" s="8"/>
      <c r="Y36" s="41">
        <f t="shared" si="1"/>
        <v>0</v>
      </c>
      <c r="AK36" s="1">
        <f t="shared" si="2"/>
        <v>0</v>
      </c>
      <c r="AM36" s="1">
        <f t="shared" si="0"/>
        <v>0</v>
      </c>
    </row>
    <row r="37" spans="1:39">
      <c r="A37" s="12" t="s">
        <v>280</v>
      </c>
      <c r="B37" s="12"/>
      <c r="C37" s="12" t="s">
        <v>20</v>
      </c>
      <c r="D37" s="12"/>
      <c r="E37" s="13">
        <v>43547</v>
      </c>
      <c r="G37" s="1">
        <v>18367085</v>
      </c>
      <c r="I37" s="1">
        <v>0</v>
      </c>
      <c r="K37" s="1">
        <v>7351791</v>
      </c>
      <c r="M37" s="1">
        <v>55689</v>
      </c>
      <c r="O37" s="1">
        <v>149454</v>
      </c>
      <c r="Q37" s="1">
        <v>0</v>
      </c>
      <c r="S37" s="1">
        <v>0</v>
      </c>
      <c r="U37" s="1">
        <v>0</v>
      </c>
      <c r="W37" s="1">
        <v>229649</v>
      </c>
      <c r="Y37" s="41">
        <f t="shared" si="1"/>
        <v>26153668</v>
      </c>
      <c r="AA37" s="1">
        <v>0</v>
      </c>
      <c r="AE37" s="1">
        <v>0</v>
      </c>
      <c r="AG37" s="1">
        <v>0</v>
      </c>
      <c r="AI37" s="1">
        <v>0</v>
      </c>
      <c r="AK37" s="1">
        <f t="shared" si="2"/>
        <v>0</v>
      </c>
      <c r="AM37" s="1">
        <f t="shared" si="0"/>
        <v>26153668</v>
      </c>
    </row>
    <row r="38" spans="1:39">
      <c r="A38" s="12" t="s">
        <v>281</v>
      </c>
      <c r="B38" s="12"/>
      <c r="C38" s="12" t="s">
        <v>20</v>
      </c>
      <c r="D38" s="12"/>
      <c r="E38" s="13">
        <v>43554</v>
      </c>
      <c r="G38" s="1">
        <v>21631337</v>
      </c>
      <c r="I38" s="1">
        <v>0</v>
      </c>
      <c r="K38" s="1">
        <v>6939218</v>
      </c>
      <c r="M38" s="1">
        <v>240161</v>
      </c>
      <c r="O38" s="1">
        <v>465714</v>
      </c>
      <c r="Q38" s="1">
        <v>0</v>
      </c>
      <c r="S38" s="1">
        <v>0</v>
      </c>
      <c r="U38" s="1">
        <v>7326</v>
      </c>
      <c r="W38" s="1">
        <f>313081+203149+280495</f>
        <v>796725</v>
      </c>
      <c r="Y38" s="41">
        <f t="shared" si="1"/>
        <v>30080481</v>
      </c>
      <c r="AA38" s="1">
        <v>0</v>
      </c>
      <c r="AE38" s="1">
        <v>0</v>
      </c>
      <c r="AG38" s="1">
        <v>0</v>
      </c>
      <c r="AI38" s="1">
        <v>0</v>
      </c>
      <c r="AK38" s="1">
        <f t="shared" si="2"/>
        <v>0</v>
      </c>
      <c r="AM38" s="1">
        <f t="shared" si="0"/>
        <v>30080481</v>
      </c>
    </row>
    <row r="39" spans="1:39">
      <c r="A39" s="12" t="s">
        <v>263</v>
      </c>
      <c r="B39" s="12"/>
      <c r="C39" s="12" t="s">
        <v>114</v>
      </c>
      <c r="D39" s="12"/>
      <c r="E39" s="13">
        <v>46425</v>
      </c>
      <c r="F39" s="8"/>
      <c r="G39" s="1">
        <v>5707985</v>
      </c>
      <c r="I39" s="1">
        <v>0</v>
      </c>
      <c r="K39" s="1">
        <v>10469077</v>
      </c>
      <c r="M39" s="1">
        <v>3616</v>
      </c>
      <c r="O39" s="1">
        <v>1542913</v>
      </c>
      <c r="Q39" s="1">
        <v>35482</v>
      </c>
      <c r="S39" s="1">
        <v>0</v>
      </c>
      <c r="U39" s="1">
        <v>0</v>
      </c>
      <c r="W39" s="1">
        <f>9387+2301</f>
        <v>11688</v>
      </c>
      <c r="Y39" s="41">
        <f t="shared" si="1"/>
        <v>17770761</v>
      </c>
      <c r="AA39" s="1">
        <v>0</v>
      </c>
      <c r="AE39" s="1">
        <v>889000</v>
      </c>
      <c r="AG39" s="1">
        <v>2904</v>
      </c>
      <c r="AI39" s="1">
        <v>0</v>
      </c>
      <c r="AK39" s="1">
        <f t="shared" si="2"/>
        <v>891904</v>
      </c>
      <c r="AM39" s="1">
        <f t="shared" si="0"/>
        <v>18662665</v>
      </c>
    </row>
    <row r="40" spans="1:39">
      <c r="A40" s="12" t="s">
        <v>357</v>
      </c>
      <c r="B40" s="12"/>
      <c r="C40" s="12" t="s">
        <v>116</v>
      </c>
      <c r="D40" s="12"/>
      <c r="E40" s="13">
        <v>47241</v>
      </c>
      <c r="G40" s="1">
        <v>47315460</v>
      </c>
      <c r="I40" s="1">
        <v>0</v>
      </c>
      <c r="K40" s="1">
        <v>19679747</v>
      </c>
      <c r="M40" s="1">
        <v>527704</v>
      </c>
      <c r="O40" s="1">
        <v>647361</v>
      </c>
      <c r="Q40" s="1">
        <v>0</v>
      </c>
      <c r="S40" s="1">
        <v>0</v>
      </c>
      <c r="U40" s="1">
        <v>150</v>
      </c>
      <c r="W40" s="1">
        <f>876986+107468+11385</f>
        <v>995839</v>
      </c>
      <c r="Y40" s="41">
        <f t="shared" si="1"/>
        <v>69166261</v>
      </c>
      <c r="AA40" s="1">
        <v>0</v>
      </c>
      <c r="AE40" s="1">
        <v>0</v>
      </c>
      <c r="AG40" s="1">
        <v>0</v>
      </c>
      <c r="AI40" s="1">
        <v>0</v>
      </c>
      <c r="AK40" s="1">
        <f t="shared" si="2"/>
        <v>0</v>
      </c>
      <c r="AM40" s="1">
        <f t="shared" si="0"/>
        <v>69166261</v>
      </c>
    </row>
    <row r="41" spans="1:39">
      <c r="A41" s="12" t="s">
        <v>282</v>
      </c>
      <c r="B41" s="12"/>
      <c r="C41" s="12" t="s">
        <v>20</v>
      </c>
      <c r="D41" s="12"/>
      <c r="E41" s="13">
        <v>43562</v>
      </c>
      <c r="G41" s="1">
        <v>25521899</v>
      </c>
      <c r="I41" s="1">
        <v>0</v>
      </c>
      <c r="K41" s="1">
        <v>17446871</v>
      </c>
      <c r="M41" s="1">
        <v>27384</v>
      </c>
      <c r="O41" s="1">
        <v>1585497</v>
      </c>
      <c r="Q41" s="1">
        <v>0</v>
      </c>
      <c r="S41" s="1">
        <v>0</v>
      </c>
      <c r="U41" s="1">
        <v>0</v>
      </c>
      <c r="W41" s="1">
        <f>10896+530+400294</f>
        <v>411720</v>
      </c>
      <c r="Y41" s="41">
        <f t="shared" si="1"/>
        <v>44993371</v>
      </c>
      <c r="AA41" s="1">
        <v>0</v>
      </c>
      <c r="AE41" s="1">
        <v>0</v>
      </c>
      <c r="AG41" s="1">
        <v>0</v>
      </c>
      <c r="AI41" s="1">
        <v>0</v>
      </c>
      <c r="AK41" s="1">
        <f t="shared" si="2"/>
        <v>0</v>
      </c>
      <c r="AM41" s="1">
        <f t="shared" si="0"/>
        <v>44993371</v>
      </c>
    </row>
    <row r="42" spans="1:39">
      <c r="A42" s="12" t="s">
        <v>219</v>
      </c>
      <c r="B42" s="12"/>
      <c r="C42" s="12" t="s">
        <v>15</v>
      </c>
      <c r="D42" s="12"/>
      <c r="E42" s="13">
        <v>43570</v>
      </c>
      <c r="F42" s="8"/>
      <c r="G42" s="1">
        <v>1970500</v>
      </c>
      <c r="I42" s="1">
        <v>0</v>
      </c>
      <c r="K42" s="1">
        <v>9343469</v>
      </c>
      <c r="M42" s="1">
        <v>18758</v>
      </c>
      <c r="O42" s="1">
        <v>747492</v>
      </c>
      <c r="Q42" s="1">
        <v>0</v>
      </c>
      <c r="S42" s="1">
        <v>0</v>
      </c>
      <c r="U42" s="1">
        <v>0</v>
      </c>
      <c r="W42" s="1">
        <f>750+17874+33156</f>
        <v>51780</v>
      </c>
      <c r="Y42" s="41">
        <f t="shared" si="1"/>
        <v>12131999</v>
      </c>
      <c r="AA42" s="1">
        <v>0</v>
      </c>
      <c r="AE42" s="1">
        <v>0</v>
      </c>
      <c r="AG42" s="1">
        <v>0</v>
      </c>
      <c r="AI42" s="1">
        <v>0</v>
      </c>
      <c r="AK42" s="1">
        <f t="shared" si="2"/>
        <v>0</v>
      </c>
      <c r="AM42" s="1">
        <f t="shared" si="0"/>
        <v>12131999</v>
      </c>
    </row>
    <row r="43" spans="1:39">
      <c r="A43" s="17" t="s">
        <v>951</v>
      </c>
      <c r="B43" s="12"/>
      <c r="C43" s="12" t="s">
        <v>116</v>
      </c>
      <c r="D43" s="12"/>
      <c r="E43" s="13">
        <v>47274</v>
      </c>
      <c r="G43" s="1">
        <v>14178061</v>
      </c>
      <c r="I43" s="1">
        <v>0</v>
      </c>
      <c r="K43" s="1">
        <v>8161387</v>
      </c>
      <c r="M43" s="1">
        <v>1301</v>
      </c>
      <c r="O43" s="1">
        <v>392545</v>
      </c>
      <c r="Q43" s="1">
        <v>0</v>
      </c>
      <c r="S43" s="1">
        <v>0</v>
      </c>
      <c r="U43" s="1">
        <v>0</v>
      </c>
      <c r="W43" s="1">
        <f>193205+24877</f>
        <v>218082</v>
      </c>
      <c r="Y43" s="41">
        <f t="shared" ref="Y43" si="3">SUM(G43:X43)</f>
        <v>22951376</v>
      </c>
      <c r="AA43" s="1">
        <v>0</v>
      </c>
      <c r="AE43" s="1">
        <v>0</v>
      </c>
      <c r="AG43" s="1">
        <f>31428+12000</f>
        <v>43428</v>
      </c>
      <c r="AI43" s="1">
        <v>0</v>
      </c>
      <c r="AK43" s="1">
        <f t="shared" ref="AK43" si="4">SUM(AA43:AJ43)</f>
        <v>43428</v>
      </c>
      <c r="AM43" s="1">
        <f t="shared" si="0"/>
        <v>22994804</v>
      </c>
    </row>
    <row r="44" spans="1:39">
      <c r="A44" s="12" t="s">
        <v>403</v>
      </c>
      <c r="B44" s="12"/>
      <c r="C44" s="12" t="s">
        <v>37</v>
      </c>
      <c r="D44" s="12"/>
      <c r="E44" s="13">
        <v>43596</v>
      </c>
      <c r="G44" s="1">
        <v>6064408</v>
      </c>
      <c r="I44" s="1">
        <v>1560972</v>
      </c>
      <c r="K44" s="1">
        <f>10381786+54887</f>
        <v>10436673</v>
      </c>
      <c r="M44" s="1">
        <v>27334</v>
      </c>
      <c r="O44" s="1">
        <v>304731</v>
      </c>
      <c r="Q44" s="1">
        <v>17248</v>
      </c>
      <c r="S44" s="1">
        <v>0</v>
      </c>
      <c r="U44" s="1">
        <v>0</v>
      </c>
      <c r="W44" s="1">
        <f>247012+2569+56522</f>
        <v>306103</v>
      </c>
      <c r="Y44" s="41">
        <f t="shared" si="1"/>
        <v>18717469</v>
      </c>
      <c r="AA44" s="1">
        <v>0</v>
      </c>
      <c r="AE44" s="1">
        <v>0</v>
      </c>
      <c r="AG44" s="1">
        <v>17660</v>
      </c>
      <c r="AI44" s="1">
        <v>0</v>
      </c>
      <c r="AK44" s="1">
        <f t="shared" si="2"/>
        <v>17660</v>
      </c>
      <c r="AM44" s="1">
        <f t="shared" ref="AM44:AM75" si="5">+AK44+Y44</f>
        <v>18735129</v>
      </c>
    </row>
    <row r="45" spans="1:39">
      <c r="A45" s="12" t="s">
        <v>636</v>
      </c>
      <c r="B45" s="12"/>
      <c r="C45" s="12" t="s">
        <v>70</v>
      </c>
      <c r="D45" s="12"/>
      <c r="E45" s="13">
        <v>43604</v>
      </c>
      <c r="G45" s="1">
        <v>3148651</v>
      </c>
      <c r="I45" s="1">
        <v>0</v>
      </c>
      <c r="K45" s="1">
        <v>5784698</v>
      </c>
      <c r="M45" s="1">
        <v>61593</v>
      </c>
      <c r="O45" s="1">
        <v>357411</v>
      </c>
      <c r="Q45" s="1">
        <v>0</v>
      </c>
      <c r="S45" s="1">
        <v>0</v>
      </c>
      <c r="U45" s="1">
        <v>0</v>
      </c>
      <c r="W45" s="1">
        <v>9721</v>
      </c>
      <c r="Y45" s="41">
        <f t="shared" si="1"/>
        <v>9362074</v>
      </c>
      <c r="AA45" s="1">
        <v>0</v>
      </c>
      <c r="AE45" s="1">
        <v>0</v>
      </c>
      <c r="AG45" s="1">
        <v>0</v>
      </c>
      <c r="AI45" s="1">
        <v>0</v>
      </c>
      <c r="AK45" s="1">
        <f t="shared" si="2"/>
        <v>0</v>
      </c>
      <c r="AM45" s="1">
        <f t="shared" si="5"/>
        <v>9362074</v>
      </c>
    </row>
    <row r="46" spans="1:39">
      <c r="A46" s="12" t="s">
        <v>519</v>
      </c>
      <c r="B46" s="12"/>
      <c r="C46" s="12" t="s">
        <v>53</v>
      </c>
      <c r="D46" s="12"/>
      <c r="E46" s="13">
        <v>48926</v>
      </c>
      <c r="G46" s="1">
        <v>8096983</v>
      </c>
      <c r="I46" s="1">
        <v>0</v>
      </c>
      <c r="K46" s="1">
        <v>9537783</v>
      </c>
      <c r="M46" s="1">
        <v>158366</v>
      </c>
      <c r="O46" s="1">
        <v>507557</v>
      </c>
      <c r="Q46" s="1">
        <v>20718</v>
      </c>
      <c r="S46" s="1">
        <v>0</v>
      </c>
      <c r="U46" s="1">
        <v>0</v>
      </c>
      <c r="W46" s="1">
        <f>2242+300+4191+527</f>
        <v>7260</v>
      </c>
      <c r="Y46" s="41">
        <f t="shared" si="1"/>
        <v>18328667</v>
      </c>
      <c r="AA46" s="1">
        <v>0</v>
      </c>
      <c r="AE46" s="1">
        <v>0</v>
      </c>
      <c r="AG46" s="1">
        <v>4473</v>
      </c>
      <c r="AI46" s="1">
        <v>0</v>
      </c>
      <c r="AK46" s="1">
        <f t="shared" si="2"/>
        <v>4473</v>
      </c>
      <c r="AM46" s="1">
        <f t="shared" si="5"/>
        <v>18333140</v>
      </c>
    </row>
    <row r="47" spans="1:39">
      <c r="A47" s="12" t="s">
        <v>283</v>
      </c>
      <c r="B47" s="12"/>
      <c r="C47" s="12" t="s">
        <v>20</v>
      </c>
      <c r="D47" s="12"/>
      <c r="E47" s="13">
        <v>43612</v>
      </c>
      <c r="G47" s="1">
        <v>50155024</v>
      </c>
      <c r="I47" s="1">
        <v>0</v>
      </c>
      <c r="K47" s="1">
        <v>25153429</v>
      </c>
      <c r="M47" s="1">
        <v>134195</v>
      </c>
      <c r="O47" s="1">
        <v>2858763</v>
      </c>
      <c r="Q47" s="1">
        <v>0</v>
      </c>
      <c r="S47" s="1">
        <v>0</v>
      </c>
      <c r="U47" s="1">
        <v>1529</v>
      </c>
      <c r="W47" s="1">
        <f>1165753+23301+122822</f>
        <v>1311876</v>
      </c>
      <c r="Y47" s="41">
        <f t="shared" si="1"/>
        <v>79614816</v>
      </c>
      <c r="AA47" s="1">
        <v>0</v>
      </c>
      <c r="AE47" s="1">
        <v>0</v>
      </c>
      <c r="AG47" s="1">
        <v>0</v>
      </c>
      <c r="AI47" s="1">
        <v>0</v>
      </c>
      <c r="AK47" s="1">
        <f t="shared" si="2"/>
        <v>0</v>
      </c>
      <c r="AM47" s="1">
        <f t="shared" si="5"/>
        <v>79614816</v>
      </c>
    </row>
    <row r="48" spans="1:39">
      <c r="A48" s="12" t="s">
        <v>351</v>
      </c>
      <c r="B48" s="12"/>
      <c r="C48" s="12" t="s">
        <v>30</v>
      </c>
      <c r="D48" s="12"/>
      <c r="E48" s="13">
        <v>47167</v>
      </c>
      <c r="G48" s="1">
        <v>3855408</v>
      </c>
      <c r="I48" s="1">
        <v>1544686</v>
      </c>
      <c r="K48" s="1">
        <v>4576386</v>
      </c>
      <c r="M48" s="1">
        <v>13079</v>
      </c>
      <c r="O48" s="1">
        <v>194838</v>
      </c>
      <c r="Q48" s="1">
        <v>132839</v>
      </c>
      <c r="S48" s="1">
        <v>0</v>
      </c>
      <c r="U48" s="1">
        <v>4068</v>
      </c>
      <c r="W48" s="1">
        <f>2634+19758</f>
        <v>22392</v>
      </c>
      <c r="Y48" s="41">
        <f t="shared" si="1"/>
        <v>10343696</v>
      </c>
      <c r="AA48" s="1">
        <v>0</v>
      </c>
      <c r="AE48" s="1">
        <v>0</v>
      </c>
      <c r="AG48" s="1">
        <v>0</v>
      </c>
      <c r="AI48" s="1">
        <v>0</v>
      </c>
      <c r="AK48" s="1">
        <f t="shared" si="2"/>
        <v>0</v>
      </c>
      <c r="AM48" s="1">
        <f t="shared" si="5"/>
        <v>10343696</v>
      </c>
    </row>
    <row r="49" spans="1:39">
      <c r="A49" s="12" t="s">
        <v>314</v>
      </c>
      <c r="B49" s="12"/>
      <c r="C49" s="12" t="s">
        <v>24</v>
      </c>
      <c r="D49" s="12"/>
      <c r="E49" s="13">
        <v>46789</v>
      </c>
      <c r="G49" s="1">
        <v>5568603</v>
      </c>
      <c r="I49" s="1">
        <v>0</v>
      </c>
      <c r="K49" s="1">
        <f>7680701+51772</f>
        <v>7732473</v>
      </c>
      <c r="M49" s="1">
        <v>69238</v>
      </c>
      <c r="O49" s="1">
        <v>390014</v>
      </c>
      <c r="Q49" s="1">
        <v>80495</v>
      </c>
      <c r="S49" s="1">
        <v>0</v>
      </c>
      <c r="U49" s="1">
        <v>0</v>
      </c>
      <c r="W49" s="1">
        <f>22098+46728+181</f>
        <v>69007</v>
      </c>
      <c r="Y49" s="41">
        <f t="shared" si="1"/>
        <v>13909830</v>
      </c>
      <c r="AA49" s="1">
        <v>0</v>
      </c>
      <c r="AE49" s="1">
        <v>0</v>
      </c>
      <c r="AG49" s="1">
        <v>0</v>
      </c>
      <c r="AI49" s="1">
        <v>0</v>
      </c>
      <c r="AK49" s="1">
        <f t="shared" si="2"/>
        <v>0</v>
      </c>
      <c r="AM49" s="1">
        <f t="shared" si="5"/>
        <v>13909830</v>
      </c>
    </row>
    <row r="50" spans="1:39">
      <c r="A50" s="12" t="s">
        <v>322</v>
      </c>
      <c r="B50" s="12"/>
      <c r="C50" s="12" t="s">
        <v>25</v>
      </c>
      <c r="D50" s="12"/>
      <c r="E50" s="13">
        <v>46854</v>
      </c>
      <c r="G50" s="1">
        <v>2691850</v>
      </c>
      <c r="I50" s="1">
        <v>931362</v>
      </c>
      <c r="K50" s="1">
        <v>3818437</v>
      </c>
      <c r="M50" s="1">
        <v>8784</v>
      </c>
      <c r="O50" s="1">
        <v>635142</v>
      </c>
      <c r="Q50" s="1">
        <v>20265</v>
      </c>
      <c r="S50" s="1">
        <v>0</v>
      </c>
      <c r="U50" s="1">
        <v>0</v>
      </c>
      <c r="W50" s="1">
        <v>18252</v>
      </c>
      <c r="Y50" s="41">
        <f t="shared" si="1"/>
        <v>8124092</v>
      </c>
      <c r="AA50" s="1">
        <v>0</v>
      </c>
      <c r="AE50" s="1">
        <v>0</v>
      </c>
      <c r="AG50" s="1">
        <v>174603</v>
      </c>
      <c r="AI50" s="1">
        <v>0</v>
      </c>
      <c r="AK50" s="1">
        <f t="shared" si="2"/>
        <v>174603</v>
      </c>
      <c r="AM50" s="1">
        <f t="shared" si="5"/>
        <v>8298695</v>
      </c>
    </row>
    <row r="51" spans="1:39">
      <c r="A51" s="12" t="s">
        <v>487</v>
      </c>
      <c r="B51" s="12"/>
      <c r="C51" s="12" t="s">
        <v>48</v>
      </c>
      <c r="D51" s="12"/>
      <c r="E51" s="13">
        <v>48611</v>
      </c>
      <c r="G51" s="1">
        <v>3059982</v>
      </c>
      <c r="I51" s="1">
        <v>0</v>
      </c>
      <c r="K51" s="1">
        <v>3273551</v>
      </c>
      <c r="M51" s="1">
        <v>4252</v>
      </c>
      <c r="O51" s="1">
        <v>459560</v>
      </c>
      <c r="Q51" s="1">
        <v>0</v>
      </c>
      <c r="S51" s="1">
        <v>0</v>
      </c>
      <c r="U51" s="1">
        <v>0</v>
      </c>
      <c r="W51" s="1">
        <v>198728</v>
      </c>
      <c r="Y51" s="41">
        <f t="shared" si="1"/>
        <v>6996073</v>
      </c>
      <c r="AA51" s="1">
        <v>0</v>
      </c>
      <c r="AE51" s="1">
        <v>0</v>
      </c>
      <c r="AG51" s="1">
        <v>0</v>
      </c>
      <c r="AI51" s="1">
        <v>0</v>
      </c>
      <c r="AK51" s="1">
        <f t="shared" si="2"/>
        <v>0</v>
      </c>
      <c r="AM51" s="1">
        <f t="shared" si="5"/>
        <v>6996073</v>
      </c>
    </row>
    <row r="52" spans="1:39">
      <c r="A52" s="12" t="s">
        <v>252</v>
      </c>
      <c r="B52" s="12"/>
      <c r="C52" s="12" t="s">
        <v>115</v>
      </c>
      <c r="D52" s="12"/>
      <c r="E52" s="13">
        <v>46318</v>
      </c>
      <c r="F52" s="8"/>
      <c r="G52" s="1">
        <v>3104806</v>
      </c>
      <c r="I52" s="1">
        <v>0</v>
      </c>
      <c r="K52" s="1">
        <v>9616983</v>
      </c>
      <c r="M52" s="1">
        <v>8114</v>
      </c>
      <c r="O52" s="1">
        <v>1487186</v>
      </c>
      <c r="Q52" s="1">
        <v>0</v>
      </c>
      <c r="S52" s="1">
        <v>0</v>
      </c>
      <c r="U52" s="1">
        <v>993</v>
      </c>
      <c r="W52" s="1">
        <f>120964+6808</f>
        <v>127772</v>
      </c>
      <c r="Y52" s="41">
        <f t="shared" si="1"/>
        <v>14345854</v>
      </c>
      <c r="AA52" s="1">
        <v>0</v>
      </c>
      <c r="AE52" s="1">
        <v>0</v>
      </c>
      <c r="AG52" s="1">
        <v>118579</v>
      </c>
      <c r="AI52" s="1">
        <v>0</v>
      </c>
      <c r="AK52" s="1">
        <f t="shared" si="2"/>
        <v>118579</v>
      </c>
      <c r="AM52" s="1">
        <f t="shared" si="5"/>
        <v>14464433</v>
      </c>
    </row>
    <row r="53" spans="1:39" hidden="1">
      <c r="A53" s="12" t="s">
        <v>825</v>
      </c>
      <c r="B53" s="12"/>
      <c r="C53" s="12" t="s">
        <v>60</v>
      </c>
      <c r="D53" s="12"/>
      <c r="E53" s="13">
        <v>49692</v>
      </c>
      <c r="Y53" s="41">
        <f t="shared" si="1"/>
        <v>0</v>
      </c>
      <c r="AK53" s="1">
        <f t="shared" si="2"/>
        <v>0</v>
      </c>
      <c r="AM53" s="1">
        <f t="shared" si="5"/>
        <v>0</v>
      </c>
    </row>
    <row r="54" spans="1:39">
      <c r="A54" s="12" t="s">
        <v>329</v>
      </c>
      <c r="B54" s="12"/>
      <c r="C54" s="12" t="s">
        <v>27</v>
      </c>
      <c r="D54" s="12"/>
      <c r="E54" s="13">
        <v>43620</v>
      </c>
      <c r="G54" s="1">
        <v>17403315</v>
      </c>
      <c r="I54" s="1">
        <v>4471282</v>
      </c>
      <c r="K54" s="1">
        <v>6710981</v>
      </c>
      <c r="M54" s="1">
        <v>215972</v>
      </c>
      <c r="O54" s="1">
        <v>126172</v>
      </c>
      <c r="Q54" s="1">
        <v>0</v>
      </c>
      <c r="S54" s="1">
        <v>0</v>
      </c>
      <c r="U54" s="1">
        <v>0</v>
      </c>
      <c r="W54" s="1">
        <v>90758</v>
      </c>
      <c r="Y54" s="41">
        <f t="shared" si="1"/>
        <v>29018480</v>
      </c>
      <c r="AA54" s="1">
        <v>4701</v>
      </c>
      <c r="AE54" s="1">
        <v>0</v>
      </c>
      <c r="AG54" s="1">
        <v>22669</v>
      </c>
      <c r="AI54" s="1">
        <v>0</v>
      </c>
      <c r="AK54" s="1">
        <f t="shared" si="2"/>
        <v>27370</v>
      </c>
      <c r="AM54" s="1">
        <f t="shared" si="5"/>
        <v>29045850</v>
      </c>
    </row>
    <row r="55" spans="1:39">
      <c r="A55" s="12" t="s">
        <v>311</v>
      </c>
      <c r="B55" s="12"/>
      <c r="C55" s="12" t="s">
        <v>23</v>
      </c>
      <c r="D55" s="12"/>
      <c r="E55" s="13">
        <v>46748</v>
      </c>
      <c r="G55" s="1">
        <v>12699531</v>
      </c>
      <c r="I55" s="1">
        <v>4378961</v>
      </c>
      <c r="K55" s="1">
        <v>7201503</v>
      </c>
      <c r="M55" s="1">
        <v>97543</v>
      </c>
      <c r="O55" s="1">
        <v>272375</v>
      </c>
      <c r="Q55" s="1">
        <v>1139</v>
      </c>
      <c r="S55" s="1">
        <v>0</v>
      </c>
      <c r="U55" s="1">
        <v>23452</v>
      </c>
      <c r="W55" s="1">
        <f>81794+10631</f>
        <v>92425</v>
      </c>
      <c r="Y55" s="41">
        <f t="shared" si="1"/>
        <v>24766929</v>
      </c>
      <c r="AA55" s="1">
        <v>62790</v>
      </c>
      <c r="AE55" s="1">
        <v>0</v>
      </c>
      <c r="AG55" s="1">
        <v>0</v>
      </c>
      <c r="AI55" s="1">
        <v>0</v>
      </c>
      <c r="AK55" s="1">
        <f t="shared" si="2"/>
        <v>62790</v>
      </c>
      <c r="AM55" s="1">
        <f t="shared" si="5"/>
        <v>24829719</v>
      </c>
    </row>
    <row r="56" spans="1:39">
      <c r="A56" s="12" t="s">
        <v>478</v>
      </c>
      <c r="B56" s="12"/>
      <c r="C56" s="12" t="s">
        <v>47</v>
      </c>
      <c r="D56" s="12"/>
      <c r="E56" s="13">
        <v>48462</v>
      </c>
      <c r="G56" s="1">
        <v>3668219</v>
      </c>
      <c r="I56" s="1">
        <v>0</v>
      </c>
      <c r="K56" s="1">
        <v>8035601</v>
      </c>
      <c r="M56" s="1">
        <v>34538</v>
      </c>
      <c r="O56" s="1">
        <v>245347</v>
      </c>
      <c r="Q56" s="1">
        <v>0</v>
      </c>
      <c r="S56" s="1">
        <v>0</v>
      </c>
      <c r="U56" s="1">
        <v>0</v>
      </c>
      <c r="W56" s="1">
        <v>74769</v>
      </c>
      <c r="Y56" s="41">
        <f t="shared" si="1"/>
        <v>12058474</v>
      </c>
      <c r="AA56" s="1">
        <v>0</v>
      </c>
      <c r="AE56" s="1">
        <v>0</v>
      </c>
      <c r="AG56" s="1">
        <f>11131+101648</f>
        <v>112779</v>
      </c>
      <c r="AI56" s="1">
        <v>104820</v>
      </c>
      <c r="AK56" s="1">
        <f>SUM(AA56:AJ56)</f>
        <v>217599</v>
      </c>
      <c r="AM56" s="1">
        <f t="shared" si="5"/>
        <v>12276073</v>
      </c>
    </row>
    <row r="57" spans="1:39">
      <c r="A57" s="12" t="s">
        <v>259</v>
      </c>
      <c r="B57" s="12"/>
      <c r="C57" s="12" t="s">
        <v>18</v>
      </c>
      <c r="D57" s="12"/>
      <c r="E57" s="13">
        <v>46383</v>
      </c>
      <c r="F57" s="8"/>
      <c r="G57" s="1">
        <v>2574375</v>
      </c>
      <c r="I57" s="1">
        <v>0</v>
      </c>
      <c r="K57" s="1">
        <v>9307028</v>
      </c>
      <c r="M57" s="1">
        <v>52735</v>
      </c>
      <c r="O57" s="1">
        <v>1151383</v>
      </c>
      <c r="Q57" s="1">
        <v>81</v>
      </c>
      <c r="S57" s="1">
        <v>0</v>
      </c>
      <c r="U57" s="1">
        <v>0</v>
      </c>
      <c r="W57" s="1">
        <v>49722</v>
      </c>
      <c r="Y57" s="41">
        <f t="shared" si="1"/>
        <v>13135324</v>
      </c>
      <c r="AA57" s="1">
        <v>0</v>
      </c>
      <c r="AE57" s="1">
        <v>0</v>
      </c>
      <c r="AG57" s="1">
        <v>0</v>
      </c>
      <c r="AI57" s="1">
        <v>0</v>
      </c>
      <c r="AK57" s="1">
        <f t="shared" si="2"/>
        <v>0</v>
      </c>
      <c r="AM57" s="1">
        <f t="shared" si="5"/>
        <v>13135324</v>
      </c>
    </row>
    <row r="58" spans="1:39">
      <c r="A58" s="12" t="s">
        <v>323</v>
      </c>
      <c r="B58" s="12"/>
      <c r="C58" s="12" t="s">
        <v>25</v>
      </c>
      <c r="D58" s="12"/>
      <c r="E58" s="13">
        <v>46862</v>
      </c>
      <c r="G58" s="1">
        <v>5015001</v>
      </c>
      <c r="I58" s="1">
        <v>3261404</v>
      </c>
      <c r="K58" s="1">
        <v>4158646</v>
      </c>
      <c r="M58" s="1">
        <v>54182</v>
      </c>
      <c r="O58" s="1">
        <v>928639</v>
      </c>
      <c r="Q58" s="1">
        <v>0</v>
      </c>
      <c r="S58" s="1">
        <v>0</v>
      </c>
      <c r="U58" s="1">
        <v>0</v>
      </c>
      <c r="W58" s="1">
        <f>1520+43151</f>
        <v>44671</v>
      </c>
      <c r="Y58" s="41">
        <f t="shared" si="1"/>
        <v>13462543</v>
      </c>
      <c r="AA58" s="1">
        <v>0</v>
      </c>
      <c r="AE58" s="1">
        <v>0</v>
      </c>
      <c r="AG58" s="1">
        <v>0</v>
      </c>
      <c r="AI58" s="1">
        <v>0</v>
      </c>
      <c r="AK58" s="1">
        <f t="shared" si="2"/>
        <v>0</v>
      </c>
      <c r="AM58" s="1">
        <f t="shared" si="5"/>
        <v>13462543</v>
      </c>
    </row>
    <row r="59" spans="1:39">
      <c r="A59" s="12" t="s">
        <v>599</v>
      </c>
      <c r="B59" s="12"/>
      <c r="C59" s="12" t="s">
        <v>64</v>
      </c>
      <c r="D59" s="12"/>
      <c r="E59" s="13">
        <v>50096</v>
      </c>
      <c r="G59" s="1">
        <v>955305</v>
      </c>
      <c r="I59" s="1">
        <v>0</v>
      </c>
      <c r="K59" s="1">
        <v>1564443</v>
      </c>
      <c r="M59" s="1">
        <v>1658</v>
      </c>
      <c r="O59" s="1">
        <v>208758</v>
      </c>
      <c r="Q59" s="1">
        <v>0</v>
      </c>
      <c r="S59" s="1">
        <v>0</v>
      </c>
      <c r="U59" s="1">
        <v>0</v>
      </c>
      <c r="W59" s="1">
        <f>49765+5113</f>
        <v>54878</v>
      </c>
      <c r="Y59" s="41">
        <f t="shared" si="1"/>
        <v>2785042</v>
      </c>
      <c r="AA59" s="1">
        <v>0</v>
      </c>
      <c r="AE59" s="1">
        <v>0</v>
      </c>
      <c r="AG59" s="1">
        <v>0</v>
      </c>
      <c r="AI59" s="1">
        <v>0</v>
      </c>
      <c r="AK59" s="1">
        <f t="shared" si="2"/>
        <v>0</v>
      </c>
      <c r="AM59" s="1">
        <f t="shared" si="5"/>
        <v>2785042</v>
      </c>
    </row>
    <row r="60" spans="1:39">
      <c r="A60" s="12" t="s">
        <v>559</v>
      </c>
      <c r="B60" s="12"/>
      <c r="C60" s="12" t="s">
        <v>59</v>
      </c>
      <c r="D60" s="12"/>
      <c r="E60" s="13">
        <v>49593</v>
      </c>
      <c r="G60" s="1">
        <v>1052796</v>
      </c>
      <c r="I60" s="1">
        <v>0</v>
      </c>
      <c r="K60" s="1">
        <v>6001688</v>
      </c>
      <c r="M60" s="1">
        <v>12714</v>
      </c>
      <c r="O60" s="1">
        <v>818410</v>
      </c>
      <c r="Q60" s="1">
        <v>0</v>
      </c>
      <c r="S60" s="1">
        <v>0</v>
      </c>
      <c r="U60" s="1">
        <v>12500</v>
      </c>
      <c r="W60" s="1">
        <v>94490</v>
      </c>
      <c r="Y60" s="41">
        <f>SUM(G60:X60)</f>
        <v>7992598</v>
      </c>
      <c r="AA60" s="1">
        <v>0</v>
      </c>
      <c r="AE60" s="1">
        <v>0</v>
      </c>
      <c r="AG60" s="1">
        <v>2250</v>
      </c>
      <c r="AI60" s="1">
        <v>0</v>
      </c>
      <c r="AK60" s="1">
        <f>SUM(AA60:AJ60)</f>
        <v>2250</v>
      </c>
      <c r="AM60" s="1">
        <f t="shared" si="5"/>
        <v>7994848</v>
      </c>
    </row>
    <row r="61" spans="1:39" hidden="1">
      <c r="A61" s="12" t="s">
        <v>791</v>
      </c>
      <c r="B61" s="17"/>
      <c r="C61" s="17" t="s">
        <v>10</v>
      </c>
      <c r="D61" s="12"/>
      <c r="E61" s="13">
        <v>49593</v>
      </c>
      <c r="Y61" s="41">
        <f>SUM(G61:X61)</f>
        <v>0</v>
      </c>
      <c r="AK61" s="1">
        <f>SUM(AA61:AJ61)</f>
        <v>0</v>
      </c>
      <c r="AM61" s="1">
        <f t="shared" si="5"/>
        <v>0</v>
      </c>
    </row>
    <row r="62" spans="1:39">
      <c r="A62" s="12" t="s">
        <v>462</v>
      </c>
      <c r="B62" s="12"/>
      <c r="C62" s="12" t="s">
        <v>45</v>
      </c>
      <c r="D62" s="12"/>
      <c r="E62" s="13">
        <v>48306</v>
      </c>
      <c r="G62" s="1">
        <v>24979270</v>
      </c>
      <c r="I62" s="1">
        <v>0</v>
      </c>
      <c r="K62" s="1">
        <v>13850270</v>
      </c>
      <c r="M62" s="1">
        <v>87229</v>
      </c>
      <c r="O62" s="1">
        <v>464219</v>
      </c>
      <c r="Q62" s="1">
        <v>58112</v>
      </c>
      <c r="S62" s="1">
        <v>0</v>
      </c>
      <c r="U62" s="1">
        <v>0</v>
      </c>
      <c r="W62" s="1">
        <f>120749+28078</f>
        <v>148827</v>
      </c>
      <c r="Y62" s="41">
        <f t="shared" si="1"/>
        <v>39587927</v>
      </c>
      <c r="AA62" s="1">
        <v>0</v>
      </c>
      <c r="AE62" s="1">
        <v>0</v>
      </c>
      <c r="AG62" s="1">
        <v>0</v>
      </c>
      <c r="AI62" s="1">
        <v>0</v>
      </c>
      <c r="AK62" s="1">
        <f t="shared" si="2"/>
        <v>0</v>
      </c>
      <c r="AM62" s="1">
        <f t="shared" si="5"/>
        <v>39587927</v>
      </c>
    </row>
    <row r="63" spans="1:39" hidden="1">
      <c r="A63" s="12" t="s">
        <v>923</v>
      </c>
      <c r="B63" s="12"/>
      <c r="C63" s="12" t="s">
        <v>61</v>
      </c>
      <c r="D63" s="12"/>
      <c r="E63" s="13">
        <v>49767</v>
      </c>
      <c r="Y63" s="41">
        <f t="shared" si="1"/>
        <v>0</v>
      </c>
      <c r="AK63" s="1">
        <f>SUM(AA63:AJ63)</f>
        <v>0</v>
      </c>
      <c r="AM63" s="1">
        <f t="shared" si="5"/>
        <v>0</v>
      </c>
    </row>
    <row r="64" spans="1:39">
      <c r="A64" s="12" t="s">
        <v>646</v>
      </c>
      <c r="B64" s="12"/>
      <c r="C64" s="12" t="s">
        <v>72</v>
      </c>
      <c r="D64" s="12"/>
      <c r="E64" s="13">
        <v>43638</v>
      </c>
      <c r="G64" s="1">
        <v>14687799</v>
      </c>
      <c r="I64" s="1">
        <v>2569973</v>
      </c>
      <c r="K64" s="1">
        <v>10745027</v>
      </c>
      <c r="M64" s="1">
        <v>123419</v>
      </c>
      <c r="O64" s="1">
        <v>528395</v>
      </c>
      <c r="Q64" s="1">
        <v>0</v>
      </c>
      <c r="S64" s="1">
        <v>0</v>
      </c>
      <c r="U64" s="1">
        <v>0</v>
      </c>
      <c r="W64" s="1">
        <f>16810+102185</f>
        <v>118995</v>
      </c>
      <c r="Y64" s="41">
        <f t="shared" si="1"/>
        <v>28773608</v>
      </c>
      <c r="AA64" s="1">
        <v>0</v>
      </c>
      <c r="AE64" s="1">
        <v>0</v>
      </c>
      <c r="AG64" s="1">
        <f>17200+14858</f>
        <v>32058</v>
      </c>
      <c r="AI64" s="1">
        <v>0</v>
      </c>
      <c r="AK64" s="1">
        <f t="shared" si="2"/>
        <v>32058</v>
      </c>
      <c r="AM64" s="1">
        <f t="shared" si="5"/>
        <v>28805666</v>
      </c>
    </row>
    <row r="65" spans="1:39" hidden="1">
      <c r="A65" s="12" t="s">
        <v>832</v>
      </c>
      <c r="B65" s="12"/>
      <c r="C65" s="12" t="s">
        <v>48</v>
      </c>
      <c r="D65" s="12"/>
      <c r="E65" s="13">
        <v>43646</v>
      </c>
      <c r="Y65" s="41">
        <f>SUM(G65:X65)</f>
        <v>0</v>
      </c>
      <c r="AG65" s="1">
        <v>0</v>
      </c>
      <c r="AK65" s="1">
        <f>SUM(AA65:AJ65)</f>
        <v>0</v>
      </c>
      <c r="AM65" s="1">
        <f t="shared" si="5"/>
        <v>0</v>
      </c>
    </row>
    <row r="66" spans="1:39">
      <c r="A66" s="12" t="s">
        <v>772</v>
      </c>
      <c r="B66" s="12"/>
      <c r="C66" s="12" t="s">
        <v>20</v>
      </c>
      <c r="D66" s="12"/>
      <c r="E66" s="13">
        <v>43646</v>
      </c>
      <c r="G66" s="1">
        <v>31495016</v>
      </c>
      <c r="I66" s="1">
        <v>0</v>
      </c>
      <c r="K66" s="1">
        <v>13183384</v>
      </c>
      <c r="M66" s="1">
        <v>66239</v>
      </c>
      <c r="O66" s="1">
        <v>482553</v>
      </c>
      <c r="Q66" s="1">
        <v>497096</v>
      </c>
      <c r="S66" s="1">
        <v>1884</v>
      </c>
      <c r="U66" s="1">
        <v>17540</v>
      </c>
      <c r="W66" s="1">
        <f>130741+36172+45986</f>
        <v>212899</v>
      </c>
      <c r="Y66" s="41">
        <f t="shared" si="1"/>
        <v>45956611</v>
      </c>
      <c r="AA66" s="1">
        <v>0</v>
      </c>
      <c r="AE66" s="1">
        <v>0</v>
      </c>
      <c r="AG66" s="1">
        <v>0</v>
      </c>
      <c r="AI66" s="1">
        <v>0</v>
      </c>
      <c r="AK66" s="1">
        <f t="shared" si="2"/>
        <v>0</v>
      </c>
      <c r="AM66" s="1">
        <f t="shared" si="5"/>
        <v>45956611</v>
      </c>
    </row>
    <row r="67" spans="1:39">
      <c r="A67" s="17" t="s">
        <v>220</v>
      </c>
      <c r="B67" s="12"/>
      <c r="C67" s="12" t="s">
        <v>15</v>
      </c>
      <c r="D67" s="12"/>
      <c r="E67" s="13">
        <v>45237</v>
      </c>
      <c r="F67" s="8"/>
      <c r="G67" s="1">
        <v>1548895</v>
      </c>
      <c r="I67" s="1">
        <v>0</v>
      </c>
      <c r="K67" s="1">
        <f>4573131+31213</f>
        <v>4604344</v>
      </c>
      <c r="M67" s="1">
        <v>849</v>
      </c>
      <c r="O67" s="1">
        <v>410891</v>
      </c>
      <c r="Q67" s="1">
        <v>0</v>
      </c>
      <c r="S67" s="1">
        <v>0</v>
      </c>
      <c r="U67" s="1">
        <v>0</v>
      </c>
      <c r="W67" s="1">
        <f>31338+6374</f>
        <v>37712</v>
      </c>
      <c r="Y67" s="41">
        <f t="shared" si="1"/>
        <v>6602691</v>
      </c>
      <c r="AA67" s="1">
        <v>0</v>
      </c>
      <c r="AE67" s="1">
        <v>0</v>
      </c>
      <c r="AG67" s="1">
        <v>0</v>
      </c>
      <c r="AI67" s="1">
        <v>0</v>
      </c>
      <c r="AK67" s="1">
        <f t="shared" si="2"/>
        <v>0</v>
      </c>
      <c r="AM67" s="1">
        <f t="shared" si="5"/>
        <v>6602691</v>
      </c>
    </row>
    <row r="68" spans="1:39">
      <c r="A68" s="12" t="s">
        <v>394</v>
      </c>
      <c r="B68" s="12"/>
      <c r="C68" s="12" t="s">
        <v>395</v>
      </c>
      <c r="D68" s="12"/>
      <c r="E68" s="13">
        <v>47613</v>
      </c>
      <c r="G68" s="1">
        <v>1459737</v>
      </c>
      <c r="I68" s="1">
        <v>0</v>
      </c>
      <c r="K68" s="1">
        <v>4887779</v>
      </c>
      <c r="M68" s="1">
        <v>8788</v>
      </c>
      <c r="O68" s="1">
        <v>440343</v>
      </c>
      <c r="Q68" s="1">
        <v>0</v>
      </c>
      <c r="S68" s="1">
        <v>0</v>
      </c>
      <c r="U68" s="1">
        <v>0</v>
      </c>
      <c r="W68" s="1">
        <f>8390+2490</f>
        <v>10880</v>
      </c>
      <c r="Y68" s="41">
        <f t="shared" si="1"/>
        <v>6807527</v>
      </c>
      <c r="AA68" s="1">
        <v>0</v>
      </c>
      <c r="AE68" s="1">
        <v>0</v>
      </c>
      <c r="AG68" s="1">
        <v>0</v>
      </c>
      <c r="AI68" s="1">
        <v>0</v>
      </c>
      <c r="AK68" s="1">
        <f t="shared" si="2"/>
        <v>0</v>
      </c>
      <c r="AM68" s="1">
        <f t="shared" si="5"/>
        <v>6807527</v>
      </c>
    </row>
    <row r="69" spans="1:39">
      <c r="A69" s="12" t="s">
        <v>600</v>
      </c>
      <c r="B69" s="12"/>
      <c r="C69" s="12" t="s">
        <v>64</v>
      </c>
      <c r="D69" s="12"/>
      <c r="E69" s="13">
        <v>50112</v>
      </c>
      <c r="G69" s="1">
        <v>1584809</v>
      </c>
      <c r="I69" s="1">
        <v>0</v>
      </c>
      <c r="K69" s="1">
        <v>3673722</v>
      </c>
      <c r="M69" s="1">
        <v>3900</v>
      </c>
      <c r="O69" s="1">
        <v>314313</v>
      </c>
      <c r="Q69" s="1">
        <v>0</v>
      </c>
      <c r="S69" s="1">
        <v>0</v>
      </c>
      <c r="U69" s="1">
        <v>0</v>
      </c>
      <c r="W69" s="1">
        <v>19490</v>
      </c>
      <c r="Y69" s="41">
        <f t="shared" si="1"/>
        <v>5596234</v>
      </c>
      <c r="AA69" s="1">
        <v>0</v>
      </c>
      <c r="AE69" s="1">
        <v>0</v>
      </c>
      <c r="AG69" s="1">
        <v>0</v>
      </c>
      <c r="AI69" s="1">
        <v>0</v>
      </c>
      <c r="AK69" s="1">
        <f t="shared" si="2"/>
        <v>0</v>
      </c>
      <c r="AM69" s="1">
        <f t="shared" si="5"/>
        <v>5596234</v>
      </c>
    </row>
    <row r="70" spans="1:39">
      <c r="A70" s="12" t="s">
        <v>827</v>
      </c>
      <c r="B70" s="12"/>
      <c r="C70" s="12" t="s">
        <v>64</v>
      </c>
      <c r="D70" s="12"/>
      <c r="E70" s="13">
        <v>50120</v>
      </c>
      <c r="G70" s="1">
        <v>2688717</v>
      </c>
      <c r="I70" s="1">
        <v>0</v>
      </c>
      <c r="K70" s="1">
        <f>6263871+41261</f>
        <v>6305132</v>
      </c>
      <c r="M70" s="1">
        <v>2826</v>
      </c>
      <c r="O70" s="1">
        <v>276411</v>
      </c>
      <c r="Q70" s="1">
        <v>0</v>
      </c>
      <c r="S70" s="1">
        <v>0</v>
      </c>
      <c r="U70" s="1">
        <v>0</v>
      </c>
      <c r="W70" s="1">
        <f>53023+7585+863</f>
        <v>61471</v>
      </c>
      <c r="Y70" s="41">
        <f t="shared" si="1"/>
        <v>9334557</v>
      </c>
      <c r="AA70" s="1">
        <v>0</v>
      </c>
      <c r="AE70" s="1">
        <v>0</v>
      </c>
      <c r="AG70" s="1">
        <v>0</v>
      </c>
      <c r="AI70" s="1">
        <v>0</v>
      </c>
      <c r="AK70" s="1">
        <f t="shared" si="2"/>
        <v>0</v>
      </c>
      <c r="AM70" s="1">
        <f t="shared" si="5"/>
        <v>9334557</v>
      </c>
    </row>
    <row r="71" spans="1:39">
      <c r="A71" s="12" t="s">
        <v>284</v>
      </c>
      <c r="B71" s="12"/>
      <c r="C71" s="12" t="s">
        <v>20</v>
      </c>
      <c r="D71" s="12"/>
      <c r="E71" s="13">
        <v>43653</v>
      </c>
      <c r="G71" s="1">
        <v>9523277</v>
      </c>
      <c r="I71" s="1">
        <v>0</v>
      </c>
      <c r="K71" s="1">
        <v>4543432</v>
      </c>
      <c r="M71" s="1">
        <v>319</v>
      </c>
      <c r="O71" s="1">
        <v>187184</v>
      </c>
      <c r="Q71" s="1">
        <v>0</v>
      </c>
      <c r="S71" s="1">
        <v>0</v>
      </c>
      <c r="U71" s="1">
        <v>0</v>
      </c>
      <c r="W71" s="1">
        <f>1820+124509</f>
        <v>126329</v>
      </c>
      <c r="Y71" s="41">
        <f t="shared" si="1"/>
        <v>14380541</v>
      </c>
      <c r="AA71" s="1">
        <v>0</v>
      </c>
      <c r="AE71" s="1">
        <v>0</v>
      </c>
      <c r="AG71" s="1">
        <v>0</v>
      </c>
      <c r="AI71" s="1">
        <v>0</v>
      </c>
      <c r="AK71" s="1">
        <f t="shared" si="2"/>
        <v>0</v>
      </c>
      <c r="AM71" s="1">
        <f t="shared" si="5"/>
        <v>14380541</v>
      </c>
    </row>
    <row r="72" spans="1:39">
      <c r="A72" s="12" t="s">
        <v>494</v>
      </c>
      <c r="B72" s="12"/>
      <c r="C72" s="12" t="s">
        <v>50</v>
      </c>
      <c r="D72" s="12"/>
      <c r="E72" s="13">
        <v>48678</v>
      </c>
      <c r="G72" s="1">
        <v>5070165</v>
      </c>
      <c r="I72" s="1">
        <v>0</v>
      </c>
      <c r="K72" s="1">
        <v>6351302</v>
      </c>
      <c r="M72" s="1">
        <v>0</v>
      </c>
      <c r="O72" s="1">
        <v>261825</v>
      </c>
      <c r="Q72" s="1">
        <v>51255</v>
      </c>
      <c r="S72" s="1">
        <v>138359</v>
      </c>
      <c r="U72" s="1">
        <v>0</v>
      </c>
      <c r="W72" s="1">
        <f>25+105587</f>
        <v>105612</v>
      </c>
      <c r="Y72" s="41">
        <f t="shared" si="1"/>
        <v>11978518</v>
      </c>
      <c r="AA72" s="1">
        <v>0</v>
      </c>
      <c r="AE72" s="1">
        <v>0</v>
      </c>
      <c r="AG72" s="1">
        <v>3900</v>
      </c>
      <c r="AI72" s="1">
        <v>0</v>
      </c>
      <c r="AK72" s="1">
        <f t="shared" si="2"/>
        <v>3900</v>
      </c>
      <c r="AM72" s="1">
        <f t="shared" si="5"/>
        <v>11982418</v>
      </c>
    </row>
    <row r="73" spans="1:39">
      <c r="A73" s="12" t="s">
        <v>237</v>
      </c>
      <c r="B73" s="12"/>
      <c r="C73" s="12" t="s">
        <v>16</v>
      </c>
      <c r="D73" s="12"/>
      <c r="E73" s="13">
        <v>46177</v>
      </c>
      <c r="F73" s="8"/>
      <c r="G73" s="1">
        <v>2510757</v>
      </c>
      <c r="I73" s="1">
        <v>0</v>
      </c>
      <c r="K73" s="1">
        <v>3196599</v>
      </c>
      <c r="M73" s="1">
        <v>33197</v>
      </c>
      <c r="O73" s="1">
        <v>325488</v>
      </c>
      <c r="Q73" s="1">
        <v>26839</v>
      </c>
      <c r="S73" s="1">
        <v>0</v>
      </c>
      <c r="U73" s="1">
        <v>3790</v>
      </c>
      <c r="W73" s="1">
        <f>5000+22767</f>
        <v>27767</v>
      </c>
      <c r="Y73" s="41">
        <f t="shared" si="1"/>
        <v>6124437</v>
      </c>
      <c r="AA73" s="1">
        <v>0</v>
      </c>
      <c r="AE73" s="1">
        <v>0</v>
      </c>
      <c r="AG73" s="1">
        <v>0</v>
      </c>
      <c r="AI73" s="1">
        <v>0</v>
      </c>
      <c r="AK73" s="1">
        <f t="shared" si="2"/>
        <v>0</v>
      </c>
      <c r="AM73" s="1">
        <f t="shared" si="5"/>
        <v>6124437</v>
      </c>
    </row>
    <row r="74" spans="1:39">
      <c r="A74" s="12" t="s">
        <v>479</v>
      </c>
      <c r="B74" s="12"/>
      <c r="C74" s="12" t="s">
        <v>47</v>
      </c>
      <c r="D74" s="12"/>
      <c r="E74" s="13">
        <v>43661</v>
      </c>
      <c r="G74" s="1">
        <v>35797286</v>
      </c>
      <c r="I74" s="1">
        <v>0</v>
      </c>
      <c r="K74" s="1">
        <v>27703624</v>
      </c>
      <c r="M74" s="1">
        <v>29060</v>
      </c>
      <c r="O74" s="1">
        <v>728355</v>
      </c>
      <c r="Q74" s="1">
        <v>150742</v>
      </c>
      <c r="S74" s="1">
        <v>0</v>
      </c>
      <c r="U74" s="1">
        <v>94</v>
      </c>
      <c r="W74" s="1">
        <f>71567+64297</f>
        <v>135864</v>
      </c>
      <c r="Y74" s="41">
        <f t="shared" si="1"/>
        <v>64545025</v>
      </c>
      <c r="AA74" s="1">
        <v>0</v>
      </c>
      <c r="AE74" s="1">
        <v>0</v>
      </c>
      <c r="AG74" s="1">
        <v>0</v>
      </c>
      <c r="AI74" s="1">
        <v>0</v>
      </c>
      <c r="AK74" s="1">
        <f t="shared" si="2"/>
        <v>0</v>
      </c>
      <c r="AM74" s="1">
        <f t="shared" si="5"/>
        <v>64545025</v>
      </c>
    </row>
    <row r="75" spans="1:39" hidden="1">
      <c r="A75" s="12" t="s">
        <v>829</v>
      </c>
      <c r="B75" s="12"/>
      <c r="C75" s="12" t="s">
        <v>643</v>
      </c>
      <c r="D75" s="12"/>
      <c r="E75" s="13">
        <v>43679</v>
      </c>
      <c r="Y75" s="41">
        <f t="shared" si="1"/>
        <v>0</v>
      </c>
      <c r="AK75" s="1">
        <f t="shared" si="2"/>
        <v>0</v>
      </c>
      <c r="AM75" s="1">
        <f t="shared" si="5"/>
        <v>0</v>
      </c>
    </row>
    <row r="76" spans="1:39">
      <c r="A76" s="12" t="s">
        <v>275</v>
      </c>
      <c r="B76" s="12"/>
      <c r="C76" s="12" t="s">
        <v>113</v>
      </c>
      <c r="D76" s="12"/>
      <c r="E76" s="13">
        <v>46508</v>
      </c>
      <c r="F76" s="8"/>
      <c r="G76" s="1">
        <v>1721668</v>
      </c>
      <c r="I76" s="1">
        <v>1362724</v>
      </c>
      <c r="K76" s="1">
        <f>4584549+17484</f>
        <v>4602033</v>
      </c>
      <c r="M76" s="1">
        <v>17733</v>
      </c>
      <c r="O76" s="1">
        <v>182343</v>
      </c>
      <c r="Q76" s="1">
        <v>0</v>
      </c>
      <c r="S76" s="1">
        <v>0</v>
      </c>
      <c r="U76" s="1">
        <v>0</v>
      </c>
      <c r="W76" s="1">
        <f>86920+10003</f>
        <v>96923</v>
      </c>
      <c r="Y76" s="41">
        <f t="shared" si="1"/>
        <v>7983424</v>
      </c>
      <c r="AA76" s="1">
        <v>0</v>
      </c>
      <c r="AE76" s="1">
        <v>0</v>
      </c>
      <c r="AG76" s="1">
        <v>111488</v>
      </c>
      <c r="AI76" s="1">
        <v>0</v>
      </c>
      <c r="AK76" s="1">
        <f t="shared" si="2"/>
        <v>111488</v>
      </c>
      <c r="AM76" s="1">
        <f t="shared" ref="AM76:AM86" si="6">+AK76+Y76</f>
        <v>8094912</v>
      </c>
    </row>
    <row r="77" spans="1:39">
      <c r="A77" s="12" t="s">
        <v>209</v>
      </c>
      <c r="B77" s="12"/>
      <c r="C77" s="12" t="s">
        <v>12</v>
      </c>
      <c r="D77" s="12"/>
      <c r="E77" s="13">
        <v>45856</v>
      </c>
      <c r="F77" s="8"/>
      <c r="G77" s="1">
        <v>6587840</v>
      </c>
      <c r="I77" s="1">
        <v>0</v>
      </c>
      <c r="K77" s="1">
        <v>10055165</v>
      </c>
      <c r="M77" s="1">
        <v>35242</v>
      </c>
      <c r="O77" s="1">
        <v>1125341</v>
      </c>
      <c r="Q77" s="1">
        <v>0</v>
      </c>
      <c r="S77" s="1">
        <v>0</v>
      </c>
      <c r="U77" s="1">
        <v>400</v>
      </c>
      <c r="W77" s="1">
        <f>8790+1855</f>
        <v>10645</v>
      </c>
      <c r="Y77" s="41">
        <f t="shared" si="1"/>
        <v>17814633</v>
      </c>
      <c r="AA77" s="1">
        <v>0</v>
      </c>
      <c r="AE77" s="1">
        <v>0</v>
      </c>
      <c r="AG77" s="1">
        <v>0</v>
      </c>
      <c r="AI77" s="1">
        <v>0</v>
      </c>
      <c r="AK77" s="1">
        <f t="shared" si="2"/>
        <v>0</v>
      </c>
      <c r="AM77" s="1">
        <f t="shared" si="6"/>
        <v>17814633</v>
      </c>
    </row>
    <row r="78" spans="1:39">
      <c r="A78" s="12" t="s">
        <v>209</v>
      </c>
      <c r="B78" s="12"/>
      <c r="C78" s="12" t="s">
        <v>39</v>
      </c>
      <c r="D78" s="12"/>
      <c r="E78" s="13">
        <v>47787</v>
      </c>
      <c r="G78" s="1">
        <v>6384889</v>
      </c>
      <c r="I78" s="1">
        <v>0</v>
      </c>
      <c r="K78" s="1">
        <v>10735892</v>
      </c>
      <c r="M78" s="1">
        <v>11404</v>
      </c>
      <c r="O78" s="1">
        <v>518136</v>
      </c>
      <c r="Q78" s="1">
        <v>0</v>
      </c>
      <c r="S78" s="1">
        <v>0</v>
      </c>
      <c r="U78" s="1">
        <v>8711</v>
      </c>
      <c r="W78" s="1">
        <v>2510</v>
      </c>
      <c r="Y78" s="41">
        <f t="shared" si="1"/>
        <v>17661542</v>
      </c>
      <c r="AA78" s="1">
        <v>0</v>
      </c>
      <c r="AE78" s="1">
        <v>0</v>
      </c>
      <c r="AG78" s="1">
        <v>0</v>
      </c>
      <c r="AI78" s="1">
        <v>0</v>
      </c>
      <c r="AK78" s="1">
        <f t="shared" si="2"/>
        <v>0</v>
      </c>
      <c r="AM78" s="1">
        <f t="shared" si="6"/>
        <v>17661542</v>
      </c>
    </row>
    <row r="79" spans="1:39">
      <c r="A79" s="12" t="s">
        <v>830</v>
      </c>
      <c r="B79" s="12"/>
      <c r="C79" s="12" t="s">
        <v>47</v>
      </c>
      <c r="D79" s="12"/>
      <c r="E79" s="13">
        <v>48470</v>
      </c>
      <c r="G79" s="1">
        <v>9013374</v>
      </c>
      <c r="I79" s="1">
        <v>0</v>
      </c>
      <c r="K79" s="1">
        <v>8947827</v>
      </c>
      <c r="M79" s="1">
        <v>7920</v>
      </c>
      <c r="O79" s="1">
        <v>117973</v>
      </c>
      <c r="Q79" s="1">
        <v>0</v>
      </c>
      <c r="S79" s="1">
        <v>0</v>
      </c>
      <c r="U79" s="1">
        <v>0</v>
      </c>
      <c r="W79" s="1">
        <f>56385+169817</f>
        <v>226202</v>
      </c>
      <c r="Y79" s="41">
        <f>SUM(G79:X79)</f>
        <v>18313296</v>
      </c>
      <c r="AA79" s="1">
        <v>0</v>
      </c>
      <c r="AE79" s="1">
        <v>0</v>
      </c>
      <c r="AG79" s="1">
        <v>7165</v>
      </c>
      <c r="AI79" s="1">
        <v>0</v>
      </c>
      <c r="AK79" s="1">
        <f>SUM(AA79:AJ79)</f>
        <v>7165</v>
      </c>
      <c r="AM79" s="1">
        <f t="shared" si="6"/>
        <v>18320461</v>
      </c>
    </row>
    <row r="80" spans="1:39">
      <c r="A80" s="1" t="s">
        <v>775</v>
      </c>
      <c r="B80" s="12"/>
      <c r="C80" s="12" t="s">
        <v>114</v>
      </c>
      <c r="D80" s="12"/>
      <c r="E80" s="13">
        <v>46755</v>
      </c>
      <c r="G80" s="1">
        <v>0</v>
      </c>
      <c r="I80" s="1">
        <v>0</v>
      </c>
      <c r="K80" s="1">
        <f>940550+1712233</f>
        <v>2652783</v>
      </c>
      <c r="M80" s="1">
        <v>0</v>
      </c>
      <c r="O80" s="1">
        <v>0</v>
      </c>
      <c r="Q80" s="1">
        <v>0</v>
      </c>
      <c r="S80" s="1">
        <v>0</v>
      </c>
      <c r="U80" s="1">
        <v>8791004</v>
      </c>
      <c r="W80" s="1">
        <v>3423</v>
      </c>
      <c r="Y80" s="41">
        <f>SUM(G80:X80)</f>
        <v>11447210</v>
      </c>
      <c r="AA80" s="1">
        <v>0</v>
      </c>
      <c r="AE80" s="1">
        <v>0</v>
      </c>
      <c r="AG80" s="1">
        <v>0</v>
      </c>
      <c r="AI80" s="1">
        <v>0</v>
      </c>
      <c r="AK80" s="1">
        <f>SUM(AA80:AJ80)</f>
        <v>0</v>
      </c>
      <c r="AM80" s="1">
        <f t="shared" si="6"/>
        <v>11447210</v>
      </c>
    </row>
    <row r="81" spans="1:39">
      <c r="A81" s="12" t="s">
        <v>312</v>
      </c>
      <c r="B81" s="12"/>
      <c r="C81" s="12" t="s">
        <v>23</v>
      </c>
      <c r="D81" s="12"/>
      <c r="E81" s="13">
        <v>46755</v>
      </c>
      <c r="G81" s="1">
        <v>8867026</v>
      </c>
      <c r="I81" s="1">
        <v>4363146</v>
      </c>
      <c r="K81" s="1">
        <f>6380018+43458</f>
        <v>6423476</v>
      </c>
      <c r="M81" s="1">
        <v>13661</v>
      </c>
      <c r="O81" s="1">
        <v>610764</v>
      </c>
      <c r="Q81" s="1">
        <v>26239</v>
      </c>
      <c r="S81" s="1">
        <v>0</v>
      </c>
      <c r="U81" s="1">
        <v>4208</v>
      </c>
      <c r="W81" s="1">
        <f>37816+2305+9170+46771</f>
        <v>96062</v>
      </c>
      <c r="Y81" s="41">
        <f>SUM(G81:X81)</f>
        <v>20404582</v>
      </c>
      <c r="AA81" s="1">
        <v>0</v>
      </c>
      <c r="AE81" s="1">
        <v>0</v>
      </c>
      <c r="AG81" s="1">
        <v>0</v>
      </c>
      <c r="AI81" s="1">
        <v>0</v>
      </c>
      <c r="AK81" s="1">
        <f>SUM(AA81:AJ81)</f>
        <v>0</v>
      </c>
      <c r="AM81" s="1">
        <f t="shared" si="6"/>
        <v>20404582</v>
      </c>
    </row>
    <row r="82" spans="1:39">
      <c r="A82" s="12" t="s">
        <v>276</v>
      </c>
      <c r="B82" s="12"/>
      <c r="C82" s="12" t="s">
        <v>113</v>
      </c>
      <c r="D82" s="12"/>
      <c r="E82" s="13">
        <v>43687</v>
      </c>
      <c r="F82" s="8"/>
      <c r="G82" s="1">
        <v>3977654</v>
      </c>
      <c r="I82" s="1">
        <v>0</v>
      </c>
      <c r="K82" s="1">
        <v>9495137</v>
      </c>
      <c r="M82" s="1">
        <v>70153</v>
      </c>
      <c r="O82" s="1">
        <v>559021</v>
      </c>
      <c r="Q82" s="1">
        <v>2014</v>
      </c>
      <c r="S82" s="1">
        <v>47475</v>
      </c>
      <c r="U82" s="1">
        <v>1595</v>
      </c>
      <c r="W82" s="1">
        <v>162354</v>
      </c>
      <c r="Y82" s="41">
        <f>SUM(G82:X82)</f>
        <v>14315403</v>
      </c>
      <c r="AA82" s="1">
        <v>0</v>
      </c>
      <c r="AE82" s="1">
        <v>0</v>
      </c>
      <c r="AG82" s="1">
        <v>0</v>
      </c>
      <c r="AI82" s="1">
        <v>0</v>
      </c>
      <c r="AK82" s="1">
        <f>SUM(AA82:AJ82)</f>
        <v>0</v>
      </c>
      <c r="AM82" s="1">
        <f t="shared" si="6"/>
        <v>14315403</v>
      </c>
    </row>
    <row r="83" spans="1:39">
      <c r="A83" s="12" t="s">
        <v>517</v>
      </c>
      <c r="B83" s="12"/>
      <c r="C83" s="12" t="s">
        <v>52</v>
      </c>
      <c r="D83" s="12"/>
      <c r="E83" s="13">
        <v>45252</v>
      </c>
      <c r="G83" s="1">
        <v>2583094</v>
      </c>
      <c r="I83" s="1">
        <v>0</v>
      </c>
      <c r="K83" s="1">
        <v>4444742</v>
      </c>
      <c r="M83" s="1">
        <v>14018</v>
      </c>
      <c r="O83" s="1">
        <v>295935</v>
      </c>
      <c r="Q83" s="1">
        <v>53</v>
      </c>
      <c r="S83" s="1">
        <v>0</v>
      </c>
      <c r="U83" s="1">
        <v>11100</v>
      </c>
      <c r="W83" s="1">
        <v>11219</v>
      </c>
      <c r="Y83" s="41">
        <f t="shared" ref="Y83" si="7">SUM(G83:X83)</f>
        <v>7360161</v>
      </c>
      <c r="AA83" s="1">
        <v>0</v>
      </c>
      <c r="AE83" s="1">
        <v>0</v>
      </c>
      <c r="AG83" s="1">
        <v>5300</v>
      </c>
      <c r="AI83" s="1">
        <v>0</v>
      </c>
      <c r="AK83" s="1">
        <f t="shared" ref="AK83:AK102" si="8">SUM(AA83:AJ83)</f>
        <v>5300</v>
      </c>
      <c r="AM83" s="1">
        <f t="shared" si="6"/>
        <v>7365461</v>
      </c>
    </row>
    <row r="84" spans="1:39">
      <c r="A84" s="12" t="s">
        <v>360</v>
      </c>
      <c r="B84" s="12"/>
      <c r="C84" s="12" t="s">
        <v>31</v>
      </c>
      <c r="D84" s="12"/>
      <c r="E84" s="13">
        <v>43695</v>
      </c>
      <c r="G84" s="1">
        <v>4112960</v>
      </c>
      <c r="I84" s="1">
        <v>0</v>
      </c>
      <c r="K84" s="1">
        <v>13160393</v>
      </c>
      <c r="M84" s="1">
        <v>16642</v>
      </c>
      <c r="O84" s="1">
        <v>656044</v>
      </c>
      <c r="Q84" s="1">
        <v>20390</v>
      </c>
      <c r="S84" s="1">
        <v>0</v>
      </c>
      <c r="U84" s="1">
        <v>0</v>
      </c>
      <c r="W84" s="1">
        <f>150+48960</f>
        <v>49110</v>
      </c>
      <c r="Y84" s="41">
        <f t="shared" ref="Y84:Y102" si="9">SUM(G84:X84)</f>
        <v>18015539</v>
      </c>
      <c r="AA84" s="1">
        <v>0</v>
      </c>
      <c r="AE84" s="1">
        <v>0</v>
      </c>
      <c r="AG84" s="1">
        <v>0</v>
      </c>
      <c r="AI84" s="1">
        <v>0</v>
      </c>
      <c r="AK84" s="1">
        <f>SUM(AA84:AJ84)</f>
        <v>0</v>
      </c>
      <c r="AM84" s="1">
        <f t="shared" si="6"/>
        <v>18015539</v>
      </c>
    </row>
    <row r="85" spans="1:39">
      <c r="A85" s="12" t="s">
        <v>463</v>
      </c>
      <c r="B85" s="12"/>
      <c r="C85" s="12" t="s">
        <v>45</v>
      </c>
      <c r="D85" s="12"/>
      <c r="E85" s="13">
        <v>43703</v>
      </c>
      <c r="G85" s="1">
        <v>2033423</v>
      </c>
      <c r="I85" s="1">
        <v>0</v>
      </c>
      <c r="K85" s="1">
        <v>11013030</v>
      </c>
      <c r="M85" s="1">
        <v>3697</v>
      </c>
      <c r="O85" s="1">
        <v>41177</v>
      </c>
      <c r="Q85" s="1">
        <v>0</v>
      </c>
      <c r="S85" s="1">
        <v>0</v>
      </c>
      <c r="U85" s="1">
        <v>838</v>
      </c>
      <c r="W85" s="1">
        <v>12801</v>
      </c>
      <c r="Y85" s="41">
        <f t="shared" si="9"/>
        <v>13104966</v>
      </c>
      <c r="AA85" s="1">
        <v>0</v>
      </c>
      <c r="AE85" s="1">
        <v>0</v>
      </c>
      <c r="AG85" s="1">
        <v>0</v>
      </c>
      <c r="AI85" s="1">
        <v>0</v>
      </c>
      <c r="AK85" s="1">
        <f t="shared" si="8"/>
        <v>0</v>
      </c>
      <c r="AM85" s="1">
        <f t="shared" si="6"/>
        <v>13104966</v>
      </c>
    </row>
    <row r="86" spans="1:39">
      <c r="A86" s="12" t="s">
        <v>330</v>
      </c>
      <c r="B86" s="12"/>
      <c r="C86" s="12" t="s">
        <v>27</v>
      </c>
      <c r="D86" s="12"/>
      <c r="E86" s="13">
        <v>46946</v>
      </c>
      <c r="G86" s="1">
        <v>17393761</v>
      </c>
      <c r="I86" s="1">
        <v>0</v>
      </c>
      <c r="K86" s="1">
        <f>15179937+45095</f>
        <v>15225032</v>
      </c>
      <c r="M86" s="1">
        <v>57062</v>
      </c>
      <c r="O86" s="1">
        <v>125013</v>
      </c>
      <c r="Q86" s="1">
        <v>141475</v>
      </c>
      <c r="S86" s="1">
        <v>0</v>
      </c>
      <c r="U86" s="1">
        <v>0</v>
      </c>
      <c r="W86" s="1">
        <f>315659+166571+56336</f>
        <v>538566</v>
      </c>
      <c r="Y86" s="41">
        <f t="shared" si="9"/>
        <v>33480909</v>
      </c>
      <c r="AA86" s="1">
        <v>0</v>
      </c>
      <c r="AE86" s="1">
        <v>0</v>
      </c>
      <c r="AG86" s="1">
        <v>0</v>
      </c>
      <c r="AI86" s="1">
        <v>0</v>
      </c>
      <c r="AK86" s="1">
        <f t="shared" si="8"/>
        <v>0</v>
      </c>
      <c r="AM86" s="1">
        <f t="shared" si="6"/>
        <v>33480909</v>
      </c>
    </row>
    <row r="87" spans="1:39">
      <c r="A87" s="12"/>
      <c r="B87" s="12"/>
      <c r="C87" s="12"/>
      <c r="D87" s="12"/>
      <c r="E87" s="13"/>
      <c r="Y87" s="41"/>
    </row>
    <row r="88" spans="1:39">
      <c r="A88" s="12"/>
      <c r="B88" s="12"/>
      <c r="C88" s="12"/>
      <c r="D88" s="12"/>
      <c r="E88" s="13"/>
      <c r="Y88" s="41"/>
      <c r="AM88" s="20" t="s">
        <v>709</v>
      </c>
    </row>
    <row r="89" spans="1:39">
      <c r="A89" s="12"/>
      <c r="B89" s="12"/>
      <c r="C89" s="12"/>
      <c r="D89" s="12"/>
      <c r="E89" s="13"/>
      <c r="Y89" s="41"/>
    </row>
    <row r="90" spans="1:39">
      <c r="A90" s="12" t="s">
        <v>464</v>
      </c>
      <c r="B90" s="12"/>
      <c r="C90" s="12" t="s">
        <v>45</v>
      </c>
      <c r="D90" s="12"/>
      <c r="E90" s="13">
        <v>48314</v>
      </c>
      <c r="G90" s="16">
        <v>14285139</v>
      </c>
      <c r="H90" s="16"/>
      <c r="I90" s="16">
        <v>0</v>
      </c>
      <c r="J90" s="16"/>
      <c r="K90" s="16">
        <v>9026134</v>
      </c>
      <c r="L90" s="16"/>
      <c r="M90" s="16">
        <v>96740</v>
      </c>
      <c r="N90" s="16"/>
      <c r="O90" s="16">
        <v>124960</v>
      </c>
      <c r="P90" s="16"/>
      <c r="Q90" s="16">
        <v>0</v>
      </c>
      <c r="R90" s="16"/>
      <c r="S90" s="16">
        <v>0</v>
      </c>
      <c r="T90" s="16"/>
      <c r="U90" s="16">
        <v>50</v>
      </c>
      <c r="V90" s="16"/>
      <c r="W90" s="16">
        <f>3698+28268</f>
        <v>31966</v>
      </c>
      <c r="X90" s="16"/>
      <c r="Y90" s="59">
        <f t="shared" si="9"/>
        <v>23564989</v>
      </c>
      <c r="Z90" s="16"/>
      <c r="AA90" s="16">
        <v>0</v>
      </c>
      <c r="AB90" s="16"/>
      <c r="AC90" s="16"/>
      <c r="AD90" s="16"/>
      <c r="AE90" s="16">
        <v>0</v>
      </c>
      <c r="AF90" s="16"/>
      <c r="AG90" s="16">
        <v>1200</v>
      </c>
      <c r="AH90" s="16"/>
      <c r="AI90" s="16">
        <v>0</v>
      </c>
      <c r="AJ90" s="16"/>
      <c r="AK90" s="16">
        <f t="shared" si="8"/>
        <v>1200</v>
      </c>
      <c r="AL90" s="16"/>
      <c r="AM90" s="16">
        <f t="shared" ref="AM90:AM121" si="10">+AK90+Y90</f>
        <v>23566189</v>
      </c>
    </row>
    <row r="91" spans="1:39">
      <c r="A91" s="12" t="s">
        <v>574</v>
      </c>
      <c r="B91" s="12"/>
      <c r="C91" s="12" t="s">
        <v>62</v>
      </c>
      <c r="D91" s="12"/>
      <c r="E91" s="13">
        <v>43711</v>
      </c>
      <c r="G91" s="1">
        <v>7374466</v>
      </c>
      <c r="I91" s="1">
        <v>0</v>
      </c>
      <c r="K91" s="1">
        <f>12158555+74024</f>
        <v>12232579</v>
      </c>
      <c r="M91" s="1">
        <v>1357</v>
      </c>
      <c r="O91" s="1">
        <v>1132777</v>
      </c>
      <c r="Q91" s="1">
        <v>88278</v>
      </c>
      <c r="S91" s="1">
        <v>0</v>
      </c>
      <c r="U91" s="1">
        <v>0</v>
      </c>
      <c r="W91" s="1">
        <f>142198+77443+470+603058</f>
        <v>823169</v>
      </c>
      <c r="Y91" s="41">
        <f t="shared" si="9"/>
        <v>21652626</v>
      </c>
      <c r="AA91" s="1">
        <v>0</v>
      </c>
      <c r="AE91" s="1">
        <v>0</v>
      </c>
      <c r="AG91" s="1">
        <v>5400</v>
      </c>
      <c r="AI91" s="1">
        <v>0</v>
      </c>
      <c r="AK91" s="1">
        <f t="shared" si="8"/>
        <v>5400</v>
      </c>
      <c r="AM91" s="1">
        <f t="shared" si="10"/>
        <v>21658026</v>
      </c>
    </row>
    <row r="92" spans="1:39">
      <c r="A92" s="12" t="s">
        <v>573</v>
      </c>
      <c r="B92" s="12"/>
      <c r="C92" s="12" t="s">
        <v>62</v>
      </c>
      <c r="D92" s="12"/>
      <c r="E92" s="13">
        <v>49833</v>
      </c>
      <c r="G92" s="1">
        <v>21867000</v>
      </c>
      <c r="I92" s="1">
        <v>0</v>
      </c>
      <c r="K92" s="1">
        <f>75899000+405000</f>
        <v>76304000</v>
      </c>
      <c r="M92" s="1">
        <v>483000</v>
      </c>
      <c r="O92" s="1">
        <v>573000</v>
      </c>
      <c r="Q92" s="1">
        <v>45000</v>
      </c>
      <c r="S92" s="1">
        <v>0</v>
      </c>
      <c r="U92" s="1">
        <v>0</v>
      </c>
      <c r="W92" s="1">
        <f>780000+8000</f>
        <v>788000</v>
      </c>
      <c r="Y92" s="41">
        <f t="shared" si="9"/>
        <v>100060000</v>
      </c>
      <c r="AA92" s="1">
        <v>0</v>
      </c>
      <c r="AE92" s="1">
        <v>0</v>
      </c>
      <c r="AG92" s="1">
        <v>2000</v>
      </c>
      <c r="AI92" s="1">
        <v>0</v>
      </c>
      <c r="AK92" s="1">
        <f t="shared" si="8"/>
        <v>2000</v>
      </c>
      <c r="AM92" s="1">
        <f t="shared" si="10"/>
        <v>100062000</v>
      </c>
    </row>
    <row r="93" spans="1:39">
      <c r="A93" s="12" t="s">
        <v>352</v>
      </c>
      <c r="B93" s="12"/>
      <c r="C93" s="12" t="s">
        <v>30</v>
      </c>
      <c r="D93" s="12"/>
      <c r="E93" s="13">
        <v>47175</v>
      </c>
      <c r="G93" s="1">
        <v>5860905</v>
      </c>
      <c r="I93" s="1">
        <v>0</v>
      </c>
      <c r="K93" s="1">
        <v>5673008</v>
      </c>
      <c r="M93" s="1">
        <v>14656</v>
      </c>
      <c r="O93" s="1">
        <v>500286</v>
      </c>
      <c r="Q93" s="1">
        <v>190350</v>
      </c>
      <c r="S93" s="1">
        <v>0</v>
      </c>
      <c r="U93" s="1">
        <v>3758</v>
      </c>
      <c r="W93" s="1">
        <f>109555+104405</f>
        <v>213960</v>
      </c>
      <c r="Y93" s="41">
        <f t="shared" si="9"/>
        <v>12456923</v>
      </c>
      <c r="AA93" s="1">
        <v>14264</v>
      </c>
      <c r="AE93" s="1">
        <v>0</v>
      </c>
      <c r="AG93" s="1">
        <v>6500</v>
      </c>
      <c r="AI93" s="1">
        <v>0</v>
      </c>
      <c r="AK93" s="1">
        <f t="shared" si="8"/>
        <v>20764</v>
      </c>
      <c r="AM93" s="1">
        <f t="shared" si="10"/>
        <v>12477687</v>
      </c>
    </row>
    <row r="94" spans="1:39">
      <c r="A94" s="12" t="s">
        <v>924</v>
      </c>
      <c r="B94" s="12"/>
      <c r="C94" s="12" t="s">
        <v>78</v>
      </c>
      <c r="D94" s="12"/>
      <c r="E94" s="13">
        <v>48793</v>
      </c>
      <c r="G94" s="1">
        <v>2098789</v>
      </c>
      <c r="I94" s="1">
        <v>0</v>
      </c>
      <c r="K94" s="1">
        <f>7236133+14937</f>
        <v>7251070</v>
      </c>
      <c r="M94" s="1">
        <v>136947</v>
      </c>
      <c r="O94" s="1">
        <v>709650</v>
      </c>
      <c r="Q94" s="1">
        <v>631</v>
      </c>
      <c r="S94" s="1">
        <v>127684</v>
      </c>
      <c r="U94" s="1">
        <v>0</v>
      </c>
      <c r="W94" s="1">
        <v>133449</v>
      </c>
      <c r="Y94" s="41">
        <f t="shared" si="9"/>
        <v>10458220</v>
      </c>
      <c r="AA94" s="1">
        <v>0</v>
      </c>
      <c r="AE94" s="1">
        <v>0</v>
      </c>
      <c r="AG94" s="1">
        <v>0</v>
      </c>
      <c r="AI94" s="1">
        <v>0</v>
      </c>
      <c r="AK94" s="1">
        <f t="shared" si="8"/>
        <v>0</v>
      </c>
      <c r="AM94" s="1">
        <f t="shared" si="10"/>
        <v>10458220</v>
      </c>
    </row>
    <row r="95" spans="1:39" hidden="1">
      <c r="A95" s="12" t="s">
        <v>739</v>
      </c>
      <c r="B95" s="12"/>
      <c r="C95" s="12" t="s">
        <v>653</v>
      </c>
      <c r="D95" s="12"/>
      <c r="E95" s="13">
        <v>45260</v>
      </c>
      <c r="Y95" s="41">
        <f t="shared" si="9"/>
        <v>0</v>
      </c>
      <c r="AK95" s="1">
        <f t="shared" si="8"/>
        <v>0</v>
      </c>
      <c r="AM95" s="1">
        <f t="shared" si="10"/>
        <v>0</v>
      </c>
    </row>
    <row r="96" spans="1:39">
      <c r="A96" s="12" t="s">
        <v>631</v>
      </c>
      <c r="B96" s="12"/>
      <c r="C96" s="12" t="s">
        <v>69</v>
      </c>
      <c r="D96" s="12"/>
      <c r="E96" s="13">
        <v>50419</v>
      </c>
      <c r="G96" s="1">
        <v>4267449</v>
      </c>
      <c r="I96" s="1">
        <v>1682921</v>
      </c>
      <c r="K96" s="1">
        <v>8468926</v>
      </c>
      <c r="M96" s="1">
        <v>8047</v>
      </c>
      <c r="O96" s="1">
        <v>117739</v>
      </c>
      <c r="Q96" s="1">
        <v>14090</v>
      </c>
      <c r="S96" s="1">
        <v>0</v>
      </c>
      <c r="U96" s="1">
        <v>24</v>
      </c>
      <c r="W96" s="1">
        <f>11044+15720</f>
        <v>26764</v>
      </c>
      <c r="Y96" s="41">
        <f t="shared" si="9"/>
        <v>14585960</v>
      </c>
      <c r="AA96" s="1">
        <v>0</v>
      </c>
      <c r="AE96" s="1">
        <v>0</v>
      </c>
      <c r="AG96" s="1">
        <v>0</v>
      </c>
      <c r="AI96" s="1">
        <v>0</v>
      </c>
      <c r="AK96" s="1">
        <f t="shared" si="8"/>
        <v>0</v>
      </c>
      <c r="AM96" s="1">
        <f t="shared" si="10"/>
        <v>14585960</v>
      </c>
    </row>
    <row r="97" spans="1:39">
      <c r="A97" s="12" t="s">
        <v>238</v>
      </c>
      <c r="B97" s="12"/>
      <c r="C97" s="12" t="s">
        <v>16</v>
      </c>
      <c r="D97" s="12"/>
      <c r="E97" s="13">
        <v>45278</v>
      </c>
      <c r="F97" s="8"/>
      <c r="G97" s="1">
        <v>5902216</v>
      </c>
      <c r="I97" s="1">
        <v>0</v>
      </c>
      <c r="K97" s="1">
        <v>12124231</v>
      </c>
      <c r="M97" s="1">
        <v>6265</v>
      </c>
      <c r="O97" s="1">
        <v>632078</v>
      </c>
      <c r="Q97" s="1">
        <v>0</v>
      </c>
      <c r="S97" s="1">
        <v>0</v>
      </c>
      <c r="U97" s="1">
        <v>10811</v>
      </c>
      <c r="W97" s="1">
        <f>46083+27+4611</f>
        <v>50721</v>
      </c>
      <c r="Y97" s="41">
        <f t="shared" si="9"/>
        <v>18726322</v>
      </c>
      <c r="AA97" s="1">
        <v>0</v>
      </c>
      <c r="AE97" s="1">
        <v>0</v>
      </c>
      <c r="AG97" s="1">
        <v>7343</v>
      </c>
      <c r="AI97" s="1">
        <v>0</v>
      </c>
      <c r="AK97" s="1">
        <f t="shared" si="8"/>
        <v>7343</v>
      </c>
      <c r="AM97" s="1">
        <f t="shared" si="10"/>
        <v>18733665</v>
      </c>
    </row>
    <row r="98" spans="1:39" hidden="1">
      <c r="A98" s="12" t="s">
        <v>925</v>
      </c>
      <c r="B98" s="12"/>
      <c r="C98" s="12" t="s">
        <v>116</v>
      </c>
      <c r="D98" s="12"/>
      <c r="E98" s="13">
        <v>47258</v>
      </c>
      <c r="Y98" s="41">
        <f t="shared" si="9"/>
        <v>0</v>
      </c>
      <c r="AK98" s="1">
        <f t="shared" si="8"/>
        <v>0</v>
      </c>
      <c r="AM98" s="1">
        <f t="shared" si="10"/>
        <v>0</v>
      </c>
    </row>
    <row r="99" spans="1:39" hidden="1">
      <c r="A99" s="12" t="s">
        <v>740</v>
      </c>
      <c r="B99" s="12"/>
      <c r="C99" s="12" t="s">
        <v>486</v>
      </c>
      <c r="D99" s="12"/>
      <c r="E99" s="13">
        <v>43729</v>
      </c>
      <c r="Y99" s="41">
        <f t="shared" si="9"/>
        <v>0</v>
      </c>
      <c r="AA99" s="1">
        <v>0</v>
      </c>
      <c r="AK99" s="1">
        <f t="shared" si="8"/>
        <v>0</v>
      </c>
      <c r="AM99" s="1">
        <f t="shared" si="10"/>
        <v>0</v>
      </c>
    </row>
    <row r="100" spans="1:39">
      <c r="A100" s="12" t="s">
        <v>794</v>
      </c>
      <c r="B100" s="12"/>
      <c r="C100" s="12" t="s">
        <v>40</v>
      </c>
      <c r="D100" s="12"/>
      <c r="E100" s="13">
        <v>47829</v>
      </c>
      <c r="G100" s="1">
        <v>2301438</v>
      </c>
      <c r="I100" s="1">
        <v>993383</v>
      </c>
      <c r="K100" s="1">
        <v>5526632</v>
      </c>
      <c r="M100" s="1">
        <v>22909</v>
      </c>
      <c r="O100" s="1">
        <v>45854</v>
      </c>
      <c r="Q100" s="1">
        <v>0</v>
      </c>
      <c r="S100" s="1">
        <v>0</v>
      </c>
      <c r="U100" s="1">
        <v>2399</v>
      </c>
      <c r="W100" s="1">
        <f>7860+898</f>
        <v>8758</v>
      </c>
      <c r="Y100" s="41">
        <f t="shared" si="9"/>
        <v>8901373</v>
      </c>
      <c r="AA100" s="1">
        <v>0</v>
      </c>
      <c r="AE100" s="1">
        <v>0</v>
      </c>
      <c r="AG100" s="1">
        <v>0</v>
      </c>
      <c r="AI100" s="1">
        <v>0</v>
      </c>
      <c r="AK100" s="1">
        <f t="shared" si="8"/>
        <v>0</v>
      </c>
      <c r="AM100" s="1">
        <f t="shared" si="10"/>
        <v>8901373</v>
      </c>
    </row>
    <row r="101" spans="1:39" s="16" customFormat="1">
      <c r="A101" s="14" t="s">
        <v>795</v>
      </c>
      <c r="B101" s="14"/>
      <c r="C101" s="14" t="s">
        <v>50</v>
      </c>
      <c r="D101" s="14"/>
      <c r="E101" s="13">
        <v>43737</v>
      </c>
      <c r="G101" s="1">
        <v>52382258</v>
      </c>
      <c r="H101" s="1"/>
      <c r="I101" s="1">
        <v>0</v>
      </c>
      <c r="J101" s="1"/>
      <c r="K101" s="1">
        <v>22067542</v>
      </c>
      <c r="L101" s="1"/>
      <c r="M101" s="1">
        <v>356425</v>
      </c>
      <c r="N101" s="1"/>
      <c r="O101" s="1">
        <v>430327</v>
      </c>
      <c r="P101" s="1"/>
      <c r="Q101" s="1">
        <v>287036</v>
      </c>
      <c r="R101" s="1"/>
      <c r="S101" s="1">
        <v>0</v>
      </c>
      <c r="T101" s="1"/>
      <c r="U101" s="1">
        <v>0</v>
      </c>
      <c r="V101" s="1"/>
      <c r="W101" s="1">
        <v>79964</v>
      </c>
      <c r="X101" s="1"/>
      <c r="Y101" s="41">
        <f t="shared" si="9"/>
        <v>75603552</v>
      </c>
      <c r="Z101" s="1"/>
      <c r="AA101" s="1">
        <v>0</v>
      </c>
      <c r="AB101" s="1"/>
      <c r="AC101" s="1"/>
      <c r="AD101" s="1"/>
      <c r="AE101" s="1">
        <v>0</v>
      </c>
      <c r="AF101" s="1"/>
      <c r="AG101" s="1">
        <v>0</v>
      </c>
      <c r="AH101" s="1"/>
      <c r="AI101" s="1">
        <v>0</v>
      </c>
      <c r="AJ101" s="1"/>
      <c r="AK101" s="1">
        <f t="shared" si="8"/>
        <v>0</v>
      </c>
      <c r="AL101" s="1"/>
      <c r="AM101" s="1">
        <f t="shared" si="10"/>
        <v>75603552</v>
      </c>
    </row>
    <row r="102" spans="1:39" hidden="1">
      <c r="A102" s="12" t="s">
        <v>926</v>
      </c>
      <c r="B102" s="12"/>
      <c r="C102" s="12" t="s">
        <v>22</v>
      </c>
      <c r="D102" s="12"/>
      <c r="E102" s="13">
        <v>46714</v>
      </c>
      <c r="Y102" s="41">
        <f t="shared" si="9"/>
        <v>0</v>
      </c>
      <c r="AK102" s="1">
        <f t="shared" si="8"/>
        <v>0</v>
      </c>
      <c r="AM102" s="1">
        <f t="shared" si="10"/>
        <v>0</v>
      </c>
    </row>
    <row r="103" spans="1:39">
      <c r="A103" s="12" t="s">
        <v>285</v>
      </c>
      <c r="B103" s="12"/>
      <c r="C103" s="12" t="s">
        <v>20</v>
      </c>
      <c r="D103" s="12"/>
      <c r="E103" s="13">
        <v>45286</v>
      </c>
      <c r="G103" s="1">
        <v>18047567</v>
      </c>
      <c r="I103" s="1">
        <v>0</v>
      </c>
      <c r="K103" s="1">
        <v>5015232</v>
      </c>
      <c r="M103" s="1">
        <v>60186</v>
      </c>
      <c r="O103" s="1">
        <v>352827</v>
      </c>
      <c r="Q103" s="1">
        <v>0</v>
      </c>
      <c r="S103" s="1">
        <v>0</v>
      </c>
      <c r="U103" s="1">
        <v>74362</v>
      </c>
      <c r="W103" s="1">
        <f>35211+3988</f>
        <v>39199</v>
      </c>
      <c r="Y103" s="41">
        <f>SUM(G103:X103)</f>
        <v>23589373</v>
      </c>
      <c r="AA103" s="1">
        <v>0</v>
      </c>
      <c r="AE103" s="1">
        <v>0</v>
      </c>
      <c r="AG103" s="1">
        <v>5782</v>
      </c>
      <c r="AI103" s="1">
        <v>0</v>
      </c>
      <c r="AK103" s="1">
        <f>SUM(AA103:AJ103)</f>
        <v>5782</v>
      </c>
      <c r="AM103" s="1">
        <f t="shared" si="10"/>
        <v>23595155</v>
      </c>
    </row>
    <row r="104" spans="1:39">
      <c r="A104" s="12" t="s">
        <v>602</v>
      </c>
      <c r="B104" s="12"/>
      <c r="C104" s="12" t="s">
        <v>64</v>
      </c>
      <c r="D104" s="12"/>
      <c r="E104" s="13">
        <v>50138</v>
      </c>
      <c r="G104" s="1">
        <v>3105949</v>
      </c>
      <c r="I104" s="1">
        <v>0</v>
      </c>
      <c r="K104" s="1">
        <v>7291669</v>
      </c>
      <c r="M104" s="1">
        <v>4626</v>
      </c>
      <c r="O104" s="1">
        <v>821462</v>
      </c>
      <c r="Q104" s="1">
        <v>342</v>
      </c>
      <c r="S104" s="1">
        <v>0</v>
      </c>
      <c r="U104" s="1">
        <v>6487</v>
      </c>
      <c r="W104" s="1">
        <f>541+27791+44425</f>
        <v>72757</v>
      </c>
      <c r="Y104" s="41">
        <f t="shared" ref="Y104:Y157" si="11">SUM(G104:X104)</f>
        <v>11303292</v>
      </c>
      <c r="AA104" s="1">
        <v>0</v>
      </c>
      <c r="AE104" s="1">
        <v>0</v>
      </c>
      <c r="AG104" s="1">
        <v>0</v>
      </c>
      <c r="AI104" s="1">
        <v>0</v>
      </c>
      <c r="AK104" s="1">
        <f t="shared" ref="AK104:AK152" si="12">SUM(AA104:AJ104)</f>
        <v>0</v>
      </c>
      <c r="AM104" s="1">
        <f t="shared" si="10"/>
        <v>11303292</v>
      </c>
    </row>
    <row r="105" spans="1:39" hidden="1">
      <c r="A105" s="12" t="s">
        <v>927</v>
      </c>
      <c r="B105" s="12"/>
      <c r="C105" s="12" t="s">
        <v>30</v>
      </c>
      <c r="D105" s="12"/>
      <c r="E105" s="13">
        <v>47183</v>
      </c>
      <c r="Y105" s="41">
        <f t="shared" si="11"/>
        <v>0</v>
      </c>
      <c r="AK105" s="1">
        <f t="shared" si="12"/>
        <v>0</v>
      </c>
      <c r="AM105" s="1">
        <f t="shared" si="10"/>
        <v>0</v>
      </c>
    </row>
    <row r="106" spans="1:39">
      <c r="A106" s="12" t="s">
        <v>419</v>
      </c>
      <c r="B106" s="12"/>
      <c r="C106" s="12" t="s">
        <v>420</v>
      </c>
      <c r="D106" s="12"/>
      <c r="E106" s="13">
        <v>45294</v>
      </c>
      <c r="G106" s="1">
        <v>1765010</v>
      </c>
      <c r="I106" s="1">
        <v>0</v>
      </c>
      <c r="K106" s="1">
        <v>8298115</v>
      </c>
      <c r="M106" s="1">
        <v>3778</v>
      </c>
      <c r="O106" s="1">
        <v>1108960</v>
      </c>
      <c r="Q106" s="1">
        <v>0</v>
      </c>
      <c r="S106" s="1">
        <v>0</v>
      </c>
      <c r="U106" s="1">
        <v>21500</v>
      </c>
      <c r="W106" s="1">
        <f>27585+26035</f>
        <v>53620</v>
      </c>
      <c r="Y106" s="41">
        <f t="shared" si="11"/>
        <v>11250983</v>
      </c>
      <c r="AA106" s="1">
        <v>0</v>
      </c>
      <c r="AE106" s="1">
        <v>0</v>
      </c>
      <c r="AG106" s="1">
        <v>35343</v>
      </c>
      <c r="AI106" s="1">
        <v>0</v>
      </c>
      <c r="AK106" s="1">
        <f t="shared" si="12"/>
        <v>35343</v>
      </c>
      <c r="AM106" s="1">
        <f t="shared" si="10"/>
        <v>11286326</v>
      </c>
    </row>
    <row r="107" spans="1:39">
      <c r="A107" s="12" t="s">
        <v>550</v>
      </c>
      <c r="B107" s="12"/>
      <c r="C107" s="12" t="s">
        <v>58</v>
      </c>
      <c r="D107" s="12"/>
      <c r="E107" s="13">
        <v>43745</v>
      </c>
      <c r="G107" s="1">
        <v>10372268</v>
      </c>
      <c r="I107" s="1">
        <v>0</v>
      </c>
      <c r="K107" s="1">
        <v>14966619</v>
      </c>
      <c r="M107" s="1">
        <v>49150</v>
      </c>
      <c r="O107" s="1">
        <v>1169132</v>
      </c>
      <c r="Q107" s="1">
        <v>11656</v>
      </c>
      <c r="S107" s="1">
        <v>77469</v>
      </c>
      <c r="U107" s="1">
        <v>4350</v>
      </c>
      <c r="W107" s="1">
        <f>46522+42472+9997</f>
        <v>98991</v>
      </c>
      <c r="Y107" s="41">
        <f t="shared" si="11"/>
        <v>26749635</v>
      </c>
      <c r="AA107" s="1">
        <v>0</v>
      </c>
      <c r="AE107" s="1">
        <v>0</v>
      </c>
      <c r="AG107" s="1">
        <v>0</v>
      </c>
      <c r="AI107" s="1">
        <v>0</v>
      </c>
      <c r="AK107" s="1">
        <f t="shared" si="12"/>
        <v>0</v>
      </c>
      <c r="AM107" s="1">
        <f t="shared" si="10"/>
        <v>26749635</v>
      </c>
    </row>
    <row r="108" spans="1:39">
      <c r="A108" s="12" t="s">
        <v>640</v>
      </c>
      <c r="B108" s="12"/>
      <c r="C108" s="12" t="s">
        <v>71</v>
      </c>
      <c r="D108" s="12"/>
      <c r="E108" s="13">
        <v>50534</v>
      </c>
      <c r="G108" s="1">
        <v>3732551</v>
      </c>
      <c r="I108" s="1">
        <v>1421594</v>
      </c>
      <c r="K108" s="1">
        <f>23684+5312386</f>
        <v>5336070</v>
      </c>
      <c r="M108" s="1">
        <v>5815</v>
      </c>
      <c r="O108" s="1">
        <v>36338</v>
      </c>
      <c r="Q108" s="1">
        <v>0</v>
      </c>
      <c r="S108" s="1">
        <v>0</v>
      </c>
      <c r="U108" s="1">
        <v>0</v>
      </c>
      <c r="W108" s="1">
        <f>32261+10552</f>
        <v>42813</v>
      </c>
      <c r="Y108" s="41">
        <f t="shared" si="11"/>
        <v>10575181</v>
      </c>
      <c r="AA108" s="1">
        <v>0</v>
      </c>
      <c r="AE108" s="1">
        <v>0</v>
      </c>
      <c r="AG108" s="1">
        <v>0</v>
      </c>
      <c r="AI108" s="1">
        <v>0</v>
      </c>
      <c r="AK108" s="1">
        <f t="shared" si="12"/>
        <v>0</v>
      </c>
      <c r="AM108" s="1">
        <f t="shared" si="10"/>
        <v>10575181</v>
      </c>
    </row>
    <row r="109" spans="1:39">
      <c r="A109" s="12" t="s">
        <v>928</v>
      </c>
      <c r="B109" s="12"/>
      <c r="C109" s="12" t="s">
        <v>32</v>
      </c>
      <c r="D109" s="12"/>
      <c r="E109" s="13">
        <v>43752</v>
      </c>
      <c r="G109" s="1">
        <v>251534175</v>
      </c>
      <c r="I109" s="1">
        <v>0</v>
      </c>
      <c r="K109" s="1">
        <f>197447504+1186081</f>
        <v>198633585</v>
      </c>
      <c r="M109" s="1">
        <v>839094</v>
      </c>
      <c r="O109" s="1">
        <v>1751707</v>
      </c>
      <c r="Q109" s="1">
        <v>0</v>
      </c>
      <c r="S109" s="1">
        <v>7037841</v>
      </c>
      <c r="U109" s="1">
        <v>0</v>
      </c>
      <c r="W109" s="1">
        <v>3537808</v>
      </c>
      <c r="Y109" s="41">
        <f t="shared" si="11"/>
        <v>463334210</v>
      </c>
      <c r="AA109" s="1">
        <v>13040055</v>
      </c>
      <c r="AE109" s="1">
        <v>0</v>
      </c>
      <c r="AG109" s="1">
        <v>0</v>
      </c>
      <c r="AI109" s="1">
        <v>0</v>
      </c>
      <c r="AK109" s="1">
        <f t="shared" si="12"/>
        <v>13040055</v>
      </c>
      <c r="AM109" s="1">
        <f t="shared" si="10"/>
        <v>476374265</v>
      </c>
    </row>
    <row r="110" spans="1:39">
      <c r="A110" s="12" t="s">
        <v>525</v>
      </c>
      <c r="B110" s="12"/>
      <c r="C110" s="12" t="s">
        <v>54</v>
      </c>
      <c r="D110" s="12"/>
      <c r="E110" s="13">
        <v>43760</v>
      </c>
      <c r="G110" s="1">
        <v>7517310</v>
      </c>
      <c r="I110" s="1">
        <v>1414108</v>
      </c>
      <c r="K110" s="1">
        <f>11338383+88009</f>
        <v>11426392</v>
      </c>
      <c r="M110" s="1">
        <v>132053</v>
      </c>
      <c r="O110" s="1">
        <v>487281</v>
      </c>
      <c r="Q110" s="1">
        <v>35</v>
      </c>
      <c r="S110" s="1">
        <v>56200</v>
      </c>
      <c r="U110" s="1">
        <v>0</v>
      </c>
      <c r="W110" s="1">
        <f>72040+8481+34561</f>
        <v>115082</v>
      </c>
      <c r="Y110" s="41">
        <f t="shared" si="11"/>
        <v>21148461</v>
      </c>
      <c r="AA110" s="1">
        <v>1709819</v>
      </c>
      <c r="AE110" s="1">
        <v>0</v>
      </c>
      <c r="AG110" s="1">
        <v>0</v>
      </c>
      <c r="AI110" s="1">
        <v>0</v>
      </c>
      <c r="AK110" s="1">
        <f t="shared" si="12"/>
        <v>1709819</v>
      </c>
      <c r="AM110" s="1">
        <f t="shared" si="10"/>
        <v>22858280</v>
      </c>
    </row>
    <row r="111" spans="1:39">
      <c r="A111" s="12" t="s">
        <v>245</v>
      </c>
      <c r="B111" s="12"/>
      <c r="C111" s="12" t="s">
        <v>17</v>
      </c>
      <c r="D111" s="12"/>
      <c r="E111" s="13">
        <v>46284</v>
      </c>
      <c r="F111" s="8"/>
      <c r="G111" s="1">
        <v>9501847</v>
      </c>
      <c r="I111" s="1">
        <v>0</v>
      </c>
      <c r="K111" s="1">
        <v>7662915</v>
      </c>
      <c r="M111" s="1">
        <v>15132</v>
      </c>
      <c r="O111" s="1">
        <v>2054827</v>
      </c>
      <c r="Q111" s="1">
        <v>0</v>
      </c>
      <c r="S111" s="1">
        <v>0</v>
      </c>
      <c r="U111" s="1">
        <v>0</v>
      </c>
      <c r="W111" s="1">
        <f>7645+9659+150138</f>
        <v>167442</v>
      </c>
      <c r="Y111" s="41">
        <f t="shared" si="11"/>
        <v>19402163</v>
      </c>
      <c r="AA111" s="1">
        <v>0</v>
      </c>
      <c r="AE111" s="1">
        <v>0</v>
      </c>
      <c r="AG111" s="1">
        <f>5500+30477</f>
        <v>35977</v>
      </c>
      <c r="AI111" s="1">
        <v>0</v>
      </c>
      <c r="AK111" s="1">
        <f t="shared" si="12"/>
        <v>35977</v>
      </c>
      <c r="AM111" s="1">
        <f t="shared" si="10"/>
        <v>19438140</v>
      </c>
    </row>
    <row r="112" spans="1:39" s="16" customFormat="1">
      <c r="A112" s="14" t="s">
        <v>560</v>
      </c>
      <c r="B112" s="14"/>
      <c r="C112" s="14" t="s">
        <v>59</v>
      </c>
      <c r="D112" s="14"/>
      <c r="E112" s="13">
        <v>49601</v>
      </c>
      <c r="G112" s="1">
        <v>926393</v>
      </c>
      <c r="H112" s="1"/>
      <c r="I112" s="1">
        <v>0</v>
      </c>
      <c r="J112" s="1"/>
      <c r="K112" s="1">
        <v>2834918</v>
      </c>
      <c r="L112" s="1"/>
      <c r="M112" s="1">
        <v>2104</v>
      </c>
      <c r="N112" s="1"/>
      <c r="O112" s="1">
        <v>1126698</v>
      </c>
      <c r="P112" s="1"/>
      <c r="Q112" s="1">
        <v>21163</v>
      </c>
      <c r="R112" s="1"/>
      <c r="S112" s="1">
        <v>0</v>
      </c>
      <c r="T112" s="1"/>
      <c r="U112" s="1">
        <v>6592</v>
      </c>
      <c r="V112" s="1"/>
      <c r="W112" s="1">
        <v>123455</v>
      </c>
      <c r="X112" s="1"/>
      <c r="Y112" s="41">
        <f t="shared" si="11"/>
        <v>5041323</v>
      </c>
      <c r="Z112" s="1"/>
      <c r="AA112" s="1">
        <v>0</v>
      </c>
      <c r="AB112" s="1"/>
      <c r="AC112" s="1"/>
      <c r="AD112" s="1"/>
      <c r="AE112" s="1">
        <v>0</v>
      </c>
      <c r="AF112" s="1"/>
      <c r="AG112" s="1">
        <v>0</v>
      </c>
      <c r="AH112" s="1"/>
      <c r="AI112" s="1">
        <v>0</v>
      </c>
      <c r="AJ112" s="1"/>
      <c r="AK112" s="1">
        <f t="shared" si="12"/>
        <v>0</v>
      </c>
      <c r="AL112" s="1"/>
      <c r="AM112" s="1">
        <f t="shared" si="10"/>
        <v>5041323</v>
      </c>
    </row>
    <row r="113" spans="1:39">
      <c r="A113" s="12" t="s">
        <v>618</v>
      </c>
      <c r="B113" s="12"/>
      <c r="C113" s="12" t="s">
        <v>65</v>
      </c>
      <c r="D113" s="12"/>
      <c r="E113" s="13">
        <v>43778</v>
      </c>
      <c r="G113" s="1">
        <v>3194687</v>
      </c>
      <c r="I113" s="1">
        <v>0</v>
      </c>
      <c r="K113" s="1">
        <f>15424+12753762+44985</f>
        <v>12814171</v>
      </c>
      <c r="M113" s="1">
        <v>6071</v>
      </c>
      <c r="O113" s="1">
        <v>922386</v>
      </c>
      <c r="Q113" s="1">
        <v>0</v>
      </c>
      <c r="S113" s="1">
        <v>0</v>
      </c>
      <c r="U113" s="1">
        <v>514</v>
      </c>
      <c r="W113" s="1">
        <f>14939+30675+1000+30353+7846</f>
        <v>84813</v>
      </c>
      <c r="Y113" s="41">
        <f t="shared" si="11"/>
        <v>17022642</v>
      </c>
      <c r="AA113" s="1">
        <v>0</v>
      </c>
      <c r="AE113" s="1">
        <v>0</v>
      </c>
      <c r="AG113" s="1">
        <v>0</v>
      </c>
      <c r="AI113" s="1">
        <v>0</v>
      </c>
      <c r="AK113" s="1">
        <f t="shared" si="12"/>
        <v>0</v>
      </c>
      <c r="AM113" s="1">
        <f t="shared" si="10"/>
        <v>17022642</v>
      </c>
    </row>
    <row r="114" spans="1:39">
      <c r="A114" s="12" t="s">
        <v>543</v>
      </c>
      <c r="B114" s="12"/>
      <c r="C114" s="12" t="s">
        <v>112</v>
      </c>
      <c r="D114" s="12"/>
      <c r="E114" s="13">
        <v>49411</v>
      </c>
      <c r="G114" s="1">
        <v>3427606</v>
      </c>
      <c r="I114" s="1">
        <v>0</v>
      </c>
      <c r="K114" s="1">
        <v>8601586</v>
      </c>
      <c r="M114" s="1">
        <v>222960</v>
      </c>
      <c r="O114" s="1">
        <v>756209</v>
      </c>
      <c r="Q114" s="1">
        <v>446</v>
      </c>
      <c r="S114" s="1">
        <v>0</v>
      </c>
      <c r="U114" s="1">
        <v>1418</v>
      </c>
      <c r="W114" s="1">
        <f>10298+10327+56368+15650</f>
        <v>92643</v>
      </c>
      <c r="Y114" s="41">
        <f t="shared" si="11"/>
        <v>13102868</v>
      </c>
      <c r="AA114" s="1">
        <v>0</v>
      </c>
      <c r="AE114" s="1">
        <v>0</v>
      </c>
      <c r="AG114" s="1">
        <v>820</v>
      </c>
      <c r="AI114" s="1">
        <v>0</v>
      </c>
      <c r="AK114" s="1">
        <f t="shared" si="12"/>
        <v>820</v>
      </c>
      <c r="AM114" s="1">
        <f t="shared" si="10"/>
        <v>13103688</v>
      </c>
    </row>
    <row r="115" spans="1:39">
      <c r="A115" s="12" t="s">
        <v>438</v>
      </c>
      <c r="B115" s="12"/>
      <c r="C115" s="12" t="s">
        <v>44</v>
      </c>
      <c r="D115" s="12"/>
      <c r="E115" s="13">
        <v>48132</v>
      </c>
      <c r="G115" s="1">
        <v>2355423</v>
      </c>
      <c r="I115" s="1">
        <v>0</v>
      </c>
      <c r="K115" s="1">
        <v>7690541</v>
      </c>
      <c r="M115" s="1">
        <v>16553</v>
      </c>
      <c r="O115" s="1">
        <v>3031100</v>
      </c>
      <c r="Q115" s="1">
        <v>285</v>
      </c>
      <c r="S115" s="1">
        <v>0</v>
      </c>
      <c r="U115" s="1">
        <v>0</v>
      </c>
      <c r="W115" s="1">
        <v>67581</v>
      </c>
      <c r="Y115" s="41">
        <f t="shared" si="11"/>
        <v>13161483</v>
      </c>
      <c r="AA115" s="1">
        <v>0</v>
      </c>
      <c r="AE115" s="1">
        <v>0</v>
      </c>
      <c r="AG115" s="1">
        <v>0</v>
      </c>
      <c r="AI115" s="1">
        <v>0</v>
      </c>
      <c r="AK115" s="1">
        <f t="shared" si="12"/>
        <v>0</v>
      </c>
      <c r="AM115" s="1">
        <f t="shared" si="10"/>
        <v>13161483</v>
      </c>
    </row>
    <row r="116" spans="1:39">
      <c r="A116" s="12" t="s">
        <v>797</v>
      </c>
      <c r="B116" s="12"/>
      <c r="C116" s="12" t="s">
        <v>115</v>
      </c>
      <c r="D116" s="12"/>
      <c r="E116" s="13"/>
      <c r="G116" s="1">
        <v>8286917</v>
      </c>
      <c r="I116" s="1">
        <v>0</v>
      </c>
      <c r="K116" s="1">
        <v>6570350</v>
      </c>
      <c r="M116" s="1">
        <v>45734</v>
      </c>
      <c r="O116" s="1">
        <v>557504</v>
      </c>
      <c r="Q116" s="1">
        <v>0</v>
      </c>
      <c r="S116" s="1">
        <v>0</v>
      </c>
      <c r="U116" s="1">
        <v>0</v>
      </c>
      <c r="W116" s="1">
        <v>361296</v>
      </c>
      <c r="Y116" s="41">
        <f t="shared" si="11"/>
        <v>15821801</v>
      </c>
      <c r="AA116" s="1">
        <v>0</v>
      </c>
      <c r="AE116" s="1">
        <v>0</v>
      </c>
      <c r="AG116" s="1">
        <v>0</v>
      </c>
      <c r="AI116" s="1">
        <v>0</v>
      </c>
      <c r="AK116" s="1">
        <f t="shared" si="12"/>
        <v>0</v>
      </c>
      <c r="AM116" s="1">
        <f t="shared" si="10"/>
        <v>15821801</v>
      </c>
    </row>
    <row r="117" spans="1:39">
      <c r="A117" s="12" t="s">
        <v>796</v>
      </c>
      <c r="B117" s="12"/>
      <c r="C117" s="12" t="s">
        <v>20</v>
      </c>
      <c r="D117" s="12"/>
      <c r="E117" s="13">
        <v>43794</v>
      </c>
      <c r="G117" s="1">
        <v>54876690</v>
      </c>
      <c r="I117" s="1">
        <v>0</v>
      </c>
      <c r="K117" s="1">
        <v>31897041</v>
      </c>
      <c r="M117" s="1">
        <v>330185</v>
      </c>
      <c r="O117" s="1">
        <v>1132778</v>
      </c>
      <c r="Q117" s="1">
        <v>0</v>
      </c>
      <c r="S117" s="1">
        <v>1813</v>
      </c>
      <c r="U117" s="1">
        <v>0</v>
      </c>
      <c r="W117" s="1">
        <v>1038335</v>
      </c>
      <c r="Y117" s="41">
        <f t="shared" si="11"/>
        <v>89276842</v>
      </c>
      <c r="AA117" s="1">
        <v>0</v>
      </c>
      <c r="AE117" s="1">
        <v>0</v>
      </c>
      <c r="AG117" s="1">
        <v>0</v>
      </c>
      <c r="AI117" s="1">
        <v>0</v>
      </c>
      <c r="AK117" s="1">
        <f t="shared" si="12"/>
        <v>0</v>
      </c>
      <c r="AM117" s="1">
        <f t="shared" si="10"/>
        <v>89276842</v>
      </c>
    </row>
    <row r="118" spans="1:39">
      <c r="A118" s="12" t="s">
        <v>286</v>
      </c>
      <c r="B118" s="12"/>
      <c r="C118" s="12" t="s">
        <v>20</v>
      </c>
      <c r="D118" s="12"/>
      <c r="E118" s="13">
        <v>43786</v>
      </c>
      <c r="G118" s="1">
        <v>147278528</v>
      </c>
      <c r="I118" s="1">
        <v>0</v>
      </c>
      <c r="K118" s="1">
        <f>460962420+3859394+2083472</f>
        <v>466905286</v>
      </c>
      <c r="M118" s="1">
        <v>2435457</v>
      </c>
      <c r="O118" s="1">
        <v>1823238</v>
      </c>
      <c r="Q118" s="1">
        <v>0</v>
      </c>
      <c r="S118" s="1">
        <v>0</v>
      </c>
      <c r="U118" s="1">
        <v>8948</v>
      </c>
      <c r="W118" s="1">
        <v>5469172</v>
      </c>
      <c r="Y118" s="41">
        <f t="shared" si="11"/>
        <v>623920629</v>
      </c>
      <c r="AA118" s="1">
        <v>0</v>
      </c>
      <c r="AE118" s="1">
        <v>0</v>
      </c>
      <c r="AG118" s="1">
        <v>0</v>
      </c>
      <c r="AI118" s="1">
        <v>0</v>
      </c>
      <c r="AK118" s="1">
        <f t="shared" si="12"/>
        <v>0</v>
      </c>
      <c r="AM118" s="1">
        <f t="shared" si="10"/>
        <v>623920629</v>
      </c>
    </row>
    <row r="119" spans="1:39">
      <c r="A119" s="12" t="s">
        <v>260</v>
      </c>
      <c r="B119" s="12"/>
      <c r="C119" s="12" t="s">
        <v>18</v>
      </c>
      <c r="D119" s="12"/>
      <c r="E119" s="13">
        <v>46391</v>
      </c>
      <c r="F119" s="8"/>
      <c r="G119" s="1">
        <v>4290364</v>
      </c>
      <c r="I119" s="1">
        <v>0</v>
      </c>
      <c r="K119" s="1">
        <f>9064097+1093</f>
        <v>9065190</v>
      </c>
      <c r="M119" s="1">
        <v>25609</v>
      </c>
      <c r="O119" s="1">
        <v>545080</v>
      </c>
      <c r="Q119" s="1">
        <v>0</v>
      </c>
      <c r="S119" s="1">
        <v>0</v>
      </c>
      <c r="U119" s="1">
        <v>0</v>
      </c>
      <c r="W119" s="1">
        <f>28746+1134+18000</f>
        <v>47880</v>
      </c>
      <c r="Y119" s="41">
        <f t="shared" si="11"/>
        <v>13974123</v>
      </c>
      <c r="AA119" s="1">
        <v>0</v>
      </c>
      <c r="AE119" s="1">
        <v>480000</v>
      </c>
      <c r="AG119" s="1">
        <v>42520</v>
      </c>
      <c r="AI119" s="1">
        <v>0</v>
      </c>
      <c r="AK119" s="1">
        <f t="shared" si="12"/>
        <v>522520</v>
      </c>
      <c r="AM119" s="1">
        <f t="shared" si="10"/>
        <v>14496643</v>
      </c>
    </row>
    <row r="120" spans="1:39">
      <c r="A120" s="12" t="s">
        <v>480</v>
      </c>
      <c r="B120" s="12"/>
      <c r="C120" s="12" t="s">
        <v>47</v>
      </c>
      <c r="D120" s="12"/>
      <c r="E120" s="13">
        <v>48488</v>
      </c>
      <c r="G120" s="1">
        <v>13939444</v>
      </c>
      <c r="I120" s="1">
        <v>0</v>
      </c>
      <c r="K120" s="1">
        <v>12488172</v>
      </c>
      <c r="M120" s="1">
        <v>12092</v>
      </c>
      <c r="O120" s="1">
        <v>462726</v>
      </c>
      <c r="Q120" s="1">
        <v>149911</v>
      </c>
      <c r="S120" s="1">
        <v>0</v>
      </c>
      <c r="U120" s="1">
        <v>0</v>
      </c>
      <c r="W120" s="1">
        <f>7+6960</f>
        <v>6967</v>
      </c>
      <c r="Y120" s="41">
        <f t="shared" si="11"/>
        <v>27059312</v>
      </c>
      <c r="AA120" s="1">
        <v>0</v>
      </c>
      <c r="AE120" s="1">
        <v>0</v>
      </c>
      <c r="AG120" s="1">
        <v>1890</v>
      </c>
      <c r="AI120" s="1">
        <v>0</v>
      </c>
      <c r="AK120" s="1">
        <f t="shared" si="12"/>
        <v>1890</v>
      </c>
      <c r="AM120" s="1">
        <f t="shared" si="10"/>
        <v>27061202</v>
      </c>
    </row>
    <row r="121" spans="1:39">
      <c r="A121" s="12" t="s">
        <v>555</v>
      </c>
      <c r="B121" s="12"/>
      <c r="C121" s="12" t="s">
        <v>79</v>
      </c>
      <c r="D121" s="12"/>
      <c r="E121" s="13">
        <v>45302</v>
      </c>
      <c r="G121" s="1">
        <v>7414832</v>
      </c>
      <c r="I121" s="1">
        <v>0</v>
      </c>
      <c r="K121" s="1">
        <v>10912290</v>
      </c>
      <c r="M121" s="1">
        <v>38077</v>
      </c>
      <c r="O121" s="1">
        <v>724027</v>
      </c>
      <c r="Q121" s="1">
        <v>17704</v>
      </c>
      <c r="S121" s="1">
        <v>203391</v>
      </c>
      <c r="U121" s="1">
        <v>0</v>
      </c>
      <c r="W121" s="1">
        <f>274420+49632</f>
        <v>324052</v>
      </c>
      <c r="Y121" s="41">
        <f t="shared" si="11"/>
        <v>19634373</v>
      </c>
      <c r="AA121" s="1">
        <v>0</v>
      </c>
      <c r="AE121" s="1">
        <v>0</v>
      </c>
      <c r="AG121" s="1">
        <v>7534</v>
      </c>
      <c r="AI121" s="1">
        <v>0</v>
      </c>
      <c r="AK121" s="1">
        <f t="shared" si="12"/>
        <v>7534</v>
      </c>
      <c r="AM121" s="1">
        <f t="shared" si="10"/>
        <v>19641907</v>
      </c>
    </row>
    <row r="122" spans="1:39" hidden="1">
      <c r="A122" s="12" t="s">
        <v>798</v>
      </c>
      <c r="B122" s="12"/>
      <c r="C122" s="12" t="s">
        <v>486</v>
      </c>
      <c r="D122" s="12"/>
      <c r="E122" s="13"/>
      <c r="Y122" s="41">
        <f t="shared" si="11"/>
        <v>0</v>
      </c>
      <c r="AM122" s="1">
        <f t="shared" ref="AM122:AM153" si="13">+AK122+Y122</f>
        <v>0</v>
      </c>
    </row>
    <row r="123" spans="1:39" hidden="1">
      <c r="A123" s="12" t="s">
        <v>929</v>
      </c>
      <c r="B123" s="12"/>
      <c r="C123" s="12" t="s">
        <v>57</v>
      </c>
      <c r="D123" s="12"/>
      <c r="E123" s="13">
        <v>64964</v>
      </c>
      <c r="Y123" s="41">
        <f t="shared" si="11"/>
        <v>0</v>
      </c>
      <c r="AK123" s="1">
        <f t="shared" si="12"/>
        <v>0</v>
      </c>
      <c r="AM123" s="1">
        <f t="shared" si="13"/>
        <v>0</v>
      </c>
    </row>
    <row r="124" spans="1:39">
      <c r="A124" s="12" t="s">
        <v>277</v>
      </c>
      <c r="B124" s="12"/>
      <c r="C124" s="12" t="s">
        <v>113</v>
      </c>
      <c r="D124" s="12"/>
      <c r="E124" s="13">
        <v>46516</v>
      </c>
      <c r="F124" s="8"/>
      <c r="G124" s="1">
        <v>2237506</v>
      </c>
      <c r="I124" s="1">
        <v>1278237</v>
      </c>
      <c r="K124" s="1">
        <f>13636+3841999+7479</f>
        <v>3863114</v>
      </c>
      <c r="M124" s="1">
        <v>14640</v>
      </c>
      <c r="O124" s="1">
        <v>1005160</v>
      </c>
      <c r="Q124" s="1">
        <v>0</v>
      </c>
      <c r="S124" s="1">
        <v>0</v>
      </c>
      <c r="U124" s="1">
        <v>4428</v>
      </c>
      <c r="W124" s="1">
        <f>14192+56097+1177+7856+10888</f>
        <v>90210</v>
      </c>
      <c r="Y124" s="41">
        <f t="shared" si="11"/>
        <v>8493295</v>
      </c>
      <c r="AA124" s="1">
        <v>0</v>
      </c>
      <c r="AE124" s="1">
        <v>0</v>
      </c>
      <c r="AG124" s="1">
        <v>309</v>
      </c>
      <c r="AI124" s="1">
        <v>0</v>
      </c>
      <c r="AK124" s="1">
        <f t="shared" si="12"/>
        <v>309</v>
      </c>
      <c r="AM124" s="1">
        <f t="shared" si="13"/>
        <v>8493604</v>
      </c>
    </row>
    <row r="125" spans="1:39">
      <c r="A125" s="12" t="s">
        <v>439</v>
      </c>
      <c r="B125" s="12"/>
      <c r="C125" s="12" t="s">
        <v>44</v>
      </c>
      <c r="D125" s="12"/>
      <c r="E125" s="13">
        <v>48140</v>
      </c>
      <c r="G125" s="1">
        <v>5548989</v>
      </c>
      <c r="I125" s="1">
        <v>0</v>
      </c>
      <c r="K125" s="1">
        <v>3465048</v>
      </c>
      <c r="M125" s="1">
        <v>4771</v>
      </c>
      <c r="O125" s="1">
        <v>653748</v>
      </c>
      <c r="Q125" s="1">
        <v>0</v>
      </c>
      <c r="S125" s="1">
        <v>0</v>
      </c>
      <c r="U125" s="1">
        <v>0</v>
      </c>
      <c r="W125" s="1">
        <f>85042+23800</f>
        <v>108842</v>
      </c>
      <c r="Y125" s="41">
        <f t="shared" si="11"/>
        <v>9781398</v>
      </c>
      <c r="AA125" s="1">
        <v>0</v>
      </c>
      <c r="AE125" s="1">
        <v>0</v>
      </c>
      <c r="AG125" s="1">
        <v>0</v>
      </c>
      <c r="AI125" s="1">
        <v>0</v>
      </c>
      <c r="AK125" s="1">
        <f t="shared" si="12"/>
        <v>0</v>
      </c>
      <c r="AM125" s="1">
        <f t="shared" si="13"/>
        <v>9781398</v>
      </c>
    </row>
    <row r="126" spans="1:39">
      <c r="A126" s="12" t="s">
        <v>264</v>
      </c>
      <c r="B126" s="12"/>
      <c r="C126" s="12" t="s">
        <v>114</v>
      </c>
      <c r="D126" s="12"/>
      <c r="E126" s="13">
        <v>45328</v>
      </c>
      <c r="F126" s="8"/>
      <c r="G126" s="1">
        <v>3055766</v>
      </c>
      <c r="I126" s="1">
        <v>1343827</v>
      </c>
      <c r="K126" s="1">
        <v>2842004</v>
      </c>
      <c r="M126" s="1">
        <v>73662</v>
      </c>
      <c r="O126" s="1">
        <v>1338735</v>
      </c>
      <c r="Q126" s="1">
        <v>0</v>
      </c>
      <c r="S126" s="1">
        <v>0</v>
      </c>
      <c r="U126" s="1">
        <v>1000</v>
      </c>
      <c r="W126" s="1">
        <f>97909+87719+12048</f>
        <v>197676</v>
      </c>
      <c r="Y126" s="41">
        <f t="shared" si="11"/>
        <v>8852670</v>
      </c>
      <c r="AA126" s="1">
        <v>0</v>
      </c>
      <c r="AE126" s="1">
        <v>0</v>
      </c>
      <c r="AG126" s="1">
        <v>0</v>
      </c>
      <c r="AI126" s="1">
        <v>0</v>
      </c>
      <c r="AK126" s="1">
        <f t="shared" si="12"/>
        <v>0</v>
      </c>
      <c r="AM126" s="1">
        <f t="shared" si="13"/>
        <v>8852670</v>
      </c>
    </row>
    <row r="127" spans="1:39">
      <c r="A127" s="12" t="s">
        <v>331</v>
      </c>
      <c r="B127" s="12"/>
      <c r="C127" s="12" t="s">
        <v>27</v>
      </c>
      <c r="D127" s="12"/>
      <c r="E127" s="13">
        <v>43802</v>
      </c>
      <c r="G127" s="1">
        <v>367234585</v>
      </c>
      <c r="I127" s="1">
        <v>0</v>
      </c>
      <c r="K127" s="1">
        <v>313986860</v>
      </c>
      <c r="M127" s="1">
        <v>1358722</v>
      </c>
      <c r="O127" s="1">
        <v>5577761</v>
      </c>
      <c r="Q127" s="1">
        <v>0</v>
      </c>
      <c r="S127" s="1">
        <v>40278643</v>
      </c>
      <c r="U127" s="1">
        <v>70</v>
      </c>
      <c r="W127" s="1">
        <f>5033024+95342+80842</f>
        <v>5209208</v>
      </c>
      <c r="Y127" s="41">
        <f t="shared" si="11"/>
        <v>733645849</v>
      </c>
      <c r="AA127" s="1">
        <v>0</v>
      </c>
      <c r="AE127" s="1">
        <v>0</v>
      </c>
      <c r="AG127" s="1">
        <v>414489</v>
      </c>
      <c r="AI127" s="1">
        <v>0</v>
      </c>
      <c r="AK127" s="1">
        <f t="shared" si="12"/>
        <v>414489</v>
      </c>
      <c r="AM127" s="1">
        <f t="shared" si="13"/>
        <v>734060338</v>
      </c>
    </row>
    <row r="128" spans="1:39" hidden="1">
      <c r="A128" s="12" t="s">
        <v>731</v>
      </c>
      <c r="B128" s="12"/>
      <c r="C128" s="12" t="s">
        <v>542</v>
      </c>
      <c r="D128" s="12"/>
      <c r="E128" s="13">
        <v>49312</v>
      </c>
      <c r="Q128" s="1">
        <v>0</v>
      </c>
      <c r="Y128" s="41">
        <f t="shared" si="11"/>
        <v>0</v>
      </c>
      <c r="AK128" s="1">
        <f t="shared" si="12"/>
        <v>0</v>
      </c>
      <c r="AM128" s="1">
        <f t="shared" si="13"/>
        <v>0</v>
      </c>
    </row>
    <row r="129" spans="1:39">
      <c r="A129" s="12" t="s">
        <v>210</v>
      </c>
      <c r="B129" s="12"/>
      <c r="C129" s="12" t="s">
        <v>12</v>
      </c>
      <c r="D129" s="12"/>
      <c r="E129" s="13">
        <v>43810</v>
      </c>
      <c r="F129" s="8"/>
      <c r="G129" s="1">
        <v>3602671</v>
      </c>
      <c r="I129" s="1">
        <v>0</v>
      </c>
      <c r="K129" s="1">
        <v>12563061</v>
      </c>
      <c r="M129" s="1">
        <v>6936</v>
      </c>
      <c r="O129" s="1">
        <v>159002</v>
      </c>
      <c r="Q129" s="1">
        <v>0</v>
      </c>
      <c r="S129" s="1">
        <v>0</v>
      </c>
      <c r="U129" s="1">
        <v>0</v>
      </c>
      <c r="W129" s="1">
        <f>24149+1498+2951</f>
        <v>28598</v>
      </c>
      <c r="Y129" s="41">
        <f t="shared" si="11"/>
        <v>16360268</v>
      </c>
      <c r="AA129" s="1">
        <v>0</v>
      </c>
      <c r="AE129" s="1">
        <v>0</v>
      </c>
      <c r="AG129" s="1">
        <v>0</v>
      </c>
      <c r="AI129" s="1">
        <v>0</v>
      </c>
      <c r="AK129" s="1">
        <f t="shared" si="12"/>
        <v>0</v>
      </c>
      <c r="AM129" s="1">
        <f t="shared" si="13"/>
        <v>16360268</v>
      </c>
    </row>
    <row r="130" spans="1:39">
      <c r="A130" s="12" t="s">
        <v>387</v>
      </c>
      <c r="B130" s="12"/>
      <c r="C130" s="12" t="s">
        <v>388</v>
      </c>
      <c r="D130" s="12"/>
      <c r="E130" s="13">
        <v>47548</v>
      </c>
      <c r="G130" s="1">
        <v>1882399</v>
      </c>
      <c r="I130" s="1">
        <v>0</v>
      </c>
      <c r="K130" s="1">
        <v>2709135</v>
      </c>
      <c r="M130" s="1">
        <v>3625</v>
      </c>
      <c r="O130" s="1">
        <v>307305</v>
      </c>
      <c r="Q130" s="1">
        <v>0</v>
      </c>
      <c r="S130" s="1">
        <v>0</v>
      </c>
      <c r="U130" s="1">
        <v>0</v>
      </c>
      <c r="W130" s="1">
        <v>4317</v>
      </c>
      <c r="Y130" s="41">
        <f t="shared" si="11"/>
        <v>4906781</v>
      </c>
      <c r="AA130" s="1">
        <v>0</v>
      </c>
      <c r="AE130" s="1">
        <v>0</v>
      </c>
      <c r="AG130" s="1">
        <v>0</v>
      </c>
      <c r="AI130" s="1">
        <v>0</v>
      </c>
      <c r="AK130" s="1">
        <f t="shared" si="12"/>
        <v>0</v>
      </c>
      <c r="AM130" s="1">
        <f t="shared" si="13"/>
        <v>4906781</v>
      </c>
    </row>
    <row r="131" spans="1:39" hidden="1">
      <c r="A131" s="12" t="s">
        <v>831</v>
      </c>
      <c r="B131" s="12"/>
      <c r="C131" s="12" t="s">
        <v>542</v>
      </c>
      <c r="D131" s="12"/>
      <c r="E131" s="13">
        <v>49320</v>
      </c>
      <c r="Y131" s="41">
        <f t="shared" si="11"/>
        <v>0</v>
      </c>
      <c r="AK131" s="1">
        <f t="shared" si="12"/>
        <v>0</v>
      </c>
      <c r="AM131" s="1">
        <f t="shared" si="13"/>
        <v>0</v>
      </c>
    </row>
    <row r="132" spans="1:39">
      <c r="A132" s="12" t="s">
        <v>588</v>
      </c>
      <c r="B132" s="12"/>
      <c r="C132" s="12" t="s">
        <v>63</v>
      </c>
      <c r="D132" s="12"/>
      <c r="E132" s="13">
        <v>49981</v>
      </c>
      <c r="G132" s="1">
        <v>22061257</v>
      </c>
      <c r="I132" s="1">
        <v>0</v>
      </c>
      <c r="K132" s="1">
        <v>6963983</v>
      </c>
      <c r="M132" s="1">
        <v>16399</v>
      </c>
      <c r="O132" s="1">
        <v>474837</v>
      </c>
      <c r="Q132" s="1">
        <v>0</v>
      </c>
      <c r="S132" s="1">
        <v>0</v>
      </c>
      <c r="U132" s="1">
        <v>2500</v>
      </c>
      <c r="W132" s="1">
        <f>135107+27851+10011</f>
        <v>172969</v>
      </c>
      <c r="Y132" s="41">
        <f t="shared" si="11"/>
        <v>29691945</v>
      </c>
      <c r="AA132" s="1">
        <v>0</v>
      </c>
      <c r="AE132" s="1">
        <v>0</v>
      </c>
      <c r="AG132" s="1">
        <v>0</v>
      </c>
      <c r="AI132" s="1">
        <v>0</v>
      </c>
      <c r="AK132" s="1">
        <f t="shared" si="12"/>
        <v>0</v>
      </c>
      <c r="AM132" s="1">
        <f t="shared" si="13"/>
        <v>29691945</v>
      </c>
    </row>
    <row r="133" spans="1:39">
      <c r="A133" s="12" t="s">
        <v>930</v>
      </c>
      <c r="B133" s="12"/>
      <c r="C133" s="12" t="s">
        <v>33</v>
      </c>
      <c r="D133" s="12"/>
      <c r="E133" s="13">
        <v>47431</v>
      </c>
      <c r="G133" s="1">
        <v>1435962</v>
      </c>
      <c r="I133" s="1">
        <v>1374505</v>
      </c>
      <c r="K133" s="1">
        <v>3151505</v>
      </c>
      <c r="M133" s="1">
        <v>2589</v>
      </c>
      <c r="O133" s="1">
        <v>297891</v>
      </c>
      <c r="Q133" s="1">
        <v>0</v>
      </c>
      <c r="S133" s="1">
        <v>7476</v>
      </c>
      <c r="U133" s="1">
        <v>14457</v>
      </c>
      <c r="W133" s="1">
        <v>20229</v>
      </c>
      <c r="Y133" s="41">
        <f t="shared" si="11"/>
        <v>6304614</v>
      </c>
      <c r="AA133" s="1">
        <v>0</v>
      </c>
      <c r="AE133" s="1">
        <v>0</v>
      </c>
      <c r="AG133" s="1">
        <v>4200</v>
      </c>
      <c r="AI133" s="1">
        <v>0</v>
      </c>
      <c r="AK133" s="1">
        <f t="shared" si="12"/>
        <v>4200</v>
      </c>
      <c r="AM133" s="1">
        <f t="shared" si="13"/>
        <v>6308814</v>
      </c>
    </row>
    <row r="134" spans="1:39">
      <c r="A134" s="12" t="s">
        <v>272</v>
      </c>
      <c r="B134" s="12"/>
      <c r="C134" s="12" t="s">
        <v>19</v>
      </c>
      <c r="D134" s="12"/>
      <c r="E134" s="13">
        <v>43828</v>
      </c>
      <c r="F134" s="8"/>
      <c r="G134" s="1">
        <v>4957933</v>
      </c>
      <c r="I134" s="1">
        <v>0</v>
      </c>
      <c r="K134" s="1">
        <v>9488579</v>
      </c>
      <c r="M134" s="1">
        <v>118332</v>
      </c>
      <c r="O134" s="1">
        <v>828163</v>
      </c>
      <c r="Q134" s="1">
        <v>0</v>
      </c>
      <c r="S134" s="1">
        <v>0</v>
      </c>
      <c r="U134" s="1">
        <v>0</v>
      </c>
      <c r="W134" s="1">
        <f>16597+25050</f>
        <v>41647</v>
      </c>
      <c r="Y134" s="41">
        <f t="shared" si="11"/>
        <v>15434654</v>
      </c>
      <c r="AA134" s="1">
        <v>0</v>
      </c>
      <c r="AE134" s="1">
        <v>0</v>
      </c>
      <c r="AG134" s="1">
        <v>180021</v>
      </c>
      <c r="AI134" s="1">
        <v>0</v>
      </c>
      <c r="AK134" s="1">
        <f>SUM(AA134:AJ134)</f>
        <v>180021</v>
      </c>
      <c r="AM134" s="1">
        <f t="shared" si="13"/>
        <v>15614675</v>
      </c>
    </row>
    <row r="135" spans="1:39">
      <c r="A135" s="12" t="s">
        <v>720</v>
      </c>
      <c r="B135" s="12"/>
      <c r="C135" s="12" t="s">
        <v>63</v>
      </c>
      <c r="D135" s="12"/>
      <c r="E135" s="13"/>
      <c r="F135" s="8"/>
      <c r="G135" s="1">
        <v>8105715</v>
      </c>
      <c r="I135" s="1">
        <v>0</v>
      </c>
      <c r="K135" s="1">
        <v>5279051</v>
      </c>
      <c r="M135" s="1">
        <v>2082</v>
      </c>
      <c r="O135" s="1">
        <v>5266273</v>
      </c>
      <c r="Q135" s="1">
        <v>40986</v>
      </c>
      <c r="S135" s="1">
        <v>64220</v>
      </c>
      <c r="U135" s="1">
        <v>1200</v>
      </c>
      <c r="W135" s="1">
        <f>58668+5540+39238</f>
        <v>103446</v>
      </c>
      <c r="Y135" s="41">
        <f t="shared" si="11"/>
        <v>18862973</v>
      </c>
      <c r="AA135" s="1">
        <v>0</v>
      </c>
      <c r="AE135" s="1">
        <v>0</v>
      </c>
      <c r="AG135" s="1">
        <v>0</v>
      </c>
      <c r="AI135" s="1">
        <v>0</v>
      </c>
      <c r="AK135" s="1">
        <f t="shared" si="12"/>
        <v>0</v>
      </c>
      <c r="AM135" s="1">
        <f t="shared" si="13"/>
        <v>18862973</v>
      </c>
    </row>
    <row r="136" spans="1:39">
      <c r="A136" s="12" t="s">
        <v>799</v>
      </c>
      <c r="B136" s="12"/>
      <c r="C136" s="12" t="s">
        <v>48</v>
      </c>
      <c r="D136" s="12"/>
      <c r="E136" s="13">
        <v>45336</v>
      </c>
      <c r="G136" s="1">
        <v>3222337</v>
      </c>
      <c r="I136" s="1">
        <v>0</v>
      </c>
      <c r="K136" s="1">
        <f>3423449+6230</f>
        <v>3429679</v>
      </c>
      <c r="M136" s="1">
        <v>6755</v>
      </c>
      <c r="O136" s="1">
        <v>366814</v>
      </c>
      <c r="Q136" s="1">
        <v>25</v>
      </c>
      <c r="S136" s="1">
        <v>0</v>
      </c>
      <c r="U136" s="1">
        <v>9272</v>
      </c>
      <c r="W136" s="1">
        <f>10805+4817+37538+6603</f>
        <v>59763</v>
      </c>
      <c r="Y136" s="41">
        <f t="shared" si="11"/>
        <v>7094645</v>
      </c>
      <c r="AA136" s="1">
        <v>0</v>
      </c>
      <c r="AE136" s="1">
        <v>0</v>
      </c>
      <c r="AG136" s="1">
        <v>0</v>
      </c>
      <c r="AI136" s="1">
        <v>0</v>
      </c>
      <c r="AK136" s="1">
        <f t="shared" si="12"/>
        <v>0</v>
      </c>
      <c r="AM136" s="1">
        <f t="shared" si="13"/>
        <v>7094645</v>
      </c>
    </row>
    <row r="137" spans="1:39">
      <c r="A137" s="12" t="s">
        <v>800</v>
      </c>
      <c r="B137" s="12"/>
      <c r="C137" s="12" t="s">
        <v>113</v>
      </c>
      <c r="D137" s="12"/>
      <c r="E137" s="13">
        <v>45344</v>
      </c>
      <c r="G137" s="1">
        <v>2046913</v>
      </c>
      <c r="I137" s="1">
        <v>0</v>
      </c>
      <c r="K137" s="1">
        <v>4290113</v>
      </c>
      <c r="M137" s="1">
        <v>33000</v>
      </c>
      <c r="O137" s="1">
        <v>206293</v>
      </c>
      <c r="Q137" s="1">
        <v>0</v>
      </c>
      <c r="S137" s="1">
        <v>0</v>
      </c>
      <c r="U137" s="1">
        <v>0</v>
      </c>
      <c r="W137" s="1">
        <f>26224+369</f>
        <v>26593</v>
      </c>
      <c r="Y137" s="41">
        <f t="shared" si="11"/>
        <v>6602912</v>
      </c>
      <c r="AA137" s="1">
        <v>0</v>
      </c>
      <c r="AE137" s="1">
        <v>0</v>
      </c>
      <c r="AG137" s="1">
        <f>315000+4428</f>
        <v>319428</v>
      </c>
      <c r="AI137" s="1">
        <v>0</v>
      </c>
      <c r="AK137" s="1">
        <f t="shared" si="12"/>
        <v>319428</v>
      </c>
      <c r="AM137" s="1">
        <f t="shared" si="13"/>
        <v>6922340</v>
      </c>
    </row>
    <row r="138" spans="1:39">
      <c r="A138" s="12" t="s">
        <v>265</v>
      </c>
      <c r="B138" s="12"/>
      <c r="C138" s="12" t="s">
        <v>114</v>
      </c>
      <c r="D138" s="12"/>
      <c r="E138" s="13">
        <v>46433</v>
      </c>
      <c r="F138" s="8"/>
      <c r="G138" s="1">
        <v>1847108</v>
      </c>
      <c r="I138" s="1">
        <v>979174</v>
      </c>
      <c r="K138" s="1">
        <v>4865430</v>
      </c>
      <c r="M138" s="1">
        <v>39296</v>
      </c>
      <c r="O138" s="1">
        <v>2062139</v>
      </c>
      <c r="Q138" s="1">
        <v>0</v>
      </c>
      <c r="S138" s="1">
        <v>0</v>
      </c>
      <c r="U138" s="1">
        <v>6700</v>
      </c>
      <c r="W138" s="1">
        <f>38309+2525</f>
        <v>40834</v>
      </c>
      <c r="Y138" s="41">
        <f t="shared" si="11"/>
        <v>9840681</v>
      </c>
      <c r="AA138" s="1">
        <v>0</v>
      </c>
      <c r="AE138" s="1">
        <v>0</v>
      </c>
      <c r="AG138" s="1">
        <v>0</v>
      </c>
      <c r="AI138" s="1">
        <v>0</v>
      </c>
      <c r="AK138" s="1">
        <f t="shared" si="12"/>
        <v>0</v>
      </c>
      <c r="AM138" s="1">
        <f t="shared" si="13"/>
        <v>9840681</v>
      </c>
    </row>
    <row r="139" spans="1:39">
      <c r="A139" s="12" t="s">
        <v>265</v>
      </c>
      <c r="B139" s="12"/>
      <c r="C139" s="12" t="s">
        <v>112</v>
      </c>
      <c r="D139" s="12"/>
      <c r="E139" s="13">
        <v>49429</v>
      </c>
      <c r="G139" s="1">
        <v>2119658</v>
      </c>
      <c r="I139" s="1">
        <v>0</v>
      </c>
      <c r="K139" s="1">
        <f>7123690+2646</f>
        <v>7126336</v>
      </c>
      <c r="M139" s="1">
        <v>138771</v>
      </c>
      <c r="O139" s="1">
        <f>135729+40712</f>
        <v>176441</v>
      </c>
      <c r="Q139" s="1">
        <v>10737</v>
      </c>
      <c r="S139" s="1">
        <v>0</v>
      </c>
      <c r="U139" s="1">
        <v>0</v>
      </c>
      <c r="W139" s="1">
        <f>275+47313</f>
        <v>47588</v>
      </c>
      <c r="Y139" s="41">
        <f t="shared" si="11"/>
        <v>9619531</v>
      </c>
      <c r="AA139" s="1">
        <v>0</v>
      </c>
      <c r="AE139" s="1">
        <v>0</v>
      </c>
      <c r="AG139" s="1">
        <v>0</v>
      </c>
      <c r="AI139" s="1">
        <v>0</v>
      </c>
      <c r="AK139" s="1">
        <f t="shared" si="12"/>
        <v>0</v>
      </c>
      <c r="AM139" s="1">
        <f t="shared" si="13"/>
        <v>9619531</v>
      </c>
    </row>
    <row r="140" spans="1:39" hidden="1">
      <c r="A140" s="12" t="s">
        <v>801</v>
      </c>
      <c r="B140" s="12"/>
      <c r="C140" s="12" t="s">
        <v>67</v>
      </c>
      <c r="D140" s="12"/>
      <c r="E140" s="13"/>
      <c r="Y140" s="41">
        <f t="shared" si="11"/>
        <v>0</v>
      </c>
      <c r="AM140" s="1">
        <f t="shared" si="13"/>
        <v>0</v>
      </c>
    </row>
    <row r="141" spans="1:39">
      <c r="A141" s="12" t="s">
        <v>533</v>
      </c>
      <c r="B141" s="12"/>
      <c r="C141" s="12" t="s">
        <v>56</v>
      </c>
      <c r="D141" s="12"/>
      <c r="E141" s="13">
        <v>49189</v>
      </c>
      <c r="G141" s="1">
        <v>6284742</v>
      </c>
      <c r="I141" s="1">
        <v>0</v>
      </c>
      <c r="K141" s="1">
        <v>12538547</v>
      </c>
      <c r="M141" s="1">
        <v>39258</v>
      </c>
      <c r="O141" s="1">
        <v>923147</v>
      </c>
      <c r="Q141" s="1">
        <v>128479</v>
      </c>
      <c r="S141" s="1">
        <v>0</v>
      </c>
      <c r="U141" s="1">
        <v>1725</v>
      </c>
      <c r="W141" s="1">
        <f>815+1384+42993</f>
        <v>45192</v>
      </c>
      <c r="Y141" s="41">
        <f t="shared" si="11"/>
        <v>19961090</v>
      </c>
      <c r="AA141" s="1">
        <v>0</v>
      </c>
      <c r="AE141" s="1">
        <v>0</v>
      </c>
      <c r="AG141" s="1">
        <v>2054</v>
      </c>
      <c r="AI141" s="1">
        <v>0</v>
      </c>
      <c r="AK141" s="1">
        <f t="shared" si="12"/>
        <v>2054</v>
      </c>
      <c r="AM141" s="1">
        <f t="shared" si="13"/>
        <v>19963144</v>
      </c>
    </row>
    <row r="142" spans="1:39">
      <c r="A142" s="12" t="s">
        <v>721</v>
      </c>
      <c r="B142" s="12"/>
      <c r="C142" s="12" t="s">
        <v>524</v>
      </c>
      <c r="D142" s="12"/>
      <c r="E142" s="13"/>
      <c r="G142" s="1">
        <v>1448640</v>
      </c>
      <c r="I142" s="1">
        <v>0</v>
      </c>
      <c r="K142" s="1">
        <f>7095566+64232</f>
        <v>7159798</v>
      </c>
      <c r="M142" s="1">
        <v>35261</v>
      </c>
      <c r="O142" s="1">
        <f>577247+890</f>
        <v>578137</v>
      </c>
      <c r="Q142" s="1">
        <v>0</v>
      </c>
      <c r="S142" s="1">
        <v>0</v>
      </c>
      <c r="U142" s="1">
        <v>0</v>
      </c>
      <c r="W142" s="1">
        <f>44831</f>
        <v>44831</v>
      </c>
      <c r="Y142" s="41">
        <f t="shared" si="11"/>
        <v>9266667</v>
      </c>
      <c r="AA142" s="1">
        <v>0</v>
      </c>
      <c r="AE142" s="1">
        <v>0</v>
      </c>
      <c r="AG142" s="1">
        <v>0</v>
      </c>
      <c r="AI142" s="1">
        <v>0</v>
      </c>
      <c r="AK142" s="1">
        <f t="shared" si="12"/>
        <v>0</v>
      </c>
      <c r="AM142" s="1">
        <f t="shared" si="13"/>
        <v>9266667</v>
      </c>
    </row>
    <row r="143" spans="1:39">
      <c r="A143" s="12" t="s">
        <v>589</v>
      </c>
      <c r="B143" s="12"/>
      <c r="C143" s="12" t="s">
        <v>63</v>
      </c>
      <c r="D143" s="12"/>
      <c r="E143" s="13">
        <v>43836</v>
      </c>
      <c r="G143" s="1">
        <v>24844454</v>
      </c>
      <c r="I143" s="1">
        <v>0</v>
      </c>
      <c r="K143" s="1">
        <f>17521784+133680</f>
        <v>17655464</v>
      </c>
      <c r="M143" s="1">
        <v>17823</v>
      </c>
      <c r="O143" s="1">
        <f>3065309+4601+26064</f>
        <v>3095974</v>
      </c>
      <c r="Q143" s="1">
        <v>52795</v>
      </c>
      <c r="S143" s="1">
        <v>0</v>
      </c>
      <c r="U143" s="1">
        <v>0</v>
      </c>
      <c r="W143" s="1">
        <v>301851</v>
      </c>
      <c r="Y143" s="41">
        <f t="shared" si="11"/>
        <v>45968361</v>
      </c>
      <c r="AA143" s="1">
        <v>0</v>
      </c>
      <c r="AE143" s="1">
        <v>0</v>
      </c>
      <c r="AG143" s="1">
        <v>0</v>
      </c>
      <c r="AI143" s="1">
        <v>0</v>
      </c>
      <c r="AK143" s="1">
        <f t="shared" si="12"/>
        <v>0</v>
      </c>
      <c r="AM143" s="1">
        <f t="shared" si="13"/>
        <v>45968361</v>
      </c>
    </row>
    <row r="144" spans="1:39">
      <c r="A144" s="12" t="s">
        <v>904</v>
      </c>
      <c r="B144" s="12"/>
      <c r="C144" s="12" t="s">
        <v>20</v>
      </c>
      <c r="D144" s="12"/>
      <c r="E144" s="13">
        <v>46557</v>
      </c>
      <c r="G144" s="1">
        <v>7260730</v>
      </c>
      <c r="I144" s="1">
        <v>0</v>
      </c>
      <c r="K144" s="1">
        <v>5101360</v>
      </c>
      <c r="M144" s="1">
        <v>25553</v>
      </c>
      <c r="O144" s="1">
        <v>515170</v>
      </c>
      <c r="Q144" s="1">
        <v>0</v>
      </c>
      <c r="S144" s="1">
        <v>0</v>
      </c>
      <c r="U144" s="1">
        <v>221</v>
      </c>
      <c r="W144" s="1">
        <f>93505+1761</f>
        <v>95266</v>
      </c>
      <c r="Y144" s="41">
        <f t="shared" si="11"/>
        <v>12998300</v>
      </c>
      <c r="AA144" s="1">
        <v>49642</v>
      </c>
      <c r="AE144" s="1">
        <v>0</v>
      </c>
      <c r="AG144" s="1">
        <v>0</v>
      </c>
      <c r="AI144" s="1">
        <v>0</v>
      </c>
      <c r="AK144" s="1">
        <f t="shared" si="12"/>
        <v>49642</v>
      </c>
      <c r="AM144" s="1">
        <f t="shared" si="13"/>
        <v>13047942</v>
      </c>
    </row>
    <row r="145" spans="1:39">
      <c r="A145" s="12" t="s">
        <v>730</v>
      </c>
      <c r="B145" s="12"/>
      <c r="C145" s="12" t="s">
        <v>71</v>
      </c>
      <c r="D145" s="12"/>
      <c r="E145" s="13">
        <v>48934</v>
      </c>
      <c r="G145" s="1">
        <v>2682885</v>
      </c>
      <c r="I145" s="1">
        <v>909145</v>
      </c>
      <c r="K145" s="1">
        <f>8300+3705182+318</f>
        <v>3713800</v>
      </c>
      <c r="M145" s="1">
        <v>4096</v>
      </c>
      <c r="O145" s="1">
        <f>1393+322866</f>
        <v>324259</v>
      </c>
      <c r="Q145" s="1">
        <v>0</v>
      </c>
      <c r="S145" s="1">
        <v>0</v>
      </c>
      <c r="U145" s="1">
        <v>75</v>
      </c>
      <c r="W145" s="1">
        <f>1325+99561</f>
        <v>100886</v>
      </c>
      <c r="Y145" s="41">
        <f t="shared" si="11"/>
        <v>7735146</v>
      </c>
      <c r="AA145" s="1">
        <v>0</v>
      </c>
      <c r="AE145" s="1">
        <v>0</v>
      </c>
      <c r="AG145" s="1">
        <v>0</v>
      </c>
      <c r="AI145" s="1">
        <v>0</v>
      </c>
      <c r="AK145" s="1">
        <f t="shared" si="12"/>
        <v>0</v>
      </c>
      <c r="AM145" s="1">
        <f t="shared" si="13"/>
        <v>7735146</v>
      </c>
    </row>
    <row r="146" spans="1:39">
      <c r="A146" s="12" t="s">
        <v>520</v>
      </c>
      <c r="B146" s="12"/>
      <c r="C146" s="12" t="s">
        <v>53</v>
      </c>
      <c r="D146" s="12"/>
      <c r="E146" s="13">
        <v>48934</v>
      </c>
      <c r="G146" s="1">
        <v>7634467</v>
      </c>
      <c r="I146" s="1">
        <v>0</v>
      </c>
      <c r="K146" s="1">
        <v>1837852</v>
      </c>
      <c r="M146" s="1">
        <v>62299</v>
      </c>
      <c r="O146" s="1">
        <f>203608+26664</f>
        <v>230272</v>
      </c>
      <c r="Q146" s="1">
        <v>660</v>
      </c>
      <c r="S146" s="1">
        <v>0</v>
      </c>
      <c r="U146" s="1">
        <v>0</v>
      </c>
      <c r="W146" s="1">
        <v>39397</v>
      </c>
      <c r="Y146" s="41">
        <f t="shared" si="11"/>
        <v>9804947</v>
      </c>
      <c r="AA146" s="1">
        <v>0</v>
      </c>
      <c r="AE146" s="1">
        <v>0</v>
      </c>
      <c r="AG146" s="1">
        <v>0</v>
      </c>
      <c r="AI146" s="1">
        <v>0</v>
      </c>
      <c r="AK146" s="1">
        <f t="shared" si="12"/>
        <v>0</v>
      </c>
      <c r="AM146" s="1">
        <f t="shared" si="13"/>
        <v>9804947</v>
      </c>
    </row>
    <row r="147" spans="1:39" hidden="1">
      <c r="A147" s="12" t="s">
        <v>803</v>
      </c>
      <c r="B147" s="12"/>
      <c r="C147" s="12" t="s">
        <v>40</v>
      </c>
      <c r="D147" s="12"/>
      <c r="E147" s="13">
        <v>47837</v>
      </c>
      <c r="Y147" s="41">
        <f t="shared" si="11"/>
        <v>0</v>
      </c>
      <c r="AK147" s="1">
        <f t="shared" si="12"/>
        <v>0</v>
      </c>
      <c r="AM147" s="1">
        <f t="shared" si="13"/>
        <v>0</v>
      </c>
    </row>
    <row r="148" spans="1:39">
      <c r="A148" s="12" t="s">
        <v>421</v>
      </c>
      <c r="B148" s="12"/>
      <c r="C148" s="12" t="s">
        <v>420</v>
      </c>
      <c r="D148" s="12"/>
      <c r="E148" s="13">
        <v>47928</v>
      </c>
      <c r="G148" s="1">
        <v>1070346</v>
      </c>
      <c r="I148" s="1">
        <v>0</v>
      </c>
      <c r="K148" s="1">
        <v>8423645</v>
      </c>
      <c r="M148" s="1">
        <v>23639</v>
      </c>
      <c r="O148" s="1">
        <v>868065</v>
      </c>
      <c r="Q148" s="1">
        <v>0</v>
      </c>
      <c r="S148" s="1">
        <v>0</v>
      </c>
      <c r="U148" s="1">
        <v>1762</v>
      </c>
      <c r="W148" s="1">
        <v>17951</v>
      </c>
      <c r="Y148" s="41">
        <f t="shared" si="11"/>
        <v>10405408</v>
      </c>
      <c r="AA148" s="1">
        <v>0</v>
      </c>
      <c r="AE148" s="1">
        <v>0</v>
      </c>
      <c r="AG148" s="1">
        <v>0</v>
      </c>
      <c r="AI148" s="1">
        <v>0</v>
      </c>
      <c r="AK148" s="1">
        <f t="shared" si="12"/>
        <v>0</v>
      </c>
      <c r="AM148" s="1">
        <f t="shared" si="13"/>
        <v>10405408</v>
      </c>
    </row>
    <row r="149" spans="1:39">
      <c r="A149" s="12" t="s">
        <v>496</v>
      </c>
      <c r="B149" s="12"/>
      <c r="C149" s="12" t="s">
        <v>50</v>
      </c>
      <c r="D149" s="12"/>
      <c r="E149" s="13">
        <v>43844</v>
      </c>
      <c r="G149" s="1">
        <v>57784800</v>
      </c>
      <c r="I149" s="1">
        <v>0</v>
      </c>
      <c r="K149" s="1">
        <v>151583724</v>
      </c>
      <c r="M149" s="1">
        <v>432220</v>
      </c>
      <c r="O149" s="1">
        <v>1274556</v>
      </c>
      <c r="Q149" s="1">
        <v>0</v>
      </c>
      <c r="S149" s="1">
        <v>0</v>
      </c>
      <c r="U149" s="1">
        <v>1000</v>
      </c>
      <c r="W149" s="1">
        <f>3718136+107484+553667</f>
        <v>4379287</v>
      </c>
      <c r="Y149" s="41">
        <f t="shared" si="11"/>
        <v>215455587</v>
      </c>
      <c r="AA149" s="1">
        <v>424972</v>
      </c>
      <c r="AE149" s="1">
        <v>0</v>
      </c>
      <c r="AG149" s="1">
        <v>0</v>
      </c>
      <c r="AI149" s="1">
        <v>0</v>
      </c>
      <c r="AK149" s="1">
        <f t="shared" si="12"/>
        <v>424972</v>
      </c>
      <c r="AM149" s="1">
        <f t="shared" si="13"/>
        <v>215880559</v>
      </c>
    </row>
    <row r="150" spans="1:39">
      <c r="A150" s="12" t="s">
        <v>804</v>
      </c>
      <c r="B150" s="12"/>
      <c r="C150" s="12" t="s">
        <v>32</v>
      </c>
      <c r="D150" s="12"/>
      <c r="E150" s="13">
        <v>43851</v>
      </c>
      <c r="G150" s="1">
        <v>8562925</v>
      </c>
      <c r="I150" s="1">
        <v>0</v>
      </c>
      <c r="K150" s="1">
        <v>4866345</v>
      </c>
      <c r="M150" s="1">
        <v>17838</v>
      </c>
      <c r="O150" s="1">
        <v>122979</v>
      </c>
      <c r="Q150" s="1">
        <v>30597</v>
      </c>
      <c r="S150" s="1">
        <v>617932</v>
      </c>
      <c r="U150" s="1">
        <v>0</v>
      </c>
      <c r="W150" s="1">
        <f>48000+56276</f>
        <v>104276</v>
      </c>
      <c r="Y150" s="41">
        <f t="shared" si="11"/>
        <v>14322892</v>
      </c>
      <c r="AA150" s="1">
        <v>0</v>
      </c>
      <c r="AE150" s="1">
        <v>0</v>
      </c>
      <c r="AG150" s="1">
        <v>5850</v>
      </c>
      <c r="AI150" s="1">
        <v>0</v>
      </c>
      <c r="AK150" s="1">
        <f t="shared" si="12"/>
        <v>5850</v>
      </c>
      <c r="AM150" s="1">
        <f t="shared" si="13"/>
        <v>14328742</v>
      </c>
    </row>
    <row r="151" spans="1:39" hidden="1">
      <c r="A151" s="12" t="s">
        <v>805</v>
      </c>
      <c r="B151" s="12"/>
      <c r="C151" s="12" t="s">
        <v>22</v>
      </c>
      <c r="D151" s="12"/>
      <c r="E151" s="13">
        <v>43869</v>
      </c>
      <c r="Y151" s="41">
        <f t="shared" si="11"/>
        <v>0</v>
      </c>
      <c r="AK151" s="1">
        <f t="shared" si="12"/>
        <v>0</v>
      </c>
      <c r="AM151" s="1">
        <f t="shared" si="13"/>
        <v>0</v>
      </c>
    </row>
    <row r="152" spans="1:39">
      <c r="A152" s="12" t="s">
        <v>806</v>
      </c>
      <c r="B152" s="12"/>
      <c r="C152" s="12" t="s">
        <v>23</v>
      </c>
      <c r="D152" s="12"/>
      <c r="E152" s="13"/>
      <c r="G152" s="1">
        <v>22192174</v>
      </c>
      <c r="I152" s="1">
        <v>0</v>
      </c>
      <c r="K152" s="1">
        <v>17010414</v>
      </c>
      <c r="M152" s="1">
        <v>10265</v>
      </c>
      <c r="O152" s="1">
        <v>443188</v>
      </c>
      <c r="Q152" s="1">
        <v>0</v>
      </c>
      <c r="S152" s="1">
        <v>0</v>
      </c>
      <c r="U152" s="1">
        <v>0</v>
      </c>
      <c r="W152" s="1">
        <f>173291+12021+21702</f>
        <v>207014</v>
      </c>
      <c r="Y152" s="41">
        <f t="shared" si="11"/>
        <v>39863055</v>
      </c>
      <c r="AA152" s="1">
        <v>0</v>
      </c>
      <c r="AE152" s="1">
        <v>0</v>
      </c>
      <c r="AG152" s="1">
        <v>0</v>
      </c>
      <c r="AI152" s="1">
        <v>0</v>
      </c>
      <c r="AK152" s="1">
        <f t="shared" si="12"/>
        <v>0</v>
      </c>
      <c r="AM152" s="1">
        <f t="shared" si="13"/>
        <v>39863055</v>
      </c>
    </row>
    <row r="153" spans="1:39">
      <c r="A153" s="12" t="s">
        <v>204</v>
      </c>
      <c r="B153" s="12"/>
      <c r="C153" s="12" t="s">
        <v>10</v>
      </c>
      <c r="D153" s="12"/>
      <c r="E153" s="13">
        <v>43885</v>
      </c>
      <c r="F153" s="8"/>
      <c r="G153" s="1">
        <v>4080662</v>
      </c>
      <c r="I153" s="1">
        <v>0</v>
      </c>
      <c r="K153" s="1">
        <v>4057161</v>
      </c>
      <c r="M153" s="1">
        <v>20149</v>
      </c>
      <c r="O153" s="1">
        <v>759299</v>
      </c>
      <c r="Q153" s="1">
        <v>0</v>
      </c>
      <c r="S153" s="1">
        <v>38562</v>
      </c>
      <c r="U153" s="1">
        <v>1968</v>
      </c>
      <c r="W153" s="1">
        <v>3671</v>
      </c>
      <c r="Y153" s="41">
        <f t="shared" si="11"/>
        <v>8961472</v>
      </c>
      <c r="AA153" s="1">
        <v>0</v>
      </c>
      <c r="AE153" s="1">
        <v>0</v>
      </c>
      <c r="AG153" s="1">
        <v>0</v>
      </c>
      <c r="AI153" s="1">
        <v>0</v>
      </c>
      <c r="AK153" s="1">
        <f t="shared" ref="AK153:AK202" si="14">SUM(AA153:AJ153)</f>
        <v>0</v>
      </c>
      <c r="AM153" s="1">
        <f t="shared" si="13"/>
        <v>8961472</v>
      </c>
    </row>
    <row r="154" spans="1:39">
      <c r="A154" s="12" t="s">
        <v>619</v>
      </c>
      <c r="B154" s="12"/>
      <c r="C154" s="12" t="s">
        <v>65</v>
      </c>
      <c r="D154" s="12"/>
      <c r="E154" s="13">
        <v>43893</v>
      </c>
      <c r="G154" s="1">
        <v>11358483</v>
      </c>
      <c r="I154" s="1">
        <v>0</v>
      </c>
      <c r="K154" s="1">
        <v>9548068</v>
      </c>
      <c r="M154" s="1">
        <v>6593</v>
      </c>
      <c r="O154" s="1">
        <v>33818</v>
      </c>
      <c r="Q154" s="1">
        <v>0</v>
      </c>
      <c r="S154" s="1">
        <v>0</v>
      </c>
      <c r="U154" s="1">
        <v>71460</v>
      </c>
      <c r="W154" s="1">
        <f>123830+81326</f>
        <v>205156</v>
      </c>
      <c r="Y154" s="41">
        <f t="shared" si="11"/>
        <v>21223578</v>
      </c>
      <c r="AA154" s="1">
        <v>0</v>
      </c>
      <c r="AE154" s="1">
        <v>0</v>
      </c>
      <c r="AG154" s="1">
        <v>0</v>
      </c>
      <c r="AI154" s="1">
        <v>0</v>
      </c>
      <c r="AK154" s="1">
        <f t="shared" si="14"/>
        <v>0</v>
      </c>
      <c r="AM154" s="1">
        <f t="shared" ref="AM154:AM164" si="15">+AK154+Y154</f>
        <v>21223578</v>
      </c>
    </row>
    <row r="155" spans="1:39">
      <c r="A155" s="12" t="s">
        <v>332</v>
      </c>
      <c r="B155" s="12"/>
      <c r="C155" s="12" t="s">
        <v>27</v>
      </c>
      <c r="D155" s="12"/>
      <c r="E155" s="13">
        <v>47027</v>
      </c>
      <c r="G155" s="1">
        <v>121370221</v>
      </c>
      <c r="I155" s="1">
        <v>0</v>
      </c>
      <c r="K155" s="1">
        <v>34071304</v>
      </c>
      <c r="M155" s="1">
        <v>888797</v>
      </c>
      <c r="O155" s="1">
        <v>412030</v>
      </c>
      <c r="Q155" s="1">
        <v>0</v>
      </c>
      <c r="S155" s="1">
        <v>0</v>
      </c>
      <c r="U155" s="1">
        <v>0</v>
      </c>
      <c r="W155" s="1">
        <f>761525+104</f>
        <v>761629</v>
      </c>
      <c r="Y155" s="41">
        <f t="shared" si="11"/>
        <v>157503981</v>
      </c>
      <c r="AA155" s="1">
        <v>1017800</v>
      </c>
      <c r="AE155" s="1">
        <v>0</v>
      </c>
      <c r="AG155" s="1">
        <v>29928</v>
      </c>
      <c r="AI155" s="1">
        <v>0</v>
      </c>
      <c r="AK155" s="1">
        <f t="shared" si="14"/>
        <v>1047728</v>
      </c>
      <c r="AM155" s="1">
        <f t="shared" si="15"/>
        <v>158551709</v>
      </c>
    </row>
    <row r="156" spans="1:39">
      <c r="A156" s="12" t="s">
        <v>288</v>
      </c>
      <c r="B156" s="12"/>
      <c r="C156" s="12" t="s">
        <v>20</v>
      </c>
      <c r="D156" s="12"/>
      <c r="E156" s="13">
        <v>43901</v>
      </c>
      <c r="G156" s="1">
        <v>7525282</v>
      </c>
      <c r="I156" s="1">
        <v>0</v>
      </c>
      <c r="K156" s="1">
        <v>35910383</v>
      </c>
      <c r="M156" s="1">
        <v>244078</v>
      </c>
      <c r="O156" s="1">
        <v>4317882</v>
      </c>
      <c r="Q156" s="1">
        <v>7698</v>
      </c>
      <c r="S156" s="1">
        <v>0</v>
      </c>
      <c r="U156" s="1">
        <v>6564</v>
      </c>
      <c r="W156" s="1">
        <f>89520+2637</f>
        <v>92157</v>
      </c>
      <c r="Y156" s="41">
        <f t="shared" si="11"/>
        <v>48104044</v>
      </c>
      <c r="AA156" s="1">
        <v>0</v>
      </c>
      <c r="AE156" s="1">
        <v>0</v>
      </c>
      <c r="AG156" s="1">
        <v>0</v>
      </c>
      <c r="AI156" s="1">
        <v>0</v>
      </c>
      <c r="AK156" s="1">
        <f t="shared" si="14"/>
        <v>0</v>
      </c>
      <c r="AM156" s="1">
        <f t="shared" si="15"/>
        <v>48104044</v>
      </c>
    </row>
    <row r="157" spans="1:39">
      <c r="A157" s="12" t="s">
        <v>261</v>
      </c>
      <c r="B157" s="12"/>
      <c r="C157" s="12" t="s">
        <v>18</v>
      </c>
      <c r="D157" s="12"/>
      <c r="E157" s="13">
        <v>46409</v>
      </c>
      <c r="F157" s="8"/>
      <c r="G157" s="1">
        <v>2454347</v>
      </c>
      <c r="I157" s="1">
        <v>0</v>
      </c>
      <c r="K157" s="1">
        <v>8087241</v>
      </c>
      <c r="M157" s="1">
        <v>45482</v>
      </c>
      <c r="O157" s="1">
        <v>660467</v>
      </c>
      <c r="Q157" s="1">
        <v>0</v>
      </c>
      <c r="S157" s="1">
        <v>0</v>
      </c>
      <c r="U157" s="1">
        <v>5800</v>
      </c>
      <c r="W157" s="1">
        <f>48962+775</f>
        <v>49737</v>
      </c>
      <c r="Y157" s="41">
        <f t="shared" si="11"/>
        <v>11303074</v>
      </c>
      <c r="AA157" s="1">
        <v>0</v>
      </c>
      <c r="AE157" s="1">
        <v>595000</v>
      </c>
      <c r="AG157" s="1">
        <v>0</v>
      </c>
      <c r="AI157" s="1">
        <v>0</v>
      </c>
      <c r="AK157" s="1">
        <f t="shared" si="14"/>
        <v>595000</v>
      </c>
      <c r="AM157" s="1">
        <f t="shared" si="15"/>
        <v>11898074</v>
      </c>
    </row>
    <row r="158" spans="1:39">
      <c r="A158" s="12" t="s">
        <v>361</v>
      </c>
      <c r="B158" s="12"/>
      <c r="C158" s="12" t="s">
        <v>31</v>
      </c>
      <c r="D158" s="12"/>
      <c r="E158" s="13">
        <v>69682</v>
      </c>
      <c r="G158" s="1">
        <v>1545334</v>
      </c>
      <c r="I158" s="1">
        <v>0</v>
      </c>
      <c r="K158" s="1">
        <v>6519919</v>
      </c>
      <c r="M158" s="1">
        <v>9187</v>
      </c>
      <c r="O158" s="1">
        <v>934587</v>
      </c>
      <c r="Q158" s="1">
        <v>58103</v>
      </c>
      <c r="S158" s="1">
        <v>0</v>
      </c>
      <c r="U158" s="1">
        <v>36079</v>
      </c>
      <c r="W158" s="1">
        <f>55252+1655</f>
        <v>56907</v>
      </c>
      <c r="Y158" s="41">
        <f t="shared" ref="Y158:Y210" si="16">SUM(G158:X158)</f>
        <v>9160116</v>
      </c>
      <c r="AA158" s="1">
        <v>0</v>
      </c>
      <c r="AE158" s="1">
        <v>0</v>
      </c>
      <c r="AG158" s="1">
        <v>0</v>
      </c>
      <c r="AI158" s="1">
        <v>0</v>
      </c>
      <c r="AK158" s="1">
        <f t="shared" si="14"/>
        <v>0</v>
      </c>
      <c r="AM158" s="1">
        <f t="shared" si="15"/>
        <v>9160116</v>
      </c>
    </row>
    <row r="159" spans="1:39">
      <c r="A159" s="12" t="s">
        <v>401</v>
      </c>
      <c r="B159" s="12"/>
      <c r="C159" s="12" t="s">
        <v>36</v>
      </c>
      <c r="D159" s="12"/>
      <c r="E159" s="13">
        <v>47688</v>
      </c>
      <c r="G159" s="1">
        <v>7327561</v>
      </c>
      <c r="I159" s="1">
        <v>0</v>
      </c>
      <c r="K159" s="1">
        <v>6266114</v>
      </c>
      <c r="M159" s="1">
        <v>105866</v>
      </c>
      <c r="O159" s="1">
        <v>619967</v>
      </c>
      <c r="Q159" s="1">
        <v>0</v>
      </c>
      <c r="S159" s="1">
        <v>0</v>
      </c>
      <c r="U159" s="1">
        <v>0</v>
      </c>
      <c r="W159" s="1">
        <f>6996+38168</f>
        <v>45164</v>
      </c>
      <c r="Y159" s="41">
        <f t="shared" si="16"/>
        <v>14364672</v>
      </c>
      <c r="AA159" s="1">
        <v>0</v>
      </c>
      <c r="AE159" s="1">
        <v>0</v>
      </c>
      <c r="AG159" s="1">
        <v>145</v>
      </c>
      <c r="AI159" s="1">
        <v>0</v>
      </c>
      <c r="AK159" s="1">
        <f t="shared" si="14"/>
        <v>145</v>
      </c>
      <c r="AM159" s="1">
        <f t="shared" si="15"/>
        <v>14364817</v>
      </c>
    </row>
    <row r="160" spans="1:39" hidden="1">
      <c r="A160" s="12" t="s">
        <v>807</v>
      </c>
      <c r="B160" s="12"/>
      <c r="C160" s="12" t="s">
        <v>40</v>
      </c>
      <c r="D160" s="12"/>
      <c r="E160" s="13"/>
      <c r="Y160" s="41">
        <f t="shared" si="16"/>
        <v>0</v>
      </c>
      <c r="AM160" s="1">
        <f t="shared" si="15"/>
        <v>0</v>
      </c>
    </row>
    <row r="161" spans="1:39">
      <c r="A161" s="12" t="s">
        <v>266</v>
      </c>
      <c r="B161" s="12"/>
      <c r="C161" s="12" t="s">
        <v>114</v>
      </c>
      <c r="D161" s="12"/>
      <c r="E161" s="13">
        <v>43919</v>
      </c>
      <c r="F161" s="8"/>
      <c r="G161" s="1">
        <v>4027127</v>
      </c>
      <c r="I161" s="1">
        <v>0</v>
      </c>
      <c r="K161" s="1">
        <v>17895342</v>
      </c>
      <c r="M161" s="1">
        <v>57228</v>
      </c>
      <c r="O161" s="1">
        <v>658922</v>
      </c>
      <c r="Q161" s="1">
        <v>0</v>
      </c>
      <c r="S161" s="1">
        <v>0</v>
      </c>
      <c r="U161" s="1">
        <v>300</v>
      </c>
      <c r="W161" s="1">
        <f>52953+4210</f>
        <v>57163</v>
      </c>
      <c r="Y161" s="41">
        <f t="shared" si="16"/>
        <v>22696082</v>
      </c>
      <c r="AA161" s="1">
        <v>0</v>
      </c>
      <c r="AE161" s="1">
        <v>0</v>
      </c>
      <c r="AG161" s="1">
        <v>8005</v>
      </c>
      <c r="AI161" s="1">
        <v>0</v>
      </c>
      <c r="AK161" s="1">
        <f t="shared" si="14"/>
        <v>8005</v>
      </c>
      <c r="AM161" s="1">
        <f t="shared" si="15"/>
        <v>22704087</v>
      </c>
    </row>
    <row r="162" spans="1:39">
      <c r="A162" s="12" t="s">
        <v>511</v>
      </c>
      <c r="B162" s="12"/>
      <c r="C162" s="12" t="s">
        <v>51</v>
      </c>
      <c r="D162" s="12"/>
      <c r="E162" s="13">
        <v>48835</v>
      </c>
      <c r="G162" s="1">
        <v>4345313</v>
      </c>
      <c r="I162" s="1">
        <v>0</v>
      </c>
      <c r="K162" s="1">
        <v>9700272</v>
      </c>
      <c r="M162" s="1">
        <v>129176</v>
      </c>
      <c r="O162" s="1">
        <v>1258061</v>
      </c>
      <c r="Q162" s="1">
        <v>0</v>
      </c>
      <c r="S162" s="1">
        <v>58354</v>
      </c>
      <c r="U162" s="1">
        <v>3544</v>
      </c>
      <c r="W162" s="1">
        <f>23757+8967</f>
        <v>32724</v>
      </c>
      <c r="Y162" s="41">
        <f t="shared" si="16"/>
        <v>15527444</v>
      </c>
      <c r="AA162" s="1">
        <v>0</v>
      </c>
      <c r="AE162" s="1">
        <v>69772</v>
      </c>
      <c r="AG162" s="1">
        <v>5268</v>
      </c>
      <c r="AI162" s="1">
        <v>0</v>
      </c>
      <c r="AK162" s="1">
        <f t="shared" si="14"/>
        <v>75040</v>
      </c>
      <c r="AM162" s="1">
        <f t="shared" si="15"/>
        <v>15602484</v>
      </c>
    </row>
    <row r="163" spans="1:39">
      <c r="A163" s="12" t="s">
        <v>267</v>
      </c>
      <c r="B163" s="12"/>
      <c r="C163" s="12" t="s">
        <v>114</v>
      </c>
      <c r="D163" s="12"/>
      <c r="E163" s="13">
        <v>43927</v>
      </c>
      <c r="F163" s="8"/>
      <c r="G163" s="1">
        <v>2126281</v>
      </c>
      <c r="I163" s="1">
        <v>0</v>
      </c>
      <c r="K163" s="1">
        <v>6929381</v>
      </c>
      <c r="M163" s="1">
        <v>0</v>
      </c>
      <c r="O163" s="1">
        <v>322504</v>
      </c>
      <c r="Q163" s="1">
        <v>0</v>
      </c>
      <c r="S163" s="1">
        <v>0</v>
      </c>
      <c r="U163" s="1">
        <v>19967</v>
      </c>
      <c r="W163" s="1">
        <f>7864+23730</f>
        <v>31594</v>
      </c>
      <c r="Y163" s="41">
        <f t="shared" si="16"/>
        <v>9429727</v>
      </c>
      <c r="AA163" s="1">
        <v>0</v>
      </c>
      <c r="AE163" s="1">
        <v>0</v>
      </c>
      <c r="AG163" s="1">
        <v>0</v>
      </c>
      <c r="AI163" s="1">
        <v>0</v>
      </c>
      <c r="AK163" s="1">
        <f t="shared" si="14"/>
        <v>0</v>
      </c>
      <c r="AM163" s="1">
        <f t="shared" si="15"/>
        <v>9429727</v>
      </c>
    </row>
    <row r="164" spans="1:39">
      <c r="A164" s="12" t="s">
        <v>223</v>
      </c>
      <c r="B164" s="12"/>
      <c r="C164" s="12" t="s">
        <v>77</v>
      </c>
      <c r="D164" s="12"/>
      <c r="E164" s="13">
        <v>46037</v>
      </c>
      <c r="F164" s="8"/>
      <c r="G164" s="1">
        <v>2840150</v>
      </c>
      <c r="I164" s="1">
        <v>0</v>
      </c>
      <c r="K164" s="1">
        <v>7528485</v>
      </c>
      <c r="M164" s="1">
        <v>10888</v>
      </c>
      <c r="O164" s="1">
        <v>781383</v>
      </c>
      <c r="Q164" s="1">
        <v>0</v>
      </c>
      <c r="S164" s="1">
        <v>44353</v>
      </c>
      <c r="U164" s="1">
        <v>24907</v>
      </c>
      <c r="W164" s="1">
        <f>35832+12584</f>
        <v>48416</v>
      </c>
      <c r="Y164" s="41">
        <f t="shared" si="16"/>
        <v>11278582</v>
      </c>
      <c r="AA164" s="1">
        <v>0</v>
      </c>
      <c r="AE164" s="1">
        <v>0</v>
      </c>
      <c r="AG164" s="1">
        <v>0</v>
      </c>
      <c r="AI164" s="1">
        <v>0</v>
      </c>
      <c r="AK164" s="1">
        <f t="shared" si="14"/>
        <v>0</v>
      </c>
      <c r="AM164" s="1">
        <f t="shared" si="15"/>
        <v>11278582</v>
      </c>
    </row>
    <row r="165" spans="1:39">
      <c r="A165" s="17" t="s">
        <v>223</v>
      </c>
      <c r="B165" s="17"/>
      <c r="C165" s="17" t="s">
        <v>484</v>
      </c>
      <c r="D165" s="17"/>
      <c r="E165" s="13">
        <v>48512</v>
      </c>
      <c r="F165" s="8"/>
      <c r="G165" s="1">
        <v>551348</v>
      </c>
      <c r="I165" s="1">
        <v>0</v>
      </c>
      <c r="K165" s="1">
        <v>5056964</v>
      </c>
      <c r="M165" s="1">
        <v>16002</v>
      </c>
      <c r="O165" s="1">
        <v>596560</v>
      </c>
      <c r="Q165" s="1">
        <v>0</v>
      </c>
      <c r="S165" s="1">
        <v>0</v>
      </c>
      <c r="U165" s="1">
        <v>1825</v>
      </c>
      <c r="W165" s="1">
        <f>5677+26014</f>
        <v>31691</v>
      </c>
      <c r="Y165" s="41">
        <f t="shared" si="16"/>
        <v>6254390</v>
      </c>
      <c r="AA165" s="1">
        <v>0</v>
      </c>
      <c r="AE165" s="1">
        <v>0</v>
      </c>
      <c r="AG165" s="1">
        <v>0</v>
      </c>
      <c r="AI165" s="1">
        <v>0</v>
      </c>
      <c r="AK165" s="1">
        <f t="shared" si="14"/>
        <v>0</v>
      </c>
      <c r="AM165" s="1">
        <f t="shared" ref="AM165:AM177" si="17">+AK165+Y165</f>
        <v>6254390</v>
      </c>
    </row>
    <row r="166" spans="1:39" hidden="1">
      <c r="A166" s="12" t="s">
        <v>808</v>
      </c>
      <c r="B166" s="12"/>
      <c r="C166" s="12" t="s">
        <v>55</v>
      </c>
      <c r="D166" s="12"/>
      <c r="E166" s="13">
        <v>49122</v>
      </c>
      <c r="Y166" s="41">
        <f t="shared" si="16"/>
        <v>0</v>
      </c>
      <c r="AK166" s="1">
        <f t="shared" si="14"/>
        <v>0</v>
      </c>
      <c r="AM166" s="1">
        <f t="shared" si="17"/>
        <v>0</v>
      </c>
    </row>
    <row r="167" spans="1:39">
      <c r="A167" s="12" t="s">
        <v>647</v>
      </c>
      <c r="B167" s="12"/>
      <c r="C167" s="12" t="s">
        <v>72</v>
      </c>
      <c r="D167" s="12"/>
      <c r="E167" s="13">
        <v>50674</v>
      </c>
      <c r="G167" s="1">
        <v>4525892</v>
      </c>
      <c r="I167" s="1">
        <v>1731990</v>
      </c>
      <c r="K167" s="1">
        <v>7402493</v>
      </c>
      <c r="M167" s="1">
        <v>206231</v>
      </c>
      <c r="O167" s="1">
        <v>388318</v>
      </c>
      <c r="Q167" s="1">
        <v>0</v>
      </c>
      <c r="S167" s="1">
        <v>480000</v>
      </c>
      <c r="U167" s="1">
        <v>0</v>
      </c>
      <c r="W167" s="1">
        <f>31855+840</f>
        <v>32695</v>
      </c>
      <c r="Y167" s="41">
        <f t="shared" si="16"/>
        <v>14767619</v>
      </c>
      <c r="AA167" s="1">
        <v>0</v>
      </c>
      <c r="AE167" s="1">
        <v>0</v>
      </c>
      <c r="AG167" s="1">
        <v>0</v>
      </c>
      <c r="AI167" s="1">
        <v>0</v>
      </c>
      <c r="AK167" s="1">
        <f t="shared" si="14"/>
        <v>0</v>
      </c>
      <c r="AM167" s="1">
        <f t="shared" si="17"/>
        <v>14767619</v>
      </c>
    </row>
    <row r="168" spans="1:39">
      <c r="A168" s="17" t="s">
        <v>835</v>
      </c>
      <c r="B168" s="12"/>
      <c r="C168" s="12" t="s">
        <v>57</v>
      </c>
      <c r="D168" s="12"/>
      <c r="E168" s="13">
        <v>43935</v>
      </c>
      <c r="G168" s="1">
        <v>8615312</v>
      </c>
      <c r="I168" s="1">
        <v>0</v>
      </c>
      <c r="K168" s="1">
        <v>9123784</v>
      </c>
      <c r="M168" s="1">
        <v>50331</v>
      </c>
      <c r="O168" s="1">
        <f>266590+8263+77303</f>
        <v>352156</v>
      </c>
      <c r="Q168" s="1">
        <v>8652</v>
      </c>
      <c r="S168" s="1">
        <v>0</v>
      </c>
      <c r="U168" s="1">
        <v>0</v>
      </c>
      <c r="W168" s="1">
        <f>87590+29064</f>
        <v>116654</v>
      </c>
      <c r="Y168" s="41">
        <f t="shared" si="16"/>
        <v>18266889</v>
      </c>
      <c r="AA168" s="1">
        <v>0</v>
      </c>
      <c r="AE168" s="1">
        <v>0</v>
      </c>
      <c r="AG168" s="1">
        <v>1219</v>
      </c>
      <c r="AI168" s="1">
        <v>0</v>
      </c>
      <c r="AK168" s="1">
        <f t="shared" si="14"/>
        <v>1219</v>
      </c>
      <c r="AM168" s="1">
        <f t="shared" si="17"/>
        <v>18268108</v>
      </c>
    </row>
    <row r="169" spans="1:39" hidden="1">
      <c r="A169" s="17" t="s">
        <v>809</v>
      </c>
      <c r="B169" s="12"/>
      <c r="C169" s="12" t="s">
        <v>643</v>
      </c>
      <c r="D169" s="12"/>
      <c r="E169" s="13">
        <v>50617</v>
      </c>
      <c r="Y169" s="41">
        <f t="shared" si="16"/>
        <v>0</v>
      </c>
      <c r="AA169" s="1">
        <v>0</v>
      </c>
      <c r="AE169" s="1">
        <v>0</v>
      </c>
      <c r="AI169" s="1">
        <v>0</v>
      </c>
      <c r="AK169" s="1">
        <f t="shared" si="14"/>
        <v>0</v>
      </c>
      <c r="AM169" s="1">
        <f t="shared" si="17"/>
        <v>0</v>
      </c>
    </row>
    <row r="170" spans="1:39">
      <c r="A170" s="12" t="s">
        <v>226</v>
      </c>
      <c r="B170" s="12"/>
      <c r="C170" s="12" t="s">
        <v>227</v>
      </c>
      <c r="D170" s="12"/>
      <c r="E170" s="13">
        <v>46094</v>
      </c>
      <c r="F170" s="8"/>
      <c r="G170" s="1">
        <v>9711163</v>
      </c>
      <c r="I170" s="1">
        <v>0</v>
      </c>
      <c r="K170" s="1">
        <v>16544109</v>
      </c>
      <c r="M170" s="1">
        <v>21141</v>
      </c>
      <c r="O170" s="1">
        <v>468420</v>
      </c>
      <c r="Q170" s="1">
        <v>0</v>
      </c>
      <c r="S170" s="1">
        <v>701266</v>
      </c>
      <c r="U170" s="1">
        <v>0</v>
      </c>
      <c r="W170" s="1">
        <v>79479</v>
      </c>
      <c r="Y170" s="41">
        <f t="shared" si="16"/>
        <v>27525578</v>
      </c>
      <c r="AA170" s="1">
        <v>0</v>
      </c>
      <c r="AE170" s="1">
        <v>245564</v>
      </c>
      <c r="AG170" s="1">
        <v>0</v>
      </c>
      <c r="AI170" s="1">
        <v>20901</v>
      </c>
      <c r="AK170" s="1">
        <f t="shared" si="14"/>
        <v>266465</v>
      </c>
      <c r="AM170" s="1">
        <f t="shared" si="17"/>
        <v>27792043</v>
      </c>
    </row>
    <row r="171" spans="1:39">
      <c r="A171" s="12"/>
      <c r="B171" s="12"/>
      <c r="C171" s="12"/>
      <c r="D171" s="12"/>
      <c r="E171" s="13"/>
      <c r="F171" s="8"/>
      <c r="Y171" s="41"/>
    </row>
    <row r="172" spans="1:39">
      <c r="A172" s="12"/>
      <c r="B172" s="12"/>
      <c r="C172" s="12"/>
      <c r="D172" s="12"/>
      <c r="E172" s="13"/>
      <c r="F172" s="8"/>
      <c r="Y172" s="41"/>
      <c r="AM172" s="20" t="s">
        <v>709</v>
      </c>
    </row>
    <row r="173" spans="1:39">
      <c r="A173" s="12"/>
      <c r="B173" s="12"/>
      <c r="C173" s="12"/>
      <c r="D173" s="12"/>
      <c r="E173" s="13"/>
      <c r="F173" s="8"/>
      <c r="Y173" s="41"/>
    </row>
    <row r="174" spans="1:39">
      <c r="A174" s="12" t="s">
        <v>410</v>
      </c>
      <c r="B174" s="12"/>
      <c r="C174" s="12" t="s">
        <v>39</v>
      </c>
      <c r="D174" s="12"/>
      <c r="E174" s="13">
        <v>47795</v>
      </c>
      <c r="G174" s="16">
        <v>8157785</v>
      </c>
      <c r="H174" s="16"/>
      <c r="I174" s="16">
        <v>0</v>
      </c>
      <c r="J174" s="16"/>
      <c r="K174" s="16">
        <v>9329954</v>
      </c>
      <c r="L174" s="16"/>
      <c r="M174" s="16">
        <v>2518</v>
      </c>
      <c r="N174" s="16"/>
      <c r="O174" s="16">
        <f>692929+39699</f>
        <v>732628</v>
      </c>
      <c r="P174" s="16"/>
      <c r="Q174" s="16">
        <v>0</v>
      </c>
      <c r="R174" s="16"/>
      <c r="S174" s="16">
        <v>0</v>
      </c>
      <c r="T174" s="16"/>
      <c r="U174" s="16">
        <v>0</v>
      </c>
      <c r="V174" s="16"/>
      <c r="W174" s="16">
        <v>175824</v>
      </c>
      <c r="X174" s="16"/>
      <c r="Y174" s="59">
        <f t="shared" si="16"/>
        <v>18398709</v>
      </c>
      <c r="Z174" s="16"/>
      <c r="AA174" s="16">
        <v>161423</v>
      </c>
      <c r="AB174" s="16"/>
      <c r="AC174" s="16"/>
      <c r="AD174" s="16"/>
      <c r="AE174" s="16">
        <v>0</v>
      </c>
      <c r="AF174" s="16"/>
      <c r="AG174" s="16">
        <v>0</v>
      </c>
      <c r="AH174" s="16"/>
      <c r="AI174" s="16">
        <v>0</v>
      </c>
      <c r="AJ174" s="16"/>
      <c r="AK174" s="16">
        <f t="shared" si="14"/>
        <v>161423</v>
      </c>
      <c r="AL174" s="16"/>
      <c r="AM174" s="16">
        <f t="shared" si="17"/>
        <v>18560132</v>
      </c>
    </row>
    <row r="175" spans="1:39">
      <c r="A175" s="12" t="s">
        <v>644</v>
      </c>
      <c r="B175" s="12"/>
      <c r="C175" s="12" t="s">
        <v>643</v>
      </c>
      <c r="D175" s="12"/>
      <c r="E175" s="13">
        <v>50625</v>
      </c>
      <c r="G175" s="1">
        <v>1201008</v>
      </c>
      <c r="I175" s="1">
        <v>0</v>
      </c>
      <c r="K175" s="1">
        <v>3291812</v>
      </c>
      <c r="M175" s="1">
        <f>19480-3224</f>
        <v>16256</v>
      </c>
      <c r="O175" s="1">
        <v>559125</v>
      </c>
      <c r="Q175" s="1">
        <v>2405</v>
      </c>
      <c r="S175" s="1">
        <v>0</v>
      </c>
      <c r="U175" s="1">
        <v>15604</v>
      </c>
      <c r="W175" s="1">
        <f>33081+6648</f>
        <v>39729</v>
      </c>
      <c r="Y175" s="41">
        <f t="shared" si="16"/>
        <v>5125939</v>
      </c>
      <c r="AA175" s="1">
        <v>0</v>
      </c>
      <c r="AE175" s="1">
        <v>0</v>
      </c>
      <c r="AG175" s="1">
        <v>36</v>
      </c>
      <c r="AI175" s="1">
        <v>0</v>
      </c>
      <c r="AK175" s="1">
        <f t="shared" si="14"/>
        <v>36</v>
      </c>
      <c r="AM175" s="1">
        <f t="shared" si="17"/>
        <v>5125975</v>
      </c>
    </row>
    <row r="176" spans="1:39">
      <c r="A176" s="17" t="s">
        <v>836</v>
      </c>
      <c r="B176" s="12"/>
      <c r="C176" s="12" t="s">
        <v>46</v>
      </c>
      <c r="D176" s="12"/>
      <c r="E176" s="13">
        <v>48413</v>
      </c>
      <c r="G176" s="1">
        <v>3651293</v>
      </c>
      <c r="I176" s="1">
        <v>167057</v>
      </c>
      <c r="K176" s="1">
        <v>7266013</v>
      </c>
      <c r="M176" s="1">
        <v>10361</v>
      </c>
      <c r="O176" s="1">
        <v>1366033</v>
      </c>
      <c r="Q176" s="1">
        <v>39688</v>
      </c>
      <c r="S176" s="1">
        <v>28000</v>
      </c>
      <c r="U176" s="1">
        <v>2572</v>
      </c>
      <c r="W176" s="1">
        <v>57850</v>
      </c>
      <c r="Y176" s="41">
        <f t="shared" si="16"/>
        <v>12588867</v>
      </c>
      <c r="AA176" s="1">
        <v>1050</v>
      </c>
      <c r="AE176" s="1">
        <v>0</v>
      </c>
      <c r="AG176" s="1">
        <v>3792</v>
      </c>
      <c r="AI176" s="1">
        <v>0</v>
      </c>
      <c r="AK176" s="1">
        <f t="shared" si="14"/>
        <v>4842</v>
      </c>
      <c r="AM176" s="1">
        <f t="shared" ref="AM176" si="18">+AK176+Y176</f>
        <v>12593709</v>
      </c>
    </row>
    <row r="177" spans="1:39" hidden="1">
      <c r="A177" s="12" t="s">
        <v>811</v>
      </c>
      <c r="B177" s="12"/>
      <c r="C177" s="12" t="s">
        <v>10</v>
      </c>
      <c r="D177" s="12"/>
      <c r="E177" s="13"/>
      <c r="Y177" s="41">
        <f t="shared" si="16"/>
        <v>0</v>
      </c>
      <c r="AM177" s="1">
        <f t="shared" si="17"/>
        <v>0</v>
      </c>
    </row>
    <row r="178" spans="1:39" hidden="1">
      <c r="A178" s="17" t="s">
        <v>861</v>
      </c>
      <c r="B178" s="17"/>
      <c r="C178" s="17" t="s">
        <v>72</v>
      </c>
      <c r="D178" s="12"/>
      <c r="E178" s="13"/>
      <c r="Y178" s="41"/>
    </row>
    <row r="179" spans="1:39">
      <c r="A179" s="12" t="s">
        <v>440</v>
      </c>
      <c r="B179" s="12"/>
      <c r="C179" s="12" t="s">
        <v>44</v>
      </c>
      <c r="D179" s="12"/>
      <c r="E179" s="13">
        <v>43943</v>
      </c>
      <c r="G179" s="1">
        <v>26447875</v>
      </c>
      <c r="I179" s="1">
        <v>0</v>
      </c>
      <c r="K179" s="1">
        <v>40662002</v>
      </c>
      <c r="M179" s="1">
        <v>86613</v>
      </c>
      <c r="O179" s="1">
        <v>1355242</v>
      </c>
      <c r="Q179" s="1">
        <v>21612</v>
      </c>
      <c r="S179" s="1">
        <v>0</v>
      </c>
      <c r="U179" s="1">
        <v>42066</v>
      </c>
      <c r="W179" s="1">
        <f>725258+87314</f>
        <v>812572</v>
      </c>
      <c r="Y179" s="41">
        <f t="shared" si="16"/>
        <v>69427982</v>
      </c>
      <c r="AA179" s="1">
        <v>0</v>
      </c>
      <c r="AE179" s="1">
        <v>0</v>
      </c>
      <c r="AG179" s="1">
        <v>12028</v>
      </c>
      <c r="AI179" s="1">
        <v>0</v>
      </c>
      <c r="AK179" s="1">
        <f t="shared" si="14"/>
        <v>12028</v>
      </c>
      <c r="AM179" s="1">
        <f t="shared" ref="AM179:AM209" si="19">+AK179+Y179</f>
        <v>69440010</v>
      </c>
    </row>
    <row r="180" spans="1:39">
      <c r="A180" s="12" t="s">
        <v>289</v>
      </c>
      <c r="B180" s="12"/>
      <c r="C180" s="12" t="s">
        <v>20</v>
      </c>
      <c r="D180" s="12"/>
      <c r="E180" s="13">
        <v>43950</v>
      </c>
      <c r="G180" s="1">
        <v>38430948</v>
      </c>
      <c r="I180" s="1">
        <v>0</v>
      </c>
      <c r="K180" s="1">
        <v>31252572</v>
      </c>
      <c r="M180" s="1">
        <v>54697</v>
      </c>
      <c r="O180" s="1">
        <f>151078+76380+158150</f>
        <v>385608</v>
      </c>
      <c r="Q180" s="1">
        <v>0</v>
      </c>
      <c r="S180" s="1">
        <v>0</v>
      </c>
      <c r="U180" s="1">
        <v>0</v>
      </c>
      <c r="W180" s="1">
        <f>21+112353</f>
        <v>112374</v>
      </c>
      <c r="Y180" s="41">
        <f t="shared" si="16"/>
        <v>70236199</v>
      </c>
      <c r="AA180" s="1">
        <v>0</v>
      </c>
      <c r="AE180" s="1">
        <v>0</v>
      </c>
      <c r="AG180" s="1">
        <v>11267</v>
      </c>
      <c r="AI180" s="1">
        <v>0</v>
      </c>
      <c r="AK180" s="1">
        <f t="shared" si="14"/>
        <v>11267</v>
      </c>
      <c r="AM180" s="1">
        <f t="shared" si="19"/>
        <v>70247466</v>
      </c>
    </row>
    <row r="181" spans="1:39" hidden="1">
      <c r="A181" s="12" t="s">
        <v>741</v>
      </c>
      <c r="B181" s="12"/>
      <c r="C181" s="12" t="s">
        <v>28</v>
      </c>
      <c r="D181" s="12"/>
      <c r="E181" s="13">
        <v>47050</v>
      </c>
      <c r="Y181" s="41">
        <f t="shared" si="16"/>
        <v>0</v>
      </c>
      <c r="AK181" s="1">
        <f t="shared" si="14"/>
        <v>0</v>
      </c>
      <c r="AM181" s="1">
        <f t="shared" si="19"/>
        <v>0</v>
      </c>
    </row>
    <row r="182" spans="1:39">
      <c r="A182" s="12" t="s">
        <v>625</v>
      </c>
      <c r="B182" s="12"/>
      <c r="C182" s="12" t="s">
        <v>66</v>
      </c>
      <c r="D182" s="12"/>
      <c r="E182" s="13">
        <v>50328</v>
      </c>
      <c r="G182" s="1">
        <v>6241586</v>
      </c>
      <c r="I182" s="1">
        <v>0</v>
      </c>
      <c r="K182" s="1">
        <f>1934+3138079</f>
        <v>3140013</v>
      </c>
      <c r="M182" s="1">
        <v>40365</v>
      </c>
      <c r="O182" s="1">
        <f>99402+14184</f>
        <v>113586</v>
      </c>
      <c r="Q182" s="1">
        <v>0</v>
      </c>
      <c r="S182" s="1">
        <v>0</v>
      </c>
      <c r="U182" s="1">
        <v>0</v>
      </c>
      <c r="W182" s="1">
        <v>34910</v>
      </c>
      <c r="Y182" s="41">
        <f t="shared" si="16"/>
        <v>9570460</v>
      </c>
      <c r="AA182" s="1">
        <v>0</v>
      </c>
      <c r="AE182" s="1">
        <v>0</v>
      </c>
      <c r="AG182" s="1">
        <v>0</v>
      </c>
      <c r="AI182" s="1">
        <v>0</v>
      </c>
      <c r="AK182" s="1">
        <f t="shared" si="14"/>
        <v>0</v>
      </c>
      <c r="AM182" s="1">
        <f t="shared" si="19"/>
        <v>9570460</v>
      </c>
    </row>
    <row r="183" spans="1:39">
      <c r="A183" s="12" t="s">
        <v>751</v>
      </c>
      <c r="B183" s="12"/>
      <c r="C183" s="12" t="s">
        <v>116</v>
      </c>
      <c r="D183" s="12"/>
      <c r="E183" s="13">
        <v>46102</v>
      </c>
      <c r="F183" s="8"/>
      <c r="G183" s="1">
        <v>16578002</v>
      </c>
      <c r="I183" s="1">
        <v>3113953</v>
      </c>
      <c r="K183" s="1">
        <v>21308654</v>
      </c>
      <c r="M183" s="1">
        <v>198107</v>
      </c>
      <c r="O183" s="1">
        <v>274500</v>
      </c>
      <c r="Q183" s="1">
        <v>63723</v>
      </c>
      <c r="S183" s="1">
        <v>193968</v>
      </c>
      <c r="U183" s="1">
        <v>1450</v>
      </c>
      <c r="W183" s="1">
        <f>185130+36591+99837</f>
        <v>321558</v>
      </c>
      <c r="Y183" s="41">
        <f>SUM(G183:X183)</f>
        <v>42053915</v>
      </c>
      <c r="AA183" s="1">
        <v>0</v>
      </c>
      <c r="AE183" s="1">
        <v>0</v>
      </c>
      <c r="AG183" s="1">
        <v>0</v>
      </c>
      <c r="AI183" s="1">
        <v>0</v>
      </c>
      <c r="AK183" s="1">
        <f>SUM(AA183:AJ183)</f>
        <v>0</v>
      </c>
      <c r="AM183" s="1">
        <f t="shared" si="19"/>
        <v>42053915</v>
      </c>
    </row>
    <row r="184" spans="1:39">
      <c r="A184" s="12" t="s">
        <v>228</v>
      </c>
      <c r="B184" s="12"/>
      <c r="C184" s="12" t="s">
        <v>227</v>
      </c>
      <c r="D184" s="12"/>
      <c r="E184" s="13">
        <v>46102</v>
      </c>
      <c r="F184" s="8"/>
      <c r="G184" s="1">
        <v>35701301</v>
      </c>
      <c r="I184" s="1">
        <v>0</v>
      </c>
      <c r="K184" s="1">
        <v>32025715</v>
      </c>
      <c r="M184" s="1">
        <v>53340</v>
      </c>
      <c r="O184" s="1">
        <v>1073430</v>
      </c>
      <c r="Q184" s="1">
        <v>116477</v>
      </c>
      <c r="S184" s="1">
        <v>1477892</v>
      </c>
      <c r="U184" s="1">
        <v>0</v>
      </c>
      <c r="W184" s="1">
        <v>349107</v>
      </c>
      <c r="Y184" s="41">
        <f t="shared" si="16"/>
        <v>70797262</v>
      </c>
      <c r="AA184" s="1">
        <v>0</v>
      </c>
      <c r="AE184" s="1">
        <v>0</v>
      </c>
      <c r="AG184" s="1">
        <v>1816</v>
      </c>
      <c r="AI184" s="1">
        <v>0</v>
      </c>
      <c r="AK184" s="1">
        <f t="shared" si="14"/>
        <v>1816</v>
      </c>
      <c r="AM184" s="1">
        <f t="shared" si="19"/>
        <v>70799078</v>
      </c>
    </row>
    <row r="185" spans="1:39">
      <c r="A185" s="12" t="s">
        <v>396</v>
      </c>
      <c r="B185" s="12"/>
      <c r="C185" s="12" t="s">
        <v>395</v>
      </c>
      <c r="D185" s="12"/>
      <c r="E185" s="13">
        <v>47621</v>
      </c>
      <c r="G185" s="1">
        <v>1438536</v>
      </c>
      <c r="I185" s="1">
        <v>0</v>
      </c>
      <c r="K185" s="1">
        <v>5068791</v>
      </c>
      <c r="M185" s="1">
        <v>10024</v>
      </c>
      <c r="O185" s="1">
        <v>365667</v>
      </c>
      <c r="Q185" s="1">
        <v>0</v>
      </c>
      <c r="S185" s="1">
        <v>0</v>
      </c>
      <c r="U185" s="1">
        <v>4008</v>
      </c>
      <c r="W185" s="1">
        <f>20773+3255+81890</f>
        <v>105918</v>
      </c>
      <c r="Y185" s="41">
        <f t="shared" si="16"/>
        <v>6992944</v>
      </c>
      <c r="AA185" s="1">
        <v>0</v>
      </c>
      <c r="AE185" s="1">
        <v>0</v>
      </c>
      <c r="AG185" s="1">
        <v>0</v>
      </c>
      <c r="AI185" s="1">
        <v>0</v>
      </c>
      <c r="AK185" s="1">
        <f t="shared" si="14"/>
        <v>0</v>
      </c>
      <c r="AM185" s="1">
        <f t="shared" si="19"/>
        <v>6992944</v>
      </c>
    </row>
    <row r="186" spans="1:39">
      <c r="A186" s="12" t="s">
        <v>324</v>
      </c>
      <c r="B186" s="12"/>
      <c r="C186" s="12" t="s">
        <v>25</v>
      </c>
      <c r="D186" s="12"/>
      <c r="E186" s="13">
        <v>46870</v>
      </c>
      <c r="G186" s="1">
        <v>3437479</v>
      </c>
      <c r="I186" s="1">
        <v>4092299</v>
      </c>
      <c r="K186" s="1">
        <v>9396311</v>
      </c>
      <c r="M186" s="1">
        <v>26373</v>
      </c>
      <c r="O186" s="1">
        <v>1331561</v>
      </c>
      <c r="Q186" s="1">
        <v>17083</v>
      </c>
      <c r="S186" s="1">
        <v>0</v>
      </c>
      <c r="U186" s="1">
        <v>0</v>
      </c>
      <c r="W186" s="1">
        <f>18843+17887</f>
        <v>36730</v>
      </c>
      <c r="Y186" s="41">
        <f t="shared" si="16"/>
        <v>18337836</v>
      </c>
      <c r="AA186" s="1">
        <v>0</v>
      </c>
      <c r="AE186" s="1">
        <v>0</v>
      </c>
      <c r="AG186" s="1">
        <f>135+12064</f>
        <v>12199</v>
      </c>
      <c r="AI186" s="1">
        <v>0</v>
      </c>
      <c r="AK186" s="1">
        <f t="shared" si="14"/>
        <v>12199</v>
      </c>
      <c r="AM186" s="1">
        <f t="shared" si="19"/>
        <v>18350035</v>
      </c>
    </row>
    <row r="187" spans="1:39">
      <c r="A187" s="12" t="s">
        <v>422</v>
      </c>
      <c r="B187" s="12"/>
      <c r="C187" s="12" t="s">
        <v>420</v>
      </c>
      <c r="D187" s="12"/>
      <c r="E187" s="13">
        <v>47936</v>
      </c>
      <c r="G187" s="1">
        <v>3049791</v>
      </c>
      <c r="I187" s="1">
        <v>0</v>
      </c>
      <c r="K187" s="1">
        <v>9099906</v>
      </c>
      <c r="M187" s="1">
        <v>44630</v>
      </c>
      <c r="O187" s="1">
        <v>910562</v>
      </c>
      <c r="Q187" s="1">
        <v>0</v>
      </c>
      <c r="S187" s="1">
        <v>0</v>
      </c>
      <c r="U187" s="1">
        <v>3500</v>
      </c>
      <c r="W187" s="1">
        <v>47612</v>
      </c>
      <c r="Y187" s="41">
        <f t="shared" si="16"/>
        <v>13156001</v>
      </c>
      <c r="AA187" s="1">
        <v>0</v>
      </c>
      <c r="AE187" s="1">
        <v>0</v>
      </c>
      <c r="AG187" s="1">
        <v>0</v>
      </c>
      <c r="AI187" s="1">
        <v>0</v>
      </c>
      <c r="AK187" s="1">
        <f t="shared" si="14"/>
        <v>0</v>
      </c>
      <c r="AM187" s="1">
        <f t="shared" si="19"/>
        <v>13156001</v>
      </c>
    </row>
    <row r="188" spans="1:39" hidden="1">
      <c r="A188" s="17" t="s">
        <v>742</v>
      </c>
      <c r="B188" s="12"/>
      <c r="C188" s="12" t="s">
        <v>61</v>
      </c>
      <c r="D188" s="12"/>
      <c r="E188" s="13">
        <v>49775</v>
      </c>
      <c r="Y188" s="41">
        <f t="shared" si="16"/>
        <v>0</v>
      </c>
      <c r="AK188" s="1">
        <f t="shared" si="14"/>
        <v>0</v>
      </c>
      <c r="AM188" s="1">
        <f t="shared" si="19"/>
        <v>0</v>
      </c>
    </row>
    <row r="189" spans="1:39">
      <c r="A189" s="12" t="s">
        <v>575</v>
      </c>
      <c r="B189" s="12"/>
      <c r="C189" s="12" t="s">
        <v>62</v>
      </c>
      <c r="D189" s="12"/>
      <c r="E189" s="13">
        <v>49841</v>
      </c>
      <c r="G189" s="1">
        <v>5148478</v>
      </c>
      <c r="I189" s="1">
        <v>0</v>
      </c>
      <c r="K189" s="1">
        <v>9038795</v>
      </c>
      <c r="M189" s="1">
        <v>6781</v>
      </c>
      <c r="O189" s="1">
        <v>528561</v>
      </c>
      <c r="Q189" s="1">
        <v>82113</v>
      </c>
      <c r="S189" s="1">
        <v>0</v>
      </c>
      <c r="U189" s="1">
        <v>1800</v>
      </c>
      <c r="W189" s="1">
        <f>188131+37000</f>
        <v>225131</v>
      </c>
      <c r="Y189" s="41">
        <f t="shared" si="16"/>
        <v>15031659</v>
      </c>
      <c r="AA189" s="1">
        <v>0</v>
      </c>
      <c r="AE189" s="1">
        <v>0</v>
      </c>
      <c r="AG189" s="1">
        <v>0</v>
      </c>
      <c r="AI189" s="1">
        <v>0</v>
      </c>
      <c r="AK189" s="1">
        <f t="shared" si="14"/>
        <v>0</v>
      </c>
      <c r="AM189" s="1">
        <f t="shared" si="19"/>
        <v>15031659</v>
      </c>
    </row>
    <row r="190" spans="1:39" hidden="1">
      <c r="A190" s="17" t="s">
        <v>834</v>
      </c>
      <c r="B190" s="12"/>
      <c r="C190" s="12" t="s">
        <v>41</v>
      </c>
      <c r="D190" s="12"/>
      <c r="E190" s="13">
        <v>45369</v>
      </c>
      <c r="Y190" s="41">
        <f t="shared" si="16"/>
        <v>0</v>
      </c>
      <c r="AK190" s="1">
        <f t="shared" si="14"/>
        <v>0</v>
      </c>
      <c r="AM190" s="1">
        <f t="shared" si="19"/>
        <v>0</v>
      </c>
    </row>
    <row r="191" spans="1:39">
      <c r="A191" s="12" t="s">
        <v>290</v>
      </c>
      <c r="B191" s="12"/>
      <c r="C191" s="12" t="s">
        <v>20</v>
      </c>
      <c r="D191" s="12"/>
      <c r="E191" s="13">
        <v>43976</v>
      </c>
      <c r="G191" s="1">
        <v>15518140</v>
      </c>
      <c r="I191" s="1">
        <v>0</v>
      </c>
      <c r="K191" s="1">
        <f>17668+4903938+1184</f>
        <v>4922790</v>
      </c>
      <c r="M191" s="1">
        <v>175768</v>
      </c>
      <c r="O191" s="1">
        <f>207506+106614+19363</f>
        <v>333483</v>
      </c>
      <c r="Q191" s="1">
        <v>0</v>
      </c>
      <c r="S191" s="1">
        <v>0</v>
      </c>
      <c r="U191" s="1">
        <v>0</v>
      </c>
      <c r="W191" s="1">
        <f>62765+87782</f>
        <v>150547</v>
      </c>
      <c r="Y191" s="41">
        <f t="shared" si="16"/>
        <v>21100728</v>
      </c>
      <c r="AA191" s="1">
        <v>0</v>
      </c>
      <c r="AE191" s="1">
        <v>0</v>
      </c>
      <c r="AG191" s="1">
        <v>0</v>
      </c>
      <c r="AI191" s="1">
        <v>0</v>
      </c>
      <c r="AK191" s="1">
        <f t="shared" si="14"/>
        <v>0</v>
      </c>
      <c r="AM191" s="1">
        <f t="shared" si="19"/>
        <v>21100728</v>
      </c>
    </row>
    <row r="192" spans="1:39">
      <c r="A192" s="17" t="s">
        <v>812</v>
      </c>
      <c r="B192" s="17"/>
      <c r="C192" s="17" t="s">
        <v>28</v>
      </c>
      <c r="D192" s="12"/>
      <c r="E192" s="13"/>
      <c r="G192" s="1">
        <v>1018523</v>
      </c>
      <c r="I192" s="1">
        <v>355604</v>
      </c>
      <c r="K192" s="1">
        <v>2617632</v>
      </c>
      <c r="M192" s="1">
        <v>17378</v>
      </c>
      <c r="O192" s="1">
        <v>117338</v>
      </c>
      <c r="Q192" s="1">
        <v>0</v>
      </c>
      <c r="S192" s="1">
        <v>50017</v>
      </c>
      <c r="U192" s="1">
        <v>0</v>
      </c>
      <c r="W192" s="1">
        <v>9433</v>
      </c>
      <c r="Y192" s="41">
        <f t="shared" si="16"/>
        <v>4185925</v>
      </c>
      <c r="AA192" s="1">
        <v>0</v>
      </c>
      <c r="AE192" s="1">
        <v>77447</v>
      </c>
      <c r="AG192" s="1">
        <v>0</v>
      </c>
      <c r="AI192" s="1">
        <v>0</v>
      </c>
      <c r="AK192" s="1">
        <f t="shared" si="14"/>
        <v>77447</v>
      </c>
      <c r="AM192" s="1">
        <f t="shared" si="19"/>
        <v>4263372</v>
      </c>
    </row>
    <row r="193" spans="1:39">
      <c r="A193" s="12" t="s">
        <v>224</v>
      </c>
      <c r="B193" s="12"/>
      <c r="C193" s="12" t="s">
        <v>77</v>
      </c>
      <c r="D193" s="12"/>
      <c r="E193" s="13">
        <v>46045</v>
      </c>
      <c r="F193" s="8"/>
      <c r="G193" s="1">
        <v>1609299</v>
      </c>
      <c r="I193" s="1">
        <v>0</v>
      </c>
      <c r="K193" s="1">
        <v>4756324</v>
      </c>
      <c r="M193" s="1">
        <v>21435</v>
      </c>
      <c r="O193" s="1">
        <v>816070</v>
      </c>
      <c r="Q193" s="1">
        <v>0</v>
      </c>
      <c r="S193" s="1">
        <v>0</v>
      </c>
      <c r="U193" s="1">
        <v>0</v>
      </c>
      <c r="W193" s="1">
        <v>45907</v>
      </c>
      <c r="Y193" s="41">
        <f t="shared" si="16"/>
        <v>7249035</v>
      </c>
      <c r="AA193" s="1">
        <v>0</v>
      </c>
      <c r="AE193" s="1">
        <v>0</v>
      </c>
      <c r="AG193" s="1">
        <v>0</v>
      </c>
      <c r="AI193" s="1">
        <v>0</v>
      </c>
      <c r="AK193" s="1">
        <f t="shared" si="14"/>
        <v>0</v>
      </c>
      <c r="AM193" s="1">
        <f t="shared" si="19"/>
        <v>7249035</v>
      </c>
    </row>
    <row r="194" spans="1:39">
      <c r="A194" s="12" t="s">
        <v>813</v>
      </c>
      <c r="B194" s="12"/>
      <c r="C194" s="12" t="s">
        <v>13</v>
      </c>
      <c r="D194" s="12"/>
      <c r="E194" s="13"/>
      <c r="F194" s="8"/>
      <c r="G194" s="1">
        <v>2530050</v>
      </c>
      <c r="I194" s="1">
        <v>0</v>
      </c>
      <c r="K194" s="1">
        <v>7768497</v>
      </c>
      <c r="M194" s="1">
        <v>38590</v>
      </c>
      <c r="O194" s="1">
        <v>348492</v>
      </c>
      <c r="Q194" s="1">
        <v>4720</v>
      </c>
      <c r="S194" s="1">
        <v>0</v>
      </c>
      <c r="U194" s="1">
        <v>13600</v>
      </c>
      <c r="W194" s="1">
        <f>29415+5213</f>
        <v>34628</v>
      </c>
      <c r="Y194" s="41">
        <f t="shared" si="16"/>
        <v>10738577</v>
      </c>
      <c r="AA194" s="1">
        <v>0</v>
      </c>
      <c r="AE194" s="1">
        <v>0</v>
      </c>
      <c r="AG194" s="1">
        <v>1047</v>
      </c>
      <c r="AI194" s="1">
        <v>0</v>
      </c>
      <c r="AK194" s="1">
        <f t="shared" si="14"/>
        <v>1047</v>
      </c>
      <c r="AM194" s="1">
        <f t="shared" si="19"/>
        <v>10739624</v>
      </c>
    </row>
    <row r="195" spans="1:39">
      <c r="A195" s="12" t="s">
        <v>253</v>
      </c>
      <c r="B195" s="12"/>
      <c r="C195" s="12" t="s">
        <v>115</v>
      </c>
      <c r="D195" s="12"/>
      <c r="E195" s="13">
        <v>46334</v>
      </c>
      <c r="F195" s="8"/>
      <c r="G195" s="1">
        <v>1551223</v>
      </c>
      <c r="I195" s="1">
        <v>0</v>
      </c>
      <c r="K195" s="1">
        <v>6823293</v>
      </c>
      <c r="M195" s="1">
        <v>5475</v>
      </c>
      <c r="O195" s="1">
        <v>425686</v>
      </c>
      <c r="Q195" s="1">
        <v>0</v>
      </c>
      <c r="S195" s="1">
        <v>0</v>
      </c>
      <c r="U195" s="1">
        <v>0</v>
      </c>
      <c r="W195" s="1">
        <v>147588</v>
      </c>
      <c r="Y195" s="41">
        <f t="shared" si="16"/>
        <v>8953265</v>
      </c>
      <c r="AA195" s="1">
        <v>0</v>
      </c>
      <c r="AE195" s="1">
        <v>130201</v>
      </c>
      <c r="AG195" s="1">
        <v>0</v>
      </c>
      <c r="AI195" s="1">
        <v>0</v>
      </c>
      <c r="AK195" s="1">
        <f t="shared" si="14"/>
        <v>130201</v>
      </c>
      <c r="AM195" s="1">
        <f t="shared" si="19"/>
        <v>9083466</v>
      </c>
    </row>
    <row r="196" spans="1:39">
      <c r="A196" s="17" t="s">
        <v>905</v>
      </c>
      <c r="B196" s="12"/>
      <c r="C196" s="12" t="s">
        <v>56</v>
      </c>
      <c r="D196" s="12"/>
      <c r="E196" s="13">
        <v>49197</v>
      </c>
      <c r="G196" s="1">
        <v>9090226</v>
      </c>
      <c r="I196" s="1">
        <v>0</v>
      </c>
      <c r="K196" s="1">
        <v>8596202</v>
      </c>
      <c r="M196" s="1">
        <v>40541</v>
      </c>
      <c r="O196" s="1">
        <v>1174284</v>
      </c>
      <c r="Q196" s="1">
        <v>0</v>
      </c>
      <c r="S196" s="1">
        <v>318108</v>
      </c>
      <c r="U196" s="1">
        <v>30</v>
      </c>
      <c r="W196" s="1">
        <f>60740+1140</f>
        <v>61880</v>
      </c>
      <c r="Y196" s="41">
        <f t="shared" si="16"/>
        <v>19281271</v>
      </c>
      <c r="AA196" s="1">
        <v>0</v>
      </c>
      <c r="AE196" s="1">
        <v>261446</v>
      </c>
      <c r="AG196" s="1">
        <v>0</v>
      </c>
      <c r="AI196" s="1">
        <v>0</v>
      </c>
      <c r="AK196" s="1">
        <f t="shared" si="14"/>
        <v>261446</v>
      </c>
      <c r="AM196" s="1">
        <f t="shared" si="19"/>
        <v>19542717</v>
      </c>
    </row>
    <row r="197" spans="1:39">
      <c r="A197" s="12" t="s">
        <v>380</v>
      </c>
      <c r="B197" s="12"/>
      <c r="C197" s="12" t="s">
        <v>33</v>
      </c>
      <c r="D197" s="12"/>
      <c r="E197" s="13">
        <v>43984</v>
      </c>
      <c r="G197" s="1">
        <v>22989620</v>
      </c>
      <c r="I197" s="1">
        <v>0</v>
      </c>
      <c r="K197" s="1">
        <f>27402601+307040</f>
        <v>27709641</v>
      </c>
      <c r="M197" s="1">
        <v>506522</v>
      </c>
      <c r="O197" s="1">
        <f>3039863+11189</f>
        <v>3051052</v>
      </c>
      <c r="Q197" s="1">
        <v>0</v>
      </c>
      <c r="S197" s="1">
        <v>0</v>
      </c>
      <c r="U197" s="1">
        <v>2828</v>
      </c>
      <c r="W197" s="1">
        <f>326412+43510</f>
        <v>369922</v>
      </c>
      <c r="Y197" s="41">
        <f t="shared" si="16"/>
        <v>54629585</v>
      </c>
      <c r="AA197" s="1">
        <v>0</v>
      </c>
      <c r="AE197" s="1">
        <v>0</v>
      </c>
      <c r="AG197" s="1">
        <v>0</v>
      </c>
      <c r="AI197" s="1">
        <v>0</v>
      </c>
      <c r="AK197" s="1">
        <f t="shared" si="14"/>
        <v>0</v>
      </c>
      <c r="AM197" s="1">
        <f t="shared" si="19"/>
        <v>54629585</v>
      </c>
    </row>
    <row r="198" spans="1:39">
      <c r="A198" s="12" t="s">
        <v>363</v>
      </c>
      <c r="B198" s="12"/>
      <c r="C198" s="12" t="s">
        <v>32</v>
      </c>
      <c r="D198" s="12"/>
      <c r="E198" s="13">
        <v>47332</v>
      </c>
      <c r="G198" s="1">
        <v>8927414</v>
      </c>
      <c r="I198" s="1">
        <v>0</v>
      </c>
      <c r="K198" s="1">
        <v>7407716</v>
      </c>
      <c r="M198" s="1">
        <v>21862</v>
      </c>
      <c r="O198" s="1">
        <v>336833</v>
      </c>
      <c r="Q198" s="1">
        <v>0</v>
      </c>
      <c r="S198" s="1">
        <v>236238</v>
      </c>
      <c r="U198" s="1">
        <v>0</v>
      </c>
      <c r="W198" s="1">
        <f>48915+54301</f>
        <v>103216</v>
      </c>
      <c r="Y198" s="41">
        <f t="shared" si="16"/>
        <v>17033279</v>
      </c>
      <c r="AA198" s="1">
        <v>0</v>
      </c>
      <c r="AE198" s="1">
        <v>0</v>
      </c>
      <c r="AG198" s="1">
        <v>2929</v>
      </c>
      <c r="AI198" s="1">
        <v>0</v>
      </c>
      <c r="AK198" s="1">
        <f t="shared" si="14"/>
        <v>2929</v>
      </c>
      <c r="AM198" s="1">
        <f t="shared" si="19"/>
        <v>17036208</v>
      </c>
    </row>
    <row r="199" spans="1:39">
      <c r="A199" s="12" t="s">
        <v>441</v>
      </c>
      <c r="B199" s="12"/>
      <c r="C199" s="12" t="s">
        <v>44</v>
      </c>
      <c r="D199" s="12"/>
      <c r="E199" s="13">
        <v>48157</v>
      </c>
      <c r="G199" s="1">
        <v>6386209</v>
      </c>
      <c r="I199" s="1">
        <v>0</v>
      </c>
      <c r="K199" s="1">
        <v>8749722</v>
      </c>
      <c r="M199" s="1">
        <v>140645</v>
      </c>
      <c r="O199" s="1">
        <f>818309+13701+57099</f>
        <v>889109</v>
      </c>
      <c r="Q199" s="1">
        <v>0</v>
      </c>
      <c r="S199" s="1">
        <v>0</v>
      </c>
      <c r="U199" s="1">
        <v>0</v>
      </c>
      <c r="W199" s="1">
        <f>79370+30418</f>
        <v>109788</v>
      </c>
      <c r="Y199" s="41">
        <f t="shared" si="16"/>
        <v>16275473</v>
      </c>
      <c r="AA199" s="1">
        <v>0</v>
      </c>
      <c r="AE199" s="1">
        <v>0</v>
      </c>
      <c r="AG199" s="1">
        <v>0</v>
      </c>
      <c r="AI199" s="1">
        <v>0</v>
      </c>
      <c r="AK199" s="1">
        <f t="shared" si="14"/>
        <v>0</v>
      </c>
      <c r="AM199" s="1">
        <f t="shared" si="19"/>
        <v>16275473</v>
      </c>
    </row>
    <row r="200" spans="1:39">
      <c r="A200" s="12" t="s">
        <v>364</v>
      </c>
      <c r="B200" s="12"/>
      <c r="C200" s="12" t="s">
        <v>32</v>
      </c>
      <c r="D200" s="12"/>
      <c r="E200" s="13">
        <v>47340</v>
      </c>
      <c r="G200" s="1">
        <v>38001986</v>
      </c>
      <c r="I200" s="1">
        <v>0</v>
      </c>
      <c r="K200" s="1">
        <v>25157099</v>
      </c>
      <c r="M200" s="1">
        <v>7314</v>
      </c>
      <c r="O200" s="1">
        <v>810822</v>
      </c>
      <c r="Q200" s="1">
        <v>0</v>
      </c>
      <c r="S200" s="1">
        <v>6516876</v>
      </c>
      <c r="U200" s="1">
        <v>0</v>
      </c>
      <c r="W200" s="1">
        <v>836881</v>
      </c>
      <c r="Y200" s="41">
        <f t="shared" si="16"/>
        <v>71330978</v>
      </c>
      <c r="AA200" s="1">
        <v>0</v>
      </c>
      <c r="AE200" s="1">
        <v>0</v>
      </c>
      <c r="AG200" s="1">
        <v>0</v>
      </c>
      <c r="AI200" s="1">
        <v>0</v>
      </c>
      <c r="AK200" s="1">
        <f t="shared" si="14"/>
        <v>0</v>
      </c>
      <c r="AM200" s="1">
        <f t="shared" si="19"/>
        <v>71330978</v>
      </c>
    </row>
    <row r="201" spans="1:39" hidden="1">
      <c r="A201" s="12" t="s">
        <v>737</v>
      </c>
      <c r="B201" s="12"/>
      <c r="C201" s="12" t="s">
        <v>70</v>
      </c>
      <c r="D201" s="12"/>
      <c r="E201" s="13">
        <v>50484</v>
      </c>
      <c r="Y201" s="41">
        <f t="shared" si="16"/>
        <v>0</v>
      </c>
      <c r="AK201" s="1">
        <f t="shared" si="14"/>
        <v>0</v>
      </c>
      <c r="AM201" s="1">
        <f t="shared" si="19"/>
        <v>0</v>
      </c>
    </row>
    <row r="202" spans="1:39" s="16" customFormat="1">
      <c r="A202" s="14" t="s">
        <v>569</v>
      </c>
      <c r="B202" s="14"/>
      <c r="C202" s="14" t="s">
        <v>61</v>
      </c>
      <c r="D202" s="14"/>
      <c r="E202" s="13">
        <v>49783</v>
      </c>
      <c r="G202" s="1">
        <v>1557374</v>
      </c>
      <c r="H202" s="1"/>
      <c r="I202" s="1">
        <v>1308375</v>
      </c>
      <c r="J202" s="1"/>
      <c r="K202" s="1">
        <v>3646297</v>
      </c>
      <c r="L202" s="1"/>
      <c r="M202" s="1">
        <v>28113</v>
      </c>
      <c r="N202" s="1"/>
      <c r="O202" s="1">
        <v>96994</v>
      </c>
      <c r="P202" s="1"/>
      <c r="Q202" s="1">
        <v>0</v>
      </c>
      <c r="R202" s="1"/>
      <c r="S202" s="1">
        <v>0</v>
      </c>
      <c r="T202" s="1"/>
      <c r="U202" s="1">
        <v>5106</v>
      </c>
      <c r="V202" s="1"/>
      <c r="W202" s="1">
        <v>7146</v>
      </c>
      <c r="X202" s="1"/>
      <c r="Y202" s="41">
        <f t="shared" si="16"/>
        <v>6649405</v>
      </c>
      <c r="Z202" s="1"/>
      <c r="AA202" s="1">
        <v>0</v>
      </c>
      <c r="AB202" s="1"/>
      <c r="AC202" s="1"/>
      <c r="AD202" s="1"/>
      <c r="AE202" s="1">
        <v>0</v>
      </c>
      <c r="AF202" s="1"/>
      <c r="AG202" s="1">
        <v>0</v>
      </c>
      <c r="AH202" s="1"/>
      <c r="AI202" s="1">
        <v>0</v>
      </c>
      <c r="AJ202" s="1"/>
      <c r="AK202" s="1">
        <f t="shared" si="14"/>
        <v>0</v>
      </c>
      <c r="AL202" s="1"/>
      <c r="AM202" s="1">
        <f t="shared" si="19"/>
        <v>6649405</v>
      </c>
    </row>
    <row r="203" spans="1:39" s="16" customFormat="1" hidden="1">
      <c r="A203" s="12" t="s">
        <v>814</v>
      </c>
      <c r="B203" s="12"/>
      <c r="C203" s="12" t="s">
        <v>486</v>
      </c>
      <c r="D203" s="14"/>
      <c r="E203" s="13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41">
        <f t="shared" si="16"/>
        <v>0</v>
      </c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>
        <f t="shared" si="19"/>
        <v>0</v>
      </c>
    </row>
    <row r="204" spans="1:39" hidden="1">
      <c r="A204" s="12" t="s">
        <v>950</v>
      </c>
      <c r="B204" s="12"/>
      <c r="C204" s="12" t="s">
        <v>60</v>
      </c>
      <c r="D204" s="12"/>
      <c r="E204" s="12">
        <v>43992</v>
      </c>
      <c r="Y204" s="41">
        <f t="shared" si="16"/>
        <v>0</v>
      </c>
      <c r="AK204" s="1">
        <f t="shared" ref="AK204:AK225" si="20">SUM(AA204:AJ204)</f>
        <v>0</v>
      </c>
      <c r="AM204" s="1">
        <f t="shared" si="19"/>
        <v>0</v>
      </c>
    </row>
    <row r="205" spans="1:39">
      <c r="A205" s="12" t="s">
        <v>632</v>
      </c>
      <c r="B205" s="12"/>
      <c r="C205" s="12" t="s">
        <v>69</v>
      </c>
      <c r="D205" s="12"/>
      <c r="E205" s="13">
        <v>44008</v>
      </c>
      <c r="G205" s="1">
        <v>10576836</v>
      </c>
      <c r="I205" s="1">
        <v>0</v>
      </c>
      <c r="K205" s="1">
        <v>14191130</v>
      </c>
      <c r="M205" s="1">
        <v>32447</v>
      </c>
      <c r="O205" s="1">
        <v>752165</v>
      </c>
      <c r="Q205" s="1">
        <v>0</v>
      </c>
      <c r="S205" s="1">
        <v>262630</v>
      </c>
      <c r="U205" s="1">
        <v>135000</v>
      </c>
      <c r="W205" s="1">
        <f>11014+227150+92</f>
        <v>238256</v>
      </c>
      <c r="Y205" s="41">
        <f t="shared" si="16"/>
        <v>26188464</v>
      </c>
      <c r="AA205" s="1">
        <v>0</v>
      </c>
      <c r="AE205" s="1">
        <v>0</v>
      </c>
      <c r="AG205" s="1">
        <f>2310+20452</f>
        <v>22762</v>
      </c>
      <c r="AI205" s="1">
        <v>0</v>
      </c>
      <c r="AK205" s="1">
        <f t="shared" si="20"/>
        <v>22762</v>
      </c>
      <c r="AM205" s="1">
        <f t="shared" si="19"/>
        <v>26211226</v>
      </c>
    </row>
    <row r="206" spans="1:39">
      <c r="A206" s="12" t="s">
        <v>512</v>
      </c>
      <c r="B206" s="12"/>
      <c r="C206" s="12" t="s">
        <v>51</v>
      </c>
      <c r="D206" s="12"/>
      <c r="E206" s="13">
        <v>48843</v>
      </c>
      <c r="G206" s="1">
        <v>3543896</v>
      </c>
      <c r="I206" s="1">
        <v>0</v>
      </c>
      <c r="K206" s="1">
        <v>12909797</v>
      </c>
      <c r="M206" s="1">
        <v>217237</v>
      </c>
      <c r="O206" s="1">
        <v>1176033</v>
      </c>
      <c r="Q206" s="1">
        <v>23633</v>
      </c>
      <c r="S206" s="1">
        <v>1565</v>
      </c>
      <c r="U206" s="1">
        <v>0</v>
      </c>
      <c r="W206" s="1">
        <v>5062</v>
      </c>
      <c r="Y206" s="41">
        <f t="shared" si="16"/>
        <v>17877223</v>
      </c>
      <c r="AA206" s="1">
        <v>0</v>
      </c>
      <c r="AE206" s="1">
        <v>0</v>
      </c>
      <c r="AG206" s="1">
        <v>3500</v>
      </c>
      <c r="AI206" s="1">
        <v>0</v>
      </c>
      <c r="AK206" s="1">
        <f t="shared" si="20"/>
        <v>3500</v>
      </c>
      <c r="AM206" s="1">
        <f t="shared" si="19"/>
        <v>17880723</v>
      </c>
    </row>
    <row r="207" spans="1:39" hidden="1">
      <c r="A207" s="17" t="s">
        <v>736</v>
      </c>
      <c r="B207" s="12"/>
      <c r="C207" s="12" t="s">
        <v>21</v>
      </c>
      <c r="D207" s="12"/>
      <c r="E207" s="13">
        <v>46649</v>
      </c>
      <c r="Y207" s="41">
        <f t="shared" si="16"/>
        <v>0</v>
      </c>
      <c r="AK207" s="1">
        <f t="shared" si="20"/>
        <v>0</v>
      </c>
      <c r="AM207" s="1">
        <f t="shared" si="19"/>
        <v>0</v>
      </c>
    </row>
    <row r="208" spans="1:39" hidden="1">
      <c r="A208" s="17" t="s">
        <v>815</v>
      </c>
      <c r="B208" s="12"/>
      <c r="C208" s="12" t="s">
        <v>40</v>
      </c>
      <c r="D208" s="12"/>
      <c r="E208" s="13">
        <v>47852</v>
      </c>
      <c r="Y208" s="41">
        <f t="shared" si="16"/>
        <v>0</v>
      </c>
      <c r="AK208" s="1">
        <f t="shared" si="20"/>
        <v>0</v>
      </c>
      <c r="AM208" s="1">
        <f t="shared" si="19"/>
        <v>0</v>
      </c>
    </row>
    <row r="209" spans="1:39">
      <c r="A209" s="12" t="s">
        <v>556</v>
      </c>
      <c r="B209" s="12"/>
      <c r="C209" s="12" t="s">
        <v>79</v>
      </c>
      <c r="D209" s="12"/>
      <c r="E209" s="13">
        <v>44016</v>
      </c>
      <c r="G209" s="1">
        <v>10948524</v>
      </c>
      <c r="I209" s="1">
        <v>6446863</v>
      </c>
      <c r="K209" s="1">
        <v>16392016</v>
      </c>
      <c r="M209" s="1">
        <v>253698</v>
      </c>
      <c r="O209" s="1">
        <v>464416</v>
      </c>
      <c r="Q209" s="1">
        <v>93908</v>
      </c>
      <c r="S209" s="1">
        <v>0</v>
      </c>
      <c r="U209" s="1">
        <v>2361</v>
      </c>
      <c r="W209" s="1">
        <f>163808+9156+55432</f>
        <v>228396</v>
      </c>
      <c r="Y209" s="41">
        <f t="shared" si="16"/>
        <v>34830182</v>
      </c>
      <c r="AA209" s="1">
        <v>0</v>
      </c>
      <c r="AE209" s="1">
        <v>0</v>
      </c>
      <c r="AG209" s="1">
        <v>0</v>
      </c>
      <c r="AI209" s="1">
        <v>0</v>
      </c>
      <c r="AK209" s="1">
        <f t="shared" si="20"/>
        <v>0</v>
      </c>
      <c r="AM209" s="1">
        <f t="shared" si="19"/>
        <v>34830182</v>
      </c>
    </row>
    <row r="210" spans="1:39">
      <c r="A210" s="12" t="s">
        <v>637</v>
      </c>
      <c r="B210" s="12"/>
      <c r="C210" s="12" t="s">
        <v>70</v>
      </c>
      <c r="D210" s="12"/>
      <c r="E210" s="13">
        <v>50492</v>
      </c>
      <c r="G210" s="1">
        <v>1143041</v>
      </c>
      <c r="I210" s="1">
        <v>0</v>
      </c>
      <c r="K210" s="1">
        <f>67123+5085497</f>
        <v>5152620</v>
      </c>
      <c r="M210" s="1">
        <v>13346</v>
      </c>
      <c r="O210" s="1">
        <f>158675+14520</f>
        <v>173195</v>
      </c>
      <c r="Q210" s="1">
        <v>0</v>
      </c>
      <c r="S210" s="1">
        <v>0</v>
      </c>
      <c r="U210" s="1">
        <v>0</v>
      </c>
      <c r="W210" s="1">
        <v>8480</v>
      </c>
      <c r="Y210" s="41">
        <f t="shared" si="16"/>
        <v>6490682</v>
      </c>
      <c r="AA210" s="1">
        <v>0</v>
      </c>
      <c r="AE210" s="1">
        <v>0</v>
      </c>
      <c r="AG210" s="1">
        <v>0</v>
      </c>
      <c r="AI210" s="1">
        <v>0</v>
      </c>
      <c r="AK210" s="1">
        <f t="shared" si="20"/>
        <v>0</v>
      </c>
      <c r="AM210" s="1">
        <f t="shared" ref="AM210:AM246" si="21">+AK210+Y210</f>
        <v>6490682</v>
      </c>
    </row>
    <row r="211" spans="1:39">
      <c r="A211" s="12" t="s">
        <v>333</v>
      </c>
      <c r="B211" s="12"/>
      <c r="C211" s="12" t="s">
        <v>27</v>
      </c>
      <c r="D211" s="12"/>
      <c r="E211" s="13">
        <v>46961</v>
      </c>
      <c r="G211" s="1">
        <f>46063998+4613261</f>
        <v>50677259</v>
      </c>
      <c r="I211" s="1">
        <v>0</v>
      </c>
      <c r="K211" s="1">
        <v>21358371</v>
      </c>
      <c r="M211" s="1">
        <v>127130</v>
      </c>
      <c r="O211" s="1">
        <v>220438</v>
      </c>
      <c r="Q211" s="1">
        <v>0</v>
      </c>
      <c r="S211" s="1">
        <v>0</v>
      </c>
      <c r="U211" s="1">
        <v>0</v>
      </c>
      <c r="W211" s="1">
        <v>0</v>
      </c>
      <c r="Y211" s="41">
        <f t="shared" ref="Y211:Y225" si="22">SUM(G211:X211)</f>
        <v>72383198</v>
      </c>
      <c r="AA211" s="1">
        <v>0</v>
      </c>
      <c r="AE211" s="1">
        <v>0</v>
      </c>
      <c r="AG211" s="1">
        <f>78100+297480</f>
        <v>375580</v>
      </c>
      <c r="AI211" s="1">
        <v>0</v>
      </c>
      <c r="AK211" s="1">
        <f t="shared" si="20"/>
        <v>375580</v>
      </c>
      <c r="AM211" s="1">
        <f t="shared" si="21"/>
        <v>72758778</v>
      </c>
    </row>
    <row r="212" spans="1:39">
      <c r="A212" s="12" t="s">
        <v>278</v>
      </c>
      <c r="B212" s="12"/>
      <c r="C212" s="12" t="s">
        <v>113</v>
      </c>
      <c r="D212" s="12"/>
      <c r="E212" s="13">
        <v>44024</v>
      </c>
      <c r="G212" s="1">
        <v>4352675</v>
      </c>
      <c r="I212" s="1">
        <v>0</v>
      </c>
      <c r="K212" s="1">
        <v>10984228</v>
      </c>
      <c r="M212" s="1">
        <v>16720</v>
      </c>
      <c r="O212" s="1">
        <v>472193</v>
      </c>
      <c r="Q212" s="1">
        <v>745</v>
      </c>
      <c r="S212" s="1">
        <v>0</v>
      </c>
      <c r="U212" s="1">
        <v>9696</v>
      </c>
      <c r="W212" s="1">
        <v>150114</v>
      </c>
      <c r="Y212" s="41">
        <f t="shared" si="22"/>
        <v>15986371</v>
      </c>
      <c r="AA212" s="1">
        <v>0</v>
      </c>
      <c r="AE212" s="1">
        <v>0</v>
      </c>
      <c r="AG212" s="1">
        <v>0</v>
      </c>
      <c r="AI212" s="1">
        <v>0</v>
      </c>
      <c r="AK212" s="1">
        <f t="shared" si="20"/>
        <v>0</v>
      </c>
      <c r="AM212" s="1">
        <f t="shared" si="21"/>
        <v>15986371</v>
      </c>
    </row>
    <row r="213" spans="1:39" ht="12" customHeight="1">
      <c r="A213" s="12" t="s">
        <v>349</v>
      </c>
      <c r="B213" s="12"/>
      <c r="C213" s="12" t="s">
        <v>29</v>
      </c>
      <c r="D213" s="12"/>
      <c r="E213" s="13">
        <v>65680</v>
      </c>
      <c r="G213" s="1">
        <v>7448352</v>
      </c>
      <c r="I213" s="1">
        <v>0</v>
      </c>
      <c r="K213" s="1">
        <v>12097907</v>
      </c>
      <c r="M213" s="1">
        <v>183414</v>
      </c>
      <c r="O213" s="1">
        <v>1026215</v>
      </c>
      <c r="Q213" s="1">
        <v>0</v>
      </c>
      <c r="S213" s="1">
        <v>0</v>
      </c>
      <c r="U213" s="1">
        <v>0</v>
      </c>
      <c r="W213" s="1">
        <f>93394+9086</f>
        <v>102480</v>
      </c>
      <c r="Y213" s="41">
        <f t="shared" si="22"/>
        <v>20858368</v>
      </c>
      <c r="AA213" s="1">
        <v>0</v>
      </c>
      <c r="AE213" s="1">
        <v>0</v>
      </c>
      <c r="AG213" s="1">
        <v>2557</v>
      </c>
      <c r="AI213" s="1">
        <v>0</v>
      </c>
      <c r="AK213" s="1">
        <f t="shared" si="20"/>
        <v>2557</v>
      </c>
      <c r="AM213" s="1">
        <f t="shared" si="21"/>
        <v>20860925</v>
      </c>
    </row>
    <row r="214" spans="1:39" s="16" customFormat="1">
      <c r="A214" s="14" t="s">
        <v>350</v>
      </c>
      <c r="B214" s="14"/>
      <c r="C214" s="14" t="s">
        <v>29</v>
      </c>
      <c r="D214" s="14"/>
      <c r="E214" s="14">
        <v>44032</v>
      </c>
      <c r="G214" s="1">
        <v>4437402</v>
      </c>
      <c r="H214" s="1"/>
      <c r="I214" s="1">
        <v>0</v>
      </c>
      <c r="J214" s="1"/>
      <c r="K214" s="1">
        <v>12580573</v>
      </c>
      <c r="L214" s="1"/>
      <c r="M214" s="1">
        <v>136864</v>
      </c>
      <c r="N214" s="1"/>
      <c r="O214" s="1">
        <v>1240882</v>
      </c>
      <c r="P214" s="1"/>
      <c r="Q214" s="1">
        <v>0</v>
      </c>
      <c r="R214" s="1"/>
      <c r="S214" s="1">
        <v>0</v>
      </c>
      <c r="T214" s="1"/>
      <c r="U214" s="1">
        <v>0</v>
      </c>
      <c r="V214" s="1"/>
      <c r="W214" s="1">
        <f>86075+90688</f>
        <v>176763</v>
      </c>
      <c r="X214" s="1"/>
      <c r="Y214" s="41">
        <f t="shared" si="22"/>
        <v>18572484</v>
      </c>
      <c r="Z214" s="1"/>
      <c r="AA214" s="1">
        <v>0</v>
      </c>
      <c r="AB214" s="1"/>
      <c r="AC214" s="1"/>
      <c r="AD214" s="1"/>
      <c r="AE214" s="1">
        <v>0</v>
      </c>
      <c r="AF214" s="1"/>
      <c r="AG214" s="1">
        <v>117295</v>
      </c>
      <c r="AH214" s="1"/>
      <c r="AI214" s="1">
        <v>0</v>
      </c>
      <c r="AJ214" s="1"/>
      <c r="AK214" s="1">
        <f t="shared" si="20"/>
        <v>117295</v>
      </c>
      <c r="AL214" s="1"/>
      <c r="AM214" s="1">
        <f t="shared" si="21"/>
        <v>18689779</v>
      </c>
    </row>
    <row r="215" spans="1:39">
      <c r="A215" s="12" t="s">
        <v>620</v>
      </c>
      <c r="B215" s="12"/>
      <c r="C215" s="12" t="s">
        <v>65</v>
      </c>
      <c r="D215" s="12"/>
      <c r="E215" s="13">
        <v>50278</v>
      </c>
      <c r="G215" s="1">
        <v>4903818</v>
      </c>
      <c r="I215" s="1">
        <v>0</v>
      </c>
      <c r="K215" s="1">
        <v>4384129</v>
      </c>
      <c r="M215" s="1">
        <v>8315</v>
      </c>
      <c r="O215" s="1">
        <v>546474</v>
      </c>
      <c r="Q215" s="1">
        <v>0</v>
      </c>
      <c r="S215" s="1">
        <v>0</v>
      </c>
      <c r="U215" s="1">
        <v>550</v>
      </c>
      <c r="W215" s="1">
        <f>37333+57925+219+22442</f>
        <v>117919</v>
      </c>
      <c r="Y215" s="41">
        <f t="shared" si="22"/>
        <v>9961205</v>
      </c>
      <c r="AA215" s="1">
        <v>0</v>
      </c>
      <c r="AE215" s="1">
        <v>0</v>
      </c>
      <c r="AG215" s="1">
        <v>3900</v>
      </c>
      <c r="AI215" s="1">
        <v>0</v>
      </c>
      <c r="AK215" s="1">
        <f t="shared" si="20"/>
        <v>3900</v>
      </c>
      <c r="AM215" s="1">
        <f t="shared" si="21"/>
        <v>9965105</v>
      </c>
    </row>
    <row r="216" spans="1:39">
      <c r="A216" s="17" t="s">
        <v>837</v>
      </c>
      <c r="B216" s="12"/>
      <c r="C216" s="12" t="s">
        <v>20</v>
      </c>
      <c r="D216" s="12"/>
      <c r="E216" s="13">
        <v>44040</v>
      </c>
      <c r="G216" s="1">
        <v>12080520</v>
      </c>
      <c r="I216" s="1">
        <v>0</v>
      </c>
      <c r="K216" s="1">
        <v>19569652</v>
      </c>
      <c r="M216" s="1">
        <v>106509</v>
      </c>
      <c r="O216" s="1">
        <v>566827</v>
      </c>
      <c r="Q216" s="1">
        <v>0</v>
      </c>
      <c r="S216" s="1">
        <v>667558</v>
      </c>
      <c r="U216" s="1">
        <v>784</v>
      </c>
      <c r="W216" s="1">
        <f>37920+25183</f>
        <v>63103</v>
      </c>
      <c r="Y216" s="41">
        <f t="shared" si="22"/>
        <v>33054953</v>
      </c>
      <c r="AA216" s="1">
        <v>57184</v>
      </c>
      <c r="AE216" s="1">
        <v>0</v>
      </c>
      <c r="AG216" s="1">
        <v>0</v>
      </c>
      <c r="AI216" s="1">
        <v>0</v>
      </c>
      <c r="AK216" s="1">
        <f t="shared" si="20"/>
        <v>57184</v>
      </c>
      <c r="AM216" s="1">
        <f t="shared" si="21"/>
        <v>33112137</v>
      </c>
    </row>
    <row r="217" spans="1:39">
      <c r="A217" s="17" t="s">
        <v>786</v>
      </c>
      <c r="B217" s="12"/>
      <c r="C217" s="12" t="s">
        <v>12</v>
      </c>
      <c r="D217" s="12"/>
      <c r="E217" s="13">
        <v>44057</v>
      </c>
      <c r="F217" s="8"/>
      <c r="G217" s="1">
        <v>6530096</v>
      </c>
      <c r="I217" s="1">
        <v>0</v>
      </c>
      <c r="K217" s="1">
        <v>13181198</v>
      </c>
      <c r="M217" s="1">
        <v>87953</v>
      </c>
      <c r="O217" s="1">
        <v>1461576</v>
      </c>
      <c r="Q217" s="1">
        <v>0</v>
      </c>
      <c r="S217" s="1">
        <v>141103</v>
      </c>
      <c r="U217" s="1">
        <v>2802</v>
      </c>
      <c r="W217" s="1">
        <f>4714+510+13087</f>
        <v>18311</v>
      </c>
      <c r="Y217" s="41">
        <f t="shared" si="22"/>
        <v>21423039</v>
      </c>
      <c r="AA217" s="1">
        <v>0</v>
      </c>
      <c r="AE217" s="1">
        <v>0</v>
      </c>
      <c r="AG217" s="1">
        <v>0</v>
      </c>
      <c r="AI217" s="1">
        <v>0</v>
      </c>
      <c r="AK217" s="1">
        <f t="shared" si="20"/>
        <v>0</v>
      </c>
      <c r="AM217" s="1">
        <f t="shared" si="21"/>
        <v>21423039</v>
      </c>
    </row>
    <row r="218" spans="1:39">
      <c r="A218" s="12" t="s">
        <v>521</v>
      </c>
      <c r="B218" s="12"/>
      <c r="C218" s="12" t="s">
        <v>53</v>
      </c>
      <c r="D218" s="12"/>
      <c r="E218" s="13">
        <v>48942</v>
      </c>
      <c r="G218" s="1">
        <v>3686123</v>
      </c>
      <c r="I218" s="1">
        <v>0</v>
      </c>
      <c r="K218" s="1">
        <v>6621426</v>
      </c>
      <c r="M218" s="1">
        <v>40109</v>
      </c>
      <c r="O218" s="1">
        <v>477940</v>
      </c>
      <c r="Q218" s="1">
        <v>122098</v>
      </c>
      <c r="S218" s="1">
        <v>0</v>
      </c>
      <c r="U218" s="1">
        <v>0</v>
      </c>
      <c r="W218" s="1">
        <v>16909</v>
      </c>
      <c r="Y218" s="41">
        <f t="shared" si="22"/>
        <v>10964605</v>
      </c>
      <c r="AA218" s="1">
        <v>0</v>
      </c>
      <c r="AE218" s="1">
        <v>0</v>
      </c>
      <c r="AG218" s="1">
        <v>0</v>
      </c>
      <c r="AI218" s="1">
        <v>0</v>
      </c>
      <c r="AK218" s="1">
        <f t="shared" si="20"/>
        <v>0</v>
      </c>
      <c r="AM218" s="1">
        <f t="shared" si="21"/>
        <v>10964605</v>
      </c>
    </row>
    <row r="219" spans="1:39" hidden="1">
      <c r="A219" s="17" t="s">
        <v>816</v>
      </c>
      <c r="B219" s="12"/>
      <c r="C219" s="12" t="s">
        <v>77</v>
      </c>
      <c r="D219" s="12"/>
      <c r="E219" s="13">
        <v>45377</v>
      </c>
      <c r="F219" s="8"/>
      <c r="Y219" s="41">
        <f t="shared" si="22"/>
        <v>0</v>
      </c>
      <c r="AI219" s="1">
        <v>0</v>
      </c>
      <c r="AK219" s="1">
        <f t="shared" si="20"/>
        <v>0</v>
      </c>
      <c r="AM219" s="1">
        <f t="shared" si="21"/>
        <v>0</v>
      </c>
    </row>
    <row r="220" spans="1:39">
      <c r="A220" s="12" t="s">
        <v>557</v>
      </c>
      <c r="B220" s="12"/>
      <c r="C220" s="12" t="s">
        <v>79</v>
      </c>
      <c r="D220" s="12"/>
      <c r="E220" s="13">
        <v>45385</v>
      </c>
      <c r="G220" s="1">
        <v>1915900</v>
      </c>
      <c r="I220" s="1">
        <v>0</v>
      </c>
      <c r="K220" s="1">
        <v>5645838</v>
      </c>
      <c r="M220" s="1">
        <v>21688</v>
      </c>
      <c r="O220" s="1">
        <v>420713</v>
      </c>
      <c r="Q220" s="1">
        <v>0</v>
      </c>
      <c r="S220" s="1">
        <v>0</v>
      </c>
      <c r="U220" s="1">
        <v>0</v>
      </c>
      <c r="W220" s="1">
        <f>5270+8468</f>
        <v>13738</v>
      </c>
      <c r="Y220" s="41">
        <f t="shared" si="22"/>
        <v>8017877</v>
      </c>
      <c r="AA220" s="1">
        <v>0</v>
      </c>
      <c r="AE220" s="1">
        <v>0</v>
      </c>
      <c r="AG220" s="1">
        <v>51337</v>
      </c>
      <c r="AI220" s="1">
        <v>0</v>
      </c>
      <c r="AK220" s="1">
        <f t="shared" si="20"/>
        <v>51337</v>
      </c>
      <c r="AM220" s="1">
        <f t="shared" si="21"/>
        <v>8069214</v>
      </c>
    </row>
    <row r="221" spans="1:39">
      <c r="A221" s="12" t="s">
        <v>603</v>
      </c>
      <c r="B221" s="12"/>
      <c r="C221" s="12" t="s">
        <v>64</v>
      </c>
      <c r="D221" s="12"/>
      <c r="E221" s="13">
        <v>44065</v>
      </c>
      <c r="G221" s="1">
        <v>3638775</v>
      </c>
      <c r="I221" s="1">
        <v>0</v>
      </c>
      <c r="K221" s="1">
        <v>8523215</v>
      </c>
      <c r="M221" s="1">
        <v>105433</v>
      </c>
      <c r="O221" s="1">
        <v>394068</v>
      </c>
      <c r="Q221" s="1">
        <v>0</v>
      </c>
      <c r="S221" s="1">
        <v>0</v>
      </c>
      <c r="U221" s="1">
        <v>0</v>
      </c>
      <c r="W221" s="1">
        <f>154415+11724</f>
        <v>166139</v>
      </c>
      <c r="Y221" s="41">
        <f t="shared" si="22"/>
        <v>12827630</v>
      </c>
      <c r="AA221" s="1">
        <v>0</v>
      </c>
      <c r="AE221" s="1">
        <v>0</v>
      </c>
      <c r="AG221" s="1">
        <v>1321</v>
      </c>
      <c r="AI221" s="1">
        <v>0</v>
      </c>
      <c r="AK221" s="1">
        <f t="shared" si="20"/>
        <v>1321</v>
      </c>
      <c r="AM221" s="1">
        <f t="shared" si="21"/>
        <v>12828951</v>
      </c>
    </row>
    <row r="222" spans="1:39" hidden="1">
      <c r="A222" s="17" t="s">
        <v>869</v>
      </c>
      <c r="B222" s="12"/>
      <c r="C222" s="12" t="s">
        <v>28</v>
      </c>
      <c r="D222" s="12"/>
      <c r="E222" s="13">
        <v>47068</v>
      </c>
      <c r="Y222" s="41">
        <f t="shared" si="22"/>
        <v>0</v>
      </c>
      <c r="AK222" s="1">
        <f t="shared" si="20"/>
        <v>0</v>
      </c>
      <c r="AM222" s="1">
        <f t="shared" si="21"/>
        <v>0</v>
      </c>
    </row>
    <row r="223" spans="1:39">
      <c r="A223" s="12" t="s">
        <v>254</v>
      </c>
      <c r="B223" s="12"/>
      <c r="C223" s="12" t="s">
        <v>115</v>
      </c>
      <c r="D223" s="12"/>
      <c r="E223" s="13">
        <v>46342</v>
      </c>
      <c r="F223" s="8"/>
      <c r="G223" s="1">
        <v>4765468</v>
      </c>
      <c r="I223" s="1">
        <v>2695878</v>
      </c>
      <c r="K223" s="1">
        <v>12465341</v>
      </c>
      <c r="M223" s="1">
        <v>10171</v>
      </c>
      <c r="O223" s="1">
        <v>1073439</v>
      </c>
      <c r="Q223" s="1">
        <v>0</v>
      </c>
      <c r="S223" s="1">
        <v>106244</v>
      </c>
      <c r="U223" s="1">
        <v>0</v>
      </c>
      <c r="W223" s="1">
        <f>61049+29488+17773</f>
        <v>108310</v>
      </c>
      <c r="Y223" s="41">
        <f t="shared" si="22"/>
        <v>21224851</v>
      </c>
      <c r="AA223" s="1">
        <v>2059</v>
      </c>
      <c r="AE223" s="1">
        <v>0</v>
      </c>
      <c r="AG223" s="1">
        <v>0</v>
      </c>
      <c r="AI223" s="1">
        <v>0</v>
      </c>
      <c r="AK223" s="1">
        <f t="shared" si="20"/>
        <v>2059</v>
      </c>
      <c r="AM223" s="1">
        <f t="shared" si="21"/>
        <v>21226910</v>
      </c>
    </row>
    <row r="224" spans="1:39">
      <c r="A224" s="12" t="s">
        <v>239</v>
      </c>
      <c r="B224" s="12"/>
      <c r="C224" s="12" t="s">
        <v>240</v>
      </c>
      <c r="D224" s="12"/>
      <c r="E224" s="12">
        <v>46193</v>
      </c>
      <c r="F224" s="8"/>
      <c r="G224" s="1">
        <v>4244446</v>
      </c>
      <c r="I224" s="1">
        <v>0</v>
      </c>
      <c r="K224" s="1">
        <v>11346799</v>
      </c>
      <c r="M224" s="1">
        <v>13527</v>
      </c>
      <c r="O224" s="1">
        <v>970829</v>
      </c>
      <c r="Q224" s="1">
        <v>0</v>
      </c>
      <c r="S224" s="1">
        <v>0</v>
      </c>
      <c r="U224" s="1">
        <v>0</v>
      </c>
      <c r="W224" s="1">
        <v>160371</v>
      </c>
      <c r="Y224" s="41">
        <f t="shared" si="22"/>
        <v>16735972</v>
      </c>
      <c r="AA224" s="1">
        <v>0</v>
      </c>
      <c r="AE224" s="1">
        <v>0</v>
      </c>
      <c r="AG224" s="1">
        <f>600+36326</f>
        <v>36926</v>
      </c>
      <c r="AI224" s="1">
        <v>0</v>
      </c>
      <c r="AK224" s="1">
        <f t="shared" si="20"/>
        <v>36926</v>
      </c>
      <c r="AM224" s="1">
        <f t="shared" si="21"/>
        <v>16772898</v>
      </c>
    </row>
    <row r="225" spans="1:39">
      <c r="A225" s="12" t="s">
        <v>211</v>
      </c>
      <c r="B225" s="12"/>
      <c r="C225" s="12" t="s">
        <v>12</v>
      </c>
      <c r="D225" s="12"/>
      <c r="E225" s="13">
        <v>45864</v>
      </c>
      <c r="F225" s="8"/>
      <c r="G225" s="1">
        <v>3258455</v>
      </c>
      <c r="I225" s="1">
        <v>0</v>
      </c>
      <c r="K225" s="1">
        <v>6521190</v>
      </c>
      <c r="M225" s="1">
        <v>65221</v>
      </c>
      <c r="O225" s="1">
        <v>642415</v>
      </c>
      <c r="Q225" s="1">
        <v>22368</v>
      </c>
      <c r="S225" s="1">
        <v>0</v>
      </c>
      <c r="U225" s="1">
        <v>0</v>
      </c>
      <c r="W225" s="1">
        <f>21900+112637</f>
        <v>134537</v>
      </c>
      <c r="Y225" s="41">
        <f t="shared" si="22"/>
        <v>10644186</v>
      </c>
      <c r="AA225" s="1">
        <v>0</v>
      </c>
      <c r="AE225" s="1">
        <v>0</v>
      </c>
      <c r="AG225" s="1">
        <v>0</v>
      </c>
      <c r="AI225" s="1">
        <v>0</v>
      </c>
      <c r="AK225" s="1">
        <f t="shared" si="20"/>
        <v>0</v>
      </c>
      <c r="AM225" s="1">
        <f t="shared" si="21"/>
        <v>10644186</v>
      </c>
    </row>
    <row r="226" spans="1:39">
      <c r="A226" s="12" t="s">
        <v>334</v>
      </c>
      <c r="B226" s="12"/>
      <c r="C226" s="12" t="s">
        <v>27</v>
      </c>
      <c r="D226" s="12"/>
      <c r="E226" s="13">
        <v>44073</v>
      </c>
      <c r="G226" s="1">
        <v>10635757</v>
      </c>
      <c r="I226" s="1">
        <v>0</v>
      </c>
      <c r="K226" s="1">
        <v>4413488</v>
      </c>
      <c r="M226" s="1">
        <v>38574</v>
      </c>
      <c r="O226" s="1">
        <v>205021</v>
      </c>
      <c r="Q226" s="1">
        <v>0</v>
      </c>
      <c r="S226" s="1">
        <v>0</v>
      </c>
      <c r="U226" s="1">
        <v>0</v>
      </c>
      <c r="W226" s="1">
        <v>98282</v>
      </c>
      <c r="Y226" s="41">
        <f t="shared" ref="Y226:Y292" si="23">SUM(G226:X226)</f>
        <v>15391122</v>
      </c>
      <c r="AA226" s="1">
        <v>0</v>
      </c>
      <c r="AE226" s="1">
        <v>0</v>
      </c>
      <c r="AG226" s="1">
        <v>0</v>
      </c>
      <c r="AI226" s="1">
        <v>0</v>
      </c>
      <c r="AK226" s="1">
        <f t="shared" ref="AK226:AK292" si="24">SUM(AA226:AJ226)</f>
        <v>0</v>
      </c>
      <c r="AM226" s="1">
        <f t="shared" si="21"/>
        <v>15391122</v>
      </c>
    </row>
    <row r="227" spans="1:39">
      <c r="A227" s="17" t="s">
        <v>817</v>
      </c>
      <c r="B227" s="12"/>
      <c r="C227" s="12" t="s">
        <v>42</v>
      </c>
      <c r="D227" s="12"/>
      <c r="E227" s="13">
        <v>45393</v>
      </c>
      <c r="G227" s="1">
        <v>13615528</v>
      </c>
      <c r="I227" s="1">
        <v>0</v>
      </c>
      <c r="K227" s="1">
        <v>7516921</v>
      </c>
      <c r="M227" s="1">
        <v>48013</v>
      </c>
      <c r="O227" s="1">
        <v>140878</v>
      </c>
      <c r="Q227" s="1">
        <v>22319</v>
      </c>
      <c r="S227" s="1">
        <v>252440</v>
      </c>
      <c r="U227" s="1">
        <v>0</v>
      </c>
      <c r="W227" s="1">
        <v>34177</v>
      </c>
      <c r="Y227" s="41">
        <f t="shared" si="23"/>
        <v>21630276</v>
      </c>
      <c r="AA227" s="1">
        <v>0</v>
      </c>
      <c r="AE227" s="1">
        <v>0</v>
      </c>
      <c r="AG227" s="1">
        <v>1578</v>
      </c>
      <c r="AI227" s="1">
        <v>0</v>
      </c>
      <c r="AK227" s="1">
        <f t="shared" si="24"/>
        <v>1578</v>
      </c>
      <c r="AM227" s="1">
        <f t="shared" si="21"/>
        <v>21631854</v>
      </c>
    </row>
    <row r="228" spans="1:39">
      <c r="A228" s="12" t="s">
        <v>561</v>
      </c>
      <c r="B228" s="12"/>
      <c r="C228" s="12" t="s">
        <v>59</v>
      </c>
      <c r="D228" s="12"/>
      <c r="E228" s="13">
        <v>49619</v>
      </c>
      <c r="G228" s="1">
        <v>1262431</v>
      </c>
      <c r="I228" s="1">
        <v>0</v>
      </c>
      <c r="K228" s="1">
        <v>3706127</v>
      </c>
      <c r="M228" s="1">
        <v>2478</v>
      </c>
      <c r="O228" s="1">
        <v>469903</v>
      </c>
      <c r="Q228" s="1">
        <v>0</v>
      </c>
      <c r="S228" s="1">
        <v>180806</v>
      </c>
      <c r="U228" s="1">
        <v>11804</v>
      </c>
      <c r="W228" s="1">
        <f>106483+24173</f>
        <v>130656</v>
      </c>
      <c r="Y228" s="41">
        <f t="shared" si="23"/>
        <v>5764205</v>
      </c>
      <c r="AA228" s="1">
        <v>0</v>
      </c>
      <c r="AE228" s="1">
        <v>149750</v>
      </c>
      <c r="AG228" s="1">
        <v>1692</v>
      </c>
      <c r="AI228" s="1">
        <v>0</v>
      </c>
      <c r="AK228" s="1">
        <f t="shared" si="24"/>
        <v>151442</v>
      </c>
      <c r="AM228" s="1">
        <f t="shared" si="21"/>
        <v>5915647</v>
      </c>
    </row>
    <row r="229" spans="1:39">
      <c r="A229" s="12" t="s">
        <v>561</v>
      </c>
      <c r="B229" s="12"/>
      <c r="C229" s="12" t="s">
        <v>63</v>
      </c>
      <c r="D229" s="12"/>
      <c r="E229" s="13">
        <v>50013</v>
      </c>
      <c r="G229" s="1">
        <v>16484688</v>
      </c>
      <c r="I229" s="1">
        <v>0</v>
      </c>
      <c r="K229" s="1">
        <v>13576053</v>
      </c>
      <c r="M229" s="1">
        <v>11276</v>
      </c>
      <c r="O229" s="1">
        <v>833498</v>
      </c>
      <c r="Q229" s="1">
        <v>0</v>
      </c>
      <c r="S229" s="1">
        <v>0</v>
      </c>
      <c r="U229" s="1">
        <v>0</v>
      </c>
      <c r="W229" s="1">
        <f>14108+270+143652</f>
        <v>158030</v>
      </c>
      <c r="Y229" s="41">
        <f t="shared" si="23"/>
        <v>31063545</v>
      </c>
      <c r="AA229" s="1">
        <v>0</v>
      </c>
      <c r="AE229" s="1">
        <v>0</v>
      </c>
      <c r="AG229" s="1">
        <v>100</v>
      </c>
      <c r="AI229" s="1">
        <v>0</v>
      </c>
      <c r="AK229" s="1">
        <f t="shared" si="24"/>
        <v>100</v>
      </c>
      <c r="AM229" s="1">
        <f t="shared" si="21"/>
        <v>31063645</v>
      </c>
    </row>
    <row r="230" spans="1:39" hidden="1">
      <c r="A230" s="17" t="s">
        <v>934</v>
      </c>
      <c r="B230" s="12"/>
      <c r="C230" s="12" t="s">
        <v>71</v>
      </c>
      <c r="D230" s="12"/>
      <c r="E230" s="13">
        <v>50559</v>
      </c>
      <c r="Y230" s="41">
        <f t="shared" si="23"/>
        <v>0</v>
      </c>
      <c r="AI230" s="1">
        <v>0</v>
      </c>
      <c r="AK230" s="1">
        <f t="shared" si="24"/>
        <v>0</v>
      </c>
      <c r="AM230" s="1">
        <f t="shared" si="21"/>
        <v>0</v>
      </c>
    </row>
    <row r="231" spans="1:39">
      <c r="A231" s="12" t="s">
        <v>358</v>
      </c>
      <c r="B231" s="12"/>
      <c r="C231" s="12" t="s">
        <v>116</v>
      </c>
      <c r="D231" s="12"/>
      <c r="E231" s="12">
        <v>47266</v>
      </c>
      <c r="G231" s="1">
        <v>3463392</v>
      </c>
      <c r="I231" s="1">
        <v>1590066</v>
      </c>
      <c r="K231" s="1">
        <v>6083829</v>
      </c>
      <c r="M231" s="1">
        <v>42273</v>
      </c>
      <c r="O231" s="1">
        <v>616597</v>
      </c>
      <c r="Q231" s="1">
        <v>0</v>
      </c>
      <c r="S231" s="1">
        <v>0</v>
      </c>
      <c r="U231" s="1">
        <v>718</v>
      </c>
      <c r="W231" s="1">
        <f>7146+146566</f>
        <v>153712</v>
      </c>
      <c r="Y231" s="41">
        <f t="shared" si="23"/>
        <v>11950587</v>
      </c>
      <c r="AA231" s="1">
        <v>0</v>
      </c>
      <c r="AE231" s="1">
        <v>0</v>
      </c>
      <c r="AG231" s="1">
        <f>20+1917</f>
        <v>1937</v>
      </c>
      <c r="AI231" s="1">
        <v>0</v>
      </c>
      <c r="AK231" s="1">
        <f t="shared" si="24"/>
        <v>1937</v>
      </c>
      <c r="AM231" s="1">
        <f t="shared" si="21"/>
        <v>11952524</v>
      </c>
    </row>
    <row r="232" spans="1:39">
      <c r="A232" s="12" t="s">
        <v>397</v>
      </c>
      <c r="B232" s="12"/>
      <c r="C232" s="12" t="s">
        <v>395</v>
      </c>
      <c r="D232" s="12"/>
      <c r="E232" s="13">
        <v>45401</v>
      </c>
      <c r="G232" s="1">
        <v>3099868</v>
      </c>
      <c r="I232" s="1">
        <v>1641099</v>
      </c>
      <c r="K232" s="1">
        <v>12203209</v>
      </c>
      <c r="M232" s="1">
        <v>98812</v>
      </c>
      <c r="O232" s="1">
        <v>656976</v>
      </c>
      <c r="Q232" s="1">
        <v>0</v>
      </c>
      <c r="S232" s="1">
        <v>0</v>
      </c>
      <c r="U232" s="1">
        <v>0</v>
      </c>
      <c r="W232" s="1">
        <f>108535+22711+1137</f>
        <v>132383</v>
      </c>
      <c r="Y232" s="41">
        <f t="shared" si="23"/>
        <v>17832347</v>
      </c>
      <c r="AA232" s="1">
        <v>0</v>
      </c>
      <c r="AE232" s="1">
        <v>0</v>
      </c>
      <c r="AG232" s="1">
        <v>0</v>
      </c>
      <c r="AI232" s="1">
        <v>0</v>
      </c>
      <c r="AK232" s="1">
        <f t="shared" si="24"/>
        <v>0</v>
      </c>
      <c r="AM232" s="1">
        <f t="shared" si="21"/>
        <v>17832347</v>
      </c>
    </row>
    <row r="233" spans="1:39">
      <c r="A233" s="12" t="s">
        <v>246</v>
      </c>
      <c r="B233" s="12"/>
      <c r="C233" s="12" t="s">
        <v>17</v>
      </c>
      <c r="D233" s="12"/>
      <c r="E233" s="13">
        <v>46235</v>
      </c>
      <c r="F233" s="8"/>
      <c r="G233" s="1">
        <v>5319737</v>
      </c>
      <c r="I233" s="1">
        <v>0</v>
      </c>
      <c r="K233" s="1">
        <v>7823085</v>
      </c>
      <c r="M233" s="1">
        <v>9623</v>
      </c>
      <c r="O233" s="1">
        <v>585404</v>
      </c>
      <c r="Q233" s="1">
        <v>0</v>
      </c>
      <c r="S233" s="1">
        <v>0</v>
      </c>
      <c r="U233" s="1">
        <v>11851</v>
      </c>
      <c r="W233" s="1">
        <v>8491</v>
      </c>
      <c r="Y233" s="41">
        <f t="shared" si="23"/>
        <v>13758191</v>
      </c>
      <c r="AA233" s="1">
        <v>0</v>
      </c>
      <c r="AE233" s="1">
        <v>0</v>
      </c>
      <c r="AG233" s="1">
        <v>0</v>
      </c>
      <c r="AI233" s="1">
        <v>0</v>
      </c>
      <c r="AK233" s="1">
        <f t="shared" si="24"/>
        <v>0</v>
      </c>
      <c r="AM233" s="1">
        <f t="shared" si="21"/>
        <v>13758191</v>
      </c>
    </row>
    <row r="234" spans="1:39">
      <c r="A234" s="12" t="s">
        <v>309</v>
      </c>
      <c r="B234" s="12"/>
      <c r="C234" s="12" t="s">
        <v>21</v>
      </c>
      <c r="D234" s="12"/>
      <c r="E234" s="13">
        <v>44099</v>
      </c>
      <c r="G234" s="1">
        <v>8705088</v>
      </c>
      <c r="I234" s="1">
        <v>1726504</v>
      </c>
      <c r="K234" s="1">
        <v>14159100</v>
      </c>
      <c r="M234" s="1">
        <v>30830</v>
      </c>
      <c r="O234" s="1">
        <v>468326</v>
      </c>
      <c r="Q234" s="1">
        <v>32113</v>
      </c>
      <c r="S234" s="1">
        <v>182071</v>
      </c>
      <c r="U234" s="1">
        <v>4304</v>
      </c>
      <c r="W234" s="1">
        <f>44244+24300</f>
        <v>68544</v>
      </c>
      <c r="Y234" s="41">
        <f>SUM(G234:X234)</f>
        <v>25376880</v>
      </c>
      <c r="AA234" s="1">
        <v>0</v>
      </c>
      <c r="AE234" s="1">
        <v>0</v>
      </c>
      <c r="AG234" s="1">
        <v>22000</v>
      </c>
      <c r="AI234" s="1">
        <v>0</v>
      </c>
      <c r="AK234" s="1">
        <f t="shared" si="24"/>
        <v>22000</v>
      </c>
      <c r="AM234" s="1">
        <f t="shared" si="21"/>
        <v>25398880</v>
      </c>
    </row>
    <row r="235" spans="1:39">
      <c r="A235" s="12" t="s">
        <v>335</v>
      </c>
      <c r="B235" s="12"/>
      <c r="C235" s="12" t="s">
        <v>27</v>
      </c>
      <c r="D235" s="12"/>
      <c r="E235" s="13">
        <v>46979</v>
      </c>
      <c r="G235" s="1">
        <v>23674222</v>
      </c>
      <c r="I235" s="1">
        <v>0</v>
      </c>
      <c r="K235" s="1">
        <v>33561652</v>
      </c>
      <c r="M235" s="1">
        <v>4896</v>
      </c>
      <c r="O235" s="1">
        <v>644360</v>
      </c>
      <c r="Q235" s="1">
        <v>0</v>
      </c>
      <c r="S235" s="1">
        <v>278042</v>
      </c>
      <c r="U235" s="1">
        <v>0</v>
      </c>
      <c r="W235" s="1">
        <v>301179</v>
      </c>
      <c r="Y235" s="41">
        <f t="shared" si="23"/>
        <v>58464351</v>
      </c>
      <c r="AA235" s="1">
        <v>0</v>
      </c>
      <c r="AE235" s="1">
        <v>0</v>
      </c>
      <c r="AG235" s="1">
        <v>424</v>
      </c>
      <c r="AI235" s="1">
        <v>0</v>
      </c>
      <c r="AK235" s="1">
        <f t="shared" si="24"/>
        <v>424</v>
      </c>
      <c r="AM235" s="1">
        <f t="shared" si="21"/>
        <v>58464775</v>
      </c>
    </row>
    <row r="236" spans="1:39">
      <c r="A236" s="12" t="s">
        <v>229</v>
      </c>
      <c r="B236" s="12"/>
      <c r="C236" s="12" t="s">
        <v>227</v>
      </c>
      <c r="D236" s="12"/>
      <c r="E236" s="13">
        <v>44107</v>
      </c>
      <c r="F236" s="8"/>
      <c r="G236" s="1">
        <v>17353612</v>
      </c>
      <c r="I236" s="1">
        <v>0</v>
      </c>
      <c r="K236" s="1">
        <v>51316951</v>
      </c>
      <c r="M236" s="1">
        <v>86858</v>
      </c>
      <c r="O236" s="1">
        <v>635276</v>
      </c>
      <c r="Q236" s="1">
        <v>0</v>
      </c>
      <c r="S236" s="1">
        <v>0</v>
      </c>
      <c r="U236" s="1">
        <v>0</v>
      </c>
      <c r="W236" s="1">
        <f>34318+132946</f>
        <v>167264</v>
      </c>
      <c r="Y236" s="41">
        <f t="shared" si="23"/>
        <v>69559961</v>
      </c>
      <c r="AA236" s="1">
        <v>0</v>
      </c>
      <c r="AE236" s="1">
        <v>0</v>
      </c>
      <c r="AG236" s="1">
        <f>56686+31764+5439</f>
        <v>93889</v>
      </c>
      <c r="AI236" s="1">
        <v>0</v>
      </c>
      <c r="AK236" s="1">
        <f t="shared" si="24"/>
        <v>93889</v>
      </c>
      <c r="AM236" s="1">
        <f t="shared" si="21"/>
        <v>69653850</v>
      </c>
    </row>
    <row r="237" spans="1:39">
      <c r="A237" s="17" t="s">
        <v>935</v>
      </c>
      <c r="B237" s="12"/>
      <c r="C237" s="12" t="s">
        <v>27</v>
      </c>
      <c r="D237" s="12"/>
      <c r="E237" s="13">
        <v>46953</v>
      </c>
      <c r="G237" s="1">
        <v>4490802</v>
      </c>
      <c r="I237" s="1">
        <v>0</v>
      </c>
      <c r="K237" s="1">
        <v>17564265</v>
      </c>
      <c r="M237" s="1">
        <v>3829</v>
      </c>
      <c r="O237" s="1">
        <v>27909</v>
      </c>
      <c r="Q237" s="1">
        <v>141831</v>
      </c>
      <c r="S237" s="1">
        <v>0</v>
      </c>
      <c r="U237" s="1">
        <v>0</v>
      </c>
      <c r="W237" s="1">
        <v>114366</v>
      </c>
      <c r="Y237" s="41">
        <f t="shared" si="23"/>
        <v>22343002</v>
      </c>
      <c r="AA237" s="1">
        <v>0</v>
      </c>
      <c r="AE237" s="1">
        <v>136759</v>
      </c>
      <c r="AG237" s="1">
        <v>0</v>
      </c>
      <c r="AI237" s="1">
        <v>0</v>
      </c>
      <c r="AK237" s="1">
        <f t="shared" si="24"/>
        <v>136759</v>
      </c>
      <c r="AM237" s="1">
        <f t="shared" si="21"/>
        <v>22479761</v>
      </c>
    </row>
    <row r="238" spans="1:39">
      <c r="A238" s="12" t="s">
        <v>384</v>
      </c>
      <c r="B238" s="12"/>
      <c r="C238" s="12" t="s">
        <v>383</v>
      </c>
      <c r="D238" s="12"/>
      <c r="E238" s="13">
        <v>47498</v>
      </c>
      <c r="G238" s="1">
        <v>883617</v>
      </c>
      <c r="I238" s="1">
        <v>806924</v>
      </c>
      <c r="K238" s="1">
        <v>2417511</v>
      </c>
      <c r="M238" s="1">
        <v>16876</v>
      </c>
      <c r="O238" s="1">
        <v>389901</v>
      </c>
      <c r="Q238" s="1">
        <v>0</v>
      </c>
      <c r="S238" s="1">
        <v>0</v>
      </c>
      <c r="U238" s="1">
        <v>0</v>
      </c>
      <c r="W238" s="1">
        <f>13518+17520</f>
        <v>31038</v>
      </c>
      <c r="Y238" s="41">
        <f t="shared" si="23"/>
        <v>4545867</v>
      </c>
      <c r="AA238" s="1">
        <v>0</v>
      </c>
      <c r="AE238" s="1">
        <v>0</v>
      </c>
      <c r="AG238" s="1">
        <v>11758</v>
      </c>
      <c r="AI238" s="1">
        <v>0</v>
      </c>
      <c r="AK238" s="1">
        <f t="shared" si="24"/>
        <v>11758</v>
      </c>
      <c r="AM238" s="1">
        <f t="shared" si="21"/>
        <v>4557625</v>
      </c>
    </row>
    <row r="239" spans="1:39" hidden="1">
      <c r="A239" s="17" t="s">
        <v>936</v>
      </c>
      <c r="B239" s="12"/>
      <c r="C239" s="12" t="s">
        <v>61</v>
      </c>
      <c r="D239" s="12"/>
      <c r="E239" s="13">
        <v>49791</v>
      </c>
      <c r="Y239" s="41">
        <f t="shared" si="23"/>
        <v>0</v>
      </c>
      <c r="AI239" s="1">
        <v>0</v>
      </c>
      <c r="AK239" s="1">
        <f t="shared" si="24"/>
        <v>0</v>
      </c>
      <c r="AM239" s="1">
        <f t="shared" si="21"/>
        <v>0</v>
      </c>
    </row>
    <row r="240" spans="1:39">
      <c r="A240" s="12" t="s">
        <v>389</v>
      </c>
      <c r="B240" s="12"/>
      <c r="C240" s="12" t="s">
        <v>388</v>
      </c>
      <c r="D240" s="12"/>
      <c r="E240" s="13">
        <v>45245</v>
      </c>
      <c r="G240" s="1">
        <v>3616082</v>
      </c>
      <c r="I240" s="1">
        <v>0</v>
      </c>
      <c r="K240" s="1">
        <v>11865706</v>
      </c>
      <c r="M240" s="1">
        <v>13054</v>
      </c>
      <c r="O240" s="1">
        <v>128148</v>
      </c>
      <c r="Q240" s="1">
        <v>5292</v>
      </c>
      <c r="S240" s="1">
        <v>0</v>
      </c>
      <c r="U240" s="1">
        <v>0</v>
      </c>
      <c r="W240" s="1">
        <f>130666+10562</f>
        <v>141228</v>
      </c>
      <c r="Y240" s="41">
        <f t="shared" si="23"/>
        <v>15769510</v>
      </c>
      <c r="AA240" s="1">
        <v>0</v>
      </c>
      <c r="AE240" s="1">
        <v>0</v>
      </c>
      <c r="AG240" s="1">
        <v>0</v>
      </c>
      <c r="AI240" s="1">
        <v>0</v>
      </c>
      <c r="AK240" s="1">
        <f t="shared" si="24"/>
        <v>0</v>
      </c>
      <c r="AM240" s="1">
        <f t="shared" si="21"/>
        <v>15769510</v>
      </c>
    </row>
    <row r="241" spans="1:39">
      <c r="A241" s="12" t="s">
        <v>427</v>
      </c>
      <c r="B241" s="12"/>
      <c r="C241" s="12" t="s">
        <v>42</v>
      </c>
      <c r="D241" s="12"/>
      <c r="E241" s="13">
        <v>44115</v>
      </c>
      <c r="G241" s="1">
        <v>7813334</v>
      </c>
      <c r="I241" s="1">
        <v>0</v>
      </c>
      <c r="K241" s="1">
        <v>5966165</v>
      </c>
      <c r="M241" s="1">
        <v>12626</v>
      </c>
      <c r="O241" s="1">
        <v>81380</v>
      </c>
      <c r="Q241" s="1">
        <v>0</v>
      </c>
      <c r="S241" s="1">
        <v>0</v>
      </c>
      <c r="U241" s="1">
        <v>0</v>
      </c>
      <c r="W241" s="1">
        <v>324473</v>
      </c>
      <c r="Y241" s="41">
        <f t="shared" si="23"/>
        <v>14197978</v>
      </c>
      <c r="AA241" s="1">
        <v>0</v>
      </c>
      <c r="AE241" s="1">
        <v>0</v>
      </c>
      <c r="AG241" s="1">
        <v>49</v>
      </c>
      <c r="AI241" s="1">
        <v>0</v>
      </c>
      <c r="AK241" s="1">
        <f t="shared" si="24"/>
        <v>49</v>
      </c>
      <c r="AM241" s="1">
        <f t="shared" si="21"/>
        <v>14198027</v>
      </c>
    </row>
    <row r="242" spans="1:39" hidden="1">
      <c r="A242" s="17" t="s">
        <v>818</v>
      </c>
      <c r="B242" s="12"/>
      <c r="C242" s="12" t="s">
        <v>22</v>
      </c>
      <c r="D242" s="12"/>
      <c r="E242" s="13">
        <v>45419</v>
      </c>
      <c r="I242" s="1">
        <v>0</v>
      </c>
      <c r="Y242" s="41">
        <f t="shared" si="23"/>
        <v>0</v>
      </c>
      <c r="AK242" s="1">
        <f t="shared" si="24"/>
        <v>0</v>
      </c>
      <c r="AM242" s="1">
        <f t="shared" si="21"/>
        <v>0</v>
      </c>
    </row>
    <row r="243" spans="1:39">
      <c r="A243" s="12" t="s">
        <v>481</v>
      </c>
      <c r="B243" s="12"/>
      <c r="C243" s="12" t="s">
        <v>47</v>
      </c>
      <c r="D243" s="12"/>
      <c r="E243" s="13">
        <v>48496</v>
      </c>
      <c r="G243" s="1">
        <v>15921879</v>
      </c>
      <c r="I243" s="1">
        <v>0</v>
      </c>
      <c r="K243" s="1">
        <v>7698642</v>
      </c>
      <c r="M243" s="1">
        <v>123785</v>
      </c>
      <c r="O243" s="1">
        <v>281569</v>
      </c>
      <c r="Q243" s="1">
        <v>93343</v>
      </c>
      <c r="S243" s="1">
        <v>0</v>
      </c>
      <c r="U243" s="1">
        <v>29367</v>
      </c>
      <c r="W243" s="1">
        <f>29990+72949</f>
        <v>102939</v>
      </c>
      <c r="Y243" s="41">
        <f t="shared" si="23"/>
        <v>24251524</v>
      </c>
      <c r="AA243" s="1">
        <v>0</v>
      </c>
      <c r="AE243" s="1">
        <v>0</v>
      </c>
      <c r="AG243" s="1">
        <v>0</v>
      </c>
      <c r="AI243" s="1">
        <v>0</v>
      </c>
      <c r="AK243" s="1">
        <f t="shared" si="24"/>
        <v>0</v>
      </c>
      <c r="AM243" s="1">
        <f t="shared" si="21"/>
        <v>24251524</v>
      </c>
    </row>
    <row r="244" spans="1:39">
      <c r="A244" s="12" t="s">
        <v>481</v>
      </c>
      <c r="B244" s="12"/>
      <c r="C244" s="12" t="s">
        <v>78</v>
      </c>
      <c r="D244" s="12"/>
      <c r="E244" s="13">
        <v>48801</v>
      </c>
      <c r="G244" s="1">
        <v>2837895</v>
      </c>
      <c r="I244" s="1">
        <v>877694</v>
      </c>
      <c r="K244" s="1">
        <v>9169320</v>
      </c>
      <c r="M244" s="1">
        <v>84279</v>
      </c>
      <c r="O244" s="1">
        <v>0</v>
      </c>
      <c r="Q244" s="1">
        <v>8280</v>
      </c>
      <c r="S244" s="1">
        <v>0</v>
      </c>
      <c r="U244" s="1">
        <v>0</v>
      </c>
      <c r="W244" s="1">
        <v>269646</v>
      </c>
      <c r="Y244" s="41">
        <f t="shared" si="23"/>
        <v>13247114</v>
      </c>
      <c r="AA244" s="1">
        <v>0</v>
      </c>
      <c r="AE244" s="1">
        <v>0</v>
      </c>
      <c r="AG244" s="1">
        <v>3975</v>
      </c>
      <c r="AI244" s="1">
        <v>0</v>
      </c>
      <c r="AK244" s="1">
        <f t="shared" si="24"/>
        <v>3975</v>
      </c>
      <c r="AM244" s="1">
        <f t="shared" si="21"/>
        <v>13251089</v>
      </c>
    </row>
    <row r="245" spans="1:39">
      <c r="A245" s="12" t="s">
        <v>337</v>
      </c>
      <c r="B245" s="12"/>
      <c r="C245" s="12" t="s">
        <v>27</v>
      </c>
      <c r="D245" s="12"/>
      <c r="E245" s="13">
        <v>47019</v>
      </c>
      <c r="G245" s="1">
        <v>94908225</v>
      </c>
      <c r="I245" s="1">
        <v>0</v>
      </c>
      <c r="K245" s="1">
        <f>57066921+159240</f>
        <v>57226161</v>
      </c>
      <c r="M245" s="1">
        <v>535037</v>
      </c>
      <c r="O245" s="1">
        <v>466444</v>
      </c>
      <c r="Q245" s="1">
        <v>0</v>
      </c>
      <c r="S245" s="1">
        <v>0</v>
      </c>
      <c r="U245" s="1">
        <v>0</v>
      </c>
      <c r="W245" s="1">
        <f>897395+2265315</f>
        <v>3162710</v>
      </c>
      <c r="Y245" s="41">
        <f t="shared" si="23"/>
        <v>156298577</v>
      </c>
      <c r="AA245" s="1">
        <v>0</v>
      </c>
      <c r="AE245" s="1">
        <v>0</v>
      </c>
      <c r="AG245" s="1">
        <v>31787</v>
      </c>
      <c r="AI245" s="1">
        <v>0</v>
      </c>
      <c r="AK245" s="1">
        <f t="shared" si="24"/>
        <v>31787</v>
      </c>
      <c r="AM245" s="1">
        <f t="shared" si="21"/>
        <v>156330364</v>
      </c>
    </row>
    <row r="246" spans="1:39" hidden="1">
      <c r="A246" s="12" t="s">
        <v>398</v>
      </c>
      <c r="B246" s="12"/>
      <c r="C246" s="12" t="s">
        <v>395</v>
      </c>
      <c r="D246" s="12"/>
      <c r="E246" s="13">
        <v>44123</v>
      </c>
      <c r="Y246" s="41">
        <f t="shared" si="23"/>
        <v>0</v>
      </c>
      <c r="AK246" s="1">
        <f t="shared" si="24"/>
        <v>0</v>
      </c>
      <c r="AM246" s="1">
        <f t="shared" si="21"/>
        <v>0</v>
      </c>
    </row>
    <row r="247" spans="1:39">
      <c r="A247" s="12" t="s">
        <v>207</v>
      </c>
      <c r="B247" s="12"/>
      <c r="C247" s="12" t="s">
        <v>11</v>
      </c>
      <c r="D247" s="12"/>
      <c r="E247" s="13">
        <v>45823</v>
      </c>
      <c r="F247" s="8"/>
      <c r="G247" s="1">
        <v>3977979</v>
      </c>
      <c r="I247" s="1">
        <v>0</v>
      </c>
      <c r="K247" s="1">
        <f>4645540+5999</f>
        <v>4651539</v>
      </c>
      <c r="M247" s="1">
        <v>2991</v>
      </c>
      <c r="O247" s="1">
        <v>324007</v>
      </c>
      <c r="Q247" s="1">
        <v>0</v>
      </c>
      <c r="S247" s="1">
        <v>0</v>
      </c>
      <c r="U247" s="1">
        <v>15080</v>
      </c>
      <c r="W247" s="1">
        <f>5211+15620</f>
        <v>20831</v>
      </c>
      <c r="Y247" s="41">
        <f t="shared" si="23"/>
        <v>8992427</v>
      </c>
      <c r="AA247" s="1">
        <v>0</v>
      </c>
      <c r="AE247" s="1">
        <v>0</v>
      </c>
      <c r="AG247" s="1">
        <v>1338</v>
      </c>
      <c r="AI247" s="1">
        <v>0</v>
      </c>
      <c r="AK247" s="1">
        <f t="shared" si="24"/>
        <v>1338</v>
      </c>
      <c r="AM247" s="1">
        <f t="shared" ref="AM247:AM281" si="25">+AK247+Y247</f>
        <v>8993765</v>
      </c>
    </row>
    <row r="248" spans="1:39">
      <c r="A248" s="12" t="s">
        <v>390</v>
      </c>
      <c r="B248" s="12"/>
      <c r="C248" s="12" t="s">
        <v>34</v>
      </c>
      <c r="D248" s="12"/>
      <c r="E248" s="13">
        <v>47571</v>
      </c>
      <c r="G248" s="1">
        <v>1051039</v>
      </c>
      <c r="I248" s="1">
        <v>666883</v>
      </c>
      <c r="K248" s="1">
        <v>2518991</v>
      </c>
      <c r="M248" s="1">
        <v>53275</v>
      </c>
      <c r="O248" s="1">
        <v>408698</v>
      </c>
      <c r="Q248" s="1">
        <v>3742</v>
      </c>
      <c r="S248" s="1">
        <v>1638</v>
      </c>
      <c r="U248" s="1">
        <v>6100</v>
      </c>
      <c r="W248" s="1">
        <v>44134</v>
      </c>
      <c r="Y248" s="41">
        <f t="shared" si="23"/>
        <v>4754500</v>
      </c>
      <c r="AA248" s="1">
        <v>0</v>
      </c>
      <c r="AE248" s="1">
        <v>0</v>
      </c>
      <c r="AG248" s="1">
        <v>0</v>
      </c>
      <c r="AI248" s="1">
        <v>0</v>
      </c>
      <c r="AK248" s="1">
        <f t="shared" si="24"/>
        <v>0</v>
      </c>
      <c r="AM248" s="1">
        <f t="shared" si="25"/>
        <v>4754500</v>
      </c>
    </row>
    <row r="249" spans="1:39">
      <c r="A249" s="12" t="s">
        <v>604</v>
      </c>
      <c r="B249" s="12"/>
      <c r="C249" s="12" t="s">
        <v>64</v>
      </c>
      <c r="D249" s="12"/>
      <c r="E249" s="13">
        <v>50161</v>
      </c>
      <c r="G249" s="1">
        <v>16244266</v>
      </c>
      <c r="I249" s="1">
        <v>0</v>
      </c>
      <c r="K249" s="1">
        <v>11038698</v>
      </c>
      <c r="M249" s="1">
        <v>11796</v>
      </c>
      <c r="O249" s="1">
        <v>1424128</v>
      </c>
      <c r="Q249" s="1">
        <v>11452</v>
      </c>
      <c r="S249" s="1">
        <v>0</v>
      </c>
      <c r="U249" s="1">
        <v>0</v>
      </c>
      <c r="W249" s="1">
        <f>109224+63494+17421</f>
        <v>190139</v>
      </c>
      <c r="Y249" s="41">
        <f t="shared" si="23"/>
        <v>28920479</v>
      </c>
      <c r="AA249" s="1">
        <v>0</v>
      </c>
      <c r="AE249" s="1">
        <v>0</v>
      </c>
      <c r="AG249" s="1">
        <v>0</v>
      </c>
      <c r="AI249" s="1">
        <v>0</v>
      </c>
      <c r="AK249" s="1">
        <f t="shared" si="24"/>
        <v>0</v>
      </c>
      <c r="AM249" s="1">
        <f t="shared" si="25"/>
        <v>28920479</v>
      </c>
    </row>
    <row r="250" spans="1:39">
      <c r="A250" s="12" t="s">
        <v>605</v>
      </c>
      <c r="B250" s="12"/>
      <c r="C250" s="12" t="s">
        <v>64</v>
      </c>
      <c r="D250" s="12"/>
      <c r="E250" s="13">
        <v>45427</v>
      </c>
      <c r="G250" s="1">
        <v>5709939</v>
      </c>
      <c r="I250" s="1">
        <v>0</v>
      </c>
      <c r="K250" s="1">
        <v>10388451</v>
      </c>
      <c r="M250" s="1">
        <v>109868</v>
      </c>
      <c r="O250" s="1">
        <v>880280</v>
      </c>
      <c r="Q250" s="1">
        <v>0</v>
      </c>
      <c r="S250" s="1">
        <v>0</v>
      </c>
      <c r="U250" s="1">
        <v>1155</v>
      </c>
      <c r="W250" s="1">
        <f>247184+35945</f>
        <v>283129</v>
      </c>
      <c r="Y250" s="41">
        <f t="shared" si="23"/>
        <v>17372822</v>
      </c>
      <c r="AA250" s="1">
        <v>100000</v>
      </c>
      <c r="AE250" s="1">
        <v>0</v>
      </c>
      <c r="AG250" s="1">
        <v>0</v>
      </c>
      <c r="AI250" s="1">
        <v>0</v>
      </c>
      <c r="AK250" s="1">
        <f t="shared" si="24"/>
        <v>100000</v>
      </c>
      <c r="AM250" s="1">
        <f t="shared" si="25"/>
        <v>17472822</v>
      </c>
    </row>
    <row r="251" spans="1:39">
      <c r="A251" s="12" t="s">
        <v>497</v>
      </c>
      <c r="B251" s="12"/>
      <c r="C251" s="12" t="s">
        <v>50</v>
      </c>
      <c r="D251" s="12"/>
      <c r="E251" s="13">
        <v>48751</v>
      </c>
      <c r="G251" s="1">
        <v>26115917</v>
      </c>
      <c r="I251" s="1">
        <v>0</v>
      </c>
      <c r="K251" s="1">
        <f>31319329+207998</f>
        <v>31527327</v>
      </c>
      <c r="M251" s="1">
        <v>81327</v>
      </c>
      <c r="O251" s="1">
        <v>482046</v>
      </c>
      <c r="Q251" s="1">
        <v>153587</v>
      </c>
      <c r="S251" s="1">
        <v>0</v>
      </c>
      <c r="U251" s="1">
        <v>0</v>
      </c>
      <c r="W251" s="1">
        <f>302391+319417+182944+15113</f>
        <v>819865</v>
      </c>
      <c r="Y251" s="41">
        <f t="shared" si="23"/>
        <v>59180069</v>
      </c>
      <c r="AA251" s="1">
        <v>0</v>
      </c>
      <c r="AE251" s="1">
        <v>500000</v>
      </c>
      <c r="AG251" s="1">
        <v>0</v>
      </c>
      <c r="AI251" s="1">
        <v>0</v>
      </c>
      <c r="AK251" s="1">
        <f t="shared" si="24"/>
        <v>500000</v>
      </c>
      <c r="AM251" s="1">
        <f t="shared" si="25"/>
        <v>59680069</v>
      </c>
    </row>
    <row r="252" spans="1:39">
      <c r="A252" s="12" t="s">
        <v>590</v>
      </c>
      <c r="B252" s="12"/>
      <c r="C252" s="12" t="s">
        <v>63</v>
      </c>
      <c r="D252" s="12"/>
      <c r="E252" s="13">
        <v>50021</v>
      </c>
      <c r="G252" s="1">
        <v>35720224</v>
      </c>
      <c r="I252" s="1">
        <v>0</v>
      </c>
      <c r="K252" s="1">
        <v>19410178</v>
      </c>
      <c r="M252" s="1">
        <v>316452</v>
      </c>
      <c r="O252" s="1">
        <v>125137</v>
      </c>
      <c r="Q252" s="1">
        <v>189283</v>
      </c>
      <c r="S252" s="1">
        <v>314000</v>
      </c>
      <c r="U252" s="1">
        <v>0</v>
      </c>
      <c r="W252" s="1">
        <f>106169+43432+30710</f>
        <v>180311</v>
      </c>
      <c r="Y252" s="41">
        <f t="shared" si="23"/>
        <v>56255585</v>
      </c>
      <c r="AA252" s="1">
        <v>0</v>
      </c>
      <c r="AE252" s="1">
        <v>0</v>
      </c>
      <c r="AG252" s="1">
        <v>0</v>
      </c>
      <c r="AI252" s="1">
        <v>0</v>
      </c>
      <c r="AK252" s="1">
        <f t="shared" si="24"/>
        <v>0</v>
      </c>
      <c r="AM252" s="1">
        <f t="shared" si="25"/>
        <v>56255585</v>
      </c>
    </row>
    <row r="253" spans="1:39">
      <c r="A253" s="12" t="s">
        <v>551</v>
      </c>
      <c r="B253" s="12"/>
      <c r="C253" s="12" t="s">
        <v>58</v>
      </c>
      <c r="D253" s="12"/>
      <c r="E253" s="13">
        <v>49502</v>
      </c>
      <c r="G253" s="1">
        <v>1176629</v>
      </c>
      <c r="I253" s="1">
        <v>0</v>
      </c>
      <c r="K253" s="1">
        <v>8777499</v>
      </c>
      <c r="M253" s="1">
        <v>8184</v>
      </c>
      <c r="O253" s="1">
        <v>8248</v>
      </c>
      <c r="Q253" s="1">
        <v>26793</v>
      </c>
      <c r="S253" s="1">
        <v>0</v>
      </c>
      <c r="U253" s="1">
        <v>0</v>
      </c>
      <c r="W253" s="1">
        <f>99764+21181+7200</f>
        <v>128145</v>
      </c>
      <c r="Y253" s="41">
        <f t="shared" si="23"/>
        <v>10125498</v>
      </c>
      <c r="AA253" s="1">
        <v>8944</v>
      </c>
      <c r="AE253" s="1">
        <v>88447</v>
      </c>
      <c r="AG253" s="1">
        <v>0</v>
      </c>
      <c r="AI253" s="1">
        <v>0</v>
      </c>
      <c r="AK253" s="1">
        <f t="shared" si="24"/>
        <v>97391</v>
      </c>
      <c r="AM253" s="1">
        <f t="shared" si="25"/>
        <v>10222889</v>
      </c>
    </row>
    <row r="254" spans="1:39">
      <c r="A254" s="12" t="s">
        <v>315</v>
      </c>
      <c r="B254" s="12"/>
      <c r="C254" s="12" t="s">
        <v>24</v>
      </c>
      <c r="D254" s="12"/>
      <c r="E254" s="13">
        <v>44131</v>
      </c>
      <c r="G254" s="1">
        <v>9601403</v>
      </c>
      <c r="I254" s="1">
        <v>0</v>
      </c>
      <c r="K254" s="1">
        <v>5340140</v>
      </c>
      <c r="M254" s="1">
        <v>49906</v>
      </c>
      <c r="O254" s="1">
        <v>92444</v>
      </c>
      <c r="Q254" s="1">
        <v>4348</v>
      </c>
      <c r="S254" s="1">
        <v>0</v>
      </c>
      <c r="U254" s="1">
        <v>0</v>
      </c>
      <c r="W254" s="1">
        <f>90068+68591+55159+851</f>
        <v>214669</v>
      </c>
      <c r="Y254" s="41">
        <f t="shared" si="23"/>
        <v>15302910</v>
      </c>
      <c r="AA254" s="1">
        <v>0</v>
      </c>
      <c r="AE254" s="1">
        <v>0</v>
      </c>
      <c r="AG254" s="1">
        <v>0</v>
      </c>
      <c r="AI254" s="1">
        <v>0</v>
      </c>
      <c r="AK254" s="1">
        <f t="shared" si="24"/>
        <v>0</v>
      </c>
      <c r="AM254" s="1">
        <f t="shared" si="25"/>
        <v>15302910</v>
      </c>
    </row>
    <row r="255" spans="1:39">
      <c r="A255" s="12" t="s">
        <v>292</v>
      </c>
      <c r="B255" s="12"/>
      <c r="C255" s="12" t="s">
        <v>20</v>
      </c>
      <c r="D255" s="12"/>
      <c r="E255" s="13">
        <v>46565</v>
      </c>
      <c r="G255" s="1">
        <v>12403832</v>
      </c>
      <c r="I255" s="1">
        <v>0</v>
      </c>
      <c r="K255" s="1">
        <v>2813218</v>
      </c>
      <c r="M255" s="1">
        <v>13489</v>
      </c>
      <c r="O255" s="1">
        <v>112330</v>
      </c>
      <c r="Q255" s="1">
        <v>61239</v>
      </c>
      <c r="S255" s="1">
        <v>0</v>
      </c>
      <c r="U255" s="1">
        <v>1000</v>
      </c>
      <c r="W255" s="1">
        <f>178915+54224</f>
        <v>233139</v>
      </c>
      <c r="Y255" s="41">
        <f t="shared" si="23"/>
        <v>15638247</v>
      </c>
      <c r="AA255" s="1">
        <v>0</v>
      </c>
      <c r="AE255" s="1">
        <v>0</v>
      </c>
      <c r="AG255" s="1">
        <v>574</v>
      </c>
      <c r="AI255" s="1">
        <v>0</v>
      </c>
      <c r="AK255" s="1">
        <f t="shared" si="24"/>
        <v>574</v>
      </c>
      <c r="AM255" s="1">
        <f t="shared" si="25"/>
        <v>15638821</v>
      </c>
    </row>
    <row r="256" spans="1:39">
      <c r="A256" s="12"/>
      <c r="B256" s="12"/>
      <c r="C256" s="12"/>
      <c r="D256" s="12"/>
      <c r="E256" s="13"/>
      <c r="Y256" s="41"/>
    </row>
    <row r="257" spans="1:39">
      <c r="A257" s="12"/>
      <c r="B257" s="12"/>
      <c r="C257" s="12"/>
      <c r="D257" s="12"/>
      <c r="E257" s="13"/>
      <c r="Y257" s="41"/>
      <c r="AM257" s="20" t="s">
        <v>709</v>
      </c>
    </row>
    <row r="258" spans="1:39">
      <c r="A258" s="12"/>
      <c r="B258" s="12"/>
      <c r="C258" s="12"/>
      <c r="D258" s="12"/>
      <c r="E258" s="13"/>
      <c r="Y258" s="41"/>
    </row>
    <row r="259" spans="1:39">
      <c r="A259" s="12" t="s">
        <v>411</v>
      </c>
      <c r="B259" s="12"/>
      <c r="C259" s="12" t="s">
        <v>39</v>
      </c>
      <c r="D259" s="12"/>
      <c r="E259" s="13">
        <v>47803</v>
      </c>
      <c r="G259" s="16">
        <v>6864498</v>
      </c>
      <c r="H259" s="16"/>
      <c r="I259" s="16">
        <v>0</v>
      </c>
      <c r="J259" s="16"/>
      <c r="K259" s="16">
        <v>9485476</v>
      </c>
      <c r="L259" s="16"/>
      <c r="M259" s="16">
        <v>2200</v>
      </c>
      <c r="N259" s="16"/>
      <c r="O259" s="16">
        <v>1636498</v>
      </c>
      <c r="P259" s="16"/>
      <c r="Q259" s="16">
        <v>57515</v>
      </c>
      <c r="R259" s="16"/>
      <c r="S259" s="16">
        <v>0</v>
      </c>
      <c r="T259" s="16"/>
      <c r="U259" s="16">
        <v>102180</v>
      </c>
      <c r="V259" s="16"/>
      <c r="W259" s="16">
        <f>6415+100+66394</f>
        <v>72909</v>
      </c>
      <c r="X259" s="16"/>
      <c r="Y259" s="59">
        <f t="shared" si="23"/>
        <v>18221276</v>
      </c>
      <c r="Z259" s="16"/>
      <c r="AA259" s="16">
        <v>0</v>
      </c>
      <c r="AB259" s="16"/>
      <c r="AC259" s="16"/>
      <c r="AD259" s="16"/>
      <c r="AE259" s="16">
        <v>0</v>
      </c>
      <c r="AF259" s="16"/>
      <c r="AG259" s="16">
        <v>0</v>
      </c>
      <c r="AH259" s="16"/>
      <c r="AI259" s="16">
        <v>0</v>
      </c>
      <c r="AJ259" s="16"/>
      <c r="AK259" s="16">
        <f t="shared" si="24"/>
        <v>0</v>
      </c>
      <c r="AL259" s="16"/>
      <c r="AM259" s="16">
        <f t="shared" si="25"/>
        <v>18221276</v>
      </c>
    </row>
    <row r="260" spans="1:39">
      <c r="A260" s="12" t="s">
        <v>365</v>
      </c>
      <c r="B260" s="12"/>
      <c r="C260" s="12" t="s">
        <v>32</v>
      </c>
      <c r="D260" s="12"/>
      <c r="E260" s="13">
        <v>45435</v>
      </c>
      <c r="G260" s="1">
        <v>24678744</v>
      </c>
      <c r="I260" s="1">
        <v>0</v>
      </c>
      <c r="K260" s="1">
        <v>5334544</v>
      </c>
      <c r="M260" s="1">
        <v>110211</v>
      </c>
      <c r="O260" s="1">
        <v>14400</v>
      </c>
      <c r="Q260" s="1">
        <v>0</v>
      </c>
      <c r="S260" s="1">
        <v>2906540</v>
      </c>
      <c r="U260" s="1">
        <v>0</v>
      </c>
      <c r="W260" s="1">
        <f>60670+14503</f>
        <v>75173</v>
      </c>
      <c r="Y260" s="41">
        <f t="shared" si="23"/>
        <v>33119612</v>
      </c>
      <c r="AA260" s="1">
        <v>0</v>
      </c>
      <c r="AE260" s="1">
        <v>0</v>
      </c>
      <c r="AG260" s="1">
        <v>4832</v>
      </c>
      <c r="AI260" s="1">
        <v>0</v>
      </c>
      <c r="AK260" s="1">
        <f t="shared" si="24"/>
        <v>4832</v>
      </c>
      <c r="AM260" s="1">
        <f t="shared" si="25"/>
        <v>33124444</v>
      </c>
    </row>
    <row r="261" spans="1:39" hidden="1">
      <c r="A261" s="17" t="s">
        <v>937</v>
      </c>
      <c r="B261" s="17"/>
      <c r="C261" s="17" t="s">
        <v>43</v>
      </c>
      <c r="D261" s="12"/>
      <c r="E261" s="13"/>
      <c r="Y261" s="41">
        <f t="shared" si="23"/>
        <v>0</v>
      </c>
      <c r="AE261" s="1">
        <v>0</v>
      </c>
      <c r="AM261" s="1">
        <f t="shared" si="25"/>
        <v>0</v>
      </c>
    </row>
    <row r="262" spans="1:39">
      <c r="A262" s="12" t="s">
        <v>621</v>
      </c>
      <c r="B262" s="12"/>
      <c r="C262" s="12" t="s">
        <v>65</v>
      </c>
      <c r="D262" s="12"/>
      <c r="E262" s="13">
        <v>50286</v>
      </c>
      <c r="G262" s="1">
        <v>3776747</v>
      </c>
      <c r="I262" s="1">
        <v>0</v>
      </c>
      <c r="K262" s="1">
        <v>8739575</v>
      </c>
      <c r="M262" s="1">
        <v>5818</v>
      </c>
      <c r="O262" s="1">
        <v>1489520</v>
      </c>
      <c r="Q262" s="1">
        <v>0</v>
      </c>
      <c r="S262" s="1">
        <v>0</v>
      </c>
      <c r="U262" s="1">
        <v>48008</v>
      </c>
      <c r="W262" s="1">
        <f>13221+2987</f>
        <v>16208</v>
      </c>
      <c r="Y262" s="41">
        <f t="shared" si="23"/>
        <v>14075876</v>
      </c>
      <c r="AA262" s="1">
        <v>0</v>
      </c>
      <c r="AE262" s="1">
        <v>0</v>
      </c>
      <c r="AG262" s="1">
        <v>650</v>
      </c>
      <c r="AI262" s="1">
        <v>0</v>
      </c>
      <c r="AK262" s="1">
        <f t="shared" si="24"/>
        <v>650</v>
      </c>
      <c r="AM262" s="1">
        <f t="shared" si="25"/>
        <v>14076526</v>
      </c>
    </row>
    <row r="263" spans="1:39">
      <c r="A263" s="12" t="s">
        <v>423</v>
      </c>
      <c r="B263" s="12"/>
      <c r="C263" s="12" t="s">
        <v>420</v>
      </c>
      <c r="D263" s="12"/>
      <c r="E263" s="13">
        <v>44149</v>
      </c>
      <c r="G263" s="1">
        <v>2252845</v>
      </c>
      <c r="I263" s="1">
        <v>0</v>
      </c>
      <c r="K263" s="1">
        <v>8703291</v>
      </c>
      <c r="M263" s="1">
        <v>33681</v>
      </c>
      <c r="O263" s="1">
        <v>1035724</v>
      </c>
      <c r="Q263" s="1">
        <v>0</v>
      </c>
      <c r="S263" s="1">
        <v>0</v>
      </c>
      <c r="U263" s="1">
        <v>0</v>
      </c>
      <c r="W263" s="1">
        <f>21423+61938</f>
        <v>83361</v>
      </c>
      <c r="Y263" s="41">
        <f t="shared" si="23"/>
        <v>12108902</v>
      </c>
      <c r="AA263" s="1">
        <v>0</v>
      </c>
      <c r="AE263" s="1">
        <v>0</v>
      </c>
      <c r="AG263" s="1">
        <v>100</v>
      </c>
      <c r="AI263" s="1">
        <v>0</v>
      </c>
      <c r="AK263" s="1">
        <f t="shared" si="24"/>
        <v>100</v>
      </c>
      <c r="AM263" s="1">
        <f t="shared" si="25"/>
        <v>12109002</v>
      </c>
    </row>
    <row r="264" spans="1:39" hidden="1">
      <c r="A264" s="17" t="s">
        <v>820</v>
      </c>
      <c r="B264" s="12"/>
      <c r="C264" s="12" t="s">
        <v>61</v>
      </c>
      <c r="D264" s="12"/>
      <c r="E264" s="13">
        <v>49809</v>
      </c>
      <c r="Y264" s="41">
        <f t="shared" si="23"/>
        <v>0</v>
      </c>
      <c r="AK264" s="1">
        <f t="shared" si="24"/>
        <v>0</v>
      </c>
      <c r="AM264" s="1">
        <f t="shared" si="25"/>
        <v>0</v>
      </c>
    </row>
    <row r="265" spans="1:39" hidden="1">
      <c r="A265" s="17" t="s">
        <v>838</v>
      </c>
      <c r="B265" s="12"/>
      <c r="C265" s="12" t="s">
        <v>38</v>
      </c>
      <c r="D265" s="12"/>
      <c r="E265" s="13"/>
      <c r="Y265" s="41">
        <f>SUM(G265:X265)</f>
        <v>0</v>
      </c>
      <c r="AK265" s="1">
        <f>SUM(AA265:AJ265)</f>
        <v>0</v>
      </c>
      <c r="AM265" s="1">
        <f t="shared" si="25"/>
        <v>0</v>
      </c>
    </row>
    <row r="266" spans="1:39">
      <c r="A266" s="12" t="s">
        <v>576</v>
      </c>
      <c r="B266" s="12"/>
      <c r="C266" s="12" t="s">
        <v>62</v>
      </c>
      <c r="D266" s="12"/>
      <c r="E266" s="13">
        <v>49858</v>
      </c>
      <c r="G266" s="1">
        <v>33554693</v>
      </c>
      <c r="I266" s="1">
        <v>0</v>
      </c>
      <c r="K266" s="1">
        <f>27450+13033484+52785</f>
        <v>13113719</v>
      </c>
      <c r="M266" s="1">
        <v>133975</v>
      </c>
      <c r="O266" s="1">
        <v>243800</v>
      </c>
      <c r="Q266" s="1">
        <v>130667</v>
      </c>
      <c r="S266" s="1">
        <v>85410</v>
      </c>
      <c r="U266" s="1">
        <v>12780</v>
      </c>
      <c r="W266" s="1">
        <f>11382+464443+25558+56904+37647</f>
        <v>595934</v>
      </c>
      <c r="Y266" s="41">
        <f t="shared" si="23"/>
        <v>47870978</v>
      </c>
      <c r="AA266" s="1">
        <v>0</v>
      </c>
      <c r="AE266" s="1">
        <v>0</v>
      </c>
      <c r="AG266" s="1">
        <v>26661</v>
      </c>
      <c r="AI266" s="1">
        <v>0</v>
      </c>
      <c r="AK266" s="1">
        <f t="shared" si="24"/>
        <v>26661</v>
      </c>
      <c r="AM266" s="1">
        <f t="shared" si="25"/>
        <v>47897639</v>
      </c>
    </row>
    <row r="267" spans="1:39">
      <c r="A267" s="12" t="s">
        <v>465</v>
      </c>
      <c r="B267" s="12"/>
      <c r="C267" s="12" t="s">
        <v>45</v>
      </c>
      <c r="D267" s="12"/>
      <c r="E267" s="13">
        <v>48322</v>
      </c>
      <c r="G267" s="1">
        <v>3131921</v>
      </c>
      <c r="I267" s="1">
        <v>0</v>
      </c>
      <c r="K267" s="1">
        <f>22965+3385198</f>
        <v>3408163</v>
      </c>
      <c r="M267" s="1">
        <v>2917</v>
      </c>
      <c r="O267" s="1">
        <v>420915</v>
      </c>
      <c r="Q267" s="1">
        <v>0</v>
      </c>
      <c r="S267" s="1">
        <v>0</v>
      </c>
      <c r="U267" s="1">
        <v>100</v>
      </c>
      <c r="W267" s="1">
        <f>100+57102</f>
        <v>57202</v>
      </c>
      <c r="Y267" s="41">
        <f t="shared" si="23"/>
        <v>7021218</v>
      </c>
      <c r="AA267" s="1">
        <v>0</v>
      </c>
      <c r="AE267" s="1">
        <v>0</v>
      </c>
      <c r="AG267" s="1">
        <v>0</v>
      </c>
      <c r="AI267" s="1">
        <v>0</v>
      </c>
      <c r="AK267" s="1">
        <f t="shared" si="24"/>
        <v>0</v>
      </c>
      <c r="AM267" s="1">
        <f t="shared" si="25"/>
        <v>7021218</v>
      </c>
    </row>
    <row r="268" spans="1:39">
      <c r="A268" s="12" t="s">
        <v>534</v>
      </c>
      <c r="B268" s="12"/>
      <c r="C268" s="12" t="s">
        <v>56</v>
      </c>
      <c r="D268" s="12"/>
      <c r="E268" s="13">
        <v>49205</v>
      </c>
      <c r="G268" s="1">
        <v>4366678</v>
      </c>
      <c r="I268" s="1">
        <v>0</v>
      </c>
      <c r="K268" s="1">
        <f>111361+6532181+47546</f>
        <v>6691088</v>
      </c>
      <c r="M268" s="1">
        <v>18402</v>
      </c>
      <c r="O268" s="1">
        <v>1082536</v>
      </c>
      <c r="Q268" s="1">
        <v>0</v>
      </c>
      <c r="S268" s="1">
        <v>0</v>
      </c>
      <c r="U268" s="1">
        <v>0</v>
      </c>
      <c r="W268" s="1">
        <f>11352+987+124197</f>
        <v>136536</v>
      </c>
      <c r="Y268" s="41">
        <f t="shared" si="23"/>
        <v>12295240</v>
      </c>
      <c r="AA268" s="1">
        <v>0</v>
      </c>
      <c r="AE268" s="1">
        <v>0</v>
      </c>
      <c r="AG268" s="1">
        <v>1255</v>
      </c>
      <c r="AI268" s="1">
        <v>0</v>
      </c>
      <c r="AK268" s="1">
        <f t="shared" si="24"/>
        <v>1255</v>
      </c>
      <c r="AM268" s="1">
        <f t="shared" si="25"/>
        <v>12296495</v>
      </c>
    </row>
    <row r="269" spans="1:39">
      <c r="A269" s="17" t="s">
        <v>840</v>
      </c>
      <c r="B269" s="12"/>
      <c r="C269" s="12" t="s">
        <v>12</v>
      </c>
      <c r="D269" s="12"/>
      <c r="E269" s="13">
        <v>45872</v>
      </c>
      <c r="F269" s="8"/>
      <c r="G269" s="1">
        <v>5070450</v>
      </c>
      <c r="I269" s="1">
        <v>0</v>
      </c>
      <c r="K269" s="1">
        <v>9429073</v>
      </c>
      <c r="M269" s="1">
        <v>8650</v>
      </c>
      <c r="O269" s="1">
        <v>768481</v>
      </c>
      <c r="Q269" s="1">
        <v>0</v>
      </c>
      <c r="S269" s="1">
        <v>0</v>
      </c>
      <c r="U269" s="1">
        <v>9250</v>
      </c>
      <c r="W269" s="1">
        <v>271965</v>
      </c>
      <c r="Y269" s="41">
        <f t="shared" si="23"/>
        <v>15557869</v>
      </c>
      <c r="AA269" s="1">
        <v>0</v>
      </c>
      <c r="AE269" s="1">
        <v>0</v>
      </c>
      <c r="AG269" s="1">
        <v>59442</v>
      </c>
      <c r="AI269" s="1">
        <v>0</v>
      </c>
      <c r="AK269" s="1">
        <f t="shared" si="24"/>
        <v>59442</v>
      </c>
      <c r="AM269" s="1">
        <f t="shared" si="25"/>
        <v>15617311</v>
      </c>
    </row>
    <row r="270" spans="1:39">
      <c r="A270" s="12" t="s">
        <v>457</v>
      </c>
      <c r="B270" s="12"/>
      <c r="C270" s="12" t="s">
        <v>458</v>
      </c>
      <c r="D270" s="12"/>
      <c r="E270" s="13">
        <v>48256</v>
      </c>
      <c r="G270" s="1">
        <v>5076599</v>
      </c>
      <c r="I270" s="1">
        <v>744306</v>
      </c>
      <c r="K270" s="1">
        <f>4653127+29491</f>
        <v>4682618</v>
      </c>
      <c r="M270" s="1">
        <v>31701</v>
      </c>
      <c r="O270" s="1">
        <v>672398</v>
      </c>
      <c r="Q270" s="1">
        <v>0</v>
      </c>
      <c r="S270" s="1">
        <v>138199</v>
      </c>
      <c r="U270" s="1">
        <v>0</v>
      </c>
      <c r="W270" s="1">
        <f>417858+4857</f>
        <v>422715</v>
      </c>
      <c r="Y270" s="41">
        <f t="shared" si="23"/>
        <v>11768536</v>
      </c>
      <c r="AA270" s="1">
        <v>0</v>
      </c>
      <c r="AE270" s="1">
        <v>0</v>
      </c>
      <c r="AG270" s="1">
        <v>0</v>
      </c>
      <c r="AI270" s="1">
        <v>0</v>
      </c>
      <c r="AK270" s="1">
        <f t="shared" si="24"/>
        <v>0</v>
      </c>
      <c r="AM270" s="1">
        <f t="shared" si="25"/>
        <v>11768536</v>
      </c>
    </row>
    <row r="271" spans="1:39">
      <c r="A271" s="17" t="s">
        <v>841</v>
      </c>
      <c r="B271" s="12"/>
      <c r="C271" s="12" t="s">
        <v>50</v>
      </c>
      <c r="D271" s="12"/>
      <c r="E271" s="13">
        <v>48686</v>
      </c>
      <c r="G271" s="1">
        <v>2705425</v>
      </c>
      <c r="I271" s="1">
        <v>0</v>
      </c>
      <c r="K271" s="1">
        <v>4625835</v>
      </c>
      <c r="M271" s="1">
        <v>2750</v>
      </c>
      <c r="O271" s="1">
        <v>551228</v>
      </c>
      <c r="Q271" s="1">
        <v>0</v>
      </c>
      <c r="S271" s="1">
        <v>0</v>
      </c>
      <c r="U271" s="1">
        <v>0</v>
      </c>
      <c r="W271" s="1">
        <v>119091</v>
      </c>
      <c r="Y271" s="41">
        <f t="shared" si="23"/>
        <v>8004329</v>
      </c>
      <c r="AA271" s="1">
        <v>0</v>
      </c>
      <c r="AE271" s="1">
        <v>0</v>
      </c>
      <c r="AG271" s="1">
        <v>0</v>
      </c>
      <c r="AI271" s="1">
        <v>122683</v>
      </c>
      <c r="AK271" s="1">
        <f t="shared" si="24"/>
        <v>122683</v>
      </c>
      <c r="AM271" s="1">
        <f t="shared" si="25"/>
        <v>8127012</v>
      </c>
    </row>
    <row r="272" spans="1:39" hidden="1">
      <c r="A272" s="17" t="s">
        <v>821</v>
      </c>
      <c r="B272" s="17"/>
      <c r="C272" s="17" t="s">
        <v>542</v>
      </c>
      <c r="D272" s="12"/>
      <c r="E272" s="13"/>
      <c r="Y272" s="41">
        <f t="shared" si="23"/>
        <v>0</v>
      </c>
      <c r="AM272" s="1">
        <f t="shared" si="25"/>
        <v>0</v>
      </c>
    </row>
    <row r="273" spans="1:39">
      <c r="A273" s="12" t="s">
        <v>428</v>
      </c>
      <c r="B273" s="12"/>
      <c r="C273" s="12" t="s">
        <v>42</v>
      </c>
      <c r="D273" s="12"/>
      <c r="E273" s="13">
        <v>47985</v>
      </c>
      <c r="G273" s="1">
        <v>6230214</v>
      </c>
      <c r="I273" s="1">
        <v>2074357</v>
      </c>
      <c r="K273" s="1">
        <v>5618043</v>
      </c>
      <c r="M273" s="1">
        <v>26584</v>
      </c>
      <c r="O273" s="1">
        <v>214289</v>
      </c>
      <c r="Q273" s="1">
        <v>0</v>
      </c>
      <c r="S273" s="1">
        <v>0</v>
      </c>
      <c r="U273" s="1">
        <v>0</v>
      </c>
      <c r="W273" s="1">
        <f>26177+5144+96</f>
        <v>31417</v>
      </c>
      <c r="Y273" s="41">
        <f t="shared" si="23"/>
        <v>14194904</v>
      </c>
      <c r="AA273" s="1">
        <v>0</v>
      </c>
      <c r="AE273" s="1">
        <v>0</v>
      </c>
      <c r="AG273" s="1">
        <v>0</v>
      </c>
      <c r="AI273" s="1">
        <v>0</v>
      </c>
      <c r="AK273" s="1">
        <f t="shared" si="24"/>
        <v>0</v>
      </c>
      <c r="AM273" s="1">
        <f t="shared" si="25"/>
        <v>14194904</v>
      </c>
    </row>
    <row r="274" spans="1:39">
      <c r="A274" s="12" t="s">
        <v>459</v>
      </c>
      <c r="B274" s="12"/>
      <c r="C274" s="12" t="s">
        <v>458</v>
      </c>
      <c r="D274" s="12"/>
      <c r="E274" s="13">
        <v>48264</v>
      </c>
      <c r="G274" s="1">
        <v>7159255</v>
      </c>
      <c r="I274" s="1">
        <v>0</v>
      </c>
      <c r="K274" s="1">
        <v>7662104</v>
      </c>
      <c r="M274" s="1">
        <v>8</v>
      </c>
      <c r="O274" s="1">
        <v>793789</v>
      </c>
      <c r="Q274" s="1">
        <v>0</v>
      </c>
      <c r="S274" s="1">
        <v>0</v>
      </c>
      <c r="U274" s="1">
        <v>0</v>
      </c>
      <c r="W274" s="1">
        <f>112933+50908</f>
        <v>163841</v>
      </c>
      <c r="Y274" s="41">
        <f t="shared" si="23"/>
        <v>15778997</v>
      </c>
      <c r="AA274" s="1">
        <v>0</v>
      </c>
      <c r="AE274" s="1">
        <v>0</v>
      </c>
      <c r="AG274" s="1">
        <v>0</v>
      </c>
      <c r="AI274" s="1">
        <v>0</v>
      </c>
      <c r="AK274" s="1">
        <f t="shared" si="24"/>
        <v>0</v>
      </c>
      <c r="AM274" s="1">
        <f t="shared" si="25"/>
        <v>15778997</v>
      </c>
    </row>
    <row r="275" spans="1:39">
      <c r="A275" s="12" t="s">
        <v>606</v>
      </c>
      <c r="B275" s="12"/>
      <c r="C275" s="12" t="s">
        <v>64</v>
      </c>
      <c r="D275" s="12"/>
      <c r="E275" s="13">
        <v>50179</v>
      </c>
      <c r="G275" s="1">
        <v>2787497</v>
      </c>
      <c r="I275" s="1">
        <v>0</v>
      </c>
      <c r="K275" s="1">
        <v>4731921</v>
      </c>
      <c r="M275" s="1">
        <v>7982</v>
      </c>
      <c r="O275" s="1">
        <v>358391</v>
      </c>
      <c r="Q275" s="1">
        <v>0</v>
      </c>
      <c r="S275" s="1">
        <v>0</v>
      </c>
      <c r="U275" s="1">
        <v>16634</v>
      </c>
      <c r="W275" s="1">
        <f>7647+50320</f>
        <v>57967</v>
      </c>
      <c r="Y275" s="41">
        <f t="shared" si="23"/>
        <v>7960392</v>
      </c>
      <c r="AA275" s="1">
        <v>0</v>
      </c>
      <c r="AE275" s="1">
        <v>0</v>
      </c>
      <c r="AG275" s="1">
        <v>0</v>
      </c>
      <c r="AI275" s="1">
        <v>0</v>
      </c>
      <c r="AK275" s="1">
        <f t="shared" si="24"/>
        <v>0</v>
      </c>
      <c r="AM275" s="1">
        <f t="shared" si="25"/>
        <v>7960392</v>
      </c>
    </row>
    <row r="276" spans="1:39" hidden="1">
      <c r="A276" s="12" t="s">
        <v>316</v>
      </c>
      <c r="B276" s="12"/>
      <c r="C276" s="12" t="s">
        <v>24</v>
      </c>
      <c r="D276" s="12"/>
      <c r="E276" s="13">
        <v>46797</v>
      </c>
      <c r="I276" s="1">
        <v>0</v>
      </c>
      <c r="Y276" s="41">
        <f t="shared" si="23"/>
        <v>0</v>
      </c>
      <c r="AK276" s="1">
        <f t="shared" si="24"/>
        <v>0</v>
      </c>
      <c r="AM276" s="1">
        <f t="shared" si="25"/>
        <v>0</v>
      </c>
    </row>
    <row r="277" spans="1:39">
      <c r="A277" s="12" t="s">
        <v>353</v>
      </c>
      <c r="B277" s="12"/>
      <c r="C277" s="12" t="s">
        <v>30</v>
      </c>
      <c r="D277" s="12"/>
      <c r="E277" s="13">
        <v>47191</v>
      </c>
      <c r="G277" s="1">
        <v>22386321</v>
      </c>
      <c r="I277" s="1">
        <v>0</v>
      </c>
      <c r="K277" s="1">
        <v>10454478</v>
      </c>
      <c r="M277" s="1">
        <v>52713</v>
      </c>
      <c r="O277" s="1">
        <v>153813</v>
      </c>
      <c r="Q277" s="1">
        <v>0</v>
      </c>
      <c r="S277" s="1">
        <v>0</v>
      </c>
      <c r="U277" s="1">
        <v>0</v>
      </c>
      <c r="W277" s="1">
        <v>38241</v>
      </c>
      <c r="Y277" s="41">
        <f t="shared" si="23"/>
        <v>33085566</v>
      </c>
      <c r="AA277" s="1">
        <v>0</v>
      </c>
      <c r="AE277" s="1">
        <v>275000</v>
      </c>
      <c r="AG277" s="1">
        <v>50000</v>
      </c>
      <c r="AI277" s="1">
        <v>0</v>
      </c>
      <c r="AK277" s="1">
        <f t="shared" si="24"/>
        <v>325000</v>
      </c>
      <c r="AM277" s="1">
        <f t="shared" si="25"/>
        <v>33410566</v>
      </c>
    </row>
    <row r="278" spans="1:39">
      <c r="A278" s="12" t="s">
        <v>535</v>
      </c>
      <c r="B278" s="12"/>
      <c r="C278" s="12" t="s">
        <v>56</v>
      </c>
      <c r="D278" s="12"/>
      <c r="E278" s="13">
        <v>44164</v>
      </c>
      <c r="G278" s="1">
        <v>21556266</v>
      </c>
      <c r="I278" s="1">
        <v>0</v>
      </c>
      <c r="K278" s="1">
        <v>18002036</v>
      </c>
      <c r="M278" s="1">
        <v>66165</v>
      </c>
      <c r="O278" s="1">
        <v>2688566</v>
      </c>
      <c r="Q278" s="1">
        <v>0</v>
      </c>
      <c r="S278" s="1">
        <v>0</v>
      </c>
      <c r="U278" s="1">
        <v>6252</v>
      </c>
      <c r="W278" s="1">
        <f>124435+162108+34614</f>
        <v>321157</v>
      </c>
      <c r="Y278" s="41">
        <f t="shared" si="23"/>
        <v>42640442</v>
      </c>
      <c r="AA278" s="1">
        <v>0</v>
      </c>
      <c r="AE278" s="1">
        <v>0</v>
      </c>
      <c r="AG278" s="1">
        <v>0</v>
      </c>
      <c r="AI278" s="1">
        <v>0</v>
      </c>
      <c r="AK278" s="1">
        <f t="shared" si="24"/>
        <v>0</v>
      </c>
      <c r="AM278" s="1">
        <f t="shared" si="25"/>
        <v>42640442</v>
      </c>
    </row>
    <row r="279" spans="1:39">
      <c r="A279" s="12" t="s">
        <v>385</v>
      </c>
      <c r="B279" s="12"/>
      <c r="C279" s="12" t="s">
        <v>383</v>
      </c>
      <c r="D279" s="12"/>
      <c r="E279" s="13">
        <v>44172</v>
      </c>
      <c r="G279" s="1">
        <v>3487699</v>
      </c>
      <c r="I279" s="1">
        <v>1611921</v>
      </c>
      <c r="K279" s="1">
        <v>9751632</v>
      </c>
      <c r="M279" s="1">
        <v>33144</v>
      </c>
      <c r="O279" s="1">
        <v>716843</v>
      </c>
      <c r="Q279" s="1">
        <v>0</v>
      </c>
      <c r="S279" s="1">
        <v>0</v>
      </c>
      <c r="U279" s="1">
        <v>0</v>
      </c>
      <c r="W279" s="1">
        <v>101762</v>
      </c>
      <c r="Y279" s="41">
        <f t="shared" si="23"/>
        <v>15703001</v>
      </c>
      <c r="AA279" s="1">
        <v>0</v>
      </c>
      <c r="AE279" s="1">
        <v>135876</v>
      </c>
      <c r="AG279" s="1">
        <v>0</v>
      </c>
      <c r="AI279" s="1">
        <v>0</v>
      </c>
      <c r="AK279" s="1">
        <f t="shared" si="24"/>
        <v>135876</v>
      </c>
      <c r="AM279" s="1">
        <f t="shared" si="25"/>
        <v>15838877</v>
      </c>
    </row>
    <row r="280" spans="1:39">
      <c r="A280" s="12" t="s">
        <v>499</v>
      </c>
      <c r="B280" s="12"/>
      <c r="C280" s="12" t="s">
        <v>50</v>
      </c>
      <c r="D280" s="12"/>
      <c r="E280" s="13">
        <v>44180</v>
      </c>
      <c r="G280" s="1">
        <v>45982170</v>
      </c>
      <c r="I280" s="1">
        <v>0</v>
      </c>
      <c r="K280" s="1">
        <v>26619538</v>
      </c>
      <c r="M280" s="1">
        <v>182825</v>
      </c>
      <c r="O280" s="1">
        <v>368068</v>
      </c>
      <c r="Q280" s="1">
        <v>56502</v>
      </c>
      <c r="S280" s="1">
        <v>0</v>
      </c>
      <c r="U280" s="1">
        <v>0</v>
      </c>
      <c r="W280" s="1">
        <f>34700+4764+557670</f>
        <v>597134</v>
      </c>
      <c r="Y280" s="41">
        <f t="shared" si="23"/>
        <v>73806237</v>
      </c>
      <c r="AA280" s="1">
        <v>0</v>
      </c>
      <c r="AE280" s="1">
        <v>0</v>
      </c>
      <c r="AG280" s="1">
        <v>0</v>
      </c>
      <c r="AI280" s="1">
        <v>0</v>
      </c>
      <c r="AK280" s="1">
        <f t="shared" si="24"/>
        <v>0</v>
      </c>
      <c r="AM280" s="1">
        <f t="shared" si="25"/>
        <v>73806237</v>
      </c>
    </row>
    <row r="281" spans="1:39">
      <c r="A281" s="12" t="s">
        <v>442</v>
      </c>
      <c r="B281" s="12"/>
      <c r="C281" s="12" t="s">
        <v>44</v>
      </c>
      <c r="D281" s="12"/>
      <c r="E281" s="13">
        <v>48165</v>
      </c>
      <c r="G281" s="1">
        <v>4886808</v>
      </c>
      <c r="I281" s="1">
        <v>0</v>
      </c>
      <c r="K281" s="1">
        <f>7568446+3526</f>
        <v>7571972</v>
      </c>
      <c r="M281" s="1">
        <v>28907</v>
      </c>
      <c r="O281" s="1">
        <v>454021</v>
      </c>
      <c r="Q281" s="1">
        <v>0</v>
      </c>
      <c r="S281" s="1">
        <v>0</v>
      </c>
      <c r="U281" s="1">
        <v>0</v>
      </c>
      <c r="W281" s="1">
        <f>56264+6269+7197+304996</f>
        <v>374726</v>
      </c>
      <c r="Y281" s="41">
        <f t="shared" si="23"/>
        <v>13316434</v>
      </c>
      <c r="AA281" s="1">
        <v>0</v>
      </c>
      <c r="AE281" s="1">
        <v>0</v>
      </c>
      <c r="AG281" s="1">
        <v>1807</v>
      </c>
      <c r="AI281" s="1">
        <v>0</v>
      </c>
      <c r="AK281" s="1">
        <f t="shared" si="24"/>
        <v>1807</v>
      </c>
      <c r="AM281" s="1">
        <f t="shared" si="25"/>
        <v>13318241</v>
      </c>
    </row>
    <row r="282" spans="1:39">
      <c r="A282" s="12" t="s">
        <v>633</v>
      </c>
      <c r="B282" s="12"/>
      <c r="C282" s="12" t="s">
        <v>69</v>
      </c>
      <c r="D282" s="12"/>
      <c r="E282" s="13">
        <v>50435</v>
      </c>
      <c r="G282" s="1">
        <v>18511652</v>
      </c>
      <c r="I282" s="1">
        <v>0</v>
      </c>
      <c r="K282" s="1">
        <v>13108691</v>
      </c>
      <c r="M282" s="1">
        <v>26658</v>
      </c>
      <c r="O282" s="1">
        <v>632254</v>
      </c>
      <c r="Q282" s="1">
        <v>0</v>
      </c>
      <c r="S282" s="1">
        <v>934393</v>
      </c>
      <c r="U282" s="1">
        <v>0</v>
      </c>
      <c r="W282" s="1">
        <v>146532</v>
      </c>
      <c r="Y282" s="41">
        <f t="shared" si="23"/>
        <v>33360180</v>
      </c>
      <c r="AA282" s="1">
        <v>0</v>
      </c>
      <c r="AE282" s="1">
        <v>0</v>
      </c>
      <c r="AG282" s="1">
        <v>0</v>
      </c>
      <c r="AI282" s="1">
        <v>0</v>
      </c>
      <c r="AK282" s="1">
        <f t="shared" si="24"/>
        <v>0</v>
      </c>
      <c r="AM282" s="1">
        <f t="shared" ref="AM282:AM314" si="26">+AK282+Y282</f>
        <v>33360180</v>
      </c>
    </row>
    <row r="283" spans="1:39" s="8" customFormat="1" hidden="1">
      <c r="A283" s="60" t="s">
        <v>862</v>
      </c>
      <c r="B283" s="61"/>
      <c r="C283" s="61" t="s">
        <v>41</v>
      </c>
      <c r="D283" s="61"/>
      <c r="E283" s="62">
        <v>47878</v>
      </c>
      <c r="Y283" s="41">
        <f t="shared" si="23"/>
        <v>0</v>
      </c>
      <c r="AK283" s="8">
        <f t="shared" si="24"/>
        <v>0</v>
      </c>
      <c r="AM283" s="8">
        <f t="shared" si="26"/>
        <v>0</v>
      </c>
    </row>
    <row r="284" spans="1:39">
      <c r="A284" s="12" t="s">
        <v>607</v>
      </c>
      <c r="B284" s="12"/>
      <c r="C284" s="12" t="s">
        <v>64</v>
      </c>
      <c r="D284" s="12"/>
      <c r="E284" s="13">
        <v>50245</v>
      </c>
      <c r="G284" s="1">
        <v>2496548</v>
      </c>
      <c r="I284" s="1">
        <v>0</v>
      </c>
      <c r="K284" s="1">
        <v>8170078</v>
      </c>
      <c r="M284" s="1">
        <v>18778</v>
      </c>
      <c r="O284" s="1">
        <v>1193534</v>
      </c>
      <c r="Q284" s="1">
        <v>0</v>
      </c>
      <c r="S284" s="1">
        <v>0</v>
      </c>
      <c r="U284" s="1">
        <v>0</v>
      </c>
      <c r="W284" s="1">
        <f>15533+100426</f>
        <v>115959</v>
      </c>
      <c r="Y284" s="41">
        <f t="shared" si="23"/>
        <v>11994897</v>
      </c>
      <c r="AA284" s="1">
        <v>0</v>
      </c>
      <c r="AE284" s="1">
        <v>0</v>
      </c>
      <c r="AG284" s="1">
        <v>0</v>
      </c>
      <c r="AI284" s="1">
        <v>0</v>
      </c>
      <c r="AK284" s="1">
        <f t="shared" si="24"/>
        <v>0</v>
      </c>
      <c r="AM284" s="1">
        <f t="shared" si="26"/>
        <v>11994897</v>
      </c>
    </row>
    <row r="285" spans="1:39">
      <c r="A285" s="12" t="s">
        <v>577</v>
      </c>
      <c r="B285" s="12"/>
      <c r="C285" s="12" t="s">
        <v>62</v>
      </c>
      <c r="D285" s="12"/>
      <c r="E285" s="13">
        <v>49866</v>
      </c>
      <c r="G285" s="1">
        <v>12356462</v>
      </c>
      <c r="I285" s="1">
        <v>0</v>
      </c>
      <c r="K285" s="1">
        <v>16190723</v>
      </c>
      <c r="M285" s="1">
        <v>13350</v>
      </c>
      <c r="O285" s="1">
        <v>174788</v>
      </c>
      <c r="Q285" s="1">
        <v>0</v>
      </c>
      <c r="S285" s="1">
        <v>0</v>
      </c>
      <c r="U285" s="1">
        <v>0</v>
      </c>
      <c r="W285" s="1">
        <f>137924+16980</f>
        <v>154904</v>
      </c>
      <c r="Y285" s="41">
        <f t="shared" si="23"/>
        <v>28890227</v>
      </c>
      <c r="AA285" s="1">
        <v>75</v>
      </c>
      <c r="AE285" s="1">
        <v>0</v>
      </c>
      <c r="AG285" s="1">
        <v>0</v>
      </c>
      <c r="AI285" s="1">
        <v>0</v>
      </c>
      <c r="AK285" s="1">
        <f t="shared" si="24"/>
        <v>75</v>
      </c>
      <c r="AM285" s="1">
        <f t="shared" si="26"/>
        <v>28890302</v>
      </c>
    </row>
    <row r="286" spans="1:39" hidden="1">
      <c r="A286" s="12" t="s">
        <v>939</v>
      </c>
      <c r="B286" s="12"/>
      <c r="C286" s="12" t="s">
        <v>72</v>
      </c>
      <c r="D286" s="12"/>
      <c r="E286" s="13">
        <v>50690</v>
      </c>
      <c r="Y286" s="41">
        <f t="shared" si="23"/>
        <v>0</v>
      </c>
      <c r="AK286" s="1">
        <f t="shared" si="24"/>
        <v>0</v>
      </c>
      <c r="AM286" s="1">
        <f t="shared" si="26"/>
        <v>0</v>
      </c>
    </row>
    <row r="287" spans="1:39">
      <c r="A287" s="12" t="s">
        <v>608</v>
      </c>
      <c r="B287" s="12"/>
      <c r="C287" s="12" t="s">
        <v>64</v>
      </c>
      <c r="D287" s="12"/>
      <c r="E287" s="13">
        <v>50187</v>
      </c>
      <c r="G287" s="1">
        <v>6544415</v>
      </c>
      <c r="I287" s="1">
        <v>0</v>
      </c>
      <c r="K287" s="1">
        <v>8506835</v>
      </c>
      <c r="M287" s="1">
        <v>14392</v>
      </c>
      <c r="O287" s="1">
        <v>656504</v>
      </c>
      <c r="Q287" s="1">
        <v>113424</v>
      </c>
      <c r="S287" s="1">
        <v>0</v>
      </c>
      <c r="U287" s="1">
        <v>3065</v>
      </c>
      <c r="W287" s="1">
        <f>13923+63965</f>
        <v>77888</v>
      </c>
      <c r="Y287" s="41">
        <f t="shared" si="23"/>
        <v>15916523</v>
      </c>
      <c r="AA287" s="1">
        <v>0</v>
      </c>
      <c r="AE287" s="1">
        <v>0</v>
      </c>
      <c r="AG287" s="1">
        <v>0</v>
      </c>
      <c r="AI287" s="1">
        <v>0</v>
      </c>
      <c r="AK287" s="1">
        <f t="shared" si="24"/>
        <v>0</v>
      </c>
      <c r="AM287" s="1">
        <f t="shared" si="26"/>
        <v>15916523</v>
      </c>
    </row>
    <row r="288" spans="1:39">
      <c r="A288" s="12" t="s">
        <v>293</v>
      </c>
      <c r="B288" s="12"/>
      <c r="C288" s="12" t="s">
        <v>20</v>
      </c>
      <c r="D288" s="12"/>
      <c r="E288" s="13">
        <v>44198</v>
      </c>
      <c r="G288" s="1">
        <v>33560838</v>
      </c>
      <c r="I288" s="1">
        <v>0</v>
      </c>
      <c r="K288" s="1">
        <f>25006266+308466</f>
        <v>25314732</v>
      </c>
      <c r="M288" s="1">
        <v>261762</v>
      </c>
      <c r="O288" s="1">
        <v>2758015</v>
      </c>
      <c r="Q288" s="1">
        <v>88958</v>
      </c>
      <c r="S288" s="1">
        <v>38691</v>
      </c>
      <c r="U288" s="1">
        <v>0</v>
      </c>
      <c r="W288" s="1">
        <f>151723+321905+833638+159640</f>
        <v>1466906</v>
      </c>
      <c r="Y288" s="41">
        <f t="shared" si="23"/>
        <v>63489902</v>
      </c>
      <c r="AA288" s="1">
        <v>0</v>
      </c>
      <c r="AE288" s="1">
        <v>1003756</v>
      </c>
      <c r="AG288" s="1">
        <v>0</v>
      </c>
      <c r="AI288" s="1">
        <v>0</v>
      </c>
      <c r="AK288" s="1">
        <f t="shared" si="24"/>
        <v>1003756</v>
      </c>
      <c r="AM288" s="1">
        <f t="shared" si="26"/>
        <v>64493658</v>
      </c>
    </row>
    <row r="289" spans="1:39">
      <c r="A289" s="12" t="s">
        <v>762</v>
      </c>
      <c r="B289" s="12"/>
      <c r="C289" s="12" t="s">
        <v>42</v>
      </c>
      <c r="D289" s="12"/>
      <c r="E289" s="13">
        <v>47993</v>
      </c>
      <c r="G289" s="1">
        <v>9742069</v>
      </c>
      <c r="I289" s="1">
        <v>0</v>
      </c>
      <c r="K289" s="1">
        <f>8427509+46570</f>
        <v>8474079</v>
      </c>
      <c r="M289" s="1">
        <v>77963</v>
      </c>
      <c r="O289" s="1">
        <v>310898</v>
      </c>
      <c r="Q289" s="1">
        <v>0</v>
      </c>
      <c r="S289" s="1">
        <v>0</v>
      </c>
      <c r="U289" s="1">
        <v>0</v>
      </c>
      <c r="W289" s="1">
        <f>51497+179357</f>
        <v>230854</v>
      </c>
      <c r="Y289" s="41">
        <f t="shared" si="23"/>
        <v>18835863</v>
      </c>
      <c r="AA289" s="1">
        <v>0</v>
      </c>
      <c r="AE289" s="1">
        <v>0</v>
      </c>
      <c r="AG289" s="1">
        <v>3112</v>
      </c>
      <c r="AI289" s="1">
        <v>0</v>
      </c>
      <c r="AK289" s="1">
        <f t="shared" si="24"/>
        <v>3112</v>
      </c>
      <c r="AM289" s="1">
        <f t="shared" si="26"/>
        <v>18838975</v>
      </c>
    </row>
    <row r="290" spans="1:39">
      <c r="A290" s="12" t="s">
        <v>230</v>
      </c>
      <c r="B290" s="12"/>
      <c r="C290" s="12" t="s">
        <v>227</v>
      </c>
      <c r="D290" s="12"/>
      <c r="E290" s="13">
        <v>46110</v>
      </c>
      <c r="F290" s="8"/>
      <c r="G290" s="1">
        <v>80878110</v>
      </c>
      <c r="I290" s="1">
        <v>0</v>
      </c>
      <c r="K290" s="1">
        <v>60446591</v>
      </c>
      <c r="M290" s="1">
        <v>147347</v>
      </c>
      <c r="O290" s="1">
        <v>744571</v>
      </c>
      <c r="Q290" s="1">
        <v>0</v>
      </c>
      <c r="S290" s="1">
        <v>12405379</v>
      </c>
      <c r="U290" s="1">
        <v>0</v>
      </c>
      <c r="W290" s="1">
        <v>682837</v>
      </c>
      <c r="Y290" s="41">
        <f t="shared" si="23"/>
        <v>155304835</v>
      </c>
      <c r="AA290" s="1">
        <v>0</v>
      </c>
      <c r="AE290" s="1">
        <v>0</v>
      </c>
      <c r="AG290" s="1">
        <v>110234</v>
      </c>
      <c r="AI290" s="1">
        <v>0</v>
      </c>
      <c r="AK290" s="1">
        <f t="shared" si="24"/>
        <v>110234</v>
      </c>
      <c r="AM290" s="1">
        <f t="shared" si="26"/>
        <v>155415069</v>
      </c>
    </row>
    <row r="291" spans="1:39">
      <c r="A291" s="17" t="s">
        <v>842</v>
      </c>
      <c r="B291" s="12"/>
      <c r="C291" s="12" t="s">
        <v>79</v>
      </c>
      <c r="D291" s="12"/>
      <c r="E291" s="13">
        <v>49569</v>
      </c>
      <c r="G291" s="1">
        <v>2906466</v>
      </c>
      <c r="I291" s="1">
        <v>1702963</v>
      </c>
      <c r="K291" s="1">
        <f>149720+5598057</f>
        <v>5747777</v>
      </c>
      <c r="M291" s="1">
        <v>10577</v>
      </c>
      <c r="O291" s="1">
        <v>302682</v>
      </c>
      <c r="Q291" s="1">
        <v>0</v>
      </c>
      <c r="S291" s="1">
        <v>0</v>
      </c>
      <c r="U291" s="1">
        <v>0</v>
      </c>
      <c r="W291" s="1">
        <v>42079</v>
      </c>
      <c r="Y291" s="41">
        <f t="shared" si="23"/>
        <v>10712544</v>
      </c>
      <c r="AA291" s="1">
        <v>0</v>
      </c>
      <c r="AE291" s="1">
        <v>0</v>
      </c>
      <c r="AG291" s="1">
        <v>0</v>
      </c>
      <c r="AI291" s="1">
        <v>495246</v>
      </c>
      <c r="AK291" s="1">
        <f t="shared" si="24"/>
        <v>495246</v>
      </c>
      <c r="AM291" s="1">
        <f t="shared" si="26"/>
        <v>11207790</v>
      </c>
    </row>
    <row r="292" spans="1:39">
      <c r="A292" s="12" t="s">
        <v>325</v>
      </c>
      <c r="B292" s="12"/>
      <c r="C292" s="12" t="s">
        <v>25</v>
      </c>
      <c r="D292" s="12"/>
      <c r="E292" s="13">
        <v>44206</v>
      </c>
      <c r="G292" s="1">
        <v>18767854</v>
      </c>
      <c r="I292" s="1">
        <v>9858713</v>
      </c>
      <c r="K292" s="1">
        <v>25545723</v>
      </c>
      <c r="M292" s="1">
        <v>334388</v>
      </c>
      <c r="O292" s="1">
        <v>958120</v>
      </c>
      <c r="Q292" s="1">
        <v>87250</v>
      </c>
      <c r="S292" s="1">
        <v>166498</v>
      </c>
      <c r="U292" s="1">
        <v>3932</v>
      </c>
      <c r="W292" s="1">
        <f>95998+104254</f>
        <v>200252</v>
      </c>
      <c r="Y292" s="41">
        <f t="shared" si="23"/>
        <v>55922730</v>
      </c>
      <c r="AA292" s="1">
        <v>0</v>
      </c>
      <c r="AE292" s="1">
        <v>757246</v>
      </c>
      <c r="AG292" s="1">
        <v>22084</v>
      </c>
      <c r="AI292" s="1">
        <v>0</v>
      </c>
      <c r="AK292" s="1">
        <f t="shared" si="24"/>
        <v>779330</v>
      </c>
      <c r="AM292" s="1">
        <f t="shared" si="26"/>
        <v>56702060</v>
      </c>
    </row>
    <row r="293" spans="1:39" s="16" customFormat="1" hidden="1">
      <c r="A293" s="17" t="s">
        <v>732</v>
      </c>
      <c r="B293" s="14"/>
      <c r="C293" s="14" t="s">
        <v>69</v>
      </c>
      <c r="D293" s="14"/>
      <c r="E293" s="13">
        <v>44214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41">
        <f>SUM(G293:X293)</f>
        <v>0</v>
      </c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>
        <f>SUM(AA293:AJ293)</f>
        <v>0</v>
      </c>
      <c r="AL293" s="1"/>
      <c r="AM293" s="1">
        <f t="shared" si="26"/>
        <v>0</v>
      </c>
    </row>
    <row r="294" spans="1:39">
      <c r="A294" s="12" t="s">
        <v>354</v>
      </c>
      <c r="B294" s="12"/>
      <c r="C294" s="12" t="s">
        <v>30</v>
      </c>
      <c r="D294" s="12"/>
      <c r="E294" s="12">
        <v>47209</v>
      </c>
      <c r="G294" s="1">
        <v>1864466</v>
      </c>
      <c r="I294" s="1">
        <v>91170</v>
      </c>
      <c r="K294" s="1">
        <v>2660734</v>
      </c>
      <c r="M294" s="1">
        <v>1715</v>
      </c>
      <c r="O294" s="1">
        <v>172938</v>
      </c>
      <c r="Q294" s="1">
        <v>0</v>
      </c>
      <c r="S294" s="1">
        <v>0</v>
      </c>
      <c r="U294" s="1">
        <v>3200</v>
      </c>
      <c r="W294" s="1">
        <v>31008</v>
      </c>
      <c r="Y294" s="41">
        <f>SUM(G294:X294)</f>
        <v>4825231</v>
      </c>
      <c r="AA294" s="1">
        <v>104388</v>
      </c>
      <c r="AE294" s="1">
        <v>0</v>
      </c>
      <c r="AG294" s="1">
        <v>0</v>
      </c>
      <c r="AI294" s="1">
        <v>0</v>
      </c>
      <c r="AK294" s="1">
        <f>SUM(AA294:AJ294)</f>
        <v>104388</v>
      </c>
      <c r="AM294" s="1">
        <f t="shared" si="26"/>
        <v>4929619</v>
      </c>
    </row>
    <row r="295" spans="1:39" hidden="1">
      <c r="A295" s="12" t="s">
        <v>941</v>
      </c>
      <c r="B295" s="12"/>
      <c r="C295" s="12" t="s">
        <v>114</v>
      </c>
      <c r="D295" s="12"/>
      <c r="E295" s="13"/>
      <c r="Y295" s="41">
        <f>SUM(G295:X295)</f>
        <v>0</v>
      </c>
      <c r="AK295" s="1">
        <f>SUM(AA295:AJ295)</f>
        <v>0</v>
      </c>
      <c r="AM295" s="1">
        <f t="shared" ref="AM295" si="27">+AK295+Y295</f>
        <v>0</v>
      </c>
    </row>
    <row r="296" spans="1:39" hidden="1">
      <c r="A296" s="17" t="s">
        <v>843</v>
      </c>
      <c r="B296" s="12"/>
      <c r="C296" s="12" t="s">
        <v>542</v>
      </c>
      <c r="D296" s="12"/>
      <c r="E296" s="13">
        <v>49353</v>
      </c>
      <c r="Y296" s="41">
        <f>SUM(G296:X296)</f>
        <v>0</v>
      </c>
      <c r="AK296" s="1">
        <f>SUM(AA296:AJ296)</f>
        <v>0</v>
      </c>
      <c r="AM296" s="1">
        <f t="shared" si="26"/>
        <v>0</v>
      </c>
    </row>
    <row r="297" spans="1:39" hidden="1">
      <c r="A297" s="12" t="s">
        <v>942</v>
      </c>
      <c r="B297" s="12"/>
      <c r="C297" s="12" t="s">
        <v>112</v>
      </c>
      <c r="D297" s="12"/>
      <c r="E297" s="13">
        <v>49437</v>
      </c>
      <c r="Y297" s="41">
        <f t="shared" ref="Y297:Y319" si="28">SUM(G297:X297)</f>
        <v>0</v>
      </c>
      <c r="AK297" s="1">
        <f t="shared" ref="AK297:AK319" si="29">SUM(AA297:AJ297)</f>
        <v>0</v>
      </c>
      <c r="AM297" s="1">
        <f t="shared" si="26"/>
        <v>0</v>
      </c>
    </row>
    <row r="298" spans="1:39">
      <c r="A298" s="12" t="s">
        <v>391</v>
      </c>
      <c r="B298" s="12"/>
      <c r="C298" s="12" t="s">
        <v>34</v>
      </c>
      <c r="D298" s="12"/>
      <c r="E298" s="13">
        <v>47589</v>
      </c>
      <c r="G298" s="1">
        <v>2341892</v>
      </c>
      <c r="I298" s="1">
        <v>1899127</v>
      </c>
      <c r="K298" s="1">
        <v>5914618</v>
      </c>
      <c r="M298" s="1">
        <v>51231</v>
      </c>
      <c r="O298" s="1">
        <v>1221682</v>
      </c>
      <c r="Q298" s="1">
        <v>0</v>
      </c>
      <c r="S298" s="1">
        <v>0</v>
      </c>
      <c r="U298" s="1">
        <v>66396</v>
      </c>
      <c r="W298" s="1">
        <f>3433+48673</f>
        <v>52106</v>
      </c>
      <c r="Y298" s="41">
        <f t="shared" si="28"/>
        <v>11547052</v>
      </c>
      <c r="AA298" s="1">
        <v>0</v>
      </c>
      <c r="AE298" s="1">
        <v>0</v>
      </c>
      <c r="AG298" s="1">
        <v>0</v>
      </c>
      <c r="AI298" s="1">
        <v>0</v>
      </c>
      <c r="AK298" s="1">
        <f t="shared" si="29"/>
        <v>0</v>
      </c>
      <c r="AM298" s="1">
        <f t="shared" si="26"/>
        <v>11547052</v>
      </c>
    </row>
    <row r="299" spans="1:39">
      <c r="A299" s="17" t="s">
        <v>844</v>
      </c>
      <c r="B299" s="12"/>
      <c r="C299" s="12" t="s">
        <v>64</v>
      </c>
      <c r="D299" s="12"/>
      <c r="E299" s="13">
        <v>50195</v>
      </c>
      <c r="G299" s="1">
        <v>8829995</v>
      </c>
      <c r="I299" s="1">
        <v>0</v>
      </c>
      <c r="K299" s="1">
        <v>6750149</v>
      </c>
      <c r="M299" s="1">
        <v>9642</v>
      </c>
      <c r="O299" s="1">
        <v>741980</v>
      </c>
      <c r="Q299" s="1">
        <v>0</v>
      </c>
      <c r="S299" s="1">
        <v>0</v>
      </c>
      <c r="U299" s="1">
        <v>0</v>
      </c>
      <c r="W299" s="1">
        <f>10547+129955</f>
        <v>140502</v>
      </c>
      <c r="Y299" s="41">
        <f t="shared" si="28"/>
        <v>16472268</v>
      </c>
      <c r="AA299" s="1">
        <v>0</v>
      </c>
      <c r="AE299" s="1">
        <v>0</v>
      </c>
      <c r="AG299" s="1">
        <v>0</v>
      </c>
      <c r="AI299" s="1">
        <v>0</v>
      </c>
      <c r="AK299" s="1">
        <f t="shared" si="29"/>
        <v>0</v>
      </c>
      <c r="AM299" s="1">
        <f t="shared" si="26"/>
        <v>16472268</v>
      </c>
    </row>
    <row r="300" spans="1:39">
      <c r="A300" s="12" t="s">
        <v>768</v>
      </c>
      <c r="B300" s="12"/>
      <c r="C300" s="12" t="s">
        <v>25</v>
      </c>
      <c r="D300" s="12"/>
      <c r="E300" s="13">
        <v>46888</v>
      </c>
      <c r="G300" s="1">
        <v>2846864</v>
      </c>
      <c r="I300" s="1">
        <v>2759851</v>
      </c>
      <c r="K300" s="1">
        <v>5912642</v>
      </c>
      <c r="M300" s="1">
        <v>33085</v>
      </c>
      <c r="O300" s="1">
        <v>312531</v>
      </c>
      <c r="Q300" s="1">
        <v>0</v>
      </c>
      <c r="S300" s="1">
        <v>0</v>
      </c>
      <c r="U300" s="1">
        <v>31855</v>
      </c>
      <c r="W300" s="1">
        <f>35+69424</f>
        <v>69459</v>
      </c>
      <c r="Y300" s="41">
        <f t="shared" si="28"/>
        <v>11966287</v>
      </c>
      <c r="AA300" s="1">
        <v>0</v>
      </c>
      <c r="AE300" s="1">
        <v>0</v>
      </c>
      <c r="AG300" s="1">
        <v>0</v>
      </c>
      <c r="AI300" s="1">
        <v>0</v>
      </c>
      <c r="AK300" s="1">
        <f t="shared" si="29"/>
        <v>0</v>
      </c>
      <c r="AM300" s="1">
        <f t="shared" si="26"/>
        <v>11966287</v>
      </c>
    </row>
    <row r="301" spans="1:39">
      <c r="A301" s="12" t="s">
        <v>381</v>
      </c>
      <c r="B301" s="12"/>
      <c r="C301" s="12" t="s">
        <v>33</v>
      </c>
      <c r="D301" s="12"/>
      <c r="E301" s="13">
        <v>47449</v>
      </c>
      <c r="G301" s="1">
        <v>3710415</v>
      </c>
      <c r="I301" s="1">
        <v>1237418</v>
      </c>
      <c r="K301" s="1">
        <v>5876119</v>
      </c>
      <c r="M301" s="1">
        <v>23834</v>
      </c>
      <c r="O301" s="1">
        <v>580109</v>
      </c>
      <c r="Q301" s="1">
        <v>0</v>
      </c>
      <c r="S301" s="1">
        <v>5262</v>
      </c>
      <c r="U301" s="1">
        <v>0</v>
      </c>
      <c r="W301" s="1">
        <v>53369</v>
      </c>
      <c r="Y301" s="41">
        <f t="shared" si="28"/>
        <v>11486526</v>
      </c>
      <c r="AA301" s="1">
        <v>0</v>
      </c>
      <c r="AE301" s="1">
        <v>0</v>
      </c>
      <c r="AG301" s="1">
        <v>5000</v>
      </c>
      <c r="AI301" s="1">
        <v>0</v>
      </c>
      <c r="AK301" s="1">
        <f t="shared" si="29"/>
        <v>5000</v>
      </c>
      <c r="AM301" s="1">
        <f t="shared" si="26"/>
        <v>11491526</v>
      </c>
    </row>
    <row r="302" spans="1:39">
      <c r="A302" s="12" t="s">
        <v>429</v>
      </c>
      <c r="B302" s="12"/>
      <c r="C302" s="12" t="s">
        <v>42</v>
      </c>
      <c r="D302" s="12"/>
      <c r="E302" s="13">
        <v>48009</v>
      </c>
      <c r="G302" s="1">
        <v>13833622</v>
      </c>
      <c r="I302" s="1">
        <v>0</v>
      </c>
      <c r="K302" s="1">
        <v>10004155</v>
      </c>
      <c r="M302" s="1">
        <v>26898</v>
      </c>
      <c r="O302" s="1">
        <v>427164</v>
      </c>
      <c r="Q302" s="1">
        <v>0</v>
      </c>
      <c r="S302" s="1">
        <v>1680765</v>
      </c>
      <c r="U302" s="1">
        <v>10157</v>
      </c>
      <c r="W302" s="1">
        <f>33105+24087</f>
        <v>57192</v>
      </c>
      <c r="Y302" s="41">
        <f t="shared" si="28"/>
        <v>26039953</v>
      </c>
      <c r="AA302" s="1">
        <v>0</v>
      </c>
      <c r="AE302" s="1">
        <v>0</v>
      </c>
      <c r="AG302" s="1">
        <f>15410+17301</f>
        <v>32711</v>
      </c>
      <c r="AI302" s="1">
        <v>0</v>
      </c>
      <c r="AK302" s="1">
        <f t="shared" si="29"/>
        <v>32711</v>
      </c>
      <c r="AM302" s="1">
        <f t="shared" si="26"/>
        <v>26072664</v>
      </c>
    </row>
    <row r="303" spans="1:39">
      <c r="A303" s="12" t="s">
        <v>430</v>
      </c>
      <c r="B303" s="12"/>
      <c r="C303" s="12" t="s">
        <v>42</v>
      </c>
      <c r="D303" s="12"/>
      <c r="E303" s="13">
        <v>48017</v>
      </c>
      <c r="G303" s="1">
        <v>4023829</v>
      </c>
      <c r="I303" s="1">
        <v>1798957</v>
      </c>
      <c r="K303" s="1">
        <v>9812749</v>
      </c>
      <c r="M303" s="1">
        <v>23795</v>
      </c>
      <c r="O303" s="1">
        <v>657695</v>
      </c>
      <c r="Q303" s="1">
        <v>0</v>
      </c>
      <c r="S303" s="1">
        <v>40415</v>
      </c>
      <c r="U303" s="1">
        <v>0</v>
      </c>
      <c r="W303" s="1">
        <v>58375</v>
      </c>
      <c r="Y303" s="41">
        <f t="shared" si="28"/>
        <v>16415815</v>
      </c>
      <c r="AA303" s="1">
        <v>0</v>
      </c>
      <c r="AE303" s="1">
        <v>0</v>
      </c>
      <c r="AG303" s="1">
        <v>3825</v>
      </c>
      <c r="AI303" s="1">
        <v>0</v>
      </c>
      <c r="AK303" s="1">
        <f t="shared" si="29"/>
        <v>3825</v>
      </c>
      <c r="AM303" s="1">
        <f t="shared" si="26"/>
        <v>16419640</v>
      </c>
    </row>
    <row r="304" spans="1:39" hidden="1">
      <c r="A304" s="12" t="s">
        <v>845</v>
      </c>
      <c r="B304" s="12"/>
      <c r="C304" s="12" t="s">
        <v>10</v>
      </c>
      <c r="D304" s="12"/>
      <c r="E304" s="13"/>
      <c r="Y304" s="41">
        <f t="shared" si="28"/>
        <v>0</v>
      </c>
      <c r="AK304" s="1">
        <f t="shared" si="29"/>
        <v>0</v>
      </c>
      <c r="AM304" s="1">
        <f t="shared" si="26"/>
        <v>0</v>
      </c>
    </row>
    <row r="305" spans="1:39">
      <c r="A305" s="12" t="s">
        <v>628</v>
      </c>
      <c r="B305" s="12"/>
      <c r="C305" s="12" t="s">
        <v>67</v>
      </c>
      <c r="D305" s="12"/>
      <c r="E305" s="13">
        <v>50369</v>
      </c>
      <c r="G305" s="1">
        <v>1974712</v>
      </c>
      <c r="I305" s="1">
        <v>0</v>
      </c>
      <c r="K305" s="1">
        <f>4183989+14843</f>
        <v>4198832</v>
      </c>
      <c r="M305" s="1">
        <v>174897</v>
      </c>
      <c r="O305" s="1">
        <v>1944057</v>
      </c>
      <c r="Q305" s="1">
        <v>0</v>
      </c>
      <c r="S305" s="1">
        <v>0</v>
      </c>
      <c r="U305" s="1">
        <v>0</v>
      </c>
      <c r="W305" s="1">
        <f>109151+41203</f>
        <v>150354</v>
      </c>
      <c r="Y305" s="41">
        <f t="shared" si="28"/>
        <v>8442852</v>
      </c>
      <c r="AA305" s="1">
        <v>474</v>
      </c>
      <c r="AE305" s="1">
        <v>0</v>
      </c>
      <c r="AG305" s="1">
        <v>0</v>
      </c>
      <c r="AI305" s="1">
        <v>0</v>
      </c>
      <c r="AK305" s="1">
        <f t="shared" si="29"/>
        <v>474</v>
      </c>
      <c r="AM305" s="1">
        <f t="shared" si="26"/>
        <v>8443326</v>
      </c>
    </row>
    <row r="306" spans="1:39">
      <c r="A306" s="12" t="s">
        <v>268</v>
      </c>
      <c r="B306" s="12"/>
      <c r="C306" s="12" t="s">
        <v>114</v>
      </c>
      <c r="D306" s="12"/>
      <c r="E306" s="13">
        <v>45450</v>
      </c>
      <c r="F306" s="8"/>
      <c r="G306" s="1">
        <v>1577558</v>
      </c>
      <c r="I306" s="1">
        <v>0</v>
      </c>
      <c r="K306" s="1">
        <v>5356407</v>
      </c>
      <c r="M306" s="1">
        <v>83241</v>
      </c>
      <c r="O306" s="1">
        <v>1222252</v>
      </c>
      <c r="Q306" s="1">
        <v>29461</v>
      </c>
      <c r="S306" s="1">
        <v>0</v>
      </c>
      <c r="U306" s="1">
        <v>6973</v>
      </c>
      <c r="W306" s="1">
        <f>101343+18945</f>
        <v>120288</v>
      </c>
      <c r="Y306" s="41">
        <f t="shared" si="28"/>
        <v>8396180</v>
      </c>
      <c r="AA306" s="1">
        <v>0</v>
      </c>
      <c r="AE306" s="1">
        <v>0</v>
      </c>
      <c r="AG306" s="1">
        <v>0</v>
      </c>
      <c r="AI306" s="1">
        <v>0</v>
      </c>
      <c r="AK306" s="1">
        <f t="shared" si="29"/>
        <v>0</v>
      </c>
      <c r="AM306" s="1">
        <f t="shared" si="26"/>
        <v>8396180</v>
      </c>
    </row>
    <row r="307" spans="1:39">
      <c r="A307" s="12" t="s">
        <v>634</v>
      </c>
      <c r="B307" s="12"/>
      <c r="C307" s="12" t="s">
        <v>69</v>
      </c>
      <c r="D307" s="12"/>
      <c r="E307" s="13">
        <v>50443</v>
      </c>
      <c r="G307" s="1">
        <v>14038263</v>
      </c>
      <c r="I307" s="1">
        <v>0</v>
      </c>
      <c r="K307" s="1">
        <v>12170912</v>
      </c>
      <c r="M307" s="1">
        <v>26713</v>
      </c>
      <c r="O307" s="1">
        <v>314445</v>
      </c>
      <c r="Q307" s="1">
        <v>312832</v>
      </c>
      <c r="S307" s="1">
        <v>0</v>
      </c>
      <c r="U307" s="1">
        <v>0</v>
      </c>
      <c r="W307" s="1">
        <v>363422</v>
      </c>
      <c r="Y307" s="41">
        <f t="shared" si="28"/>
        <v>27226587</v>
      </c>
      <c r="AA307" s="1">
        <v>0</v>
      </c>
      <c r="AE307" s="1">
        <v>0</v>
      </c>
      <c r="AG307" s="1">
        <v>0</v>
      </c>
      <c r="AI307" s="1">
        <v>0</v>
      </c>
      <c r="AK307" s="1">
        <f t="shared" si="29"/>
        <v>0</v>
      </c>
      <c r="AM307" s="1">
        <f t="shared" si="26"/>
        <v>27226587</v>
      </c>
    </row>
    <row r="308" spans="1:39" hidden="1">
      <c r="A308" s="17" t="s">
        <v>943</v>
      </c>
      <c r="B308" s="12"/>
      <c r="C308" s="12" t="s">
        <v>32</v>
      </c>
      <c r="D308" s="12"/>
      <c r="E308" s="13">
        <v>44230</v>
      </c>
      <c r="Y308" s="41">
        <f t="shared" si="28"/>
        <v>0</v>
      </c>
      <c r="AK308" s="1">
        <f t="shared" si="29"/>
        <v>0</v>
      </c>
      <c r="AM308" s="1">
        <f t="shared" si="26"/>
        <v>0</v>
      </c>
    </row>
    <row r="309" spans="1:39">
      <c r="A309" s="12" t="s">
        <v>526</v>
      </c>
      <c r="B309" s="12"/>
      <c r="C309" s="12" t="s">
        <v>54</v>
      </c>
      <c r="D309" s="12"/>
      <c r="E309" s="13">
        <v>49080</v>
      </c>
      <c r="G309" s="1">
        <v>7808240</v>
      </c>
      <c r="I309" s="1">
        <v>0</v>
      </c>
      <c r="K309" s="1">
        <f>9755299+48192</f>
        <v>9803491</v>
      </c>
      <c r="M309" s="1">
        <v>23283</v>
      </c>
      <c r="O309" s="1">
        <v>592737</v>
      </c>
      <c r="Q309" s="1">
        <v>38299</v>
      </c>
      <c r="S309" s="1">
        <v>0</v>
      </c>
      <c r="U309" s="1">
        <v>0</v>
      </c>
      <c r="W309" s="1">
        <f>35830+51015</f>
        <v>86845</v>
      </c>
      <c r="Y309" s="41">
        <f t="shared" si="28"/>
        <v>18352895</v>
      </c>
      <c r="AA309" s="1">
        <v>2013909</v>
      </c>
      <c r="AE309" s="1">
        <v>0</v>
      </c>
      <c r="AG309" s="1">
        <v>0</v>
      </c>
      <c r="AI309" s="1">
        <v>0</v>
      </c>
      <c r="AK309" s="1">
        <f t="shared" si="29"/>
        <v>2013909</v>
      </c>
      <c r="AM309" s="1">
        <f t="shared" si="26"/>
        <v>20366804</v>
      </c>
    </row>
    <row r="310" spans="1:39">
      <c r="A310" s="12" t="s">
        <v>400</v>
      </c>
      <c r="B310" s="12"/>
      <c r="C310" s="12" t="s">
        <v>35</v>
      </c>
      <c r="D310" s="12"/>
      <c r="E310" s="13">
        <v>44248</v>
      </c>
      <c r="G310" s="1">
        <v>9259513</v>
      </c>
      <c r="I310" s="1">
        <v>0</v>
      </c>
      <c r="K310" s="1">
        <f>21630353+178243</f>
        <v>21808596</v>
      </c>
      <c r="M310" s="1">
        <v>629999</v>
      </c>
      <c r="O310" s="1">
        <v>1153146</v>
      </c>
      <c r="Q310" s="1">
        <v>0</v>
      </c>
      <c r="S310" s="1">
        <v>0</v>
      </c>
      <c r="U310" s="1">
        <v>0</v>
      </c>
      <c r="W310" s="1">
        <v>11012</v>
      </c>
      <c r="Y310" s="41">
        <f t="shared" si="28"/>
        <v>32862266</v>
      </c>
      <c r="AA310" s="1">
        <v>0</v>
      </c>
      <c r="AE310" s="1">
        <v>0</v>
      </c>
      <c r="AG310" s="1">
        <v>0</v>
      </c>
      <c r="AI310" s="1">
        <v>0</v>
      </c>
      <c r="AK310" s="1">
        <f t="shared" si="29"/>
        <v>0</v>
      </c>
      <c r="AM310" s="1">
        <f t="shared" si="26"/>
        <v>32862266</v>
      </c>
    </row>
    <row r="311" spans="1:39">
      <c r="A311" s="12" t="s">
        <v>460</v>
      </c>
      <c r="B311" s="12"/>
      <c r="C311" s="12" t="s">
        <v>458</v>
      </c>
      <c r="D311" s="12"/>
      <c r="E311" s="13">
        <v>44255</v>
      </c>
      <c r="G311" s="1">
        <v>7280922</v>
      </c>
      <c r="I311" s="1">
        <v>2783518</v>
      </c>
      <c r="K311" s="1">
        <v>9239495</v>
      </c>
      <c r="M311" s="1">
        <v>15113</v>
      </c>
      <c r="O311" s="1">
        <v>479758</v>
      </c>
      <c r="Q311" s="1">
        <v>12690</v>
      </c>
      <c r="S311" s="1">
        <v>183955</v>
      </c>
      <c r="U311" s="1">
        <v>96</v>
      </c>
      <c r="W311" s="1">
        <f>1883287+3885+50840</f>
        <v>1938012</v>
      </c>
      <c r="Y311" s="41">
        <f t="shared" si="28"/>
        <v>21933559</v>
      </c>
      <c r="AA311" s="1">
        <v>11592</v>
      </c>
      <c r="AE311" s="1">
        <v>257337</v>
      </c>
      <c r="AG311" s="1">
        <v>0</v>
      </c>
      <c r="AI311" s="1">
        <v>0</v>
      </c>
      <c r="AK311" s="1">
        <f t="shared" si="29"/>
        <v>268929</v>
      </c>
      <c r="AM311" s="1">
        <f t="shared" si="26"/>
        <v>22202488</v>
      </c>
    </row>
    <row r="312" spans="1:39" s="16" customFormat="1">
      <c r="A312" s="14" t="s">
        <v>443</v>
      </c>
      <c r="B312" s="14"/>
      <c r="C312" s="14" t="s">
        <v>44</v>
      </c>
      <c r="D312" s="14"/>
      <c r="E312" s="14">
        <v>44263</v>
      </c>
      <c r="G312" s="1">
        <v>16274911</v>
      </c>
      <c r="H312" s="1"/>
      <c r="I312" s="1">
        <v>0</v>
      </c>
      <c r="J312" s="1"/>
      <c r="K312" s="1">
        <v>66478477</v>
      </c>
      <c r="L312" s="1"/>
      <c r="M312" s="1">
        <v>422966</v>
      </c>
      <c r="N312" s="1"/>
      <c r="O312" s="1">
        <v>1168453</v>
      </c>
      <c r="P312" s="1"/>
      <c r="Q312" s="1">
        <v>0</v>
      </c>
      <c r="R312" s="1"/>
      <c r="S312" s="1">
        <v>0</v>
      </c>
      <c r="T312" s="1"/>
      <c r="U312" s="1">
        <v>0</v>
      </c>
      <c r="V312" s="1"/>
      <c r="W312" s="1">
        <f>706888+71930+96733</f>
        <v>875551</v>
      </c>
      <c r="X312" s="1"/>
      <c r="Y312" s="41">
        <f t="shared" si="28"/>
        <v>85220358</v>
      </c>
      <c r="Z312" s="1"/>
      <c r="AA312" s="1">
        <v>0</v>
      </c>
      <c r="AB312" s="1"/>
      <c r="AC312" s="1"/>
      <c r="AD312" s="1"/>
      <c r="AE312" s="1">
        <v>0</v>
      </c>
      <c r="AF312" s="1"/>
      <c r="AG312" s="1">
        <v>0</v>
      </c>
      <c r="AH312" s="1"/>
      <c r="AI312" s="1">
        <v>0</v>
      </c>
      <c r="AJ312" s="1"/>
      <c r="AK312" s="1">
        <f t="shared" si="29"/>
        <v>0</v>
      </c>
      <c r="AL312" s="1"/>
      <c r="AM312" s="1">
        <f t="shared" si="26"/>
        <v>85220358</v>
      </c>
    </row>
    <row r="313" spans="1:39">
      <c r="A313" s="12" t="s">
        <v>610</v>
      </c>
      <c r="B313" s="12"/>
      <c r="C313" s="12" t="s">
        <v>64</v>
      </c>
      <c r="D313" s="12"/>
      <c r="E313" s="13">
        <v>50203</v>
      </c>
      <c r="G313" s="1">
        <v>3277893</v>
      </c>
      <c r="I313" s="1">
        <v>0</v>
      </c>
      <c r="K313" s="1">
        <v>2681430</v>
      </c>
      <c r="M313" s="1">
        <v>3363</v>
      </c>
      <c r="O313" s="1">
        <v>330782</v>
      </c>
      <c r="Q313" s="1">
        <v>0</v>
      </c>
      <c r="S313" s="1">
        <v>0</v>
      </c>
      <c r="U313" s="1">
        <v>0</v>
      </c>
      <c r="W313" s="1">
        <f>74446+127709</f>
        <v>202155</v>
      </c>
      <c r="Y313" s="41">
        <f t="shared" si="28"/>
        <v>6495623</v>
      </c>
      <c r="AA313" s="1">
        <v>0</v>
      </c>
      <c r="AE313" s="1">
        <v>0</v>
      </c>
      <c r="AG313" s="1">
        <v>0</v>
      </c>
      <c r="AI313" s="1">
        <v>0</v>
      </c>
      <c r="AK313" s="1">
        <f t="shared" si="29"/>
        <v>0</v>
      </c>
      <c r="AM313" s="1">
        <f t="shared" si="26"/>
        <v>6495623</v>
      </c>
    </row>
    <row r="314" spans="1:39">
      <c r="A314" s="17" t="s">
        <v>846</v>
      </c>
      <c r="B314" s="12"/>
      <c r="C314" s="12" t="s">
        <v>11</v>
      </c>
      <c r="D314" s="12"/>
      <c r="E314" s="13">
        <v>45468</v>
      </c>
      <c r="F314" s="8"/>
      <c r="G314" s="1">
        <v>4582838</v>
      </c>
      <c r="I314" s="1">
        <v>1431796</v>
      </c>
      <c r="K314" s="1">
        <f>5167057+72790</f>
        <v>5239847</v>
      </c>
      <c r="M314" s="1">
        <v>31439</v>
      </c>
      <c r="O314" s="1">
        <v>473241</v>
      </c>
      <c r="Q314" s="1">
        <v>0</v>
      </c>
      <c r="S314" s="1">
        <v>0</v>
      </c>
      <c r="U314" s="1">
        <v>0</v>
      </c>
      <c r="W314" s="1">
        <f>4087+32764+16883</f>
        <v>53734</v>
      </c>
      <c r="Y314" s="41">
        <f t="shared" si="28"/>
        <v>11812895</v>
      </c>
      <c r="AA314" s="1">
        <v>0</v>
      </c>
      <c r="AE314" s="1">
        <v>0</v>
      </c>
      <c r="AG314" s="1">
        <v>792</v>
      </c>
      <c r="AI314" s="1">
        <v>0</v>
      </c>
      <c r="AK314" s="1">
        <f t="shared" si="29"/>
        <v>792</v>
      </c>
      <c r="AM314" s="1">
        <f t="shared" si="26"/>
        <v>11813687</v>
      </c>
    </row>
    <row r="315" spans="1:39">
      <c r="A315" s="12" t="s">
        <v>578</v>
      </c>
      <c r="B315" s="12"/>
      <c r="C315" s="12" t="s">
        <v>62</v>
      </c>
      <c r="D315" s="12"/>
      <c r="E315" s="13">
        <v>49874</v>
      </c>
      <c r="G315" s="1">
        <v>6151763</v>
      </c>
      <c r="I315" s="1">
        <v>0</v>
      </c>
      <c r="K315" s="1">
        <v>15846051</v>
      </c>
      <c r="M315" s="1">
        <v>18998</v>
      </c>
      <c r="O315" s="1">
        <v>202022</v>
      </c>
      <c r="Q315" s="1">
        <v>90450</v>
      </c>
      <c r="S315" s="1">
        <v>30984</v>
      </c>
      <c r="U315" s="1">
        <v>0</v>
      </c>
      <c r="W315" s="1">
        <f>25767+53119+25591</f>
        <v>104477</v>
      </c>
      <c r="Y315" s="41">
        <f t="shared" si="28"/>
        <v>22444745</v>
      </c>
      <c r="AA315" s="1">
        <v>993834</v>
      </c>
      <c r="AE315" s="1">
        <v>0</v>
      </c>
      <c r="AG315" s="1">
        <v>0</v>
      </c>
      <c r="AI315" s="1">
        <v>0</v>
      </c>
      <c r="AK315" s="1">
        <f t="shared" si="29"/>
        <v>993834</v>
      </c>
      <c r="AM315" s="1">
        <f t="shared" ref="AM315:AM325" si="30">+AK315+Y315</f>
        <v>23438579</v>
      </c>
    </row>
    <row r="316" spans="1:39">
      <c r="A316" s="12" t="s">
        <v>366</v>
      </c>
      <c r="B316" s="12"/>
      <c r="C316" s="12" t="s">
        <v>32</v>
      </c>
      <c r="D316" s="12"/>
      <c r="E316" s="13">
        <v>44271</v>
      </c>
      <c r="G316" s="1">
        <v>23344765</v>
      </c>
      <c r="I316" s="1">
        <v>0</v>
      </c>
      <c r="K316" s="1">
        <v>15003648</v>
      </c>
      <c r="M316" s="1">
        <v>100601</v>
      </c>
      <c r="O316" s="1">
        <v>605447</v>
      </c>
      <c r="Q316" s="1">
        <v>0</v>
      </c>
      <c r="S316" s="1">
        <v>180054</v>
      </c>
      <c r="U316" s="1">
        <v>0</v>
      </c>
      <c r="W316" s="1">
        <f>17281+87651</f>
        <v>104932</v>
      </c>
      <c r="Y316" s="41">
        <f t="shared" si="28"/>
        <v>39339447</v>
      </c>
      <c r="AA316" s="1">
        <v>0</v>
      </c>
      <c r="AE316" s="1">
        <v>0</v>
      </c>
      <c r="AG316" s="1">
        <v>1045</v>
      </c>
      <c r="AI316" s="1">
        <v>0</v>
      </c>
      <c r="AK316" s="1">
        <f t="shared" si="29"/>
        <v>1045</v>
      </c>
      <c r="AM316" s="1">
        <f t="shared" si="30"/>
        <v>39340492</v>
      </c>
    </row>
    <row r="317" spans="1:39">
      <c r="A317" s="12" t="s">
        <v>466</v>
      </c>
      <c r="B317" s="12"/>
      <c r="C317" s="12" t="s">
        <v>45</v>
      </c>
      <c r="D317" s="12"/>
      <c r="E317" s="13">
        <v>48330</v>
      </c>
      <c r="G317" s="1">
        <v>845146</v>
      </c>
      <c r="I317" s="1">
        <v>0</v>
      </c>
      <c r="K317" s="1">
        <v>2463838</v>
      </c>
      <c r="M317" s="1">
        <v>74157</v>
      </c>
      <c r="O317" s="1">
        <v>1332868</v>
      </c>
      <c r="Q317" s="1">
        <v>0</v>
      </c>
      <c r="S317" s="1">
        <v>0</v>
      </c>
      <c r="U317" s="1">
        <v>1400</v>
      </c>
      <c r="W317" s="1">
        <f>480+5254</f>
        <v>5734</v>
      </c>
      <c r="Y317" s="41">
        <f t="shared" si="28"/>
        <v>4723143</v>
      </c>
      <c r="AA317" s="1">
        <v>0</v>
      </c>
      <c r="AE317" s="1">
        <v>0</v>
      </c>
      <c r="AG317" s="1">
        <v>0</v>
      </c>
      <c r="AI317" s="1">
        <v>0</v>
      </c>
      <c r="AK317" s="1">
        <f t="shared" si="29"/>
        <v>0</v>
      </c>
      <c r="AM317" s="1">
        <f t="shared" si="30"/>
        <v>4723143</v>
      </c>
    </row>
    <row r="318" spans="1:39">
      <c r="A318" s="12" t="s">
        <v>544</v>
      </c>
      <c r="B318" s="12"/>
      <c r="C318" s="12" t="s">
        <v>112</v>
      </c>
      <c r="D318" s="12"/>
      <c r="E318" s="13">
        <v>49445</v>
      </c>
      <c r="G318" s="1">
        <v>2493429</v>
      </c>
      <c r="I318" s="1">
        <v>0</v>
      </c>
      <c r="K318" s="1">
        <v>2431631</v>
      </c>
      <c r="M318" s="1">
        <v>22672</v>
      </c>
      <c r="O318" s="1">
        <v>135413</v>
      </c>
      <c r="Q318" s="1">
        <v>0</v>
      </c>
      <c r="S318" s="1">
        <v>0</v>
      </c>
      <c r="U318" s="1">
        <v>0</v>
      </c>
      <c r="W318" s="1">
        <f>13955+1625+19619</f>
        <v>35199</v>
      </c>
      <c r="Y318" s="41">
        <f t="shared" si="28"/>
        <v>5118344</v>
      </c>
      <c r="AA318" s="1">
        <v>0</v>
      </c>
      <c r="AE318" s="1">
        <v>0</v>
      </c>
      <c r="AG318" s="1">
        <v>0</v>
      </c>
      <c r="AI318" s="1">
        <v>0</v>
      </c>
      <c r="AK318" s="1">
        <f t="shared" si="29"/>
        <v>0</v>
      </c>
      <c r="AM318" s="1">
        <f t="shared" si="30"/>
        <v>5118344</v>
      </c>
    </row>
    <row r="319" spans="1:39">
      <c r="A319" s="12" t="s">
        <v>399</v>
      </c>
      <c r="B319" s="12"/>
      <c r="C319" s="12" t="s">
        <v>395</v>
      </c>
      <c r="D319" s="12"/>
      <c r="E319" s="13">
        <v>47639</v>
      </c>
      <c r="G319" s="1">
        <v>1814833</v>
      </c>
      <c r="I319" s="1">
        <v>0</v>
      </c>
      <c r="K319" s="1">
        <v>8059317</v>
      </c>
      <c r="M319" s="1">
        <v>117646</v>
      </c>
      <c r="O319" s="1">
        <v>726299</v>
      </c>
      <c r="Q319" s="1">
        <v>0</v>
      </c>
      <c r="S319" s="1">
        <v>0</v>
      </c>
      <c r="U319" s="1">
        <v>100</v>
      </c>
      <c r="W319" s="1">
        <f>865+59491</f>
        <v>60356</v>
      </c>
      <c r="Y319" s="41">
        <f t="shared" si="28"/>
        <v>10778551</v>
      </c>
      <c r="AA319" s="1">
        <v>0</v>
      </c>
      <c r="AE319" s="1">
        <v>0</v>
      </c>
      <c r="AG319" s="1">
        <v>0</v>
      </c>
      <c r="AI319" s="1">
        <v>0</v>
      </c>
      <c r="AK319" s="1">
        <f t="shared" si="29"/>
        <v>0</v>
      </c>
      <c r="AM319" s="1">
        <f t="shared" si="30"/>
        <v>10778551</v>
      </c>
    </row>
    <row r="320" spans="1:39">
      <c r="A320" s="12" t="s">
        <v>500</v>
      </c>
      <c r="B320" s="12"/>
      <c r="C320" s="12" t="s">
        <v>50</v>
      </c>
      <c r="D320" s="12"/>
      <c r="E320" s="12">
        <v>48702</v>
      </c>
      <c r="G320" s="1">
        <v>8119529</v>
      </c>
      <c r="I320" s="1">
        <v>0</v>
      </c>
      <c r="K320" s="1">
        <v>24331401</v>
      </c>
      <c r="M320" s="1">
        <v>141403</v>
      </c>
      <c r="O320" s="1">
        <v>315463</v>
      </c>
      <c r="Q320" s="1">
        <v>31723</v>
      </c>
      <c r="S320" s="1">
        <v>0</v>
      </c>
      <c r="U320" s="1">
        <v>0</v>
      </c>
      <c r="W320" s="1">
        <f>349768+196450</f>
        <v>546218</v>
      </c>
      <c r="Y320" s="41">
        <f t="shared" ref="Y320:Y375" si="31">SUM(G320:X320)</f>
        <v>33485737</v>
      </c>
      <c r="AA320" s="1">
        <v>0</v>
      </c>
      <c r="AE320" s="1">
        <v>78790</v>
      </c>
      <c r="AG320" s="1">
        <v>3027</v>
      </c>
      <c r="AI320" s="1">
        <v>0</v>
      </c>
      <c r="AK320" s="1">
        <f t="shared" ref="AK320:AK367" si="32">SUM(AA320:AJ320)</f>
        <v>81817</v>
      </c>
      <c r="AM320" s="1">
        <f t="shared" si="30"/>
        <v>33567554</v>
      </c>
    </row>
    <row r="321" spans="1:39">
      <c r="A321" s="12" t="s">
        <v>367</v>
      </c>
      <c r="B321" s="12"/>
      <c r="C321" s="12" t="s">
        <v>32</v>
      </c>
      <c r="D321" s="12"/>
      <c r="E321" s="13">
        <v>44289</v>
      </c>
      <c r="G321" s="1">
        <v>10910232</v>
      </c>
      <c r="I321" s="1">
        <v>0</v>
      </c>
      <c r="K321" s="1">
        <v>4686829</v>
      </c>
      <c r="M321" s="1">
        <v>15685</v>
      </c>
      <c r="O321" s="1">
        <v>42064</v>
      </c>
      <c r="Q321" s="1">
        <v>89657</v>
      </c>
      <c r="S321" s="1">
        <v>76070</v>
      </c>
      <c r="U321" s="1">
        <v>0</v>
      </c>
      <c r="W321" s="1">
        <f>10601+68865</f>
        <v>79466</v>
      </c>
      <c r="Y321" s="41">
        <f t="shared" si="31"/>
        <v>15900003</v>
      </c>
      <c r="AA321" s="1">
        <v>0</v>
      </c>
      <c r="AE321" s="1">
        <v>219946</v>
      </c>
      <c r="AG321" s="1">
        <v>0</v>
      </c>
      <c r="AI321" s="1">
        <v>0</v>
      </c>
      <c r="AK321" s="1">
        <f t="shared" si="32"/>
        <v>219946</v>
      </c>
      <c r="AM321" s="1">
        <f t="shared" si="30"/>
        <v>16119949</v>
      </c>
    </row>
    <row r="322" spans="1:39">
      <c r="A322" s="12" t="s">
        <v>231</v>
      </c>
      <c r="B322" s="12"/>
      <c r="C322" s="12" t="s">
        <v>227</v>
      </c>
      <c r="D322" s="12"/>
      <c r="E322" s="13">
        <v>46128</v>
      </c>
      <c r="F322" s="8"/>
      <c r="G322" s="1">
        <v>4540798</v>
      </c>
      <c r="I322" s="1">
        <v>0</v>
      </c>
      <c r="K322" s="1">
        <f>6414518+22089</f>
        <v>6436607</v>
      </c>
      <c r="M322" s="1">
        <v>31392</v>
      </c>
      <c r="O322" s="1">
        <v>864591</v>
      </c>
      <c r="Q322" s="1">
        <v>29715</v>
      </c>
      <c r="S322" s="1">
        <v>0</v>
      </c>
      <c r="U322" s="1">
        <v>0</v>
      </c>
      <c r="W322" s="1">
        <f>16405+72715</f>
        <v>89120</v>
      </c>
      <c r="Y322" s="41">
        <f t="shared" si="31"/>
        <v>11992223</v>
      </c>
      <c r="AA322" s="1">
        <v>0</v>
      </c>
      <c r="AE322" s="1">
        <v>0</v>
      </c>
      <c r="AG322" s="1">
        <v>0</v>
      </c>
      <c r="AI322" s="1">
        <v>0</v>
      </c>
      <c r="AK322" s="1">
        <f t="shared" si="32"/>
        <v>0</v>
      </c>
      <c r="AM322" s="1">
        <f t="shared" si="30"/>
        <v>11992223</v>
      </c>
    </row>
    <row r="323" spans="1:39" hidden="1">
      <c r="A323" s="17" t="s">
        <v>848</v>
      </c>
      <c r="B323" s="17"/>
      <c r="C323" s="17" t="s">
        <v>41</v>
      </c>
      <c r="D323" s="12"/>
      <c r="E323" s="13"/>
      <c r="F323" s="8"/>
      <c r="Y323" s="41">
        <f t="shared" si="31"/>
        <v>0</v>
      </c>
      <c r="AK323" s="1">
        <f t="shared" si="32"/>
        <v>0</v>
      </c>
      <c r="AM323" s="1">
        <f t="shared" si="30"/>
        <v>0</v>
      </c>
    </row>
    <row r="324" spans="1:39">
      <c r="A324" s="12" t="s">
        <v>231</v>
      </c>
      <c r="B324" s="12"/>
      <c r="C324" s="12" t="s">
        <v>112</v>
      </c>
      <c r="D324" s="12"/>
      <c r="E324" s="13">
        <v>49452</v>
      </c>
      <c r="G324" s="1">
        <v>9710687</v>
      </c>
      <c r="I324" s="1">
        <v>0</v>
      </c>
      <c r="K324" s="1">
        <f>16865749+3045</f>
        <v>16868794</v>
      </c>
      <c r="M324" s="1">
        <v>186535</v>
      </c>
      <c r="O324" s="1">
        <f>1611991+15111+1200</f>
        <v>1628302</v>
      </c>
      <c r="Q324" s="1">
        <v>0</v>
      </c>
      <c r="S324" s="1">
        <v>207646</v>
      </c>
      <c r="U324" s="1">
        <v>2061</v>
      </c>
      <c r="W324" s="1">
        <f>2610+84416+25890</f>
        <v>112916</v>
      </c>
      <c r="Y324" s="41">
        <f t="shared" si="31"/>
        <v>28716941</v>
      </c>
      <c r="AA324" s="1">
        <v>0</v>
      </c>
      <c r="AE324" s="1">
        <v>0</v>
      </c>
      <c r="AG324" s="1">
        <v>0</v>
      </c>
      <c r="AI324" s="1">
        <v>0</v>
      </c>
      <c r="AK324" s="1">
        <f t="shared" si="32"/>
        <v>0</v>
      </c>
      <c r="AM324" s="1">
        <f t="shared" si="30"/>
        <v>28716941</v>
      </c>
    </row>
    <row r="325" spans="1:39">
      <c r="A325" s="17" t="s">
        <v>864</v>
      </c>
      <c r="B325" s="17"/>
      <c r="C325" s="17" t="s">
        <v>458</v>
      </c>
      <c r="D325" s="12"/>
      <c r="E325" s="13"/>
      <c r="G325" s="1">
        <v>7940414</v>
      </c>
      <c r="I325" s="1">
        <v>0</v>
      </c>
      <c r="K325" s="1">
        <v>6578302</v>
      </c>
      <c r="M325" s="1">
        <v>93832</v>
      </c>
      <c r="O325" s="1">
        <v>873243</v>
      </c>
      <c r="Q325" s="1">
        <v>385</v>
      </c>
      <c r="S325" s="1">
        <v>10574</v>
      </c>
      <c r="U325" s="1">
        <v>0</v>
      </c>
      <c r="W325" s="1">
        <v>8576</v>
      </c>
      <c r="Y325" s="41">
        <f t="shared" si="31"/>
        <v>15505326</v>
      </c>
      <c r="AA325" s="1">
        <v>0</v>
      </c>
      <c r="AE325" s="1">
        <v>0</v>
      </c>
      <c r="AG325" s="1">
        <v>4000</v>
      </c>
      <c r="AI325" s="1">
        <v>0</v>
      </c>
      <c r="AK325" s="1">
        <f t="shared" si="32"/>
        <v>4000</v>
      </c>
      <c r="AM325" s="1">
        <f t="shared" si="30"/>
        <v>15509326</v>
      </c>
    </row>
    <row r="326" spans="1:39">
      <c r="A326" s="12" t="s">
        <v>722</v>
      </c>
      <c r="B326" s="12"/>
      <c r="C326" s="12" t="s">
        <v>203</v>
      </c>
      <c r="D326" s="12"/>
      <c r="E326" s="13"/>
      <c r="G326" s="1">
        <v>6449167</v>
      </c>
      <c r="I326" s="1">
        <v>0</v>
      </c>
      <c r="K326" s="1">
        <v>6147250</v>
      </c>
      <c r="M326" s="1">
        <v>59626</v>
      </c>
      <c r="O326" s="1">
        <v>469820</v>
      </c>
      <c r="Q326" s="1">
        <v>0</v>
      </c>
      <c r="S326" s="1">
        <v>0</v>
      </c>
      <c r="U326" s="1">
        <v>260</v>
      </c>
      <c r="W326" s="1">
        <v>15415</v>
      </c>
      <c r="Y326" s="41">
        <f t="shared" si="31"/>
        <v>13141538</v>
      </c>
      <c r="AA326" s="1">
        <v>0</v>
      </c>
      <c r="AE326" s="1">
        <v>0</v>
      </c>
      <c r="AG326" s="1">
        <f>9710+889</f>
        <v>10599</v>
      </c>
      <c r="AI326" s="1">
        <v>0</v>
      </c>
      <c r="AK326" s="1">
        <f t="shared" si="32"/>
        <v>10599</v>
      </c>
      <c r="AM326" s="1">
        <f t="shared" ref="AM326:AM375" si="33">+AK326+Y326</f>
        <v>13152137</v>
      </c>
    </row>
    <row r="327" spans="1:39">
      <c r="A327" s="12" t="s">
        <v>545</v>
      </c>
      <c r="B327" s="12"/>
      <c r="C327" s="12" t="s">
        <v>112</v>
      </c>
      <c r="D327" s="12"/>
      <c r="E327" s="13">
        <v>44297</v>
      </c>
      <c r="G327" s="1">
        <v>14659121</v>
      </c>
      <c r="I327" s="1">
        <v>0</v>
      </c>
      <c r="K327" s="1">
        <f>33974199+82172</f>
        <v>34056371</v>
      </c>
      <c r="M327" s="1">
        <v>391618</v>
      </c>
      <c r="O327" s="1">
        <f>631025+71304</f>
        <v>702329</v>
      </c>
      <c r="Q327" s="1">
        <v>0</v>
      </c>
      <c r="S327" s="1">
        <v>0</v>
      </c>
      <c r="U327" s="1">
        <v>17025</v>
      </c>
      <c r="W327" s="1">
        <f>1572125+78245+8347</f>
        <v>1658717</v>
      </c>
      <c r="Y327" s="41">
        <f t="shared" si="31"/>
        <v>51485181</v>
      </c>
      <c r="AA327" s="1">
        <v>0</v>
      </c>
      <c r="AE327" s="1">
        <v>0</v>
      </c>
      <c r="AG327" s="1">
        <v>6959</v>
      </c>
      <c r="AI327" s="1">
        <v>0</v>
      </c>
      <c r="AK327" s="1">
        <f t="shared" si="32"/>
        <v>6959</v>
      </c>
      <c r="AM327" s="1">
        <f t="shared" si="33"/>
        <v>51492140</v>
      </c>
    </row>
    <row r="328" spans="1:39">
      <c r="A328" s="17" t="s">
        <v>294</v>
      </c>
      <c r="B328" s="12"/>
      <c r="C328" s="12" t="s">
        <v>20</v>
      </c>
      <c r="D328" s="12"/>
      <c r="E328" s="13">
        <v>44305</v>
      </c>
      <c r="G328" s="1">
        <v>13295484</v>
      </c>
      <c r="I328" s="1">
        <v>0</v>
      </c>
      <c r="K328" s="1">
        <v>21109976</v>
      </c>
      <c r="M328" s="1">
        <v>21348</v>
      </c>
      <c r="O328" s="1">
        <v>400880</v>
      </c>
      <c r="Q328" s="1">
        <v>0</v>
      </c>
      <c r="S328" s="1">
        <v>0</v>
      </c>
      <c r="U328" s="1">
        <v>6459</v>
      </c>
      <c r="W328" s="1">
        <f>17882+493787+1003</f>
        <v>512672</v>
      </c>
      <c r="Y328" s="41">
        <f t="shared" si="31"/>
        <v>35346819</v>
      </c>
      <c r="AA328" s="1">
        <v>89651</v>
      </c>
      <c r="AE328" s="1">
        <v>0</v>
      </c>
      <c r="AG328" s="1">
        <v>0</v>
      </c>
      <c r="AI328" s="1">
        <v>0</v>
      </c>
      <c r="AK328" s="1">
        <f t="shared" si="32"/>
        <v>89651</v>
      </c>
      <c r="AM328" s="1">
        <f t="shared" si="33"/>
        <v>35436470</v>
      </c>
    </row>
    <row r="329" spans="1:39">
      <c r="A329" s="12" t="s">
        <v>208</v>
      </c>
      <c r="B329" s="12"/>
      <c r="C329" s="12" t="s">
        <v>11</v>
      </c>
      <c r="D329" s="12"/>
      <c r="E329" s="13">
        <v>45831</v>
      </c>
      <c r="F329" s="8"/>
      <c r="G329" s="1">
        <v>2295225</v>
      </c>
      <c r="I329" s="1">
        <v>0</v>
      </c>
      <c r="K329" s="1">
        <v>4823606</v>
      </c>
      <c r="M329" s="1">
        <v>2552</v>
      </c>
      <c r="O329" s="1">
        <f>572060+17124+53</f>
        <v>589237</v>
      </c>
      <c r="Q329" s="1">
        <v>27297</v>
      </c>
      <c r="S329" s="1">
        <v>0</v>
      </c>
      <c r="U329" s="1">
        <v>3948</v>
      </c>
      <c r="W329" s="1">
        <v>3814</v>
      </c>
      <c r="Y329" s="41">
        <f t="shared" si="31"/>
        <v>7745679</v>
      </c>
      <c r="AA329" s="1">
        <v>0</v>
      </c>
      <c r="AE329" s="1">
        <v>0</v>
      </c>
      <c r="AG329" s="1">
        <v>0</v>
      </c>
      <c r="AI329" s="1">
        <v>0</v>
      </c>
      <c r="AK329" s="1">
        <f t="shared" si="32"/>
        <v>0</v>
      </c>
      <c r="AM329" s="1">
        <f t="shared" si="33"/>
        <v>7745679</v>
      </c>
    </row>
    <row r="330" spans="1:39">
      <c r="A330" s="12" t="s">
        <v>611</v>
      </c>
      <c r="B330" s="12"/>
      <c r="C330" s="12" t="s">
        <v>64</v>
      </c>
      <c r="D330" s="12"/>
      <c r="E330" s="13">
        <v>50211</v>
      </c>
      <c r="G330" s="1">
        <v>2321445</v>
      </c>
      <c r="I330" s="1">
        <v>0</v>
      </c>
      <c r="K330" s="1">
        <f>5565750+122320</f>
        <v>5688070</v>
      </c>
      <c r="M330" s="1">
        <v>3663</v>
      </c>
      <c r="O330" s="1">
        <f>277371+22683+7747</f>
        <v>307801</v>
      </c>
      <c r="Q330" s="1">
        <v>0</v>
      </c>
      <c r="S330" s="1">
        <v>0</v>
      </c>
      <c r="U330" s="1">
        <v>0</v>
      </c>
      <c r="W330" s="1">
        <v>58033</v>
      </c>
      <c r="Y330" s="41">
        <f t="shared" si="31"/>
        <v>8379012</v>
      </c>
      <c r="AA330" s="1">
        <v>0</v>
      </c>
      <c r="AE330" s="1">
        <v>0</v>
      </c>
      <c r="AG330" s="1">
        <v>0</v>
      </c>
      <c r="AI330" s="1">
        <v>0</v>
      </c>
      <c r="AK330" s="1">
        <v>0</v>
      </c>
      <c r="AM330" s="1">
        <f t="shared" si="33"/>
        <v>8379012</v>
      </c>
    </row>
    <row r="331" spans="1:39">
      <c r="A331" s="12" t="s">
        <v>317</v>
      </c>
      <c r="B331" s="12"/>
      <c r="C331" s="12" t="s">
        <v>24</v>
      </c>
      <c r="D331" s="12"/>
      <c r="E331" s="13">
        <v>46805</v>
      </c>
      <c r="G331" s="1">
        <v>4350768</v>
      </c>
      <c r="I331" s="1">
        <v>0</v>
      </c>
      <c r="K331" s="1">
        <f>6365063+20892</f>
        <v>6385955</v>
      </c>
      <c r="M331" s="1">
        <v>8428</v>
      </c>
      <c r="O331" s="1">
        <f>448021+48041</f>
        <v>496062</v>
      </c>
      <c r="Q331" s="1">
        <v>0</v>
      </c>
      <c r="S331" s="1">
        <v>0</v>
      </c>
      <c r="U331" s="1">
        <v>0</v>
      </c>
      <c r="W331" s="1">
        <f>46915+20811+45511</f>
        <v>113237</v>
      </c>
      <c r="Y331" s="41">
        <f t="shared" si="31"/>
        <v>11354450</v>
      </c>
      <c r="AA331" s="1">
        <v>0</v>
      </c>
      <c r="AE331" s="1">
        <v>0</v>
      </c>
      <c r="AG331" s="1">
        <v>0</v>
      </c>
      <c r="AI331" s="1">
        <v>0</v>
      </c>
      <c r="AK331" s="1">
        <f t="shared" si="32"/>
        <v>0</v>
      </c>
      <c r="AM331" s="1">
        <f t="shared" si="33"/>
        <v>11354450</v>
      </c>
    </row>
    <row r="332" spans="1:39">
      <c r="A332" s="12" t="s">
        <v>368</v>
      </c>
      <c r="B332" s="12"/>
      <c r="C332" s="12" t="s">
        <v>32</v>
      </c>
      <c r="D332" s="12"/>
      <c r="E332" s="13">
        <v>44313</v>
      </c>
      <c r="G332" s="1">
        <v>13785703</v>
      </c>
      <c r="I332" s="1">
        <v>0</v>
      </c>
      <c r="K332" s="1">
        <v>7109106</v>
      </c>
      <c r="M332" s="1">
        <v>48848</v>
      </c>
      <c r="O332" s="1">
        <v>158183</v>
      </c>
      <c r="Q332" s="1">
        <v>0</v>
      </c>
      <c r="S332" s="1">
        <v>0</v>
      </c>
      <c r="U332" s="1">
        <v>0</v>
      </c>
      <c r="W332" s="1">
        <f>2813+55714</f>
        <v>58527</v>
      </c>
      <c r="Y332" s="41">
        <f t="shared" si="31"/>
        <v>21160367</v>
      </c>
      <c r="AA332" s="1">
        <v>50000</v>
      </c>
      <c r="AE332" s="1">
        <v>0</v>
      </c>
      <c r="AG332" s="1">
        <v>0</v>
      </c>
      <c r="AI332" s="1">
        <v>0</v>
      </c>
      <c r="AK332" s="1">
        <f t="shared" si="32"/>
        <v>50000</v>
      </c>
      <c r="AM332" s="1">
        <f t="shared" si="33"/>
        <v>21210367</v>
      </c>
    </row>
    <row r="333" spans="1:39" hidden="1">
      <c r="A333" s="17" t="s">
        <v>733</v>
      </c>
      <c r="B333" s="12"/>
      <c r="C333" s="12" t="s">
        <v>70</v>
      </c>
      <c r="D333" s="12"/>
      <c r="E333" s="13">
        <v>44321</v>
      </c>
      <c r="Y333" s="41">
        <f t="shared" si="31"/>
        <v>0</v>
      </c>
      <c r="AK333" s="1">
        <f t="shared" si="32"/>
        <v>0</v>
      </c>
      <c r="AM333" s="1">
        <f t="shared" si="33"/>
        <v>0</v>
      </c>
    </row>
    <row r="334" spans="1:39">
      <c r="A334" s="12" t="s">
        <v>474</v>
      </c>
      <c r="B334" s="12"/>
      <c r="C334" s="12" t="s">
        <v>46</v>
      </c>
      <c r="D334" s="12"/>
      <c r="E334" s="13">
        <v>44339</v>
      </c>
      <c r="G334" s="1">
        <v>8195754</v>
      </c>
      <c r="I334" s="1">
        <v>0</v>
      </c>
      <c r="K334" s="1">
        <v>32696157</v>
      </c>
      <c r="M334" s="1">
        <v>205013</v>
      </c>
      <c r="O334" s="1">
        <v>2092110</v>
      </c>
      <c r="Q334" s="1">
        <v>72240</v>
      </c>
      <c r="S334" s="1">
        <v>92433</v>
      </c>
      <c r="U334" s="1">
        <v>0</v>
      </c>
      <c r="W334" s="1">
        <v>773169</v>
      </c>
      <c r="Y334" s="41">
        <f t="shared" si="31"/>
        <v>44126876</v>
      </c>
      <c r="AA334" s="1">
        <v>0</v>
      </c>
      <c r="AE334" s="1">
        <v>77317</v>
      </c>
      <c r="AG334" s="1">
        <v>0</v>
      </c>
      <c r="AI334" s="1">
        <v>0</v>
      </c>
      <c r="AK334" s="1">
        <f t="shared" si="32"/>
        <v>77317</v>
      </c>
      <c r="AM334" s="1">
        <f t="shared" si="33"/>
        <v>44204193</v>
      </c>
    </row>
    <row r="335" spans="1:39" hidden="1">
      <c r="A335" s="17" t="s">
        <v>850</v>
      </c>
      <c r="B335" s="17"/>
      <c r="C335" s="17" t="s">
        <v>486</v>
      </c>
      <c r="D335" s="12"/>
      <c r="E335" s="13"/>
      <c r="Y335" s="41">
        <f t="shared" si="31"/>
        <v>0</v>
      </c>
      <c r="AM335" s="1">
        <f t="shared" si="33"/>
        <v>0</v>
      </c>
    </row>
    <row r="336" spans="1:39">
      <c r="A336" s="12" t="s">
        <v>579</v>
      </c>
      <c r="B336" s="12"/>
      <c r="C336" s="12" t="s">
        <v>62</v>
      </c>
      <c r="D336" s="12"/>
      <c r="E336" s="13">
        <v>49882</v>
      </c>
      <c r="G336" s="1">
        <v>7921921</v>
      </c>
      <c r="I336" s="1">
        <v>0</v>
      </c>
      <c r="K336" s="1">
        <f>270+12167309+117955</f>
        <v>12285534</v>
      </c>
      <c r="M336" s="1">
        <v>52919</v>
      </c>
      <c r="O336" s="1">
        <f>92115+116721</f>
        <v>208836</v>
      </c>
      <c r="Q336" s="1">
        <v>3835</v>
      </c>
      <c r="S336" s="1">
        <v>0</v>
      </c>
      <c r="U336" s="1">
        <v>110</v>
      </c>
      <c r="W336" s="1">
        <f>77444+18900</f>
        <v>96344</v>
      </c>
      <c r="Y336" s="41">
        <f t="shared" si="31"/>
        <v>20569499</v>
      </c>
      <c r="AA336" s="1">
        <v>0</v>
      </c>
      <c r="AE336" s="1">
        <v>0</v>
      </c>
      <c r="AG336" s="1">
        <v>7433</v>
      </c>
      <c r="AI336" s="1">
        <v>0</v>
      </c>
      <c r="AK336" s="1">
        <f t="shared" si="32"/>
        <v>7433</v>
      </c>
      <c r="AM336" s="1">
        <f t="shared" si="33"/>
        <v>20576932</v>
      </c>
    </row>
    <row r="337" spans="1:39">
      <c r="A337" s="12" t="s">
        <v>221</v>
      </c>
      <c r="B337" s="12"/>
      <c r="C337" s="12" t="s">
        <v>15</v>
      </c>
      <c r="D337" s="12"/>
      <c r="E337" s="13">
        <v>44347</v>
      </c>
      <c r="F337" s="8"/>
      <c r="G337" s="1">
        <v>2078720</v>
      </c>
      <c r="I337" s="1">
        <v>0</v>
      </c>
      <c r="K337" s="1">
        <v>8718654</v>
      </c>
      <c r="M337" s="1">
        <v>132</v>
      </c>
      <c r="O337" s="1">
        <v>975716</v>
      </c>
      <c r="Q337" s="1">
        <v>0</v>
      </c>
      <c r="S337" s="1">
        <v>0</v>
      </c>
      <c r="U337" s="1">
        <v>0</v>
      </c>
      <c r="W337" s="1">
        <f>7953+6204</f>
        <v>14157</v>
      </c>
      <c r="Y337" s="41">
        <f t="shared" si="31"/>
        <v>11787379</v>
      </c>
      <c r="AA337" s="1">
        <v>0</v>
      </c>
      <c r="AE337" s="1">
        <v>0</v>
      </c>
      <c r="AG337" s="1">
        <v>0</v>
      </c>
      <c r="AI337" s="1">
        <v>0</v>
      </c>
      <c r="AK337" s="1">
        <f t="shared" si="32"/>
        <v>0</v>
      </c>
      <c r="AM337" s="1">
        <f t="shared" si="33"/>
        <v>11787379</v>
      </c>
    </row>
    <row r="338" spans="1:39">
      <c r="A338" s="12" t="s">
        <v>626</v>
      </c>
      <c r="B338" s="12"/>
      <c r="C338" s="12" t="s">
        <v>66</v>
      </c>
      <c r="D338" s="12"/>
      <c r="E338" s="13">
        <v>45476</v>
      </c>
      <c r="G338" s="1">
        <v>22768762</v>
      </c>
      <c r="I338" s="1">
        <v>0</v>
      </c>
      <c r="K338" s="1">
        <f>23809606+109159</f>
        <v>23918765</v>
      </c>
      <c r="M338" s="1">
        <v>55245</v>
      </c>
      <c r="O338" s="1">
        <f>304043+27694</f>
        <v>331737</v>
      </c>
      <c r="Q338" s="1">
        <v>226514</v>
      </c>
      <c r="S338" s="1">
        <v>0</v>
      </c>
      <c r="U338" s="1">
        <v>0</v>
      </c>
      <c r="W338" s="1">
        <f>313619+2991</f>
        <v>316610</v>
      </c>
      <c r="Y338" s="41">
        <f t="shared" si="31"/>
        <v>47617633</v>
      </c>
      <c r="AA338" s="1">
        <v>750</v>
      </c>
      <c r="AE338" s="1">
        <v>0</v>
      </c>
      <c r="AG338" s="1">
        <v>1503</v>
      </c>
      <c r="AI338" s="1">
        <v>0</v>
      </c>
      <c r="AK338" s="1">
        <f t="shared" si="32"/>
        <v>2253</v>
      </c>
      <c r="AM338" s="1">
        <f t="shared" si="33"/>
        <v>47619886</v>
      </c>
    </row>
    <row r="339" spans="1:39">
      <c r="A339" s="12" t="s">
        <v>635</v>
      </c>
      <c r="B339" s="12"/>
      <c r="C339" s="12" t="s">
        <v>69</v>
      </c>
      <c r="D339" s="12"/>
      <c r="E339" s="13">
        <v>50450</v>
      </c>
      <c r="G339" s="1">
        <v>45554858</v>
      </c>
      <c r="I339" s="1">
        <v>0</v>
      </c>
      <c r="K339" s="1">
        <v>43811499</v>
      </c>
      <c r="M339" s="1">
        <v>339605</v>
      </c>
      <c r="O339" s="1">
        <v>955965</v>
      </c>
      <c r="Q339" s="1">
        <v>0</v>
      </c>
      <c r="S339" s="1">
        <v>0</v>
      </c>
      <c r="U339" s="1">
        <v>0</v>
      </c>
      <c r="W339" s="1">
        <f>647198+1143198</f>
        <v>1790396</v>
      </c>
      <c r="Y339" s="41">
        <f t="shared" si="31"/>
        <v>92452323</v>
      </c>
      <c r="AA339" s="1">
        <v>163</v>
      </c>
      <c r="AE339" s="1">
        <v>0</v>
      </c>
      <c r="AG339" s="1">
        <v>0</v>
      </c>
      <c r="AI339" s="1">
        <v>0</v>
      </c>
      <c r="AK339" s="1">
        <f t="shared" si="32"/>
        <v>163</v>
      </c>
      <c r="AM339" s="1">
        <f t="shared" si="33"/>
        <v>92452486</v>
      </c>
    </row>
    <row r="340" spans="1:39">
      <c r="A340" s="12" t="s">
        <v>580</v>
      </c>
      <c r="B340" s="12"/>
      <c r="C340" s="12" t="s">
        <v>62</v>
      </c>
      <c r="D340" s="12"/>
      <c r="E340" s="13">
        <v>44354</v>
      </c>
      <c r="G340" s="1">
        <v>11928048</v>
      </c>
      <c r="I340" s="1">
        <v>46407</v>
      </c>
      <c r="K340" s="1">
        <v>24059355</v>
      </c>
      <c r="M340" s="1">
        <v>54514</v>
      </c>
      <c r="O340" s="1">
        <v>1735268</v>
      </c>
      <c r="Q340" s="1">
        <v>0</v>
      </c>
      <c r="S340" s="1">
        <v>0</v>
      </c>
      <c r="U340" s="1">
        <v>132</v>
      </c>
      <c r="W340" s="1">
        <f>31668+438368+114989</f>
        <v>585025</v>
      </c>
      <c r="Y340" s="41">
        <f t="shared" si="31"/>
        <v>38408749</v>
      </c>
      <c r="AA340" s="1">
        <v>489</v>
      </c>
      <c r="AE340" s="1">
        <v>0</v>
      </c>
      <c r="AG340" s="1">
        <v>0</v>
      </c>
      <c r="AI340" s="1">
        <v>0</v>
      </c>
      <c r="AK340" s="1">
        <f t="shared" si="32"/>
        <v>489</v>
      </c>
      <c r="AM340" s="1">
        <f t="shared" si="33"/>
        <v>38409238</v>
      </c>
    </row>
    <row r="341" spans="1:39">
      <c r="A341" s="12"/>
      <c r="B341" s="12"/>
      <c r="C341" s="12"/>
      <c r="D341" s="12"/>
      <c r="E341" s="13"/>
      <c r="Y341" s="41"/>
    </row>
    <row r="342" spans="1:39">
      <c r="A342" s="12"/>
      <c r="B342" s="12"/>
      <c r="C342" s="12"/>
      <c r="D342" s="12"/>
      <c r="E342" s="13"/>
      <c r="Y342" s="41"/>
      <c r="AM342" s="20" t="s">
        <v>709</v>
      </c>
    </row>
    <row r="343" spans="1:39">
      <c r="A343" s="12"/>
      <c r="B343" s="12"/>
      <c r="C343" s="12"/>
      <c r="D343" s="12"/>
      <c r="E343" s="13"/>
      <c r="Y343" s="41"/>
    </row>
    <row r="344" spans="1:39">
      <c r="A344" s="12" t="s">
        <v>612</v>
      </c>
      <c r="B344" s="12"/>
      <c r="C344" s="12" t="s">
        <v>64</v>
      </c>
      <c r="D344" s="12"/>
      <c r="E344" s="12">
        <v>50153</v>
      </c>
      <c r="G344" s="16">
        <v>4127040</v>
      </c>
      <c r="H344" s="16"/>
      <c r="I344" s="16">
        <v>0</v>
      </c>
      <c r="J344" s="16"/>
      <c r="K344" s="16">
        <f>3722983+196</f>
        <v>3723179</v>
      </c>
      <c r="L344" s="16"/>
      <c r="M344" s="16">
        <v>18498</v>
      </c>
      <c r="N344" s="16"/>
      <c r="O344" s="16">
        <f>426559+2995+8061</f>
        <v>437615</v>
      </c>
      <c r="P344" s="16"/>
      <c r="Q344" s="16">
        <v>0</v>
      </c>
      <c r="R344" s="16"/>
      <c r="S344" s="16">
        <v>0</v>
      </c>
      <c r="T344" s="16"/>
      <c r="U344" s="16">
        <v>0</v>
      </c>
      <c r="V344" s="16"/>
      <c r="W344" s="16">
        <v>2171</v>
      </c>
      <c r="X344" s="16"/>
      <c r="Y344" s="59">
        <f t="shared" si="31"/>
        <v>8308503</v>
      </c>
      <c r="Z344" s="16"/>
      <c r="AA344" s="16">
        <v>0</v>
      </c>
      <c r="AB344" s="16"/>
      <c r="AC344" s="16"/>
      <c r="AD344" s="16"/>
      <c r="AE344" s="16">
        <v>0</v>
      </c>
      <c r="AF344" s="16"/>
      <c r="AG344" s="16">
        <v>0</v>
      </c>
      <c r="AH344" s="16"/>
      <c r="AI344" s="16">
        <v>0</v>
      </c>
      <c r="AJ344" s="16"/>
      <c r="AK344" s="16">
        <f t="shared" si="32"/>
        <v>0</v>
      </c>
      <c r="AL344" s="16"/>
      <c r="AM344" s="16">
        <f t="shared" si="33"/>
        <v>8308503</v>
      </c>
    </row>
    <row r="345" spans="1:39">
      <c r="A345" s="12" t="s">
        <v>450</v>
      </c>
      <c r="B345" s="12"/>
      <c r="C345" s="12" t="s">
        <v>117</v>
      </c>
      <c r="D345" s="12"/>
      <c r="E345" s="13">
        <v>44362</v>
      </c>
      <c r="G345" s="1">
        <v>16384204</v>
      </c>
      <c r="I345" s="1">
        <v>0</v>
      </c>
      <c r="K345" s="1">
        <v>10150500</v>
      </c>
      <c r="M345" s="1">
        <v>22053</v>
      </c>
      <c r="O345" s="1">
        <f>406626+59532</f>
        <v>466158</v>
      </c>
      <c r="Q345" s="1">
        <v>0</v>
      </c>
      <c r="S345" s="1">
        <v>0</v>
      </c>
      <c r="U345" s="1">
        <v>0</v>
      </c>
      <c r="W345" s="1">
        <v>149488</v>
      </c>
      <c r="Y345" s="41">
        <f t="shared" si="31"/>
        <v>27172403</v>
      </c>
      <c r="AA345" s="1">
        <v>0</v>
      </c>
      <c r="AE345" s="1">
        <v>0</v>
      </c>
      <c r="AG345" s="1">
        <v>341</v>
      </c>
      <c r="AI345" s="1">
        <v>0</v>
      </c>
      <c r="AK345" s="1">
        <f t="shared" si="32"/>
        <v>341</v>
      </c>
      <c r="AM345" s="1">
        <f t="shared" si="33"/>
        <v>27172744</v>
      </c>
    </row>
    <row r="346" spans="1:39">
      <c r="A346" s="17" t="s">
        <v>908</v>
      </c>
      <c r="B346" s="12"/>
      <c r="C346" s="12" t="s">
        <v>20</v>
      </c>
      <c r="D346" s="12"/>
      <c r="E346" s="13">
        <v>44370</v>
      </c>
      <c r="G346" s="1">
        <v>43402394</v>
      </c>
      <c r="I346" s="1">
        <v>0</v>
      </c>
      <c r="K346" s="1">
        <v>13187515</v>
      </c>
      <c r="M346" s="1">
        <v>291177</v>
      </c>
      <c r="O346" s="1">
        <v>1005751</v>
      </c>
      <c r="Q346" s="1">
        <v>33821</v>
      </c>
      <c r="S346" s="1">
        <v>2977840</v>
      </c>
      <c r="U346" s="1">
        <v>21467</v>
      </c>
      <c r="W346" s="1">
        <f>2008+75608+436541</f>
        <v>514157</v>
      </c>
      <c r="Y346" s="41">
        <f t="shared" si="31"/>
        <v>61434122</v>
      </c>
      <c r="AA346" s="1">
        <v>41</v>
      </c>
      <c r="AE346" s="1">
        <v>0</v>
      </c>
      <c r="AG346" s="1">
        <v>0</v>
      </c>
      <c r="AI346" s="1">
        <v>0</v>
      </c>
      <c r="AK346" s="1">
        <f t="shared" si="32"/>
        <v>41</v>
      </c>
      <c r="AM346" s="1">
        <f t="shared" si="33"/>
        <v>61434163</v>
      </c>
    </row>
    <row r="347" spans="1:39">
      <c r="A347" s="12" t="s">
        <v>513</v>
      </c>
      <c r="B347" s="12"/>
      <c r="C347" s="12" t="s">
        <v>51</v>
      </c>
      <c r="D347" s="12"/>
      <c r="E347" s="13">
        <v>48850</v>
      </c>
      <c r="G347" s="1">
        <v>2802013</v>
      </c>
      <c r="I347" s="1">
        <v>0</v>
      </c>
      <c r="K347" s="1">
        <v>11435615</v>
      </c>
      <c r="M347" s="1">
        <v>0</v>
      </c>
      <c r="O347" s="1">
        <v>2163018</v>
      </c>
      <c r="Q347" s="1">
        <v>0</v>
      </c>
      <c r="S347" s="1">
        <v>2529</v>
      </c>
      <c r="U347" s="1">
        <v>792</v>
      </c>
      <c r="W347" s="1">
        <f>10645+596900+98364</f>
        <v>705909</v>
      </c>
      <c r="Y347" s="41">
        <f t="shared" si="31"/>
        <v>17109876</v>
      </c>
      <c r="AA347" s="1">
        <v>0</v>
      </c>
      <c r="AE347" s="1">
        <v>0</v>
      </c>
      <c r="AG347" s="1">
        <v>1000</v>
      </c>
      <c r="AI347" s="1">
        <v>0</v>
      </c>
      <c r="AK347" s="1">
        <f t="shared" si="32"/>
        <v>1000</v>
      </c>
      <c r="AM347" s="1">
        <f t="shared" si="33"/>
        <v>17110876</v>
      </c>
    </row>
    <row r="348" spans="1:39" hidden="1">
      <c r="A348" s="17" t="s">
        <v>783</v>
      </c>
      <c r="B348" s="12"/>
      <c r="C348" s="12" t="s">
        <v>33</v>
      </c>
      <c r="D348" s="12"/>
      <c r="E348" s="13">
        <v>47456</v>
      </c>
      <c r="Y348" s="41">
        <f t="shared" si="31"/>
        <v>0</v>
      </c>
      <c r="AK348" s="1">
        <f t="shared" si="32"/>
        <v>0</v>
      </c>
      <c r="AM348" s="1">
        <f t="shared" si="33"/>
        <v>0</v>
      </c>
    </row>
    <row r="349" spans="1:39">
      <c r="A349" s="12" t="s">
        <v>780</v>
      </c>
      <c r="B349" s="12"/>
      <c r="C349" s="12" t="s">
        <v>64</v>
      </c>
      <c r="D349" s="12"/>
      <c r="E349" s="13">
        <v>50229</v>
      </c>
      <c r="G349" s="1">
        <v>1148344</v>
      </c>
      <c r="I349" s="1">
        <v>0</v>
      </c>
      <c r="K349" s="1">
        <v>3738085</v>
      </c>
      <c r="M349" s="1">
        <v>3132</v>
      </c>
      <c r="O349" s="1">
        <v>1044731</v>
      </c>
      <c r="Q349" s="1">
        <v>10952</v>
      </c>
      <c r="S349" s="1">
        <v>0</v>
      </c>
      <c r="U349" s="1">
        <v>2778</v>
      </c>
      <c r="W349" s="1">
        <f>13860+873</f>
        <v>14733</v>
      </c>
      <c r="Y349" s="41">
        <f t="shared" si="31"/>
        <v>5962755</v>
      </c>
      <c r="AA349" s="1">
        <v>0</v>
      </c>
      <c r="AE349" s="1">
        <v>0</v>
      </c>
      <c r="AG349" s="1">
        <v>0</v>
      </c>
      <c r="AI349" s="1">
        <v>0</v>
      </c>
      <c r="AK349" s="1">
        <f t="shared" si="32"/>
        <v>0</v>
      </c>
      <c r="AM349" s="1">
        <f t="shared" si="33"/>
        <v>5962755</v>
      </c>
    </row>
    <row r="350" spans="1:39">
      <c r="A350" s="12" t="s">
        <v>241</v>
      </c>
      <c r="B350" s="12"/>
      <c r="C350" s="12" t="s">
        <v>240</v>
      </c>
      <c r="D350" s="12"/>
      <c r="E350" s="13">
        <v>45484</v>
      </c>
      <c r="F350" s="8"/>
      <c r="G350" s="1">
        <v>2974840</v>
      </c>
      <c r="I350" s="1">
        <v>0</v>
      </c>
      <c r="K350" s="1">
        <v>4494823</v>
      </c>
      <c r="M350" s="1">
        <v>9857</v>
      </c>
      <c r="O350" s="1">
        <v>614609</v>
      </c>
      <c r="Q350" s="1">
        <v>0</v>
      </c>
      <c r="S350" s="1">
        <v>0</v>
      </c>
      <c r="U350" s="1">
        <v>0</v>
      </c>
      <c r="W350" s="1">
        <v>61527</v>
      </c>
      <c r="Y350" s="41">
        <f t="shared" si="31"/>
        <v>8155656</v>
      </c>
      <c r="AA350" s="1">
        <v>0</v>
      </c>
      <c r="AE350" s="1">
        <v>0</v>
      </c>
      <c r="AG350" s="1">
        <v>0</v>
      </c>
      <c r="AI350" s="1">
        <v>0</v>
      </c>
      <c r="AK350" s="1">
        <f t="shared" si="32"/>
        <v>0</v>
      </c>
      <c r="AM350" s="1">
        <f t="shared" si="33"/>
        <v>8155656</v>
      </c>
    </row>
    <row r="351" spans="1:39">
      <c r="A351" s="12" t="s">
        <v>482</v>
      </c>
      <c r="B351" s="12"/>
      <c r="C351" s="12" t="s">
        <v>47</v>
      </c>
      <c r="D351" s="12"/>
      <c r="E351" s="13">
        <v>44388</v>
      </c>
      <c r="G351" s="1">
        <v>42476075</v>
      </c>
      <c r="I351" s="1">
        <v>0</v>
      </c>
      <c r="K351" s="1">
        <v>27266699</v>
      </c>
      <c r="M351" s="1">
        <v>31211</v>
      </c>
      <c r="O351" s="1">
        <v>300104</v>
      </c>
      <c r="Q351" s="1">
        <v>436957</v>
      </c>
      <c r="S351" s="1">
        <v>0</v>
      </c>
      <c r="U351" s="1">
        <v>0</v>
      </c>
      <c r="W351" s="1">
        <f>455926+883637+46070</f>
        <v>1385633</v>
      </c>
      <c r="Y351" s="41">
        <f t="shared" si="31"/>
        <v>71896679</v>
      </c>
      <c r="AA351" s="1">
        <v>0</v>
      </c>
      <c r="AE351" s="1">
        <v>376474</v>
      </c>
      <c r="AG351" s="1">
        <v>0</v>
      </c>
      <c r="AI351" s="1">
        <v>0</v>
      </c>
      <c r="AK351" s="1">
        <f t="shared" si="32"/>
        <v>376474</v>
      </c>
      <c r="AM351" s="1">
        <f t="shared" si="33"/>
        <v>72273153</v>
      </c>
    </row>
    <row r="352" spans="1:39">
      <c r="A352" s="12" t="s">
        <v>485</v>
      </c>
      <c r="B352" s="12"/>
      <c r="C352" s="12" t="s">
        <v>484</v>
      </c>
      <c r="D352" s="12"/>
      <c r="E352" s="13">
        <v>48520</v>
      </c>
      <c r="G352" s="1">
        <v>2337832</v>
      </c>
      <c r="I352" s="1">
        <v>0</v>
      </c>
      <c r="K352" s="1">
        <v>13979396</v>
      </c>
      <c r="M352" s="1">
        <v>32527</v>
      </c>
      <c r="O352" s="1">
        <v>562756</v>
      </c>
      <c r="Q352" s="1">
        <v>0</v>
      </c>
      <c r="S352" s="1">
        <v>0</v>
      </c>
      <c r="U352" s="1">
        <v>5500</v>
      </c>
      <c r="W352" s="1">
        <f>3900+3019</f>
        <v>6919</v>
      </c>
      <c r="Y352" s="41">
        <f t="shared" si="31"/>
        <v>16924930</v>
      </c>
      <c r="AA352" s="1">
        <v>0</v>
      </c>
      <c r="AE352" s="1">
        <v>0</v>
      </c>
      <c r="AG352" s="1">
        <v>6201</v>
      </c>
      <c r="AI352" s="1">
        <v>0</v>
      </c>
      <c r="AK352" s="1">
        <f t="shared" si="32"/>
        <v>6201</v>
      </c>
      <c r="AM352" s="1">
        <f t="shared" si="33"/>
        <v>16931131</v>
      </c>
    </row>
    <row r="353" spans="1:39">
      <c r="A353" s="12" t="s">
        <v>416</v>
      </c>
      <c r="B353" s="12"/>
      <c r="C353" s="12" t="s">
        <v>41</v>
      </c>
      <c r="D353" s="12"/>
      <c r="E353" s="13">
        <v>45492</v>
      </c>
      <c r="G353" s="1">
        <v>64651376</v>
      </c>
      <c r="I353" s="1">
        <v>0</v>
      </c>
      <c r="K353" s="1">
        <v>34033266</v>
      </c>
      <c r="M353" s="1">
        <v>620196</v>
      </c>
      <c r="O353" s="1">
        <v>1864850</v>
      </c>
      <c r="Q353" s="1">
        <v>528574</v>
      </c>
      <c r="S353" s="1">
        <v>281912</v>
      </c>
      <c r="U353" s="1">
        <v>67931</v>
      </c>
      <c r="W353" s="1">
        <f>33693+25283+179999</f>
        <v>238975</v>
      </c>
      <c r="Y353" s="41">
        <f t="shared" si="31"/>
        <v>102287080</v>
      </c>
      <c r="AA353" s="1">
        <v>1081</v>
      </c>
      <c r="AE353" s="1">
        <v>0</v>
      </c>
      <c r="AG353" s="1">
        <v>32918</v>
      </c>
      <c r="AI353" s="1">
        <v>0</v>
      </c>
      <c r="AK353" s="1">
        <f t="shared" si="32"/>
        <v>33999</v>
      </c>
      <c r="AM353" s="1">
        <f t="shared" si="33"/>
        <v>102321079</v>
      </c>
    </row>
    <row r="354" spans="1:39">
      <c r="A354" s="12" t="s">
        <v>488</v>
      </c>
      <c r="B354" s="12"/>
      <c r="C354" s="12" t="s">
        <v>48</v>
      </c>
      <c r="D354" s="12"/>
      <c r="E354" s="13">
        <v>48629</v>
      </c>
      <c r="G354" s="1">
        <v>3216355</v>
      </c>
      <c r="I354" s="1">
        <v>1625738</v>
      </c>
      <c r="K354" s="1">
        <v>5167928</v>
      </c>
      <c r="M354" s="1">
        <v>5773</v>
      </c>
      <c r="O354" s="1">
        <v>587230</v>
      </c>
      <c r="Q354" s="1">
        <v>2242</v>
      </c>
      <c r="S354" s="1">
        <v>0</v>
      </c>
      <c r="U354" s="1">
        <v>1175</v>
      </c>
      <c r="W354" s="1">
        <f>11770+20298</f>
        <v>32068</v>
      </c>
      <c r="Y354" s="41">
        <f t="shared" si="31"/>
        <v>10638509</v>
      </c>
      <c r="AA354" s="1">
        <v>0</v>
      </c>
      <c r="AE354" s="1">
        <v>0</v>
      </c>
      <c r="AG354" s="1">
        <v>0</v>
      </c>
      <c r="AI354" s="1">
        <v>0</v>
      </c>
      <c r="AK354" s="1">
        <f t="shared" si="32"/>
        <v>0</v>
      </c>
      <c r="AM354" s="1">
        <f t="shared" si="33"/>
        <v>10638509</v>
      </c>
    </row>
    <row r="355" spans="1:39">
      <c r="A355" s="12" t="s">
        <v>327</v>
      </c>
      <c r="B355" s="12"/>
      <c r="C355" s="12" t="s">
        <v>26</v>
      </c>
      <c r="D355" s="12"/>
      <c r="E355" s="13">
        <v>46920</v>
      </c>
      <c r="G355" s="1">
        <v>8413311</v>
      </c>
      <c r="I355" s="1">
        <v>0</v>
      </c>
      <c r="K355" s="1">
        <v>11853010</v>
      </c>
      <c r="M355" s="1">
        <v>6460</v>
      </c>
      <c r="O355" s="1">
        <v>1476793</v>
      </c>
      <c r="Q355" s="1">
        <v>3987</v>
      </c>
      <c r="S355" s="1">
        <v>276081</v>
      </c>
      <c r="U355" s="1">
        <v>0</v>
      </c>
      <c r="W355" s="1">
        <f>2482+109260</f>
        <v>111742</v>
      </c>
      <c r="Y355" s="41">
        <f t="shared" si="31"/>
        <v>22141384</v>
      </c>
      <c r="AA355" s="1">
        <v>0</v>
      </c>
      <c r="AE355" s="1">
        <v>0</v>
      </c>
      <c r="AG355" s="1">
        <v>38524</v>
      </c>
      <c r="AI355" s="1">
        <v>0</v>
      </c>
      <c r="AK355" s="1">
        <f t="shared" si="32"/>
        <v>38524</v>
      </c>
      <c r="AM355" s="1">
        <f t="shared" si="33"/>
        <v>22179908</v>
      </c>
    </row>
    <row r="356" spans="1:39">
      <c r="A356" s="12" t="s">
        <v>501</v>
      </c>
      <c r="B356" s="12"/>
      <c r="C356" s="12" t="s">
        <v>50</v>
      </c>
      <c r="D356" s="12"/>
      <c r="E356" s="13">
        <v>44396</v>
      </c>
      <c r="G356" s="1">
        <v>23218392</v>
      </c>
      <c r="I356" s="1">
        <v>0</v>
      </c>
      <c r="K356" s="1">
        <v>17381972</v>
      </c>
      <c r="M356" s="1">
        <v>82917</v>
      </c>
      <c r="O356" s="1">
        <v>219345</v>
      </c>
      <c r="Q356" s="1">
        <v>0</v>
      </c>
      <c r="S356" s="1">
        <v>31941</v>
      </c>
      <c r="U356" s="1">
        <v>0</v>
      </c>
      <c r="W356" s="1">
        <f>161030+219748</f>
        <v>380778</v>
      </c>
      <c r="Y356" s="41">
        <f t="shared" si="31"/>
        <v>41315345</v>
      </c>
      <c r="AA356" s="1">
        <v>0</v>
      </c>
      <c r="AE356" s="1">
        <v>0</v>
      </c>
      <c r="AG356" s="1">
        <v>0</v>
      </c>
      <c r="AI356" s="1">
        <v>0</v>
      </c>
      <c r="AK356" s="1">
        <f t="shared" si="32"/>
        <v>0</v>
      </c>
      <c r="AM356" s="1">
        <f t="shared" si="33"/>
        <v>41315345</v>
      </c>
    </row>
    <row r="357" spans="1:39">
      <c r="A357" s="12" t="s">
        <v>232</v>
      </c>
      <c r="B357" s="12"/>
      <c r="C357" s="12" t="s">
        <v>227</v>
      </c>
      <c r="D357" s="12"/>
      <c r="E357" s="13">
        <v>44404</v>
      </c>
      <c r="F357" s="8"/>
      <c r="G357" s="1">
        <v>15333525</v>
      </c>
      <c r="I357" s="1">
        <v>0</v>
      </c>
      <c r="K357" s="1">
        <f>30603724+403929</f>
        <v>31007653</v>
      </c>
      <c r="M357" s="1">
        <v>25519</v>
      </c>
      <c r="O357" s="1">
        <f>512839+137514+59944</f>
        <v>710297</v>
      </c>
      <c r="Q357" s="1">
        <v>35727</v>
      </c>
      <c r="S357" s="1">
        <v>511536</v>
      </c>
      <c r="U357" s="1">
        <v>850</v>
      </c>
      <c r="W357" s="1">
        <f>71471+9634+3395</f>
        <v>84500</v>
      </c>
      <c r="Y357" s="41">
        <f t="shared" si="31"/>
        <v>47709607</v>
      </c>
      <c r="AA357" s="1">
        <v>0</v>
      </c>
      <c r="AE357" s="1">
        <v>62461</v>
      </c>
      <c r="AG357" s="1">
        <v>0</v>
      </c>
      <c r="AI357" s="1">
        <v>0</v>
      </c>
      <c r="AK357" s="1">
        <f t="shared" si="32"/>
        <v>62461</v>
      </c>
      <c r="AM357" s="1">
        <f t="shared" si="33"/>
        <v>47772068</v>
      </c>
    </row>
    <row r="358" spans="1:39">
      <c r="A358" s="12" t="s">
        <v>444</v>
      </c>
      <c r="B358" s="12"/>
      <c r="C358" s="12" t="s">
        <v>44</v>
      </c>
      <c r="D358" s="12"/>
      <c r="E358" s="13">
        <v>48173</v>
      </c>
      <c r="G358" s="1">
        <v>10265158</v>
      </c>
      <c r="I358" s="1">
        <v>0</v>
      </c>
      <c r="K358" s="1">
        <v>14589742</v>
      </c>
      <c r="M358" s="1">
        <v>19289</v>
      </c>
      <c r="O358" s="1">
        <v>41468</v>
      </c>
      <c r="Q358" s="1">
        <v>250925</v>
      </c>
      <c r="S358" s="1">
        <v>0</v>
      </c>
      <c r="U358" s="1">
        <v>0</v>
      </c>
      <c r="W358" s="1">
        <v>197203</v>
      </c>
      <c r="Y358" s="41">
        <f t="shared" si="31"/>
        <v>25363785</v>
      </c>
      <c r="AA358" s="1">
        <v>0</v>
      </c>
      <c r="AE358" s="1">
        <v>0</v>
      </c>
      <c r="AG358" s="1">
        <v>8007</v>
      </c>
      <c r="AI358" s="1">
        <v>0</v>
      </c>
      <c r="AK358" s="1">
        <f t="shared" si="32"/>
        <v>8007</v>
      </c>
      <c r="AM358" s="1">
        <f t="shared" si="33"/>
        <v>25371792</v>
      </c>
    </row>
    <row r="359" spans="1:39">
      <c r="A359" s="12" t="s">
        <v>255</v>
      </c>
      <c r="B359" s="12"/>
      <c r="C359" s="12" t="s">
        <v>115</v>
      </c>
      <c r="D359" s="12"/>
      <c r="E359" s="13">
        <v>45500</v>
      </c>
      <c r="F359" s="8"/>
      <c r="G359" s="1">
        <v>34013273</v>
      </c>
      <c r="I359" s="1">
        <v>0</v>
      </c>
      <c r="K359" s="1">
        <v>23142730</v>
      </c>
      <c r="M359" s="1">
        <v>244206</v>
      </c>
      <c r="O359" s="1">
        <v>135048</v>
      </c>
      <c r="Q359" s="1">
        <v>99651</v>
      </c>
      <c r="S359" s="1">
        <v>1264208</v>
      </c>
      <c r="U359" s="1">
        <v>0</v>
      </c>
      <c r="W359" s="1">
        <v>468176</v>
      </c>
      <c r="Y359" s="41">
        <f t="shared" si="31"/>
        <v>59367292</v>
      </c>
      <c r="AA359" s="1">
        <v>0</v>
      </c>
      <c r="AE359" s="1">
        <v>0</v>
      </c>
      <c r="AG359" s="1">
        <v>11302</v>
      </c>
      <c r="AI359" s="1">
        <v>0</v>
      </c>
      <c r="AK359" s="1">
        <f t="shared" si="32"/>
        <v>11302</v>
      </c>
      <c r="AM359" s="1">
        <f t="shared" si="33"/>
        <v>59378594</v>
      </c>
    </row>
    <row r="360" spans="1:39" hidden="1">
      <c r="A360" s="17" t="s">
        <v>734</v>
      </c>
      <c r="B360" s="12"/>
      <c r="C360" s="12" t="s">
        <v>643</v>
      </c>
      <c r="D360" s="12"/>
      <c r="E360" s="13">
        <v>50633</v>
      </c>
      <c r="Y360" s="41">
        <f t="shared" si="31"/>
        <v>0</v>
      </c>
      <c r="AK360" s="1">
        <f t="shared" si="32"/>
        <v>0</v>
      </c>
      <c r="AM360" s="1">
        <f t="shared" si="33"/>
        <v>0</v>
      </c>
    </row>
    <row r="361" spans="1:39" hidden="1">
      <c r="A361" s="12" t="s">
        <v>851</v>
      </c>
      <c r="B361" s="12"/>
      <c r="C361" s="12" t="s">
        <v>542</v>
      </c>
      <c r="D361" s="12"/>
      <c r="E361" s="13">
        <v>49361</v>
      </c>
      <c r="Y361" s="41">
        <f t="shared" si="31"/>
        <v>0</v>
      </c>
      <c r="AK361" s="1">
        <f t="shared" si="32"/>
        <v>0</v>
      </c>
      <c r="AM361" s="1">
        <f t="shared" si="33"/>
        <v>0</v>
      </c>
    </row>
    <row r="362" spans="1:39">
      <c r="A362" s="12" t="s">
        <v>489</v>
      </c>
      <c r="B362" s="12"/>
      <c r="C362" s="12" t="s">
        <v>48</v>
      </c>
      <c r="D362" s="12"/>
      <c r="E362" s="13">
        <v>45518</v>
      </c>
      <c r="G362" s="1">
        <v>5330763</v>
      </c>
      <c r="I362" s="1">
        <v>0</v>
      </c>
      <c r="K362" s="1">
        <f>7007945+6722</f>
        <v>7014667</v>
      </c>
      <c r="M362" s="1">
        <v>173026</v>
      </c>
      <c r="O362" s="1">
        <v>815299</v>
      </c>
      <c r="Q362" s="1">
        <v>2411</v>
      </c>
      <c r="S362" s="1">
        <v>0</v>
      </c>
      <c r="U362" s="1">
        <v>0</v>
      </c>
      <c r="W362" s="1">
        <v>48553</v>
      </c>
      <c r="Y362" s="41">
        <f t="shared" si="31"/>
        <v>13384719</v>
      </c>
      <c r="AA362" s="1">
        <v>1874</v>
      </c>
      <c r="AE362" s="1">
        <v>0</v>
      </c>
      <c r="AG362" s="1">
        <v>0</v>
      </c>
      <c r="AI362" s="1">
        <v>0</v>
      </c>
      <c r="AK362" s="1">
        <f t="shared" si="32"/>
        <v>1874</v>
      </c>
      <c r="AM362" s="1">
        <f t="shared" si="33"/>
        <v>13386593</v>
      </c>
    </row>
    <row r="363" spans="1:39">
      <c r="A363" s="12" t="s">
        <v>581</v>
      </c>
      <c r="B363" s="12"/>
      <c r="C363" s="12" t="s">
        <v>62</v>
      </c>
      <c r="D363" s="12"/>
      <c r="E363" s="13">
        <v>49890</v>
      </c>
      <c r="G363" s="1">
        <v>4815993</v>
      </c>
      <c r="I363" s="1">
        <v>0</v>
      </c>
      <c r="K363" s="1">
        <v>9913938</v>
      </c>
      <c r="M363" s="1">
        <v>466</v>
      </c>
      <c r="O363" s="1">
        <v>885314</v>
      </c>
      <c r="Q363" s="1">
        <v>19041</v>
      </c>
      <c r="S363" s="1">
        <v>0</v>
      </c>
      <c r="U363" s="1">
        <v>2690</v>
      </c>
      <c r="W363" s="1">
        <f>20182+45266</f>
        <v>65448</v>
      </c>
      <c r="Y363" s="41">
        <f t="shared" si="31"/>
        <v>15702890</v>
      </c>
      <c r="AA363" s="1">
        <v>0</v>
      </c>
      <c r="AE363" s="1">
        <v>223325</v>
      </c>
      <c r="AG363" s="1">
        <v>12790</v>
      </c>
      <c r="AI363" s="1">
        <v>0</v>
      </c>
      <c r="AK363" s="1">
        <f t="shared" si="32"/>
        <v>236115</v>
      </c>
      <c r="AM363" s="1">
        <f t="shared" si="33"/>
        <v>15939005</v>
      </c>
    </row>
    <row r="364" spans="1:39">
      <c r="A364" s="12" t="s">
        <v>562</v>
      </c>
      <c r="B364" s="12"/>
      <c r="C364" s="12" t="s">
        <v>59</v>
      </c>
      <c r="D364" s="12"/>
      <c r="E364" s="13">
        <v>49627</v>
      </c>
      <c r="G364" s="1">
        <v>1539304</v>
      </c>
      <c r="I364" s="1">
        <v>0</v>
      </c>
      <c r="K364" s="1">
        <v>9388764</v>
      </c>
      <c r="M364" s="1">
        <v>0</v>
      </c>
      <c r="O364" s="1">
        <v>1796528</v>
      </c>
      <c r="Q364" s="1">
        <v>173299</v>
      </c>
      <c r="S364" s="1">
        <v>0</v>
      </c>
      <c r="U364" s="1">
        <v>3377</v>
      </c>
      <c r="W364" s="1">
        <f>265350+122672</f>
        <v>388022</v>
      </c>
      <c r="Y364" s="41">
        <f t="shared" si="31"/>
        <v>13289294</v>
      </c>
      <c r="AA364" s="1">
        <v>0</v>
      </c>
      <c r="AE364" s="1">
        <v>610000</v>
      </c>
      <c r="AG364" s="1">
        <v>0</v>
      </c>
      <c r="AI364" s="1">
        <v>0</v>
      </c>
      <c r="AK364" s="1">
        <f t="shared" si="32"/>
        <v>610000</v>
      </c>
      <c r="AM364" s="1">
        <f t="shared" si="33"/>
        <v>13899294</v>
      </c>
    </row>
    <row r="365" spans="1:39">
      <c r="A365" s="12" t="s">
        <v>217</v>
      </c>
      <c r="B365" s="12"/>
      <c r="C365" s="12" t="s">
        <v>14</v>
      </c>
      <c r="D365" s="12"/>
      <c r="E365" s="13">
        <v>45948</v>
      </c>
      <c r="F365" s="8"/>
      <c r="G365" s="1">
        <v>3419476</v>
      </c>
      <c r="I365" s="1">
        <v>495617</v>
      </c>
      <c r="K365" s="1">
        <v>3811140</v>
      </c>
      <c r="M365" s="1">
        <v>12358</v>
      </c>
      <c r="O365" s="1">
        <v>84520</v>
      </c>
      <c r="Q365" s="1">
        <v>0</v>
      </c>
      <c r="S365" s="1">
        <v>0</v>
      </c>
      <c r="U365" s="1">
        <v>9580</v>
      </c>
      <c r="W365" s="1">
        <f>275+128037</f>
        <v>128312</v>
      </c>
      <c r="Y365" s="41">
        <f t="shared" si="31"/>
        <v>7961003</v>
      </c>
      <c r="AA365" s="1">
        <v>0</v>
      </c>
      <c r="AE365" s="1">
        <v>0</v>
      </c>
      <c r="AG365" s="1">
        <v>0</v>
      </c>
      <c r="AI365" s="1">
        <v>0</v>
      </c>
      <c r="AK365" s="1">
        <f t="shared" si="32"/>
        <v>0</v>
      </c>
      <c r="AM365" s="1">
        <f t="shared" si="33"/>
        <v>7961003</v>
      </c>
    </row>
    <row r="366" spans="1:39" hidden="1">
      <c r="A366" s="17" t="s">
        <v>782</v>
      </c>
      <c r="B366" s="12"/>
      <c r="C366" s="12" t="s">
        <v>21</v>
      </c>
      <c r="D366" s="12"/>
      <c r="E366" s="13">
        <v>46672</v>
      </c>
      <c r="Y366" s="41">
        <f t="shared" si="31"/>
        <v>0</v>
      </c>
      <c r="AK366" s="1">
        <f t="shared" si="32"/>
        <v>0</v>
      </c>
      <c r="AM366" s="1">
        <f t="shared" si="33"/>
        <v>0</v>
      </c>
    </row>
    <row r="367" spans="1:39">
      <c r="A367" s="12" t="s">
        <v>591</v>
      </c>
      <c r="B367" s="12"/>
      <c r="C367" s="12" t="s">
        <v>63</v>
      </c>
      <c r="D367" s="12"/>
      <c r="E367" s="13">
        <v>50039</v>
      </c>
      <c r="G367" s="1">
        <v>2363060</v>
      </c>
      <c r="I367" s="1">
        <v>0</v>
      </c>
      <c r="K367" s="1">
        <v>4307235</v>
      </c>
      <c r="M367" s="1">
        <v>185657</v>
      </c>
      <c r="O367" s="1">
        <v>1202650</v>
      </c>
      <c r="Q367" s="1">
        <v>0</v>
      </c>
      <c r="S367" s="1">
        <v>0</v>
      </c>
      <c r="U367" s="1">
        <v>0</v>
      </c>
      <c r="W367" s="1">
        <v>16820</v>
      </c>
      <c r="Y367" s="41">
        <f t="shared" si="31"/>
        <v>8075422</v>
      </c>
      <c r="AA367" s="1">
        <v>0</v>
      </c>
      <c r="AE367" s="1">
        <v>0</v>
      </c>
      <c r="AG367" s="1">
        <v>0</v>
      </c>
      <c r="AI367" s="1">
        <v>0</v>
      </c>
      <c r="AK367" s="1">
        <f t="shared" si="32"/>
        <v>0</v>
      </c>
      <c r="AM367" s="1">
        <f t="shared" si="33"/>
        <v>8075422</v>
      </c>
    </row>
    <row r="368" spans="1:39" hidden="1">
      <c r="A368" s="17" t="s">
        <v>743</v>
      </c>
      <c r="B368" s="12"/>
      <c r="C368" s="12" t="s">
        <v>653</v>
      </c>
      <c r="D368" s="12"/>
      <c r="E368" s="13">
        <v>50740</v>
      </c>
      <c r="Y368" s="41">
        <f t="shared" si="31"/>
        <v>0</v>
      </c>
      <c r="AK368" s="1">
        <f t="shared" ref="AK368:AK375" si="34">SUM(AA368:AJ368)</f>
        <v>0</v>
      </c>
      <c r="AM368" s="1">
        <f t="shared" si="33"/>
        <v>0</v>
      </c>
    </row>
    <row r="369" spans="1:39">
      <c r="A369" s="12" t="s">
        <v>233</v>
      </c>
      <c r="B369" s="12"/>
      <c r="C369" s="12" t="s">
        <v>227</v>
      </c>
      <c r="D369" s="12"/>
      <c r="E369" s="13">
        <v>139303</v>
      </c>
      <c r="F369" s="8"/>
      <c r="G369" s="1">
        <v>5482557</v>
      </c>
      <c r="I369" s="1">
        <v>0</v>
      </c>
      <c r="K369" s="1">
        <v>6926228</v>
      </c>
      <c r="M369" s="1">
        <v>14841</v>
      </c>
      <c r="O369" s="1">
        <v>707492</v>
      </c>
      <c r="Q369" s="1">
        <v>0</v>
      </c>
      <c r="S369" s="1">
        <v>1182678</v>
      </c>
      <c r="U369" s="1">
        <v>1000</v>
      </c>
      <c r="W369" s="1">
        <f>2760+6713</f>
        <v>9473</v>
      </c>
      <c r="Y369" s="41">
        <f t="shared" si="31"/>
        <v>14324269</v>
      </c>
      <c r="AA369" s="1">
        <v>0</v>
      </c>
      <c r="AE369" s="1">
        <v>0</v>
      </c>
      <c r="AG369" s="1">
        <v>0</v>
      </c>
      <c r="AI369" s="1">
        <v>0</v>
      </c>
      <c r="AK369" s="1">
        <f t="shared" si="34"/>
        <v>0</v>
      </c>
      <c r="AM369" s="1">
        <f t="shared" si="33"/>
        <v>14324269</v>
      </c>
    </row>
    <row r="370" spans="1:39">
      <c r="A370" s="12" t="s">
        <v>404</v>
      </c>
      <c r="B370" s="12"/>
      <c r="C370" s="12" t="s">
        <v>37</v>
      </c>
      <c r="D370" s="12"/>
      <c r="E370" s="13">
        <v>47712</v>
      </c>
      <c r="G370" s="1">
        <v>2306164</v>
      </c>
      <c r="I370" s="1">
        <v>0</v>
      </c>
      <c r="K370" s="1">
        <v>2758871</v>
      </c>
      <c r="M370" s="1">
        <v>15114</v>
      </c>
      <c r="O370" s="1">
        <f>240894+44852</f>
        <v>285746</v>
      </c>
      <c r="Q370" s="1">
        <v>0</v>
      </c>
      <c r="S370" s="1">
        <v>0</v>
      </c>
      <c r="U370" s="1">
        <v>0</v>
      </c>
      <c r="W370" s="1">
        <v>31239</v>
      </c>
      <c r="Y370" s="41">
        <f t="shared" si="31"/>
        <v>5397134</v>
      </c>
      <c r="AA370" s="1">
        <v>0</v>
      </c>
      <c r="AE370" s="1">
        <v>0</v>
      </c>
      <c r="AG370" s="1">
        <v>0</v>
      </c>
      <c r="AI370" s="1">
        <v>0</v>
      </c>
      <c r="AK370" s="1">
        <f t="shared" si="34"/>
        <v>0</v>
      </c>
      <c r="AM370" s="1">
        <f t="shared" si="33"/>
        <v>5397134</v>
      </c>
    </row>
    <row r="371" spans="1:39" hidden="1">
      <c r="A371" s="12" t="s">
        <v>949</v>
      </c>
      <c r="B371" s="12"/>
      <c r="C371" s="12" t="s">
        <v>643</v>
      </c>
      <c r="D371" s="12"/>
      <c r="E371" s="13">
        <v>45526</v>
      </c>
      <c r="Y371" s="41">
        <f t="shared" si="31"/>
        <v>0</v>
      </c>
      <c r="AK371" s="1">
        <f t="shared" si="34"/>
        <v>0</v>
      </c>
      <c r="AM371" s="1">
        <f t="shared" si="33"/>
        <v>0</v>
      </c>
    </row>
    <row r="372" spans="1:39">
      <c r="A372" s="12" t="s">
        <v>508</v>
      </c>
      <c r="B372" s="12"/>
      <c r="C372" s="12" t="s">
        <v>509</v>
      </c>
      <c r="D372" s="12"/>
      <c r="E372" s="13">
        <v>48777</v>
      </c>
      <c r="G372" s="1">
        <v>3831571</v>
      </c>
      <c r="I372" s="1">
        <v>0</v>
      </c>
      <c r="K372" s="1">
        <v>14590986</v>
      </c>
      <c r="M372" s="1">
        <v>190897</v>
      </c>
      <c r="O372" s="1">
        <v>281894</v>
      </c>
      <c r="Q372" s="1">
        <v>0</v>
      </c>
      <c r="S372" s="1">
        <v>0</v>
      </c>
      <c r="U372" s="1">
        <v>0</v>
      </c>
      <c r="W372" s="1">
        <f>444+187206+12510</f>
        <v>200160</v>
      </c>
      <c r="Y372" s="41">
        <f t="shared" si="31"/>
        <v>19095508</v>
      </c>
      <c r="AA372" s="1">
        <v>0</v>
      </c>
      <c r="AE372" s="1">
        <v>284049</v>
      </c>
      <c r="AG372" s="1">
        <v>2950</v>
      </c>
      <c r="AI372" s="1">
        <v>0</v>
      </c>
      <c r="AK372" s="1">
        <f t="shared" si="34"/>
        <v>286999</v>
      </c>
      <c r="AM372" s="1">
        <f t="shared" si="33"/>
        <v>19382507</v>
      </c>
    </row>
    <row r="373" spans="1:39">
      <c r="A373" s="12" t="s">
        <v>757</v>
      </c>
      <c r="B373" s="12"/>
      <c r="C373" s="12" t="s">
        <v>78</v>
      </c>
      <c r="D373" s="12"/>
      <c r="E373" s="13">
        <v>45534</v>
      </c>
      <c r="G373" s="1">
        <v>2795346</v>
      </c>
      <c r="I373" s="1">
        <v>971532</v>
      </c>
      <c r="K373" s="1">
        <v>6146211</v>
      </c>
      <c r="M373" s="1">
        <v>15021</v>
      </c>
      <c r="O373" s="1">
        <v>693860</v>
      </c>
      <c r="Q373" s="1">
        <v>0</v>
      </c>
      <c r="S373" s="1">
        <v>0</v>
      </c>
      <c r="U373" s="1">
        <v>0</v>
      </c>
      <c r="W373" s="1">
        <f>61759+384535</f>
        <v>446294</v>
      </c>
      <c r="Y373" s="41">
        <f t="shared" si="31"/>
        <v>11068264</v>
      </c>
      <c r="AA373" s="1">
        <v>0</v>
      </c>
      <c r="AE373" s="1">
        <v>0</v>
      </c>
      <c r="AG373" s="1">
        <v>0</v>
      </c>
      <c r="AI373" s="1">
        <v>0</v>
      </c>
      <c r="AK373" s="1">
        <f t="shared" si="34"/>
        <v>0</v>
      </c>
      <c r="AM373" s="1">
        <f t="shared" si="33"/>
        <v>11068264</v>
      </c>
    </row>
    <row r="374" spans="1:39">
      <c r="A374" s="12" t="s">
        <v>415</v>
      </c>
      <c r="B374" s="12"/>
      <c r="C374" s="12" t="s">
        <v>40</v>
      </c>
      <c r="D374" s="12"/>
      <c r="E374" s="13">
        <v>44420</v>
      </c>
      <c r="G374" s="1">
        <v>12423464</v>
      </c>
      <c r="I374" s="1">
        <v>0</v>
      </c>
      <c r="K374" s="1">
        <v>15339464</v>
      </c>
      <c r="M374" s="1">
        <v>19080</v>
      </c>
      <c r="O374" s="1">
        <f>1269102+2167</f>
        <v>1271269</v>
      </c>
      <c r="Q374" s="1">
        <v>0</v>
      </c>
      <c r="S374" s="1">
        <v>538545</v>
      </c>
      <c r="U374" s="1">
        <v>6945</v>
      </c>
      <c r="W374" s="1">
        <f>14593+22973</f>
        <v>37566</v>
      </c>
      <c r="Y374" s="41">
        <f t="shared" si="31"/>
        <v>29636333</v>
      </c>
      <c r="AA374" s="1">
        <v>0</v>
      </c>
      <c r="AE374" s="1">
        <v>0</v>
      </c>
      <c r="AG374" s="1">
        <v>0</v>
      </c>
      <c r="AI374" s="1">
        <v>0</v>
      </c>
      <c r="AK374" s="1">
        <f t="shared" si="34"/>
        <v>0</v>
      </c>
      <c r="AM374" s="1">
        <f t="shared" si="33"/>
        <v>29636333</v>
      </c>
    </row>
    <row r="375" spans="1:39">
      <c r="A375" s="12" t="s">
        <v>894</v>
      </c>
      <c r="B375" s="12"/>
      <c r="C375" s="12" t="s">
        <v>32</v>
      </c>
      <c r="D375" s="12"/>
      <c r="E375" s="13">
        <v>44412</v>
      </c>
      <c r="G375" s="1">
        <v>11713760</v>
      </c>
      <c r="I375" s="1">
        <v>0</v>
      </c>
      <c r="K375" s="1">
        <v>20667828</v>
      </c>
      <c r="M375" s="1">
        <v>149959</v>
      </c>
      <c r="O375" s="1">
        <v>857821</v>
      </c>
      <c r="Q375" s="1">
        <v>21845</v>
      </c>
      <c r="S375" s="1">
        <v>0</v>
      </c>
      <c r="U375" s="1">
        <v>0</v>
      </c>
      <c r="W375" s="1">
        <v>69873</v>
      </c>
      <c r="Y375" s="41">
        <f t="shared" si="31"/>
        <v>33481086</v>
      </c>
      <c r="AA375" s="1">
        <v>605</v>
      </c>
      <c r="AE375" s="1">
        <v>0</v>
      </c>
      <c r="AG375" s="1">
        <v>0</v>
      </c>
      <c r="AI375" s="1">
        <v>0</v>
      </c>
      <c r="AK375" s="1">
        <f t="shared" si="34"/>
        <v>605</v>
      </c>
      <c r="AM375" s="1">
        <f t="shared" si="33"/>
        <v>33481691</v>
      </c>
    </row>
    <row r="376" spans="1:39">
      <c r="A376" s="12" t="s">
        <v>392</v>
      </c>
      <c r="B376" s="12"/>
      <c r="C376" s="12" t="s">
        <v>34</v>
      </c>
      <c r="D376" s="12"/>
      <c r="E376" s="13">
        <v>44438</v>
      </c>
      <c r="G376" s="1">
        <v>7626281</v>
      </c>
      <c r="I376" s="1">
        <v>0</v>
      </c>
      <c r="K376" s="1">
        <v>11369549</v>
      </c>
      <c r="M376" s="1">
        <v>93635</v>
      </c>
      <c r="O376" s="1">
        <v>657563</v>
      </c>
      <c r="Q376" s="1">
        <v>0</v>
      </c>
      <c r="S376" s="1">
        <v>354900</v>
      </c>
      <c r="U376" s="1">
        <v>8579</v>
      </c>
      <c r="W376" s="1">
        <f>2875+56308+25817</f>
        <v>85000</v>
      </c>
      <c r="Y376" s="41">
        <f t="shared" ref="Y376:Y389" si="35">SUM(G376:X376)</f>
        <v>20195507</v>
      </c>
      <c r="AA376" s="1">
        <v>0</v>
      </c>
      <c r="AE376" s="1">
        <v>0</v>
      </c>
      <c r="AG376" s="1">
        <v>1250</v>
      </c>
      <c r="AI376" s="1">
        <v>0</v>
      </c>
      <c r="AK376" s="1">
        <f t="shared" ref="AK376:AK389" si="36">SUM(AA376:AJ376)</f>
        <v>1250</v>
      </c>
      <c r="AM376" s="1">
        <f t="shared" ref="AM376:AM393" si="37">+AK376+Y376</f>
        <v>20196757</v>
      </c>
    </row>
    <row r="377" spans="1:39" hidden="1">
      <c r="A377" s="12" t="s">
        <v>945</v>
      </c>
      <c r="B377" s="12"/>
      <c r="C377" s="12" t="s">
        <v>57</v>
      </c>
      <c r="D377" s="12"/>
      <c r="E377" s="13"/>
      <c r="F377" s="8"/>
      <c r="Y377" s="41">
        <f t="shared" ref="Y377" si="38">SUM(G377:X377)</f>
        <v>0</v>
      </c>
      <c r="AK377" s="1">
        <f>SUM(AA377:AJ377)</f>
        <v>0</v>
      </c>
      <c r="AM377" s="1">
        <f t="shared" ref="AM377" si="39">+AK377+Y377</f>
        <v>0</v>
      </c>
    </row>
    <row r="378" spans="1:39">
      <c r="A378" s="12" t="s">
        <v>215</v>
      </c>
      <c r="B378" s="12"/>
      <c r="C378" s="12" t="s">
        <v>13</v>
      </c>
      <c r="D378" s="12"/>
      <c r="E378" s="13">
        <v>44446</v>
      </c>
      <c r="F378" s="8"/>
      <c r="G378" s="1">
        <v>1847184</v>
      </c>
      <c r="I378" s="1">
        <v>0</v>
      </c>
      <c r="K378" s="1">
        <v>8449652</v>
      </c>
      <c r="M378" s="1">
        <v>6321</v>
      </c>
      <c r="O378" s="1">
        <v>674266</v>
      </c>
      <c r="Q378" s="1">
        <v>0</v>
      </c>
      <c r="S378" s="1">
        <v>0</v>
      </c>
      <c r="U378" s="1">
        <v>169000</v>
      </c>
      <c r="W378" s="1">
        <v>35389</v>
      </c>
      <c r="Y378" s="41">
        <f t="shared" si="35"/>
        <v>11181812</v>
      </c>
      <c r="AA378" s="1">
        <v>43</v>
      </c>
      <c r="AE378" s="1">
        <v>0</v>
      </c>
      <c r="AG378" s="1">
        <v>0</v>
      </c>
      <c r="AI378" s="1">
        <v>0</v>
      </c>
      <c r="AK378" s="1">
        <f>SUM(AA378:AJ378)</f>
        <v>43</v>
      </c>
      <c r="AM378" s="1">
        <f t="shared" si="37"/>
        <v>11181855</v>
      </c>
    </row>
    <row r="379" spans="1:39">
      <c r="A379" s="12" t="s">
        <v>728</v>
      </c>
      <c r="B379" s="12"/>
      <c r="C379" s="12" t="s">
        <v>27</v>
      </c>
      <c r="D379" s="12"/>
      <c r="E379" s="13"/>
      <c r="G379" s="1">
        <v>40509192</v>
      </c>
      <c r="I379" s="1">
        <v>0</v>
      </c>
      <c r="K379" s="1">
        <f>7525177+7100</f>
        <v>7532277</v>
      </c>
      <c r="M379" s="1">
        <v>177763</v>
      </c>
      <c r="O379" s="1">
        <v>224779</v>
      </c>
      <c r="Q379" s="1">
        <v>56885</v>
      </c>
      <c r="S379" s="1">
        <v>0</v>
      </c>
      <c r="U379" s="1">
        <v>0</v>
      </c>
      <c r="W379" s="1">
        <v>937630</v>
      </c>
      <c r="Y379" s="41">
        <f t="shared" si="35"/>
        <v>49438526</v>
      </c>
      <c r="AA379" s="1">
        <v>0</v>
      </c>
      <c r="AE379" s="1">
        <v>0</v>
      </c>
      <c r="AG379" s="1">
        <v>0</v>
      </c>
      <c r="AI379" s="1">
        <v>0</v>
      </c>
      <c r="AK379" s="1">
        <f t="shared" si="36"/>
        <v>0</v>
      </c>
      <c r="AM379" s="1">
        <f t="shared" si="37"/>
        <v>49438526</v>
      </c>
    </row>
    <row r="380" spans="1:39">
      <c r="A380" s="12" t="s">
        <v>563</v>
      </c>
      <c r="B380" s="12"/>
      <c r="C380" s="12" t="s">
        <v>59</v>
      </c>
      <c r="D380" s="12"/>
      <c r="E380" s="13">
        <v>44461</v>
      </c>
      <c r="G380" s="1">
        <v>959577</v>
      </c>
      <c r="I380" s="1">
        <v>0</v>
      </c>
      <c r="K380" s="1">
        <v>1811759</v>
      </c>
      <c r="M380" s="1">
        <v>41055</v>
      </c>
      <c r="O380" s="1">
        <v>979612</v>
      </c>
      <c r="Q380" s="1">
        <v>0</v>
      </c>
      <c r="S380" s="1">
        <v>0</v>
      </c>
      <c r="U380" s="1">
        <v>4257</v>
      </c>
      <c r="W380" s="1">
        <f>533000+188487</f>
        <v>721487</v>
      </c>
      <c r="Y380" s="41">
        <f t="shared" si="35"/>
        <v>4517747</v>
      </c>
      <c r="AA380" s="1">
        <v>65</v>
      </c>
      <c r="AE380" s="1">
        <v>0</v>
      </c>
      <c r="AG380" s="1">
        <v>0</v>
      </c>
      <c r="AI380" s="1">
        <v>0</v>
      </c>
      <c r="AK380" s="1">
        <f t="shared" si="36"/>
        <v>65</v>
      </c>
      <c r="AM380" s="1">
        <f t="shared" si="37"/>
        <v>4517812</v>
      </c>
    </row>
    <row r="381" spans="1:39">
      <c r="A381" s="12" t="s">
        <v>218</v>
      </c>
      <c r="B381" s="12"/>
      <c r="C381" s="12" t="s">
        <v>14</v>
      </c>
      <c r="D381" s="12"/>
      <c r="E381" s="13">
        <v>45955</v>
      </c>
      <c r="F381" s="8"/>
      <c r="G381" s="1">
        <v>2119440</v>
      </c>
      <c r="I381" s="1">
        <v>1260338</v>
      </c>
      <c r="K381" s="1">
        <v>4476688</v>
      </c>
      <c r="M381" s="1">
        <v>149602</v>
      </c>
      <c r="O381" s="1">
        <v>235703</v>
      </c>
      <c r="Q381" s="1">
        <v>0</v>
      </c>
      <c r="S381" s="1">
        <v>30952</v>
      </c>
      <c r="U381" s="1">
        <v>40000</v>
      </c>
      <c r="W381" s="1">
        <f>219+7991</f>
        <v>8210</v>
      </c>
      <c r="Y381" s="41">
        <f t="shared" si="35"/>
        <v>8320933</v>
      </c>
      <c r="AA381" s="1">
        <v>0</v>
      </c>
      <c r="AE381" s="1">
        <v>0</v>
      </c>
      <c r="AG381" s="1">
        <v>0</v>
      </c>
      <c r="AI381" s="1">
        <v>0</v>
      </c>
      <c r="AK381" s="1">
        <f t="shared" si="36"/>
        <v>0</v>
      </c>
      <c r="AM381" s="1">
        <f t="shared" si="37"/>
        <v>8320933</v>
      </c>
    </row>
    <row r="382" spans="1:39" hidden="1">
      <c r="A382" s="17" t="s">
        <v>879</v>
      </c>
      <c r="B382" s="12"/>
      <c r="C382" s="12" t="s">
        <v>14</v>
      </c>
      <c r="D382" s="12"/>
      <c r="E382" s="13">
        <v>45963</v>
      </c>
      <c r="F382" s="8"/>
      <c r="Y382" s="41">
        <f t="shared" si="35"/>
        <v>0</v>
      </c>
      <c r="AK382" s="1">
        <f t="shared" si="36"/>
        <v>0</v>
      </c>
      <c r="AM382" s="1">
        <f t="shared" si="37"/>
        <v>0</v>
      </c>
    </row>
    <row r="383" spans="1:39">
      <c r="A383" s="12" t="s">
        <v>502</v>
      </c>
      <c r="B383" s="12"/>
      <c r="C383" s="12" t="s">
        <v>50</v>
      </c>
      <c r="D383" s="12"/>
      <c r="E383" s="13">
        <v>48710</v>
      </c>
      <c r="G383" s="1">
        <v>3394668</v>
      </c>
      <c r="I383" s="1">
        <v>0</v>
      </c>
      <c r="K383" s="1">
        <f>10587+5964542</f>
        <v>5975129</v>
      </c>
      <c r="M383" s="1">
        <v>10187</v>
      </c>
      <c r="O383" s="1">
        <v>303020</v>
      </c>
      <c r="Q383" s="1">
        <v>22860</v>
      </c>
      <c r="S383" s="1">
        <v>0</v>
      </c>
      <c r="U383" s="1">
        <v>0</v>
      </c>
      <c r="W383" s="1">
        <f>37057+41819</f>
        <v>78876</v>
      </c>
      <c r="Y383" s="41">
        <f t="shared" si="35"/>
        <v>9784740</v>
      </c>
      <c r="AA383" s="1">
        <v>0</v>
      </c>
      <c r="AE383" s="1">
        <v>0</v>
      </c>
      <c r="AG383" s="1">
        <v>0</v>
      </c>
      <c r="AI383" s="1">
        <v>0</v>
      </c>
      <c r="AK383" s="1">
        <f t="shared" si="36"/>
        <v>0</v>
      </c>
      <c r="AM383" s="1">
        <f t="shared" si="37"/>
        <v>9784740</v>
      </c>
    </row>
    <row r="384" spans="1:39" hidden="1">
      <c r="A384" s="12" t="s">
        <v>889</v>
      </c>
      <c r="B384" s="12"/>
      <c r="C384" s="12" t="s">
        <v>524</v>
      </c>
      <c r="D384" s="12"/>
      <c r="E384" s="13">
        <v>44479</v>
      </c>
      <c r="Q384" s="1">
        <v>0</v>
      </c>
      <c r="Y384" s="41">
        <f t="shared" si="35"/>
        <v>0</v>
      </c>
      <c r="AK384" s="1">
        <f t="shared" si="36"/>
        <v>0</v>
      </c>
      <c r="AM384" s="1">
        <f t="shared" si="37"/>
        <v>0</v>
      </c>
    </row>
    <row r="385" spans="1:39">
      <c r="A385" s="12" t="s">
        <v>405</v>
      </c>
      <c r="B385" s="12"/>
      <c r="C385" s="12" t="s">
        <v>37</v>
      </c>
      <c r="D385" s="12"/>
      <c r="E385" s="13">
        <v>47720</v>
      </c>
      <c r="G385" s="1">
        <v>2782333</v>
      </c>
      <c r="I385" s="1">
        <v>0</v>
      </c>
      <c r="K385" s="1">
        <f>5572021+22112</f>
        <v>5594133</v>
      </c>
      <c r="M385" s="1">
        <v>31066</v>
      </c>
      <c r="O385" s="1">
        <v>337975</v>
      </c>
      <c r="Q385" s="1">
        <v>0</v>
      </c>
      <c r="S385" s="1">
        <v>0</v>
      </c>
      <c r="U385" s="1">
        <v>0</v>
      </c>
      <c r="W385" s="1">
        <f>29985+19109</f>
        <v>49094</v>
      </c>
      <c r="Y385" s="41">
        <f t="shared" si="35"/>
        <v>8794601</v>
      </c>
      <c r="AA385" s="1">
        <v>0</v>
      </c>
      <c r="AE385" s="1">
        <v>0</v>
      </c>
      <c r="AG385" s="1">
        <v>0</v>
      </c>
      <c r="AI385" s="1">
        <v>0</v>
      </c>
      <c r="AK385" s="1">
        <f t="shared" si="36"/>
        <v>0</v>
      </c>
      <c r="AM385" s="1">
        <f t="shared" si="37"/>
        <v>8794601</v>
      </c>
    </row>
    <row r="386" spans="1:39">
      <c r="A386" s="12" t="s">
        <v>234</v>
      </c>
      <c r="B386" s="12"/>
      <c r="C386" s="12" t="s">
        <v>227</v>
      </c>
      <c r="D386" s="12"/>
      <c r="E386" s="13">
        <v>46136</v>
      </c>
      <c r="F386" s="8"/>
      <c r="G386" s="1">
        <v>1383252</v>
      </c>
      <c r="I386" s="1">
        <v>0</v>
      </c>
      <c r="K386" s="1">
        <v>4629624</v>
      </c>
      <c r="M386" s="1">
        <v>7102</v>
      </c>
      <c r="O386" s="1">
        <v>0</v>
      </c>
      <c r="Q386" s="1">
        <v>0</v>
      </c>
      <c r="S386" s="1">
        <v>0</v>
      </c>
      <c r="U386" s="1">
        <v>0</v>
      </c>
      <c r="W386" s="1">
        <v>88696</v>
      </c>
      <c r="Y386" s="41">
        <f t="shared" si="35"/>
        <v>6108674</v>
      </c>
      <c r="AA386" s="1">
        <v>0</v>
      </c>
      <c r="AE386" s="1">
        <v>177150</v>
      </c>
      <c r="AG386" s="1">
        <v>0</v>
      </c>
      <c r="AI386" s="1">
        <v>0</v>
      </c>
      <c r="AK386" s="1">
        <f t="shared" si="36"/>
        <v>177150</v>
      </c>
      <c r="AM386" s="1">
        <f t="shared" si="37"/>
        <v>6285824</v>
      </c>
    </row>
    <row r="387" spans="1:39">
      <c r="A387" s="12" t="s">
        <v>622</v>
      </c>
      <c r="B387" s="12"/>
      <c r="C387" s="12" t="s">
        <v>65</v>
      </c>
      <c r="D387" s="12"/>
      <c r="E387" s="13">
        <v>44487</v>
      </c>
      <c r="G387" s="1">
        <v>11072716</v>
      </c>
      <c r="I387" s="1">
        <v>0</v>
      </c>
      <c r="K387" s="1">
        <v>10959761</v>
      </c>
      <c r="M387" s="1">
        <v>67591</v>
      </c>
      <c r="O387" s="1">
        <v>78555</v>
      </c>
      <c r="Q387" s="1">
        <v>0</v>
      </c>
      <c r="S387" s="1">
        <v>0</v>
      </c>
      <c r="U387" s="1">
        <v>0</v>
      </c>
      <c r="W387" s="1">
        <v>467733</v>
      </c>
      <c r="Y387" s="41">
        <f t="shared" si="35"/>
        <v>22646356</v>
      </c>
      <c r="AA387" s="1">
        <v>0</v>
      </c>
      <c r="AE387" s="1">
        <v>0</v>
      </c>
      <c r="AG387" s="1">
        <v>0</v>
      </c>
      <c r="AI387" s="1">
        <v>0</v>
      </c>
      <c r="AK387" s="1">
        <f t="shared" si="36"/>
        <v>0</v>
      </c>
      <c r="AM387" s="1">
        <f t="shared" si="37"/>
        <v>22646356</v>
      </c>
    </row>
    <row r="388" spans="1:39">
      <c r="A388" s="12" t="s">
        <v>256</v>
      </c>
      <c r="B388" s="12"/>
      <c r="C388" s="12" t="s">
        <v>115</v>
      </c>
      <c r="D388" s="12"/>
      <c r="E388" s="13">
        <v>45559</v>
      </c>
      <c r="F388" s="8"/>
      <c r="G388" s="1">
        <v>12733037</v>
      </c>
      <c r="I388" s="1">
        <v>0</v>
      </c>
      <c r="K388" s="1">
        <v>13018014</v>
      </c>
      <c r="M388" s="1">
        <v>335124</v>
      </c>
      <c r="O388" s="1">
        <v>894753</v>
      </c>
      <c r="Q388" s="1">
        <v>0</v>
      </c>
      <c r="S388" s="1">
        <v>0</v>
      </c>
      <c r="U388" s="1">
        <v>0</v>
      </c>
      <c r="W388" s="1">
        <v>152812</v>
      </c>
      <c r="Y388" s="41">
        <f t="shared" si="35"/>
        <v>27133740</v>
      </c>
      <c r="AA388" s="1">
        <v>0</v>
      </c>
      <c r="AE388" s="1">
        <v>0</v>
      </c>
      <c r="AG388" s="1">
        <v>0</v>
      </c>
      <c r="AI388" s="1">
        <v>0</v>
      </c>
      <c r="AK388" s="1">
        <f t="shared" si="36"/>
        <v>0</v>
      </c>
      <c r="AM388" s="1">
        <f t="shared" si="37"/>
        <v>27133740</v>
      </c>
    </row>
    <row r="389" spans="1:39" hidden="1">
      <c r="A389" s="12" t="s">
        <v>888</v>
      </c>
      <c r="B389" s="12"/>
      <c r="C389" s="12" t="s">
        <v>60</v>
      </c>
      <c r="D389" s="12"/>
      <c r="E389" s="13">
        <v>49718</v>
      </c>
      <c r="Y389" s="41">
        <f t="shared" si="35"/>
        <v>0</v>
      </c>
      <c r="AK389" s="1">
        <f t="shared" si="36"/>
        <v>0</v>
      </c>
      <c r="AM389" s="1">
        <f t="shared" si="37"/>
        <v>0</v>
      </c>
    </row>
    <row r="390" spans="1:39">
      <c r="A390" s="12" t="s">
        <v>431</v>
      </c>
      <c r="B390" s="12"/>
      <c r="C390" s="12" t="s">
        <v>42</v>
      </c>
      <c r="D390" s="12"/>
      <c r="E390" s="12">
        <v>44453</v>
      </c>
      <c r="G390" s="1">
        <v>19016776</v>
      </c>
      <c r="I390" s="1">
        <v>7124975</v>
      </c>
      <c r="K390" s="1">
        <f>4657+27877523+458264</f>
        <v>28340444</v>
      </c>
      <c r="M390" s="1">
        <v>176533</v>
      </c>
      <c r="O390" s="1">
        <v>643778</v>
      </c>
      <c r="Q390" s="1">
        <v>207157</v>
      </c>
      <c r="S390" s="1">
        <v>0</v>
      </c>
      <c r="U390" s="1">
        <v>0</v>
      </c>
      <c r="W390" s="1">
        <f>94614+159170+548839</f>
        <v>802623</v>
      </c>
      <c r="Y390" s="41">
        <f>SUM(G390:X390)</f>
        <v>56312286</v>
      </c>
      <c r="AA390" s="1">
        <v>150000</v>
      </c>
      <c r="AE390" s="1">
        <v>0</v>
      </c>
      <c r="AG390" s="1">
        <v>84610</v>
      </c>
      <c r="AI390" s="1">
        <v>0</v>
      </c>
      <c r="AK390" s="1">
        <f>SUM(AA390:AJ390)</f>
        <v>234610</v>
      </c>
      <c r="AM390" s="1">
        <f t="shared" si="37"/>
        <v>56546896</v>
      </c>
    </row>
    <row r="391" spans="1:39" s="16" customFormat="1">
      <c r="A391" s="14" t="s">
        <v>355</v>
      </c>
      <c r="B391" s="14"/>
      <c r="C391" s="14" t="s">
        <v>30</v>
      </c>
      <c r="D391" s="14"/>
      <c r="E391" s="13">
        <v>47217</v>
      </c>
      <c r="G391" s="1">
        <v>4879490</v>
      </c>
      <c r="H391" s="1"/>
      <c r="I391" s="1">
        <v>0</v>
      </c>
      <c r="J391" s="1"/>
      <c r="K391" s="1">
        <v>2310024</v>
      </c>
      <c r="L391" s="1"/>
      <c r="M391" s="1">
        <v>34485</v>
      </c>
      <c r="N391" s="1"/>
      <c r="O391" s="1">
        <v>259265</v>
      </c>
      <c r="P391" s="1"/>
      <c r="Q391" s="1">
        <v>37805</v>
      </c>
      <c r="R391" s="1"/>
      <c r="S391" s="1">
        <v>0</v>
      </c>
      <c r="T391" s="1"/>
      <c r="U391" s="1">
        <v>550</v>
      </c>
      <c r="V391" s="1"/>
      <c r="W391" s="1">
        <f>10400+72796</f>
        <v>83196</v>
      </c>
      <c r="X391" s="1"/>
      <c r="Y391" s="41">
        <f t="shared" ref="Y391:Y403" si="40">SUM(G391:X391)</f>
        <v>7604815</v>
      </c>
      <c r="Z391" s="1"/>
      <c r="AA391" s="1">
        <v>0</v>
      </c>
      <c r="AB391" s="1"/>
      <c r="AC391" s="1"/>
      <c r="AD391" s="1"/>
      <c r="AE391" s="1">
        <v>0</v>
      </c>
      <c r="AF391" s="1"/>
      <c r="AG391" s="1">
        <v>0</v>
      </c>
      <c r="AH391" s="1"/>
      <c r="AI391" s="1">
        <v>0</v>
      </c>
      <c r="AJ391" s="1"/>
      <c r="AK391" s="1">
        <v>0</v>
      </c>
      <c r="AL391" s="1"/>
      <c r="AM391" s="1">
        <f t="shared" si="37"/>
        <v>7604815</v>
      </c>
    </row>
    <row r="392" spans="1:39">
      <c r="A392" s="12" t="s">
        <v>623</v>
      </c>
      <c r="B392" s="12"/>
      <c r="C392" s="12" t="s">
        <v>65</v>
      </c>
      <c r="D392" s="12"/>
      <c r="E392" s="13">
        <v>45542</v>
      </c>
      <c r="G392" s="1">
        <v>2500636</v>
      </c>
      <c r="I392" s="1">
        <v>0</v>
      </c>
      <c r="K392" s="1">
        <v>6170416</v>
      </c>
      <c r="M392" s="1">
        <v>187</v>
      </c>
      <c r="O392" s="1">
        <v>794488</v>
      </c>
      <c r="Q392" s="1">
        <v>0</v>
      </c>
      <c r="S392" s="1">
        <v>0</v>
      </c>
      <c r="U392" s="1">
        <v>0</v>
      </c>
      <c r="W392" s="1">
        <v>126588</v>
      </c>
      <c r="Y392" s="41">
        <f t="shared" si="40"/>
        <v>9592315</v>
      </c>
      <c r="AA392" s="1">
        <v>2297</v>
      </c>
      <c r="AE392" s="1">
        <v>0</v>
      </c>
      <c r="AG392" s="1">
        <v>0</v>
      </c>
      <c r="AI392" s="1">
        <v>0</v>
      </c>
      <c r="AK392" s="1">
        <f t="shared" ref="AK392:AK403" si="41">SUM(AA392:AJ392)</f>
        <v>2297</v>
      </c>
      <c r="AM392" s="1">
        <f t="shared" si="37"/>
        <v>9594612</v>
      </c>
    </row>
    <row r="393" spans="1:39">
      <c r="A393" s="12" t="s">
        <v>614</v>
      </c>
      <c r="B393" s="12"/>
      <c r="C393" s="12" t="s">
        <v>64</v>
      </c>
      <c r="D393" s="12"/>
      <c r="E393" s="13">
        <v>45567</v>
      </c>
      <c r="G393" s="1">
        <v>2652545</v>
      </c>
      <c r="I393" s="1">
        <v>0</v>
      </c>
      <c r="K393" s="1">
        <v>7792078</v>
      </c>
      <c r="M393" s="1">
        <v>14545</v>
      </c>
      <c r="O393" s="1">
        <v>315449</v>
      </c>
      <c r="Q393" s="1">
        <v>0</v>
      </c>
      <c r="S393" s="1">
        <v>0</v>
      </c>
      <c r="U393" s="1">
        <v>0</v>
      </c>
      <c r="W393" s="1">
        <f>775+166529</f>
        <v>167304</v>
      </c>
      <c r="Y393" s="41">
        <f t="shared" si="40"/>
        <v>10941921</v>
      </c>
      <c r="AA393" s="1">
        <v>0</v>
      </c>
      <c r="AE393" s="1">
        <v>0</v>
      </c>
      <c r="AG393" s="1">
        <v>0</v>
      </c>
      <c r="AI393" s="1">
        <v>0</v>
      </c>
      <c r="AK393" s="1">
        <f t="shared" si="41"/>
        <v>0</v>
      </c>
      <c r="AM393" s="1">
        <f t="shared" si="37"/>
        <v>10941921</v>
      </c>
    </row>
    <row r="394" spans="1:39" hidden="1">
      <c r="A394" s="12" t="s">
        <v>946</v>
      </c>
      <c r="B394" s="12"/>
      <c r="C394" s="12" t="s">
        <v>48</v>
      </c>
      <c r="D394" s="12"/>
      <c r="E394" s="13">
        <v>48637</v>
      </c>
      <c r="U394" s="1">
        <v>0</v>
      </c>
      <c r="Y394" s="41">
        <f t="shared" si="40"/>
        <v>0</v>
      </c>
      <c r="AI394" s="1">
        <v>0</v>
      </c>
      <c r="AK394" s="1">
        <f t="shared" si="41"/>
        <v>0</v>
      </c>
      <c r="AM394" s="1">
        <f t="shared" ref="AM394:AM406" si="42">+AK394+Y394</f>
        <v>0</v>
      </c>
    </row>
    <row r="395" spans="1:39">
      <c r="A395" s="12" t="s">
        <v>723</v>
      </c>
      <c r="B395" s="12"/>
      <c r="C395" s="12" t="s">
        <v>64</v>
      </c>
      <c r="D395" s="12"/>
      <c r="E395" s="13"/>
      <c r="G395" s="1">
        <v>6869768</v>
      </c>
      <c r="I395" s="1">
        <v>0</v>
      </c>
      <c r="K395" s="1">
        <v>14704301</v>
      </c>
      <c r="M395" s="1">
        <v>18292</v>
      </c>
      <c r="O395" s="1">
        <v>787325</v>
      </c>
      <c r="Q395" s="1">
        <v>0</v>
      </c>
      <c r="S395" s="1">
        <v>0</v>
      </c>
      <c r="U395" s="1">
        <v>0</v>
      </c>
      <c r="W395" s="1">
        <f>90315+24100+310713</f>
        <v>425128</v>
      </c>
      <c r="Y395" s="41">
        <f t="shared" si="40"/>
        <v>22804814</v>
      </c>
      <c r="AA395" s="1">
        <v>0</v>
      </c>
      <c r="AE395" s="1">
        <v>0</v>
      </c>
      <c r="AG395" s="1">
        <v>0</v>
      </c>
      <c r="AI395" s="1">
        <v>0</v>
      </c>
      <c r="AK395" s="1">
        <f t="shared" si="41"/>
        <v>0</v>
      </c>
      <c r="AM395" s="1">
        <f t="shared" si="42"/>
        <v>22804814</v>
      </c>
    </row>
    <row r="396" spans="1:39">
      <c r="A396" s="12" t="s">
        <v>518</v>
      </c>
      <c r="B396" s="12"/>
      <c r="C396" s="12" t="s">
        <v>52</v>
      </c>
      <c r="D396" s="12"/>
      <c r="E396" s="13">
        <v>48900</v>
      </c>
      <c r="G396" s="1">
        <v>2617221</v>
      </c>
      <c r="I396" s="1">
        <v>0</v>
      </c>
      <c r="K396" s="1">
        <v>5805338</v>
      </c>
      <c r="M396" s="1">
        <v>15621</v>
      </c>
      <c r="O396" s="1">
        <v>729895</v>
      </c>
      <c r="Q396" s="1">
        <v>11173</v>
      </c>
      <c r="S396" s="1">
        <v>0</v>
      </c>
      <c r="U396" s="1">
        <v>1295</v>
      </c>
      <c r="W396" s="1">
        <f>1540+14299</f>
        <v>15839</v>
      </c>
      <c r="Y396" s="41">
        <f t="shared" si="40"/>
        <v>9196382</v>
      </c>
      <c r="AA396" s="1">
        <v>0</v>
      </c>
      <c r="AE396" s="1">
        <v>0</v>
      </c>
      <c r="AG396" s="1">
        <v>0</v>
      </c>
      <c r="AI396" s="1">
        <v>0</v>
      </c>
      <c r="AK396" s="1">
        <f t="shared" si="41"/>
        <v>0</v>
      </c>
      <c r="AM396" s="1">
        <f t="shared" si="42"/>
        <v>9196382</v>
      </c>
    </row>
    <row r="397" spans="1:39">
      <c r="A397" s="12" t="s">
        <v>592</v>
      </c>
      <c r="B397" s="12"/>
      <c r="C397" s="12" t="s">
        <v>63</v>
      </c>
      <c r="D397" s="12"/>
      <c r="E397" s="13">
        <v>50047</v>
      </c>
      <c r="G397" s="1">
        <v>23500146</v>
      </c>
      <c r="I397" s="1">
        <v>0</v>
      </c>
      <c r="K397" s="1">
        <v>11676673</v>
      </c>
      <c r="M397" s="1">
        <v>42416</v>
      </c>
      <c r="O397" s="1">
        <v>383842</v>
      </c>
      <c r="Q397" s="1">
        <v>224470</v>
      </c>
      <c r="S397" s="1">
        <v>0</v>
      </c>
      <c r="U397" s="1">
        <v>0</v>
      </c>
      <c r="W397" s="1">
        <f>100331+135597</f>
        <v>235928</v>
      </c>
      <c r="Y397" s="41">
        <f t="shared" si="40"/>
        <v>36063475</v>
      </c>
      <c r="AA397" s="1">
        <v>0</v>
      </c>
      <c r="AE397" s="1">
        <v>0</v>
      </c>
      <c r="AG397" s="1">
        <v>0</v>
      </c>
      <c r="AI397" s="1">
        <v>0</v>
      </c>
      <c r="AK397" s="1">
        <f t="shared" si="41"/>
        <v>0</v>
      </c>
      <c r="AM397" s="1">
        <f t="shared" si="42"/>
        <v>36063475</v>
      </c>
    </row>
    <row r="398" spans="1:39">
      <c r="A398" s="12" t="s">
        <v>648</v>
      </c>
      <c r="B398" s="12"/>
      <c r="C398" s="12" t="s">
        <v>72</v>
      </c>
      <c r="D398" s="12"/>
      <c r="E398" s="13">
        <v>50708</v>
      </c>
      <c r="G398" s="1">
        <v>2545822</v>
      </c>
      <c r="I398" s="1">
        <v>0</v>
      </c>
      <c r="K398" s="1">
        <v>4251300</v>
      </c>
      <c r="M398" s="1">
        <v>3167</v>
      </c>
      <c r="O398" s="1">
        <v>144486</v>
      </c>
      <c r="Q398" s="1">
        <v>0</v>
      </c>
      <c r="S398" s="1">
        <v>0</v>
      </c>
      <c r="U398" s="1">
        <v>0</v>
      </c>
      <c r="W398" s="1">
        <v>98786</v>
      </c>
      <c r="Y398" s="41">
        <f t="shared" si="40"/>
        <v>7043561</v>
      </c>
      <c r="AA398" s="1">
        <v>0</v>
      </c>
      <c r="AE398" s="1">
        <v>0</v>
      </c>
      <c r="AG398" s="1">
        <v>0</v>
      </c>
      <c r="AI398" s="1">
        <v>0</v>
      </c>
      <c r="AK398" s="1">
        <f t="shared" si="41"/>
        <v>0</v>
      </c>
      <c r="AM398" s="1">
        <f t="shared" si="42"/>
        <v>7043561</v>
      </c>
    </row>
    <row r="399" spans="1:39" hidden="1">
      <c r="A399" s="17" t="s">
        <v>887</v>
      </c>
      <c r="B399" s="12"/>
      <c r="C399" s="12" t="s">
        <v>53</v>
      </c>
      <c r="D399" s="12"/>
      <c r="E399" s="13">
        <v>48967</v>
      </c>
      <c r="Y399" s="41">
        <f t="shared" si="40"/>
        <v>0</v>
      </c>
      <c r="AK399" s="1">
        <f t="shared" si="41"/>
        <v>0</v>
      </c>
      <c r="AM399" s="1">
        <f t="shared" si="42"/>
        <v>0</v>
      </c>
    </row>
    <row r="400" spans="1:39">
      <c r="A400" s="12" t="s">
        <v>582</v>
      </c>
      <c r="B400" s="12"/>
      <c r="C400" s="12" t="s">
        <v>62</v>
      </c>
      <c r="D400" s="12"/>
      <c r="E400" s="13">
        <v>44503</v>
      </c>
      <c r="G400" s="1">
        <v>19523164</v>
      </c>
      <c r="I400" s="1">
        <v>0</v>
      </c>
      <c r="K400" s="1">
        <v>18099584</v>
      </c>
      <c r="M400" s="1">
        <v>95632</v>
      </c>
      <c r="O400" s="1">
        <v>395819</v>
      </c>
      <c r="Q400" s="1">
        <v>22709</v>
      </c>
      <c r="S400" s="1">
        <v>0</v>
      </c>
      <c r="U400" s="1">
        <v>5000</v>
      </c>
      <c r="W400" s="1">
        <f>126237+41377+149718+3</f>
        <v>317335</v>
      </c>
      <c r="Y400" s="41">
        <f t="shared" si="40"/>
        <v>38459243</v>
      </c>
      <c r="AA400" s="1">
        <v>0</v>
      </c>
      <c r="AE400" s="1">
        <v>0</v>
      </c>
      <c r="AG400" s="1">
        <v>0</v>
      </c>
      <c r="AI400" s="1">
        <v>0</v>
      </c>
      <c r="AK400" s="1">
        <f t="shared" si="41"/>
        <v>0</v>
      </c>
      <c r="AM400" s="1">
        <f t="shared" si="42"/>
        <v>38459243</v>
      </c>
    </row>
    <row r="401" spans="1:39" hidden="1">
      <c r="A401" s="17" t="s">
        <v>886</v>
      </c>
      <c r="B401" s="12"/>
      <c r="C401" s="12" t="s">
        <v>643</v>
      </c>
      <c r="D401" s="12"/>
      <c r="E401" s="13">
        <v>50641</v>
      </c>
      <c r="Y401" s="41">
        <f t="shared" si="40"/>
        <v>0</v>
      </c>
      <c r="AK401" s="1">
        <f t="shared" si="41"/>
        <v>0</v>
      </c>
      <c r="AM401" s="1">
        <f t="shared" si="42"/>
        <v>0</v>
      </c>
    </row>
    <row r="402" spans="1:39">
      <c r="A402" s="12" t="s">
        <v>369</v>
      </c>
      <c r="B402" s="12"/>
      <c r="C402" s="12" t="s">
        <v>32</v>
      </c>
      <c r="D402" s="12"/>
      <c r="E402" s="13">
        <v>44511</v>
      </c>
      <c r="G402" s="1">
        <v>3941090</v>
      </c>
      <c r="I402" s="1">
        <v>0</v>
      </c>
      <c r="K402" s="1">
        <v>7975426</v>
      </c>
      <c r="M402" s="1">
        <v>0</v>
      </c>
      <c r="O402" s="1">
        <v>97483</v>
      </c>
      <c r="Q402" s="1">
        <v>0</v>
      </c>
      <c r="S402" s="1">
        <v>0</v>
      </c>
      <c r="U402" s="1">
        <v>0</v>
      </c>
      <c r="W402" s="1">
        <f>97286-23651</f>
        <v>73635</v>
      </c>
      <c r="Y402" s="41">
        <f t="shared" si="40"/>
        <v>12087634</v>
      </c>
      <c r="AA402" s="1">
        <v>0</v>
      </c>
      <c r="AE402" s="1">
        <v>0</v>
      </c>
      <c r="AG402" s="1">
        <v>0</v>
      </c>
      <c r="AI402" s="1">
        <v>0</v>
      </c>
      <c r="AK402" s="1">
        <f t="shared" si="41"/>
        <v>0</v>
      </c>
      <c r="AM402" s="1">
        <f t="shared" si="42"/>
        <v>12087634</v>
      </c>
    </row>
    <row r="403" spans="1:39">
      <c r="A403" s="12" t="s">
        <v>432</v>
      </c>
      <c r="B403" s="12"/>
      <c r="C403" s="12" t="s">
        <v>42</v>
      </c>
      <c r="D403" s="12"/>
      <c r="E403" s="13">
        <v>48025</v>
      </c>
      <c r="G403" s="1">
        <v>5487875</v>
      </c>
      <c r="I403" s="1">
        <v>0</v>
      </c>
      <c r="K403" s="1">
        <v>8862253</v>
      </c>
      <c r="M403" s="1">
        <v>27310</v>
      </c>
      <c r="O403" s="1">
        <v>718751</v>
      </c>
      <c r="Q403" s="1">
        <v>0</v>
      </c>
      <c r="S403" s="1">
        <v>0</v>
      </c>
      <c r="U403" s="1">
        <v>27069</v>
      </c>
      <c r="W403" s="1">
        <f>321+15418+9888</f>
        <v>25627</v>
      </c>
      <c r="Y403" s="41">
        <f t="shared" si="40"/>
        <v>15148885</v>
      </c>
      <c r="AA403" s="1">
        <v>0</v>
      </c>
      <c r="AE403" s="1">
        <v>0</v>
      </c>
      <c r="AG403" s="1">
        <v>4098</v>
      </c>
      <c r="AI403" s="1">
        <v>0</v>
      </c>
      <c r="AK403" s="1">
        <f t="shared" si="41"/>
        <v>4098</v>
      </c>
      <c r="AM403" s="1">
        <f t="shared" si="42"/>
        <v>15152983</v>
      </c>
    </row>
    <row r="404" spans="1:39">
      <c r="A404" s="12" t="s">
        <v>296</v>
      </c>
      <c r="B404" s="12"/>
      <c r="C404" s="12" t="s">
        <v>20</v>
      </c>
      <c r="D404" s="12"/>
      <c r="E404" s="13">
        <v>44529</v>
      </c>
      <c r="G404" s="1">
        <v>32726237</v>
      </c>
      <c r="I404" s="1">
        <v>0</v>
      </c>
      <c r="K404" s="1">
        <v>14060386</v>
      </c>
      <c r="M404" s="1">
        <v>49538</v>
      </c>
      <c r="O404" s="1">
        <v>732161</v>
      </c>
      <c r="Q404" s="1">
        <v>0</v>
      </c>
      <c r="S404" s="1">
        <v>0</v>
      </c>
      <c r="U404" s="1">
        <v>0</v>
      </c>
      <c r="W404" s="1">
        <v>389116</v>
      </c>
      <c r="Y404" s="41">
        <f t="shared" ref="Y404:Y408" si="43">SUM(G404:X404)</f>
        <v>47957438</v>
      </c>
      <c r="AA404" s="1">
        <v>0</v>
      </c>
      <c r="AE404" s="1">
        <v>0</v>
      </c>
      <c r="AG404" s="1">
        <v>0</v>
      </c>
      <c r="AI404" s="1">
        <v>0</v>
      </c>
      <c r="AK404" s="1">
        <f t="shared" ref="AK404:AK408" si="44">SUM(AA404:AJ404)</f>
        <v>0</v>
      </c>
      <c r="AM404" s="1">
        <f t="shared" si="42"/>
        <v>47957438</v>
      </c>
    </row>
    <row r="405" spans="1:39">
      <c r="A405" s="12" t="s">
        <v>445</v>
      </c>
      <c r="B405" s="12"/>
      <c r="C405" s="12" t="s">
        <v>44</v>
      </c>
      <c r="D405" s="12"/>
      <c r="E405" s="13">
        <v>44537</v>
      </c>
      <c r="G405" s="1">
        <v>12645339</v>
      </c>
      <c r="I405" s="1">
        <v>0</v>
      </c>
      <c r="K405" s="1">
        <v>10912304</v>
      </c>
      <c r="M405" s="1">
        <v>9784</v>
      </c>
      <c r="O405" s="1">
        <v>337888</v>
      </c>
      <c r="Q405" s="1">
        <v>0</v>
      </c>
      <c r="S405" s="1">
        <v>0</v>
      </c>
      <c r="U405" s="1">
        <v>0</v>
      </c>
      <c r="W405" s="1">
        <v>332605</v>
      </c>
      <c r="Y405" s="41">
        <f t="shared" si="43"/>
        <v>24237920</v>
      </c>
      <c r="AA405" s="1">
        <v>0</v>
      </c>
      <c r="AE405" s="1">
        <v>355867</v>
      </c>
      <c r="AG405" s="1">
        <v>0</v>
      </c>
      <c r="AI405" s="1">
        <v>0</v>
      </c>
      <c r="AK405" s="1">
        <f t="shared" si="44"/>
        <v>355867</v>
      </c>
      <c r="AM405" s="1">
        <f t="shared" si="42"/>
        <v>24593787</v>
      </c>
    </row>
    <row r="406" spans="1:39">
      <c r="A406" s="12" t="s">
        <v>297</v>
      </c>
      <c r="B406" s="12"/>
      <c r="C406" s="12" t="s">
        <v>20</v>
      </c>
      <c r="D406" s="12"/>
      <c r="E406" s="13">
        <v>44545</v>
      </c>
      <c r="G406" s="1">
        <v>32018499</v>
      </c>
      <c r="I406" s="1">
        <v>0</v>
      </c>
      <c r="K406" s="1">
        <v>10896050</v>
      </c>
      <c r="M406" s="1">
        <v>159445</v>
      </c>
      <c r="O406" s="1">
        <v>328421</v>
      </c>
      <c r="Q406" s="1">
        <v>165357</v>
      </c>
      <c r="S406" s="1">
        <v>0</v>
      </c>
      <c r="U406" s="1">
        <v>0</v>
      </c>
      <c r="W406" s="1">
        <f>32418+155810</f>
        <v>188228</v>
      </c>
      <c r="Y406" s="41">
        <f t="shared" si="43"/>
        <v>43756000</v>
      </c>
      <c r="AA406" s="1">
        <v>0</v>
      </c>
      <c r="AE406" s="1">
        <v>0</v>
      </c>
      <c r="AG406" s="1">
        <v>10275</v>
      </c>
      <c r="AI406" s="1">
        <v>0</v>
      </c>
      <c r="AK406" s="1">
        <f t="shared" si="44"/>
        <v>10275</v>
      </c>
      <c r="AM406" s="1">
        <f t="shared" si="42"/>
        <v>43766275</v>
      </c>
    </row>
    <row r="407" spans="1:39">
      <c r="A407" s="12" t="s">
        <v>627</v>
      </c>
      <c r="B407" s="12"/>
      <c r="C407" s="12" t="s">
        <v>66</v>
      </c>
      <c r="D407" s="12"/>
      <c r="E407" s="13">
        <v>50336</v>
      </c>
      <c r="G407" s="1">
        <v>3611013</v>
      </c>
      <c r="I407" s="1">
        <v>1547562</v>
      </c>
      <c r="K407" s="1">
        <v>7528326</v>
      </c>
      <c r="M407" s="1">
        <v>433888</v>
      </c>
      <c r="O407" s="1">
        <v>508893</v>
      </c>
      <c r="Q407" s="1">
        <v>0</v>
      </c>
      <c r="S407" s="1">
        <v>0</v>
      </c>
      <c r="U407" s="1">
        <v>0</v>
      </c>
      <c r="W407" s="1">
        <v>27185</v>
      </c>
      <c r="Y407" s="41">
        <f t="shared" si="43"/>
        <v>13656867</v>
      </c>
      <c r="AA407" s="1">
        <v>0</v>
      </c>
      <c r="AE407" s="1">
        <v>0</v>
      </c>
      <c r="AG407" s="1">
        <v>0</v>
      </c>
      <c r="AI407" s="1">
        <v>0</v>
      </c>
      <c r="AK407" s="1">
        <f t="shared" si="44"/>
        <v>0</v>
      </c>
      <c r="AM407" s="1">
        <f t="shared" ref="AM407:AM430" si="45">+AK407+Y407</f>
        <v>13656867</v>
      </c>
    </row>
    <row r="408" spans="1:39">
      <c r="A408" s="12" t="s">
        <v>247</v>
      </c>
      <c r="B408" s="12"/>
      <c r="C408" s="12" t="s">
        <v>17</v>
      </c>
      <c r="D408" s="12"/>
      <c r="E408" s="13">
        <v>46250</v>
      </c>
      <c r="F408" s="8"/>
      <c r="G408" s="1">
        <v>10845083</v>
      </c>
      <c r="I408" s="1">
        <v>0</v>
      </c>
      <c r="K408" s="1">
        <v>15506506</v>
      </c>
      <c r="M408" s="1">
        <v>47675</v>
      </c>
      <c r="O408" s="1">
        <v>1997930</v>
      </c>
      <c r="Q408" s="1">
        <v>0</v>
      </c>
      <c r="S408" s="1">
        <v>0</v>
      </c>
      <c r="U408" s="1">
        <v>0</v>
      </c>
      <c r="W408" s="1">
        <f>1320+11368+31871</f>
        <v>44559</v>
      </c>
      <c r="Y408" s="41">
        <f t="shared" si="43"/>
        <v>28441753</v>
      </c>
      <c r="AA408" s="1">
        <v>0</v>
      </c>
      <c r="AE408" s="1">
        <v>0</v>
      </c>
      <c r="AG408" s="1">
        <v>0</v>
      </c>
      <c r="AI408" s="1">
        <v>0</v>
      </c>
      <c r="AK408" s="1">
        <f t="shared" si="44"/>
        <v>0</v>
      </c>
      <c r="AM408" s="1">
        <f t="shared" si="45"/>
        <v>28441753</v>
      </c>
    </row>
    <row r="409" spans="1:39" s="16" customFormat="1" hidden="1">
      <c r="A409" s="17" t="s">
        <v>882</v>
      </c>
      <c r="B409" s="14"/>
      <c r="C409" s="14" t="s">
        <v>22</v>
      </c>
      <c r="D409" s="14"/>
      <c r="E409" s="14">
        <v>46722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41">
        <f t="shared" ref="Y409:Y430" si="46">SUM(G409:X409)</f>
        <v>0</v>
      </c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>
        <f t="shared" ref="AK409:AK430" si="47">SUM(AA409:AJ409)</f>
        <v>0</v>
      </c>
      <c r="AL409" s="1"/>
      <c r="AM409" s="1">
        <f t="shared" si="45"/>
        <v>0</v>
      </c>
    </row>
    <row r="410" spans="1:39">
      <c r="A410" s="12" t="s">
        <v>503</v>
      </c>
      <c r="B410" s="12"/>
      <c r="C410" s="12" t="s">
        <v>50</v>
      </c>
      <c r="D410" s="12"/>
      <c r="E410" s="13">
        <v>48728</v>
      </c>
      <c r="G410" s="1">
        <v>22664485</v>
      </c>
      <c r="I410" s="1">
        <v>0</v>
      </c>
      <c r="K410" s="1">
        <v>24242042</v>
      </c>
      <c r="M410" s="1">
        <v>29047</v>
      </c>
      <c r="O410" s="1">
        <v>603427</v>
      </c>
      <c r="Q410" s="1">
        <v>0</v>
      </c>
      <c r="S410" s="1">
        <v>0</v>
      </c>
      <c r="U410" s="1">
        <v>0</v>
      </c>
      <c r="W410" s="1">
        <v>22151</v>
      </c>
      <c r="Y410" s="41">
        <f t="shared" si="46"/>
        <v>47561152</v>
      </c>
      <c r="AA410" s="1">
        <v>0</v>
      </c>
      <c r="AE410" s="1">
        <v>0</v>
      </c>
      <c r="AG410" s="1">
        <v>0</v>
      </c>
      <c r="AI410" s="1">
        <v>0</v>
      </c>
      <c r="AK410" s="1">
        <f t="shared" si="47"/>
        <v>0</v>
      </c>
      <c r="AM410" s="1">
        <f t="shared" si="45"/>
        <v>47561152</v>
      </c>
    </row>
    <row r="411" spans="1:39">
      <c r="A411" s="12" t="s">
        <v>510</v>
      </c>
      <c r="B411" s="12"/>
      <c r="C411" s="12" t="s">
        <v>78</v>
      </c>
      <c r="D411" s="12"/>
      <c r="E411" s="13">
        <v>48819</v>
      </c>
      <c r="G411" s="1">
        <v>2859916</v>
      </c>
      <c r="I411" s="1">
        <v>1237323</v>
      </c>
      <c r="K411" s="1">
        <v>5544869</v>
      </c>
      <c r="M411" s="1">
        <v>6380</v>
      </c>
      <c r="O411" s="1">
        <v>555869</v>
      </c>
      <c r="Q411" s="1">
        <v>0</v>
      </c>
      <c r="S411" s="1">
        <v>0</v>
      </c>
      <c r="U411" s="1">
        <v>0</v>
      </c>
      <c r="W411" s="1">
        <f>18717+160+2638</f>
        <v>21515</v>
      </c>
      <c r="Y411" s="41">
        <f t="shared" si="46"/>
        <v>10225872</v>
      </c>
      <c r="AA411" s="1">
        <v>0</v>
      </c>
      <c r="AE411" s="1">
        <v>0</v>
      </c>
      <c r="AG411" s="1">
        <v>0</v>
      </c>
      <c r="AI411" s="1">
        <v>0</v>
      </c>
      <c r="AK411" s="1">
        <f t="shared" si="47"/>
        <v>0</v>
      </c>
      <c r="AM411" s="1">
        <f t="shared" si="45"/>
        <v>10225872</v>
      </c>
    </row>
    <row r="412" spans="1:39">
      <c r="A412" s="12" t="s">
        <v>433</v>
      </c>
      <c r="B412" s="12"/>
      <c r="C412" s="17" t="s">
        <v>50</v>
      </c>
      <c r="D412" s="12"/>
      <c r="E412" s="13">
        <v>48033</v>
      </c>
      <c r="G412" s="1">
        <v>6074280</v>
      </c>
      <c r="I412" s="1">
        <v>0</v>
      </c>
      <c r="K412" s="1">
        <v>10886923</v>
      </c>
      <c r="M412" s="1">
        <v>73818</v>
      </c>
      <c r="O412" s="1">
        <v>1030347</v>
      </c>
      <c r="Q412" s="1">
        <v>3110</v>
      </c>
      <c r="S412" s="1">
        <v>0</v>
      </c>
      <c r="U412" s="1">
        <v>500</v>
      </c>
      <c r="W412" s="1">
        <f>74626+30897</f>
        <v>105523</v>
      </c>
      <c r="Y412" s="41">
        <f t="shared" si="46"/>
        <v>18174501</v>
      </c>
      <c r="AA412" s="1">
        <v>567</v>
      </c>
      <c r="AE412" s="1">
        <v>0</v>
      </c>
      <c r="AG412" s="1">
        <v>0</v>
      </c>
      <c r="AI412" s="1">
        <v>0</v>
      </c>
      <c r="AK412" s="1">
        <f t="shared" si="47"/>
        <v>567</v>
      </c>
      <c r="AM412" s="1">
        <f t="shared" si="45"/>
        <v>18175068</v>
      </c>
    </row>
    <row r="413" spans="1:39">
      <c r="A413" s="12" t="s">
        <v>433</v>
      </c>
      <c r="B413" s="12"/>
      <c r="C413" s="12" t="s">
        <v>42</v>
      </c>
      <c r="D413" s="12"/>
      <c r="E413" s="13">
        <v>48736</v>
      </c>
      <c r="G413" s="1">
        <v>5422592</v>
      </c>
      <c r="I413" s="1">
        <v>2329395</v>
      </c>
      <c r="K413" s="1">
        <v>5177257</v>
      </c>
      <c r="M413" s="1">
        <v>10346</v>
      </c>
      <c r="O413" s="1">
        <v>605782</v>
      </c>
      <c r="Q413" s="1">
        <v>34864</v>
      </c>
      <c r="S413" s="1">
        <v>0</v>
      </c>
      <c r="U413" s="1">
        <v>945</v>
      </c>
      <c r="W413" s="1">
        <f>54972+9298</f>
        <v>64270</v>
      </c>
      <c r="Y413" s="41">
        <f t="shared" si="46"/>
        <v>13645451</v>
      </c>
      <c r="AA413" s="1">
        <v>0</v>
      </c>
      <c r="AE413" s="1">
        <v>0</v>
      </c>
      <c r="AG413" s="1">
        <v>0</v>
      </c>
      <c r="AI413" s="1">
        <v>0</v>
      </c>
      <c r="AK413" s="1">
        <f t="shared" si="47"/>
        <v>0</v>
      </c>
      <c r="AM413" s="1">
        <f t="shared" si="45"/>
        <v>13645451</v>
      </c>
    </row>
    <row r="414" spans="1:39">
      <c r="A414" s="12" t="s">
        <v>370</v>
      </c>
      <c r="B414" s="12"/>
      <c r="C414" s="12" t="s">
        <v>32</v>
      </c>
      <c r="D414" s="12"/>
      <c r="E414" s="13">
        <v>47365</v>
      </c>
      <c r="G414" s="1">
        <v>36764309</v>
      </c>
      <c r="I414" s="1">
        <v>0</v>
      </c>
      <c r="K414" s="1">
        <v>35657867</v>
      </c>
      <c r="M414" s="1">
        <v>201170</v>
      </c>
      <c r="O414" s="1">
        <v>1615133</v>
      </c>
      <c r="Q414" s="1">
        <v>0</v>
      </c>
      <c r="S414" s="1">
        <v>2983732</v>
      </c>
      <c r="U414" s="1">
        <v>0</v>
      </c>
      <c r="W414" s="1">
        <f>1296581+125029</f>
        <v>1421610</v>
      </c>
      <c r="Y414" s="41">
        <f t="shared" si="46"/>
        <v>78643821</v>
      </c>
      <c r="AA414" s="1">
        <v>0</v>
      </c>
      <c r="AE414" s="1">
        <v>0</v>
      </c>
      <c r="AG414" s="1">
        <v>250</v>
      </c>
      <c r="AI414" s="1">
        <v>0</v>
      </c>
      <c r="AK414" s="1">
        <f t="shared" si="47"/>
        <v>250</v>
      </c>
      <c r="AM414" s="1">
        <f t="shared" si="45"/>
        <v>78644071</v>
      </c>
    </row>
    <row r="415" spans="1:39">
      <c r="A415" s="12" t="s">
        <v>370</v>
      </c>
      <c r="B415" s="12"/>
      <c r="C415" s="12" t="s">
        <v>59</v>
      </c>
      <c r="D415" s="12"/>
      <c r="E415" s="13">
        <v>49635</v>
      </c>
      <c r="G415" s="1">
        <v>1580715</v>
      </c>
      <c r="I415" s="1">
        <v>0</v>
      </c>
      <c r="K415" s="1">
        <v>11661973</v>
      </c>
      <c r="M415" s="1">
        <v>1801</v>
      </c>
      <c r="O415" s="1">
        <v>14102</v>
      </c>
      <c r="Q415" s="1">
        <v>0</v>
      </c>
      <c r="S415" s="1">
        <v>0</v>
      </c>
      <c r="U415" s="1">
        <v>7</v>
      </c>
      <c r="W415" s="1">
        <f>49941+8732+1409</f>
        <v>60082</v>
      </c>
      <c r="Y415" s="41">
        <f t="shared" si="46"/>
        <v>13318680</v>
      </c>
      <c r="AA415" s="1">
        <v>0</v>
      </c>
      <c r="AE415" s="1">
        <v>0</v>
      </c>
      <c r="AG415" s="1">
        <v>6293</v>
      </c>
      <c r="AI415" s="1">
        <v>0</v>
      </c>
      <c r="AK415" s="1">
        <f t="shared" si="47"/>
        <v>6293</v>
      </c>
      <c r="AM415" s="1">
        <f t="shared" si="45"/>
        <v>13324973</v>
      </c>
    </row>
    <row r="416" spans="1:39">
      <c r="A416" s="12" t="s">
        <v>370</v>
      </c>
      <c r="B416" s="12"/>
      <c r="C416" s="12" t="s">
        <v>62</v>
      </c>
      <c r="D416" s="12"/>
      <c r="E416" s="13">
        <v>49908</v>
      </c>
      <c r="G416" s="1">
        <v>6000839</v>
      </c>
      <c r="I416" s="1">
        <v>0</v>
      </c>
      <c r="K416" s="1">
        <f>1078+10050613</f>
        <v>10051691</v>
      </c>
      <c r="M416" s="1">
        <v>229</v>
      </c>
      <c r="O416" s="1">
        <v>333353</v>
      </c>
      <c r="Q416" s="1">
        <v>75450</v>
      </c>
      <c r="S416" s="1">
        <v>0</v>
      </c>
      <c r="U416" s="1">
        <v>0</v>
      </c>
      <c r="W416" s="1">
        <f>273795+15581</f>
        <v>289376</v>
      </c>
      <c r="Y416" s="41">
        <f t="shared" si="46"/>
        <v>16750938</v>
      </c>
      <c r="AA416" s="1">
        <v>0</v>
      </c>
      <c r="AE416" s="1">
        <v>0</v>
      </c>
      <c r="AG416" s="1">
        <v>13330</v>
      </c>
      <c r="AI416" s="1">
        <v>0</v>
      </c>
      <c r="AK416" s="1">
        <f t="shared" si="47"/>
        <v>13330</v>
      </c>
      <c r="AM416" s="1">
        <f t="shared" si="45"/>
        <v>16764268</v>
      </c>
    </row>
    <row r="417" spans="1:39">
      <c r="A417" s="12" t="s">
        <v>248</v>
      </c>
      <c r="B417" s="12"/>
      <c r="C417" s="12" t="s">
        <v>17</v>
      </c>
      <c r="D417" s="12"/>
      <c r="E417" s="12">
        <v>46268</v>
      </c>
      <c r="G417" s="1">
        <v>5497874</v>
      </c>
      <c r="I417" s="1">
        <v>308268</v>
      </c>
      <c r="K417" s="1">
        <v>7148457</v>
      </c>
      <c r="M417" s="1">
        <v>20246</v>
      </c>
      <c r="O417" s="1">
        <v>1181241</v>
      </c>
      <c r="Q417" s="1">
        <v>0</v>
      </c>
      <c r="S417" s="1">
        <v>0</v>
      </c>
      <c r="U417" s="1">
        <v>0</v>
      </c>
      <c r="W417" s="1">
        <f>294043+4208+22782</f>
        <v>321033</v>
      </c>
      <c r="Y417" s="41">
        <f t="shared" si="46"/>
        <v>14477119</v>
      </c>
      <c r="AA417" s="1">
        <v>0</v>
      </c>
      <c r="AE417" s="1">
        <v>0</v>
      </c>
      <c r="AG417" s="1">
        <v>16521</v>
      </c>
      <c r="AI417" s="1">
        <v>0</v>
      </c>
      <c r="AK417" s="1">
        <f t="shared" si="47"/>
        <v>16521</v>
      </c>
      <c r="AM417" s="1">
        <f t="shared" si="45"/>
        <v>14493640</v>
      </c>
    </row>
    <row r="418" spans="1:39" hidden="1">
      <c r="A418" s="17" t="s">
        <v>947</v>
      </c>
      <c r="B418" s="12"/>
      <c r="C418" s="12" t="s">
        <v>71</v>
      </c>
      <c r="D418" s="12"/>
      <c r="E418" s="13"/>
      <c r="Y418" s="41">
        <f t="shared" ref="Y418" si="48">SUM(G418:X418)</f>
        <v>0</v>
      </c>
      <c r="AI418" s="1">
        <v>0</v>
      </c>
      <c r="AK418" s="1">
        <f t="shared" ref="AK418" si="49">SUM(AA418:AJ418)</f>
        <v>0</v>
      </c>
      <c r="AM418" s="1">
        <f t="shared" ref="AM418" si="50">+AK418+Y418</f>
        <v>0</v>
      </c>
    </row>
    <row r="419" spans="1:39">
      <c r="A419" s="12" t="s">
        <v>649</v>
      </c>
      <c r="B419" s="12"/>
      <c r="C419" s="12" t="s">
        <v>72</v>
      </c>
      <c r="D419" s="12"/>
      <c r="E419" s="13">
        <v>50716</v>
      </c>
      <c r="G419" s="1">
        <v>5159115</v>
      </c>
      <c r="I419" s="1">
        <v>0</v>
      </c>
      <c r="K419" s="1">
        <v>3914202</v>
      </c>
      <c r="M419" s="1">
        <v>9763</v>
      </c>
      <c r="O419" s="1">
        <v>367853</v>
      </c>
      <c r="Q419" s="1">
        <v>0</v>
      </c>
      <c r="S419" s="1">
        <v>54738</v>
      </c>
      <c r="U419" s="1">
        <v>4000</v>
      </c>
      <c r="W419" s="1">
        <v>78105</v>
      </c>
      <c r="Y419" s="41">
        <f t="shared" si="46"/>
        <v>9587776</v>
      </c>
      <c r="AA419" s="1">
        <v>0</v>
      </c>
      <c r="AE419" s="1">
        <v>0</v>
      </c>
      <c r="AG419" s="1">
        <v>0</v>
      </c>
      <c r="AI419" s="1">
        <v>0</v>
      </c>
      <c r="AK419" s="1">
        <f t="shared" si="47"/>
        <v>0</v>
      </c>
      <c r="AM419" s="1">
        <f t="shared" si="45"/>
        <v>9587776</v>
      </c>
    </row>
    <row r="420" spans="1:39">
      <c r="A420" s="12" t="s">
        <v>593</v>
      </c>
      <c r="B420" s="12"/>
      <c r="C420" s="12" t="s">
        <v>63</v>
      </c>
      <c r="D420" s="12"/>
      <c r="E420" s="13">
        <v>44552</v>
      </c>
      <c r="G420" s="1">
        <v>7731552</v>
      </c>
      <c r="I420" s="1">
        <v>0</v>
      </c>
      <c r="K420" s="1">
        <v>8924025</v>
      </c>
      <c r="M420" s="1">
        <v>8061</v>
      </c>
      <c r="O420" s="1">
        <v>2930060</v>
      </c>
      <c r="Q420" s="1">
        <v>0</v>
      </c>
      <c r="S420" s="1">
        <v>0</v>
      </c>
      <c r="U420" s="1">
        <v>250</v>
      </c>
      <c r="W420" s="1">
        <f>5950+210656</f>
        <v>216606</v>
      </c>
      <c r="Y420" s="41">
        <f t="shared" si="46"/>
        <v>19810554</v>
      </c>
      <c r="AA420" s="1">
        <v>0</v>
      </c>
      <c r="AE420" s="1">
        <v>0</v>
      </c>
      <c r="AG420" s="1">
        <v>0</v>
      </c>
      <c r="AI420" s="1">
        <v>0</v>
      </c>
      <c r="AK420" s="1">
        <f t="shared" si="47"/>
        <v>0</v>
      </c>
      <c r="AM420" s="1">
        <f t="shared" si="45"/>
        <v>19810554</v>
      </c>
    </row>
    <row r="421" spans="1:39">
      <c r="A421" s="12" t="s">
        <v>406</v>
      </c>
      <c r="B421" s="12"/>
      <c r="C421" s="12" t="s">
        <v>37</v>
      </c>
      <c r="D421" s="12"/>
      <c r="E421" s="13">
        <v>44560</v>
      </c>
      <c r="G421" s="1">
        <v>5808390</v>
      </c>
      <c r="I421" s="1">
        <v>1560595</v>
      </c>
      <c r="K421" s="1">
        <v>12988865</v>
      </c>
      <c r="M421" s="1">
        <v>170400</v>
      </c>
      <c r="O421" s="1">
        <v>773037</v>
      </c>
      <c r="Q421" s="1">
        <v>26662</v>
      </c>
      <c r="S421" s="1">
        <v>0</v>
      </c>
      <c r="U421" s="1">
        <v>37</v>
      </c>
      <c r="W421" s="1">
        <f>36564+12929+199953</f>
        <v>249446</v>
      </c>
      <c r="Y421" s="41">
        <f t="shared" si="46"/>
        <v>21577432</v>
      </c>
      <c r="AA421" s="1">
        <v>0</v>
      </c>
      <c r="AE421" s="1">
        <v>0</v>
      </c>
      <c r="AG421" s="1">
        <v>0</v>
      </c>
      <c r="AI421" s="1">
        <v>0</v>
      </c>
      <c r="AK421" s="1">
        <f t="shared" si="47"/>
        <v>0</v>
      </c>
      <c r="AM421" s="1">
        <f t="shared" si="45"/>
        <v>21577432</v>
      </c>
    </row>
    <row r="422" spans="1:39">
      <c r="A422" s="12" t="s">
        <v>764</v>
      </c>
      <c r="B422" s="12"/>
      <c r="C422" s="12" t="s">
        <v>32</v>
      </c>
      <c r="D422" s="12"/>
      <c r="E422" s="13">
        <v>44578</v>
      </c>
      <c r="G422" s="1">
        <v>11418974</v>
      </c>
      <c r="I422" s="1">
        <v>0</v>
      </c>
      <c r="K422" s="1">
        <v>12283499</v>
      </c>
      <c r="M422" s="1">
        <v>767</v>
      </c>
      <c r="O422" s="1">
        <v>144056</v>
      </c>
      <c r="Q422" s="1">
        <v>0</v>
      </c>
      <c r="S422" s="1">
        <v>245697</v>
      </c>
      <c r="U422" s="1">
        <v>0</v>
      </c>
      <c r="W422" s="1">
        <f>312927+152191</f>
        <v>465118</v>
      </c>
      <c r="Y422" s="41">
        <f t="shared" si="46"/>
        <v>24558111</v>
      </c>
      <c r="AA422" s="1">
        <v>0</v>
      </c>
      <c r="AE422" s="1">
        <v>553500</v>
      </c>
      <c r="AG422" s="1">
        <v>0</v>
      </c>
      <c r="AI422" s="1">
        <v>0</v>
      </c>
      <c r="AK422" s="1">
        <f t="shared" si="47"/>
        <v>553500</v>
      </c>
      <c r="AM422" s="1">
        <f t="shared" si="45"/>
        <v>25111611</v>
      </c>
    </row>
    <row r="423" spans="1:39" hidden="1">
      <c r="A423" s="17" t="s">
        <v>948</v>
      </c>
      <c r="B423" s="17"/>
      <c r="C423" s="17" t="s">
        <v>38</v>
      </c>
      <c r="D423" s="17"/>
      <c r="E423" s="13"/>
      <c r="Y423" s="41">
        <f t="shared" ref="Y423" si="51">SUM(G423:X423)</f>
        <v>0</v>
      </c>
      <c r="AK423" s="1">
        <f t="shared" ref="AK423" si="52">SUM(AA423:AJ423)</f>
        <v>0</v>
      </c>
      <c r="AM423" s="1">
        <f t="shared" ref="AM423" si="53">+AK423+Y423</f>
        <v>0</v>
      </c>
    </row>
    <row r="424" spans="1:39">
      <c r="A424" s="12" t="s">
        <v>371</v>
      </c>
      <c r="B424" s="12"/>
      <c r="C424" s="12" t="s">
        <v>32</v>
      </c>
      <c r="D424" s="12"/>
      <c r="E424" s="13">
        <v>47373</v>
      </c>
      <c r="G424" s="1">
        <v>22284718</v>
      </c>
      <c r="I424" s="1">
        <v>0</v>
      </c>
      <c r="K424" s="1">
        <v>27697566</v>
      </c>
      <c r="M424" s="1">
        <v>360627</v>
      </c>
      <c r="O424" s="1">
        <v>1244577</v>
      </c>
      <c r="Q424" s="1">
        <v>216136</v>
      </c>
      <c r="S424" s="1">
        <v>9861510</v>
      </c>
      <c r="U424" s="1">
        <v>0</v>
      </c>
      <c r="W424" s="1">
        <v>257719</v>
      </c>
      <c r="Y424" s="41">
        <f t="shared" si="46"/>
        <v>61922853</v>
      </c>
      <c r="AA424" s="1">
        <v>0</v>
      </c>
      <c r="AE424" s="1">
        <v>0</v>
      </c>
      <c r="AG424" s="1">
        <v>0</v>
      </c>
      <c r="AI424" s="1">
        <v>0</v>
      </c>
      <c r="AK424" s="1">
        <f t="shared" si="47"/>
        <v>0</v>
      </c>
      <c r="AM424" s="1">
        <f t="shared" si="45"/>
        <v>61922853</v>
      </c>
    </row>
    <row r="425" spans="1:39">
      <c r="A425" s="12" t="s">
        <v>504</v>
      </c>
      <c r="B425" s="12"/>
      <c r="C425" s="12" t="s">
        <v>50</v>
      </c>
      <c r="D425" s="12"/>
      <c r="E425" s="13">
        <v>44586</v>
      </c>
      <c r="G425" s="1">
        <v>12024253</v>
      </c>
      <c r="I425" s="1">
        <v>0</v>
      </c>
      <c r="K425" s="1">
        <v>7598688</v>
      </c>
      <c r="M425" s="1">
        <v>4892</v>
      </c>
      <c r="O425" s="1">
        <v>89301</v>
      </c>
      <c r="Q425" s="1">
        <v>2460</v>
      </c>
      <c r="S425" s="1">
        <v>0</v>
      </c>
      <c r="U425" s="1">
        <v>0</v>
      </c>
      <c r="W425" s="1">
        <v>49293</v>
      </c>
      <c r="Y425" s="41">
        <f t="shared" si="46"/>
        <v>19768887</v>
      </c>
      <c r="AA425" s="1">
        <v>1174385</v>
      </c>
      <c r="AE425" s="1">
        <v>0</v>
      </c>
      <c r="AG425" s="1">
        <v>0</v>
      </c>
      <c r="AI425" s="1">
        <v>0</v>
      </c>
      <c r="AK425" s="1">
        <f t="shared" si="47"/>
        <v>1174385</v>
      </c>
      <c r="AM425" s="1">
        <f t="shared" si="45"/>
        <v>20943272</v>
      </c>
    </row>
    <row r="426" spans="1:39">
      <c r="A426" s="12"/>
      <c r="B426" s="12"/>
      <c r="C426" s="12"/>
      <c r="D426" s="12"/>
      <c r="E426" s="13"/>
      <c r="Y426" s="41"/>
    </row>
    <row r="427" spans="1:39">
      <c r="A427" s="12"/>
      <c r="B427" s="12"/>
      <c r="C427" s="12"/>
      <c r="D427" s="12"/>
      <c r="E427" s="13"/>
      <c r="Y427" s="41"/>
      <c r="AM427" s="20" t="s">
        <v>709</v>
      </c>
    </row>
    <row r="428" spans="1:39">
      <c r="A428" s="12"/>
      <c r="B428" s="12"/>
      <c r="C428" s="12"/>
      <c r="D428" s="12"/>
      <c r="E428" s="13"/>
      <c r="Y428" s="41"/>
    </row>
    <row r="429" spans="1:39">
      <c r="A429" s="12" t="s">
        <v>446</v>
      </c>
      <c r="B429" s="12"/>
      <c r="C429" s="12" t="s">
        <v>44</v>
      </c>
      <c r="D429" s="12"/>
      <c r="E429" s="13">
        <v>44594</v>
      </c>
      <c r="G429" s="16">
        <v>6900780</v>
      </c>
      <c r="H429" s="16"/>
      <c r="I429" s="16">
        <v>0</v>
      </c>
      <c r="J429" s="16"/>
      <c r="K429" s="16">
        <v>4239852</v>
      </c>
      <c r="L429" s="16"/>
      <c r="M429" s="16">
        <v>4068</v>
      </c>
      <c r="N429" s="16"/>
      <c r="O429" s="16">
        <v>330260</v>
      </c>
      <c r="P429" s="16"/>
      <c r="Q429" s="16">
        <v>0</v>
      </c>
      <c r="R429" s="16"/>
      <c r="S429" s="16">
        <v>0</v>
      </c>
      <c r="T429" s="16"/>
      <c r="U429" s="16">
        <v>0</v>
      </c>
      <c r="V429" s="16"/>
      <c r="W429" s="16">
        <v>78363</v>
      </c>
      <c r="X429" s="16"/>
      <c r="Y429" s="59">
        <f t="shared" si="46"/>
        <v>11553323</v>
      </c>
      <c r="Z429" s="16"/>
      <c r="AA429" s="16">
        <v>0</v>
      </c>
      <c r="AB429" s="16"/>
      <c r="AC429" s="16"/>
      <c r="AD429" s="16"/>
      <c r="AE429" s="16">
        <v>147552</v>
      </c>
      <c r="AF429" s="16"/>
      <c r="AG429" s="16">
        <v>7692</v>
      </c>
      <c r="AH429" s="16"/>
      <c r="AI429" s="16">
        <v>0</v>
      </c>
      <c r="AJ429" s="16"/>
      <c r="AK429" s="16">
        <f t="shared" si="47"/>
        <v>155244</v>
      </c>
      <c r="AL429" s="16"/>
      <c r="AM429" s="16">
        <f t="shared" si="45"/>
        <v>11708567</v>
      </c>
    </row>
    <row r="430" spans="1:39" hidden="1">
      <c r="A430" s="12" t="s">
        <v>735</v>
      </c>
      <c r="B430" s="12"/>
      <c r="C430" s="12" t="s">
        <v>60</v>
      </c>
      <c r="D430" s="12"/>
      <c r="E430" s="13">
        <v>49726</v>
      </c>
      <c r="Y430" s="41">
        <f t="shared" si="46"/>
        <v>0</v>
      </c>
      <c r="AK430" s="1">
        <f t="shared" si="47"/>
        <v>0</v>
      </c>
      <c r="AM430" s="1">
        <f t="shared" si="45"/>
        <v>0</v>
      </c>
    </row>
    <row r="431" spans="1:39">
      <c r="A431" s="12" t="s">
        <v>313</v>
      </c>
      <c r="B431" s="12"/>
      <c r="C431" s="12" t="s">
        <v>23</v>
      </c>
      <c r="D431" s="12"/>
      <c r="E431" s="13">
        <v>46763</v>
      </c>
      <c r="F431" s="8"/>
      <c r="G431" s="1">
        <v>108833674</v>
      </c>
      <c r="I431" s="1">
        <v>0</v>
      </c>
      <c r="K431" s="1">
        <v>22795864</v>
      </c>
      <c r="M431" s="1">
        <v>228426</v>
      </c>
      <c r="O431" s="1">
        <v>518815</v>
      </c>
      <c r="Q431" s="1">
        <v>0</v>
      </c>
      <c r="S431" s="1">
        <v>8014579</v>
      </c>
      <c r="U431" s="1">
        <v>0</v>
      </c>
      <c r="W431" s="1">
        <v>556676</v>
      </c>
      <c r="Y431" s="1">
        <f t="shared" ref="Y431:Y446" si="54">SUM(G431:X431)</f>
        <v>140948034</v>
      </c>
      <c r="AA431" s="1">
        <v>0</v>
      </c>
      <c r="AE431" s="1">
        <v>743473</v>
      </c>
      <c r="AG431" s="1">
        <v>0</v>
      </c>
      <c r="AI431" s="1">
        <v>0</v>
      </c>
      <c r="AK431" s="1">
        <f t="shared" ref="AK431:AK462" si="55">SUM(AA431:AJ431)</f>
        <v>743473</v>
      </c>
      <c r="AM431" s="1">
        <f t="shared" ref="AM431:AM494" si="56">+AK431+Y431</f>
        <v>141691507</v>
      </c>
    </row>
    <row r="432" spans="1:39">
      <c r="A432" s="12" t="s">
        <v>298</v>
      </c>
      <c r="B432" s="12"/>
      <c r="C432" s="12" t="s">
        <v>20</v>
      </c>
      <c r="D432" s="12"/>
      <c r="E432" s="13">
        <v>46573</v>
      </c>
      <c r="G432" s="1">
        <v>17708848</v>
      </c>
      <c r="I432" s="1">
        <v>0</v>
      </c>
      <c r="K432" s="1">
        <v>14105983</v>
      </c>
      <c r="M432" s="1">
        <v>85059</v>
      </c>
      <c r="O432" s="1">
        <v>159558</v>
      </c>
      <c r="Q432" s="1">
        <v>0</v>
      </c>
      <c r="S432" s="1">
        <v>0</v>
      </c>
      <c r="U432" s="1">
        <v>0</v>
      </c>
      <c r="W432" s="1">
        <f>203519+13299+170059</f>
        <v>386877</v>
      </c>
      <c r="Y432" s="41">
        <f t="shared" si="54"/>
        <v>32446325</v>
      </c>
      <c r="AA432" s="1">
        <v>419058</v>
      </c>
      <c r="AE432" s="1">
        <v>0</v>
      </c>
      <c r="AG432" s="1">
        <v>0</v>
      </c>
      <c r="AI432" s="1">
        <v>0</v>
      </c>
      <c r="AK432" s="1">
        <f t="shared" si="55"/>
        <v>419058</v>
      </c>
      <c r="AM432" s="1">
        <f t="shared" si="56"/>
        <v>32865383</v>
      </c>
    </row>
    <row r="433" spans="1:39">
      <c r="A433" s="12" t="s">
        <v>546</v>
      </c>
      <c r="B433" s="12"/>
      <c r="C433" s="12" t="s">
        <v>112</v>
      </c>
      <c r="D433" s="12"/>
      <c r="E433" s="13">
        <v>49478</v>
      </c>
      <c r="G433" s="1">
        <v>8061671</v>
      </c>
      <c r="I433" s="1">
        <v>0</v>
      </c>
      <c r="K433" s="1">
        <f>5293391+68199</f>
        <v>5361590</v>
      </c>
      <c r="M433" s="1">
        <v>155422</v>
      </c>
      <c r="O433" s="1">
        <v>63370</v>
      </c>
      <c r="Q433" s="1">
        <v>0</v>
      </c>
      <c r="S433" s="1">
        <v>0</v>
      </c>
      <c r="U433" s="1">
        <v>6000</v>
      </c>
      <c r="W433" s="1">
        <f>106413+27226+12921</f>
        <v>146560</v>
      </c>
      <c r="Y433" s="41">
        <f t="shared" si="54"/>
        <v>13794613</v>
      </c>
      <c r="AA433" s="1">
        <v>0</v>
      </c>
      <c r="AE433" s="1">
        <v>0</v>
      </c>
      <c r="AG433" s="1">
        <v>1010</v>
      </c>
      <c r="AI433" s="1">
        <v>0</v>
      </c>
      <c r="AK433" s="1">
        <f t="shared" si="55"/>
        <v>1010</v>
      </c>
      <c r="AM433" s="1">
        <f t="shared" si="56"/>
        <v>13795623</v>
      </c>
    </row>
    <row r="434" spans="1:39">
      <c r="A434" s="12" t="s">
        <v>299</v>
      </c>
      <c r="B434" s="12"/>
      <c r="C434" s="12" t="s">
        <v>20</v>
      </c>
      <c r="D434" s="12"/>
      <c r="E434" s="13">
        <v>46581</v>
      </c>
      <c r="G434" s="1">
        <v>33465659</v>
      </c>
      <c r="I434" s="1">
        <v>0</v>
      </c>
      <c r="K434" s="1">
        <v>8868157</v>
      </c>
      <c r="M434" s="1">
        <v>552452</v>
      </c>
      <c r="O434" s="1">
        <v>3706766</v>
      </c>
      <c r="Q434" s="1">
        <v>0</v>
      </c>
      <c r="S434" s="1">
        <v>0</v>
      </c>
      <c r="U434" s="1">
        <v>0</v>
      </c>
      <c r="W434" s="1">
        <f>4153+7210+43909+129491</f>
        <v>184763</v>
      </c>
      <c r="Y434" s="41">
        <f t="shared" si="54"/>
        <v>46777797</v>
      </c>
      <c r="AA434" s="1">
        <v>0</v>
      </c>
      <c r="AE434" s="1">
        <v>30255</v>
      </c>
      <c r="AG434" s="1">
        <v>924</v>
      </c>
      <c r="AI434" s="1">
        <v>0</v>
      </c>
      <c r="AK434" s="1">
        <f t="shared" si="55"/>
        <v>31179</v>
      </c>
      <c r="AM434" s="1">
        <f t="shared" si="56"/>
        <v>46808976</v>
      </c>
    </row>
    <row r="435" spans="1:39">
      <c r="A435" s="12" t="s">
        <v>451</v>
      </c>
      <c r="B435" s="12"/>
      <c r="C435" s="12" t="s">
        <v>117</v>
      </c>
      <c r="D435" s="12"/>
      <c r="E435" s="13">
        <v>44602</v>
      </c>
      <c r="G435" s="1">
        <v>19494235</v>
      </c>
      <c r="I435" s="1">
        <v>0</v>
      </c>
      <c r="K435" s="1">
        <f>18404266+42868</f>
        <v>18447134</v>
      </c>
      <c r="M435" s="1">
        <v>46511</v>
      </c>
      <c r="O435" s="1">
        <v>989043</v>
      </c>
      <c r="Q435" s="1">
        <v>59771</v>
      </c>
      <c r="S435" s="1">
        <v>231091</v>
      </c>
      <c r="U435" s="1">
        <v>0</v>
      </c>
      <c r="W435" s="1">
        <f>164081+54079</f>
        <v>218160</v>
      </c>
      <c r="Y435" s="41">
        <f t="shared" si="54"/>
        <v>39485945</v>
      </c>
      <c r="AA435" s="1">
        <v>0</v>
      </c>
      <c r="AE435" s="1">
        <v>0</v>
      </c>
      <c r="AG435" s="1">
        <v>0</v>
      </c>
      <c r="AI435" s="1">
        <v>0</v>
      </c>
      <c r="AK435" s="1">
        <f t="shared" si="55"/>
        <v>0</v>
      </c>
      <c r="AM435" s="1">
        <f t="shared" si="56"/>
        <v>39485945</v>
      </c>
    </row>
    <row r="436" spans="1:39">
      <c r="A436" s="12" t="s">
        <v>641</v>
      </c>
      <c r="B436" s="12"/>
      <c r="C436" s="12" t="s">
        <v>71</v>
      </c>
      <c r="D436" s="12"/>
      <c r="E436" s="13">
        <v>44610</v>
      </c>
      <c r="G436" s="1">
        <v>5541001</v>
      </c>
      <c r="I436" s="1">
        <v>0</v>
      </c>
      <c r="K436" s="1">
        <v>7323317</v>
      </c>
      <c r="M436" s="1">
        <v>4688</v>
      </c>
      <c r="O436" s="1">
        <v>280229</v>
      </c>
      <c r="Q436" s="1">
        <v>16006</v>
      </c>
      <c r="S436" s="1">
        <v>0</v>
      </c>
      <c r="U436" s="1">
        <v>7727</v>
      </c>
      <c r="W436" s="1">
        <f>3360+63832</f>
        <v>67192</v>
      </c>
      <c r="Y436" s="41">
        <f t="shared" si="54"/>
        <v>13240160</v>
      </c>
      <c r="AA436" s="1">
        <v>408148</v>
      </c>
      <c r="AE436" s="1">
        <v>0</v>
      </c>
      <c r="AG436" s="1">
        <v>0</v>
      </c>
      <c r="AI436" s="1">
        <v>0</v>
      </c>
      <c r="AK436" s="1">
        <f t="shared" si="55"/>
        <v>408148</v>
      </c>
      <c r="AM436" s="1">
        <f t="shared" si="56"/>
        <v>13648308</v>
      </c>
    </row>
    <row r="437" spans="1:39">
      <c r="A437" s="12" t="s">
        <v>583</v>
      </c>
      <c r="B437" s="12"/>
      <c r="C437" s="12" t="s">
        <v>62</v>
      </c>
      <c r="D437" s="12"/>
      <c r="E437" s="13">
        <v>49916</v>
      </c>
      <c r="G437" s="1">
        <v>2112686</v>
      </c>
      <c r="I437" s="1">
        <v>0</v>
      </c>
      <c r="K437" s="1">
        <f>4365109+15777</f>
        <v>4380886</v>
      </c>
      <c r="M437" s="1">
        <v>66183</v>
      </c>
      <c r="O437" s="1">
        <v>525251</v>
      </c>
      <c r="Q437" s="1">
        <v>0</v>
      </c>
      <c r="S437" s="1">
        <v>0</v>
      </c>
      <c r="U437" s="1">
        <v>0</v>
      </c>
      <c r="W437" s="1">
        <f>27429+64731</f>
        <v>92160</v>
      </c>
      <c r="Y437" s="41">
        <f t="shared" si="54"/>
        <v>7177166</v>
      </c>
      <c r="AA437" s="1">
        <v>0</v>
      </c>
      <c r="AE437" s="1">
        <v>0</v>
      </c>
      <c r="AG437" s="1">
        <v>4351</v>
      </c>
      <c r="AI437" s="1">
        <v>0</v>
      </c>
      <c r="AK437" s="1">
        <f t="shared" si="55"/>
        <v>4351</v>
      </c>
      <c r="AM437" s="1">
        <f t="shared" si="56"/>
        <v>7181517</v>
      </c>
    </row>
    <row r="438" spans="1:39">
      <c r="A438" s="12" t="s">
        <v>650</v>
      </c>
      <c r="B438" s="12"/>
      <c r="C438" s="12" t="s">
        <v>72</v>
      </c>
      <c r="D438" s="12"/>
      <c r="E438" s="13">
        <v>50724</v>
      </c>
      <c r="G438" s="1">
        <v>3815144</v>
      </c>
      <c r="I438" s="1">
        <v>2237575</v>
      </c>
      <c r="K438" s="1">
        <v>6061351</v>
      </c>
      <c r="M438" s="1">
        <v>7112</v>
      </c>
      <c r="O438" s="1">
        <v>539709</v>
      </c>
      <c r="Q438" s="1">
        <v>23935</v>
      </c>
      <c r="S438" s="1">
        <v>0</v>
      </c>
      <c r="U438" s="1">
        <v>9600</v>
      </c>
      <c r="W438" s="1">
        <v>60186</v>
      </c>
      <c r="Y438" s="41">
        <f t="shared" si="54"/>
        <v>12754612</v>
      </c>
      <c r="AA438" s="1">
        <v>0</v>
      </c>
      <c r="AE438" s="1">
        <v>0</v>
      </c>
      <c r="AG438" s="1">
        <v>0</v>
      </c>
      <c r="AI438" s="1">
        <v>0</v>
      </c>
      <c r="AK438" s="1">
        <f t="shared" si="55"/>
        <v>0</v>
      </c>
      <c r="AM438" s="1">
        <f t="shared" si="56"/>
        <v>12754612</v>
      </c>
    </row>
    <row r="439" spans="1:39">
      <c r="A439" s="12" t="s">
        <v>452</v>
      </c>
      <c r="B439" s="12"/>
      <c r="C439" s="12" t="s">
        <v>117</v>
      </c>
      <c r="D439" s="12"/>
      <c r="E439" s="13">
        <v>48215</v>
      </c>
      <c r="G439" s="1">
        <v>8745807</v>
      </c>
      <c r="I439" s="1">
        <v>0</v>
      </c>
      <c r="K439" s="1">
        <v>3069302</v>
      </c>
      <c r="M439" s="1">
        <v>88709</v>
      </c>
      <c r="O439" s="1">
        <v>117064</v>
      </c>
      <c r="Q439" s="1">
        <v>51377</v>
      </c>
      <c r="S439" s="1">
        <v>0</v>
      </c>
      <c r="U439" s="1">
        <v>0</v>
      </c>
      <c r="W439" s="1">
        <f>23622+41816+2326</f>
        <v>67764</v>
      </c>
      <c r="Y439" s="41">
        <f t="shared" si="54"/>
        <v>12140023</v>
      </c>
      <c r="AA439" s="1">
        <v>75000</v>
      </c>
      <c r="AE439" s="1">
        <v>0</v>
      </c>
      <c r="AG439" s="1">
        <v>26742</v>
      </c>
      <c r="AI439" s="1">
        <v>0</v>
      </c>
      <c r="AK439" s="1">
        <f t="shared" si="55"/>
        <v>101742</v>
      </c>
      <c r="AM439" s="1">
        <f t="shared" si="56"/>
        <v>12241765</v>
      </c>
    </row>
    <row r="440" spans="1:39" hidden="1">
      <c r="A440" s="12" t="s">
        <v>885</v>
      </c>
      <c r="B440" s="12"/>
      <c r="C440" s="12" t="s">
        <v>542</v>
      </c>
      <c r="D440" s="12"/>
      <c r="E440" s="13">
        <v>49379</v>
      </c>
      <c r="Y440" s="41">
        <f t="shared" si="54"/>
        <v>0</v>
      </c>
      <c r="AI440" s="1">
        <v>0</v>
      </c>
      <c r="AK440" s="1">
        <f t="shared" si="55"/>
        <v>0</v>
      </c>
      <c r="AM440" s="1">
        <f t="shared" si="56"/>
        <v>0</v>
      </c>
    </row>
    <row r="441" spans="1:39" hidden="1">
      <c r="A441" s="12" t="s">
        <v>884</v>
      </c>
      <c r="B441" s="12"/>
      <c r="C441" s="12" t="s">
        <v>542</v>
      </c>
      <c r="D441" s="12"/>
      <c r="E441" s="13">
        <v>49387</v>
      </c>
      <c r="Y441" s="41">
        <f t="shared" si="54"/>
        <v>0</v>
      </c>
      <c r="AI441" s="1">
        <v>0</v>
      </c>
      <c r="AK441" s="1">
        <f t="shared" si="55"/>
        <v>0</v>
      </c>
      <c r="AM441" s="1">
        <f t="shared" si="56"/>
        <v>0</v>
      </c>
    </row>
    <row r="442" spans="1:39">
      <c r="A442" s="12" t="s">
        <v>417</v>
      </c>
      <c r="B442" s="12"/>
      <c r="C442" s="12" t="s">
        <v>41</v>
      </c>
      <c r="D442" s="12"/>
      <c r="E442" s="13">
        <v>44628</v>
      </c>
      <c r="G442" s="1">
        <v>8471252</v>
      </c>
      <c r="I442" s="1">
        <v>0</v>
      </c>
      <c r="K442" s="1">
        <v>20854354</v>
      </c>
      <c r="M442" s="1">
        <v>11491</v>
      </c>
      <c r="O442" s="1">
        <v>1123281</v>
      </c>
      <c r="Q442" s="1">
        <v>2004</v>
      </c>
      <c r="S442" s="1">
        <v>0</v>
      </c>
      <c r="U442" s="1">
        <v>0</v>
      </c>
      <c r="W442" s="1">
        <v>92002</v>
      </c>
      <c r="Y442" s="41">
        <f t="shared" si="54"/>
        <v>30554384</v>
      </c>
      <c r="AA442" s="1">
        <v>0</v>
      </c>
      <c r="AE442" s="1">
        <v>0</v>
      </c>
      <c r="AG442" s="1">
        <v>6253</v>
      </c>
      <c r="AI442" s="1">
        <v>0</v>
      </c>
      <c r="AK442" s="1">
        <f t="shared" si="55"/>
        <v>6253</v>
      </c>
      <c r="AM442" s="1">
        <f t="shared" si="56"/>
        <v>30560637</v>
      </c>
    </row>
    <row r="443" spans="1:39" hidden="1">
      <c r="A443" s="17" t="s">
        <v>852</v>
      </c>
      <c r="B443" s="12"/>
      <c r="C443" s="12" t="s">
        <v>41</v>
      </c>
      <c r="D443" s="12"/>
      <c r="E443" s="13">
        <v>47894</v>
      </c>
      <c r="Y443" s="41">
        <f t="shared" si="54"/>
        <v>0</v>
      </c>
      <c r="AI443" s="1">
        <v>0</v>
      </c>
      <c r="AK443" s="1">
        <f t="shared" si="55"/>
        <v>0</v>
      </c>
      <c r="AM443" s="1">
        <f t="shared" si="56"/>
        <v>0</v>
      </c>
    </row>
    <row r="444" spans="1:39">
      <c r="A444" s="12" t="s">
        <v>552</v>
      </c>
      <c r="B444" s="12"/>
      <c r="C444" s="12" t="s">
        <v>58</v>
      </c>
      <c r="D444" s="12"/>
      <c r="E444" s="13">
        <v>49510</v>
      </c>
      <c r="G444" s="1">
        <v>1568703</v>
      </c>
      <c r="I444" s="1">
        <v>0</v>
      </c>
      <c r="K444" s="1">
        <v>6770693</v>
      </c>
      <c r="M444" s="1">
        <v>8802</v>
      </c>
      <c r="O444" s="1">
        <v>615947</v>
      </c>
      <c r="Q444" s="1">
        <v>0</v>
      </c>
      <c r="S444" s="1">
        <v>0</v>
      </c>
      <c r="U444" s="1">
        <v>33000</v>
      </c>
      <c r="W444" s="1">
        <f>100+20317</f>
        <v>20417</v>
      </c>
      <c r="Y444" s="41">
        <f t="shared" si="54"/>
        <v>9017562</v>
      </c>
      <c r="AA444" s="1">
        <v>756745</v>
      </c>
      <c r="AE444" s="1">
        <v>86359</v>
      </c>
      <c r="AG444" s="1">
        <v>2800</v>
      </c>
      <c r="AI444" s="1">
        <v>0</v>
      </c>
      <c r="AK444" s="1">
        <f t="shared" si="55"/>
        <v>845904</v>
      </c>
      <c r="AM444" s="1">
        <f t="shared" si="56"/>
        <v>9863466</v>
      </c>
    </row>
    <row r="445" spans="1:39" hidden="1">
      <c r="A445" s="17" t="s">
        <v>853</v>
      </c>
      <c r="B445" s="12"/>
      <c r="C445" s="12" t="s">
        <v>542</v>
      </c>
      <c r="D445" s="12"/>
      <c r="E445" s="13">
        <v>49395</v>
      </c>
      <c r="Y445" s="41">
        <f t="shared" si="54"/>
        <v>0</v>
      </c>
      <c r="AI445" s="1">
        <v>0</v>
      </c>
      <c r="AK445" s="1">
        <f t="shared" si="55"/>
        <v>0</v>
      </c>
      <c r="AM445" s="1">
        <f t="shared" si="56"/>
        <v>0</v>
      </c>
    </row>
    <row r="446" spans="1:39" hidden="1">
      <c r="A446" s="17" t="s">
        <v>854</v>
      </c>
      <c r="B446" s="12"/>
      <c r="C446" s="12" t="s">
        <v>486</v>
      </c>
      <c r="D446" s="12"/>
      <c r="E446" s="13">
        <v>48579</v>
      </c>
      <c r="Y446" s="41">
        <f t="shared" si="54"/>
        <v>0</v>
      </c>
      <c r="AI446" s="1">
        <v>0</v>
      </c>
      <c r="AK446" s="1">
        <f t="shared" si="55"/>
        <v>0</v>
      </c>
      <c r="AM446" s="1">
        <f t="shared" si="56"/>
        <v>0</v>
      </c>
    </row>
    <row r="447" spans="1:39">
      <c r="A447" s="12" t="s">
        <v>300</v>
      </c>
      <c r="B447" s="12"/>
      <c r="C447" s="12" t="s">
        <v>20</v>
      </c>
      <c r="D447" s="12"/>
      <c r="E447" s="13">
        <v>44636</v>
      </c>
      <c r="G447" s="1">
        <v>77677935</v>
      </c>
      <c r="I447" s="1">
        <v>0</v>
      </c>
      <c r="K447" s="1">
        <v>44393864</v>
      </c>
      <c r="M447" s="1">
        <v>54864</v>
      </c>
      <c r="O447" s="1">
        <v>2131356</v>
      </c>
      <c r="Q447" s="1">
        <v>940509</v>
      </c>
      <c r="S447" s="1">
        <v>0</v>
      </c>
      <c r="U447" s="1">
        <v>153027</v>
      </c>
      <c r="W447" s="1">
        <f>97495+1573641+309073</f>
        <v>1980209</v>
      </c>
      <c r="Y447" s="41">
        <f t="shared" ref="Y447:Y461" si="57">SUM(G447:X447)</f>
        <v>127331764</v>
      </c>
      <c r="AA447" s="1">
        <v>0</v>
      </c>
      <c r="AE447" s="1">
        <v>0</v>
      </c>
      <c r="AG447" s="1">
        <v>22734</v>
      </c>
      <c r="AI447" s="1">
        <v>0</v>
      </c>
      <c r="AK447" s="1">
        <f t="shared" si="55"/>
        <v>22734</v>
      </c>
      <c r="AM447" s="1">
        <f t="shared" si="56"/>
        <v>127354498</v>
      </c>
    </row>
    <row r="448" spans="1:39">
      <c r="A448" s="12" t="s">
        <v>393</v>
      </c>
      <c r="B448" s="12"/>
      <c r="C448" s="12" t="s">
        <v>34</v>
      </c>
      <c r="D448" s="12"/>
      <c r="E448" s="13">
        <v>47597</v>
      </c>
      <c r="G448" s="1">
        <v>2097435</v>
      </c>
      <c r="I448" s="1">
        <v>1676584</v>
      </c>
      <c r="K448" s="1">
        <v>5256952</v>
      </c>
      <c r="M448" s="1">
        <v>9504</v>
      </c>
      <c r="O448" s="1">
        <v>478586</v>
      </c>
      <c r="Q448" s="1">
        <v>0</v>
      </c>
      <c r="S448" s="1">
        <v>0</v>
      </c>
      <c r="U448" s="1">
        <v>0</v>
      </c>
      <c r="W448" s="1">
        <v>531</v>
      </c>
      <c r="Y448" s="41">
        <f t="shared" si="57"/>
        <v>9519592</v>
      </c>
      <c r="AA448" s="1">
        <v>0</v>
      </c>
      <c r="AE448" s="1">
        <v>0</v>
      </c>
      <c r="AG448" s="1">
        <v>8215</v>
      </c>
      <c r="AI448" s="1">
        <v>0</v>
      </c>
      <c r="AK448" s="1">
        <f t="shared" si="55"/>
        <v>8215</v>
      </c>
      <c r="AM448" s="1">
        <f t="shared" si="56"/>
        <v>9527807</v>
      </c>
    </row>
    <row r="449" spans="1:39" hidden="1">
      <c r="A449" s="17" t="s">
        <v>855</v>
      </c>
      <c r="B449" s="12"/>
      <c r="C449" s="12" t="s">
        <v>523</v>
      </c>
      <c r="D449" s="12"/>
      <c r="E449" s="13">
        <v>45575</v>
      </c>
      <c r="Y449" s="41">
        <f t="shared" si="57"/>
        <v>0</v>
      </c>
      <c r="AI449" s="1">
        <v>0</v>
      </c>
      <c r="AK449" s="1">
        <f t="shared" si="55"/>
        <v>0</v>
      </c>
      <c r="AM449" s="1">
        <f t="shared" si="56"/>
        <v>0</v>
      </c>
    </row>
    <row r="450" spans="1:39">
      <c r="A450" s="12" t="s">
        <v>318</v>
      </c>
      <c r="B450" s="12"/>
      <c r="C450" s="12" t="s">
        <v>24</v>
      </c>
      <c r="D450" s="12"/>
      <c r="E450" s="13">
        <v>46813</v>
      </c>
      <c r="G450" s="1">
        <v>11198169</v>
      </c>
      <c r="I450" s="1">
        <v>0</v>
      </c>
      <c r="K450" s="1">
        <v>7752357</v>
      </c>
      <c r="M450" s="1">
        <v>19599</v>
      </c>
      <c r="O450" s="1">
        <v>2279207</v>
      </c>
      <c r="Q450" s="1">
        <v>37006</v>
      </c>
      <c r="S450" s="1">
        <v>0</v>
      </c>
      <c r="U450" s="1">
        <v>0</v>
      </c>
      <c r="W450" s="1">
        <f>8615+205743+58659</f>
        <v>273017</v>
      </c>
      <c r="Y450" s="41">
        <f t="shared" si="57"/>
        <v>21559355</v>
      </c>
      <c r="AA450" s="1">
        <v>0</v>
      </c>
      <c r="AE450" s="1">
        <v>0</v>
      </c>
      <c r="AG450" s="1">
        <v>0</v>
      </c>
      <c r="AI450" s="1">
        <v>0</v>
      </c>
      <c r="AK450" s="1">
        <f t="shared" si="55"/>
        <v>0</v>
      </c>
      <c r="AM450" s="1">
        <f t="shared" si="56"/>
        <v>21559355</v>
      </c>
    </row>
    <row r="451" spans="1:39" hidden="1">
      <c r="A451" s="17" t="s">
        <v>856</v>
      </c>
      <c r="B451" s="17"/>
      <c r="C451" s="17" t="s">
        <v>10</v>
      </c>
      <c r="D451" s="12"/>
      <c r="E451" s="13"/>
      <c r="Y451" s="41">
        <f t="shared" si="57"/>
        <v>0</v>
      </c>
      <c r="AI451" s="1">
        <v>0</v>
      </c>
      <c r="AK451" s="1">
        <f t="shared" si="55"/>
        <v>0</v>
      </c>
      <c r="AM451" s="1">
        <f t="shared" si="56"/>
        <v>0</v>
      </c>
    </row>
    <row r="452" spans="1:39">
      <c r="A452" s="12" t="s">
        <v>205</v>
      </c>
      <c r="B452" s="12"/>
      <c r="C452" s="12" t="s">
        <v>41</v>
      </c>
      <c r="D452" s="12"/>
      <c r="E452" s="13">
        <v>47902</v>
      </c>
      <c r="G452" s="1">
        <v>14763706</v>
      </c>
      <c r="I452" s="1">
        <v>0</v>
      </c>
      <c r="K452" s="1">
        <v>12042173</v>
      </c>
      <c r="M452" s="1">
        <v>113738</v>
      </c>
      <c r="O452" s="1">
        <v>31311</v>
      </c>
      <c r="Q452" s="1">
        <v>0</v>
      </c>
      <c r="S452" s="1">
        <v>0</v>
      </c>
      <c r="U452" s="1">
        <v>100</v>
      </c>
      <c r="W452" s="1">
        <f>14684+204593</f>
        <v>219277</v>
      </c>
      <c r="Y452" s="41">
        <f t="shared" si="57"/>
        <v>27170305</v>
      </c>
      <c r="AA452" s="1">
        <v>0</v>
      </c>
      <c r="AE452" s="1">
        <v>0</v>
      </c>
      <c r="AG452" s="1">
        <v>0</v>
      </c>
      <c r="AI452" s="1">
        <v>0</v>
      </c>
      <c r="AK452" s="1">
        <f t="shared" si="55"/>
        <v>0</v>
      </c>
      <c r="AM452" s="1">
        <f t="shared" si="56"/>
        <v>27170305</v>
      </c>
    </row>
    <row r="453" spans="1:39">
      <c r="A453" s="12" t="s">
        <v>205</v>
      </c>
      <c r="B453" s="12"/>
      <c r="C453" s="12" t="s">
        <v>62</v>
      </c>
      <c r="D453" s="12"/>
      <c r="E453" s="13">
        <v>49924</v>
      </c>
      <c r="G453" s="1">
        <v>17650091</v>
      </c>
      <c r="I453" s="1">
        <v>0</v>
      </c>
      <c r="K453" s="1">
        <v>19597975</v>
      </c>
      <c r="M453" s="1">
        <v>74736</v>
      </c>
      <c r="O453" s="1">
        <v>1860602</v>
      </c>
      <c r="Q453" s="1">
        <v>28086</v>
      </c>
      <c r="S453" s="1">
        <v>0</v>
      </c>
      <c r="U453" s="1">
        <v>10000</v>
      </c>
      <c r="W453" s="1">
        <f>17729+210961</f>
        <v>228690</v>
      </c>
      <c r="Y453" s="41">
        <f t="shared" si="57"/>
        <v>39450180</v>
      </c>
      <c r="AA453" s="1">
        <v>0</v>
      </c>
      <c r="AE453" s="1">
        <v>0</v>
      </c>
      <c r="AG453" s="1">
        <v>0</v>
      </c>
      <c r="AI453" s="1">
        <v>0</v>
      </c>
      <c r="AK453" s="1">
        <f t="shared" si="55"/>
        <v>0</v>
      </c>
      <c r="AM453" s="1">
        <f t="shared" si="56"/>
        <v>39450180</v>
      </c>
    </row>
    <row r="454" spans="1:39" ht="11.25" customHeight="1">
      <c r="A454" s="12" t="s">
        <v>651</v>
      </c>
      <c r="B454" s="12"/>
      <c r="C454" s="12" t="s">
        <v>72</v>
      </c>
      <c r="D454" s="12"/>
      <c r="E454" s="12">
        <v>45583</v>
      </c>
      <c r="G454" s="1">
        <v>20706516</v>
      </c>
      <c r="I454" s="1">
        <v>4551324</v>
      </c>
      <c r="K454" s="1">
        <v>12718387</v>
      </c>
      <c r="M454" s="1">
        <v>29460</v>
      </c>
      <c r="O454" s="1">
        <v>377719</v>
      </c>
      <c r="Q454" s="1">
        <v>0</v>
      </c>
      <c r="S454" s="1">
        <v>0</v>
      </c>
      <c r="U454" s="1">
        <v>0</v>
      </c>
      <c r="W454" s="1">
        <v>181565</v>
      </c>
      <c r="Y454" s="41">
        <f t="shared" si="57"/>
        <v>38564971</v>
      </c>
      <c r="AA454" s="1">
        <v>0</v>
      </c>
      <c r="AE454" s="1">
        <v>0</v>
      </c>
      <c r="AG454" s="1">
        <v>0</v>
      </c>
      <c r="AI454" s="1">
        <v>0</v>
      </c>
      <c r="AK454" s="1">
        <f t="shared" si="55"/>
        <v>0</v>
      </c>
      <c r="AM454" s="1">
        <f t="shared" si="56"/>
        <v>38564971</v>
      </c>
    </row>
    <row r="455" spans="1:39">
      <c r="A455" s="12" t="s">
        <v>345</v>
      </c>
      <c r="B455" s="12"/>
      <c r="C455" s="12" t="s">
        <v>28</v>
      </c>
      <c r="D455" s="12"/>
      <c r="E455" s="13">
        <v>47076</v>
      </c>
      <c r="G455" s="1">
        <v>1000229</v>
      </c>
      <c r="I455" s="1">
        <v>388139</v>
      </c>
      <c r="K455" s="1">
        <v>2166735</v>
      </c>
      <c r="M455" s="1">
        <v>5375</v>
      </c>
      <c r="O455" s="1">
        <v>1063511</v>
      </c>
      <c r="Q455" s="1">
        <v>0</v>
      </c>
      <c r="S455" s="1">
        <v>0</v>
      </c>
      <c r="U455" s="1">
        <v>0</v>
      </c>
      <c r="W455" s="1">
        <v>837</v>
      </c>
      <c r="Y455" s="41">
        <f t="shared" si="57"/>
        <v>4624826</v>
      </c>
      <c r="AA455" s="1">
        <v>0</v>
      </c>
      <c r="AE455" s="1">
        <v>0</v>
      </c>
      <c r="AG455" s="1">
        <f>103+7596</f>
        <v>7699</v>
      </c>
      <c r="AI455" s="1">
        <v>0</v>
      </c>
      <c r="AK455" s="1">
        <f t="shared" si="55"/>
        <v>7699</v>
      </c>
      <c r="AM455" s="1">
        <f t="shared" si="56"/>
        <v>4632525</v>
      </c>
    </row>
    <row r="456" spans="1:39">
      <c r="A456" s="12" t="s">
        <v>326</v>
      </c>
      <c r="B456" s="12"/>
      <c r="C456" s="12" t="s">
        <v>25</v>
      </c>
      <c r="D456" s="12"/>
      <c r="E456" s="13">
        <v>46896</v>
      </c>
      <c r="G456" s="1">
        <v>27853593</v>
      </c>
      <c r="I456" s="1">
        <v>12328783</v>
      </c>
      <c r="K456" s="1">
        <f>47034759+71790</f>
        <v>47106549</v>
      </c>
      <c r="M456" s="1">
        <v>367262</v>
      </c>
      <c r="O456" s="1">
        <v>403544</v>
      </c>
      <c r="Q456" s="1">
        <v>0</v>
      </c>
      <c r="S456" s="1">
        <v>46639</v>
      </c>
      <c r="U456" s="1">
        <v>0</v>
      </c>
      <c r="W456" s="1">
        <f>14866+10125</f>
        <v>24991</v>
      </c>
      <c r="Y456" s="41">
        <f t="shared" si="57"/>
        <v>88131361</v>
      </c>
      <c r="AA456" s="1">
        <v>0</v>
      </c>
      <c r="AE456" s="1">
        <v>0</v>
      </c>
      <c r="AG456" s="1">
        <v>0</v>
      </c>
      <c r="AI456" s="1">
        <v>0</v>
      </c>
      <c r="AK456" s="1">
        <f t="shared" si="55"/>
        <v>0</v>
      </c>
      <c r="AM456" s="1">
        <f t="shared" si="56"/>
        <v>88131361</v>
      </c>
    </row>
    <row r="457" spans="1:39">
      <c r="A457" s="12" t="s">
        <v>346</v>
      </c>
      <c r="B457" s="12"/>
      <c r="C457" s="12" t="s">
        <v>28</v>
      </c>
      <c r="D457" s="12"/>
      <c r="E457" s="13">
        <v>47084</v>
      </c>
      <c r="G457" s="1">
        <v>2978864</v>
      </c>
      <c r="I457" s="1">
        <v>0</v>
      </c>
      <c r="K457" s="1">
        <v>7180609</v>
      </c>
      <c r="M457" s="1">
        <v>67619</v>
      </c>
      <c r="O457" s="1">
        <v>675527</v>
      </c>
      <c r="Q457" s="1">
        <v>0</v>
      </c>
      <c r="S457" s="1">
        <v>60538</v>
      </c>
      <c r="U457" s="1">
        <v>1500</v>
      </c>
      <c r="W457" s="1">
        <v>143329</v>
      </c>
      <c r="Y457" s="41">
        <f t="shared" si="57"/>
        <v>11107986</v>
      </c>
      <c r="AA457" s="1">
        <v>0</v>
      </c>
      <c r="AE457" s="1">
        <v>0</v>
      </c>
      <c r="AG457" s="1">
        <v>3225</v>
      </c>
      <c r="AI457" s="1">
        <v>0</v>
      </c>
      <c r="AK457" s="1">
        <f t="shared" si="55"/>
        <v>3225</v>
      </c>
      <c r="AM457" s="1">
        <f t="shared" si="56"/>
        <v>11111211</v>
      </c>
    </row>
    <row r="458" spans="1:39">
      <c r="A458" s="12" t="s">
        <v>490</v>
      </c>
      <c r="B458" s="12"/>
      <c r="C458" s="12" t="s">
        <v>48</v>
      </c>
      <c r="D458" s="12"/>
      <c r="E458" s="13">
        <v>44644</v>
      </c>
      <c r="G458" s="1">
        <v>13373851</v>
      </c>
      <c r="I458" s="1">
        <v>0</v>
      </c>
      <c r="K458" s="1">
        <f>13522190+195614</f>
        <v>13717804</v>
      </c>
      <c r="M458" s="1">
        <v>-171472</v>
      </c>
      <c r="O458" s="1">
        <v>3625</v>
      </c>
      <c r="Q458" s="1">
        <v>0</v>
      </c>
      <c r="S458" s="1">
        <v>0</v>
      </c>
      <c r="U458" s="1">
        <v>0</v>
      </c>
      <c r="W458" s="1">
        <f>25000+144314+128420+49100</f>
        <v>346834</v>
      </c>
      <c r="Y458" s="41">
        <f t="shared" si="57"/>
        <v>27270642</v>
      </c>
      <c r="AA458" s="1">
        <v>0</v>
      </c>
      <c r="AE458" s="1">
        <v>0</v>
      </c>
      <c r="AG458" s="1">
        <v>0</v>
      </c>
      <c r="AI458" s="1">
        <v>0</v>
      </c>
      <c r="AK458" s="1">
        <f t="shared" si="55"/>
        <v>0</v>
      </c>
      <c r="AM458" s="1">
        <f t="shared" si="56"/>
        <v>27270642</v>
      </c>
    </row>
    <row r="459" spans="1:39" hidden="1">
      <c r="A459" s="17" t="s">
        <v>857</v>
      </c>
      <c r="B459" s="12"/>
      <c r="C459" s="12" t="s">
        <v>27</v>
      </c>
      <c r="D459" s="12"/>
      <c r="E459" s="13">
        <v>46995</v>
      </c>
      <c r="Y459" s="41">
        <f t="shared" si="57"/>
        <v>0</v>
      </c>
      <c r="AK459" s="1">
        <f t="shared" si="55"/>
        <v>0</v>
      </c>
      <c r="AM459" s="1">
        <f t="shared" si="56"/>
        <v>0</v>
      </c>
    </row>
    <row r="460" spans="1:39">
      <c r="A460" s="12" t="s">
        <v>338</v>
      </c>
      <c r="B460" s="12"/>
      <c r="C460" s="12" t="s">
        <v>62</v>
      </c>
      <c r="D460" s="12"/>
      <c r="E460" s="13">
        <v>49932</v>
      </c>
      <c r="G460" s="1">
        <v>23820229</v>
      </c>
      <c r="I460" s="1">
        <v>0</v>
      </c>
      <c r="K460" s="1">
        <f>21042309+20032</f>
        <v>21062341</v>
      </c>
      <c r="M460" s="1">
        <v>74629</v>
      </c>
      <c r="O460" s="1">
        <v>755514</v>
      </c>
      <c r="Q460" s="1">
        <v>136422</v>
      </c>
      <c r="S460" s="1">
        <v>0</v>
      </c>
      <c r="U460" s="1">
        <v>0</v>
      </c>
      <c r="W460" s="1">
        <f>104965+200198+280311</f>
        <v>585474</v>
      </c>
      <c r="Y460" s="41">
        <f t="shared" si="57"/>
        <v>46434609</v>
      </c>
      <c r="AA460" s="1">
        <v>0</v>
      </c>
      <c r="AE460" s="1">
        <v>0</v>
      </c>
      <c r="AG460" s="1">
        <v>1034</v>
      </c>
      <c r="AI460" s="1">
        <v>0</v>
      </c>
      <c r="AK460" s="1">
        <f t="shared" si="55"/>
        <v>1034</v>
      </c>
      <c r="AM460" s="1">
        <f t="shared" si="56"/>
        <v>46435643</v>
      </c>
    </row>
    <row r="461" spans="1:39">
      <c r="A461" s="12" t="s">
        <v>475</v>
      </c>
      <c r="B461" s="12"/>
      <c r="C461" s="12" t="s">
        <v>46</v>
      </c>
      <c r="D461" s="12"/>
      <c r="E461" s="13">
        <v>48421</v>
      </c>
      <c r="G461" s="1">
        <v>4153006</v>
      </c>
      <c r="I461" s="1">
        <v>0</v>
      </c>
      <c r="K461" s="1">
        <v>4812292</v>
      </c>
      <c r="M461" s="1">
        <v>85012</v>
      </c>
      <c r="O461" s="1">
        <v>1987835</v>
      </c>
      <c r="Q461" s="1">
        <v>28365</v>
      </c>
      <c r="S461" s="1">
        <v>0</v>
      </c>
      <c r="U461" s="1">
        <v>3958</v>
      </c>
      <c r="W461" s="1">
        <f>49558+29703</f>
        <v>79261</v>
      </c>
      <c r="Y461" s="41">
        <f t="shared" si="57"/>
        <v>11149729</v>
      </c>
      <c r="AA461" s="1">
        <v>0</v>
      </c>
      <c r="AE461" s="1">
        <v>0</v>
      </c>
      <c r="AG461" s="1">
        <v>0</v>
      </c>
      <c r="AI461" s="1">
        <v>0</v>
      </c>
      <c r="AK461" s="1">
        <f t="shared" si="55"/>
        <v>0</v>
      </c>
      <c r="AM461" s="1">
        <f t="shared" si="56"/>
        <v>11149729</v>
      </c>
    </row>
    <row r="462" spans="1:39">
      <c r="A462" s="12" t="s">
        <v>547</v>
      </c>
      <c r="B462" s="12"/>
      <c r="C462" s="12" t="s">
        <v>112</v>
      </c>
      <c r="D462" s="12"/>
      <c r="E462" s="13">
        <v>49460</v>
      </c>
      <c r="G462" s="1">
        <v>1382152</v>
      </c>
      <c r="I462" s="1">
        <v>688721</v>
      </c>
      <c r="K462" s="1">
        <f>5165030+2245</f>
        <v>5167275</v>
      </c>
      <c r="M462" s="1">
        <v>7272</v>
      </c>
      <c r="O462" s="1">
        <v>398339</v>
      </c>
      <c r="Q462" s="1">
        <v>0</v>
      </c>
      <c r="S462" s="1">
        <v>0</v>
      </c>
      <c r="U462" s="1">
        <v>0</v>
      </c>
      <c r="W462" s="1">
        <f>4587+125+33111</f>
        <v>37823</v>
      </c>
      <c r="Y462" s="41">
        <f>SUM(G462:X462)</f>
        <v>7681582</v>
      </c>
      <c r="AA462" s="1">
        <v>0</v>
      </c>
      <c r="AE462" s="1">
        <v>0</v>
      </c>
      <c r="AG462" s="1">
        <v>0</v>
      </c>
      <c r="AI462" s="1">
        <v>799775</v>
      </c>
      <c r="AK462" s="1">
        <f t="shared" si="55"/>
        <v>799775</v>
      </c>
      <c r="AM462" s="1">
        <f t="shared" si="56"/>
        <v>8481357</v>
      </c>
    </row>
    <row r="463" spans="1:39">
      <c r="A463" s="17" t="s">
        <v>467</v>
      </c>
      <c r="B463" s="12"/>
      <c r="C463" s="12" t="s">
        <v>45</v>
      </c>
      <c r="D463" s="12"/>
      <c r="E463" s="13">
        <v>48348</v>
      </c>
      <c r="G463" s="1">
        <v>10367860</v>
      </c>
      <c r="I463" s="1">
        <v>0</v>
      </c>
      <c r="K463" s="1">
        <v>7631475</v>
      </c>
      <c r="M463" s="1">
        <v>49012</v>
      </c>
      <c r="O463" s="1">
        <v>83719</v>
      </c>
      <c r="Q463" s="1">
        <v>0</v>
      </c>
      <c r="S463" s="1">
        <v>0</v>
      </c>
      <c r="U463" s="1">
        <v>0</v>
      </c>
      <c r="W463" s="1">
        <f>37381+19428</f>
        <v>56809</v>
      </c>
      <c r="Y463" s="41">
        <f t="shared" ref="Y463:Y488" si="58">SUM(G463:X463)</f>
        <v>18188875</v>
      </c>
      <c r="AA463" s="1">
        <v>0</v>
      </c>
      <c r="AE463" s="1">
        <v>0</v>
      </c>
      <c r="AG463" s="1">
        <v>0</v>
      </c>
      <c r="AI463" s="1">
        <v>0</v>
      </c>
      <c r="AK463" s="1">
        <f t="shared" ref="AK463:AK488" si="59">SUM(AA463:AJ463)</f>
        <v>0</v>
      </c>
      <c r="AM463" s="1">
        <f t="shared" si="56"/>
        <v>18188875</v>
      </c>
    </row>
    <row r="464" spans="1:39">
      <c r="A464" s="12" t="s">
        <v>522</v>
      </c>
      <c r="B464" s="12"/>
      <c r="C464" s="12" t="s">
        <v>53</v>
      </c>
      <c r="D464" s="12"/>
      <c r="E464" s="13">
        <v>44651</v>
      </c>
      <c r="G464" s="1">
        <v>13178366</v>
      </c>
      <c r="I464" s="1">
        <v>0</v>
      </c>
      <c r="K464" s="1">
        <f>6490224+1459</f>
        <v>6491683</v>
      </c>
      <c r="M464" s="1">
        <v>219200</v>
      </c>
      <c r="O464" s="1">
        <v>310050</v>
      </c>
      <c r="Q464" s="1">
        <v>0</v>
      </c>
      <c r="S464" s="1">
        <v>0</v>
      </c>
      <c r="U464" s="1">
        <v>0</v>
      </c>
      <c r="W464" s="1">
        <f>763+9076+6383</f>
        <v>16222</v>
      </c>
      <c r="Y464" s="41">
        <f t="shared" si="58"/>
        <v>20215521</v>
      </c>
      <c r="AA464" s="1">
        <v>0</v>
      </c>
      <c r="AE464" s="1">
        <v>0</v>
      </c>
      <c r="AG464" s="1">
        <v>0</v>
      </c>
      <c r="AI464" s="1">
        <v>0</v>
      </c>
      <c r="AK464" s="1">
        <f t="shared" si="59"/>
        <v>0</v>
      </c>
      <c r="AM464" s="1">
        <f t="shared" si="56"/>
        <v>20215521</v>
      </c>
    </row>
    <row r="465" spans="1:39">
      <c r="A465" s="12" t="s">
        <v>564</v>
      </c>
      <c r="B465" s="12"/>
      <c r="C465" s="12" t="s">
        <v>59</v>
      </c>
      <c r="D465" s="12"/>
      <c r="E465" s="13">
        <v>44669</v>
      </c>
      <c r="G465" s="1">
        <v>4218338</v>
      </c>
      <c r="I465" s="1">
        <v>0</v>
      </c>
      <c r="K465" s="1">
        <v>18822422</v>
      </c>
      <c r="M465" s="1">
        <v>23600</v>
      </c>
      <c r="O465" s="1">
        <v>830737</v>
      </c>
      <c r="Q465" s="1">
        <v>52647</v>
      </c>
      <c r="S465" s="1">
        <v>0</v>
      </c>
      <c r="U465" s="1">
        <v>79759</v>
      </c>
      <c r="W465" s="1">
        <f>4580+68771+123275</f>
        <v>196626</v>
      </c>
      <c r="Y465" s="41">
        <f t="shared" si="58"/>
        <v>24224129</v>
      </c>
      <c r="AA465" s="1">
        <v>0</v>
      </c>
      <c r="AE465" s="1">
        <v>0</v>
      </c>
      <c r="AG465" s="1">
        <v>0</v>
      </c>
      <c r="AI465" s="1">
        <v>0</v>
      </c>
      <c r="AK465" s="1">
        <f t="shared" si="59"/>
        <v>0</v>
      </c>
      <c r="AM465" s="1">
        <f t="shared" si="56"/>
        <v>24224129</v>
      </c>
    </row>
    <row r="466" spans="1:39" hidden="1">
      <c r="A466" s="17" t="s">
        <v>858</v>
      </c>
      <c r="B466" s="12"/>
      <c r="C466" s="12" t="s">
        <v>57</v>
      </c>
      <c r="D466" s="12"/>
      <c r="E466" s="13">
        <v>49288</v>
      </c>
      <c r="Y466" s="41">
        <f t="shared" si="58"/>
        <v>0</v>
      </c>
      <c r="AK466" s="1">
        <f t="shared" si="59"/>
        <v>0</v>
      </c>
      <c r="AM466" s="1">
        <f t="shared" si="56"/>
        <v>0</v>
      </c>
    </row>
    <row r="467" spans="1:39">
      <c r="A467" s="12" t="s">
        <v>372</v>
      </c>
      <c r="B467" s="12"/>
      <c r="C467" s="12" t="s">
        <v>32</v>
      </c>
      <c r="D467" s="12"/>
      <c r="E467" s="13">
        <v>44677</v>
      </c>
      <c r="G467" s="1">
        <v>39786819</v>
      </c>
      <c r="I467" s="1">
        <v>0</v>
      </c>
      <c r="K467" s="1">
        <v>26017320</v>
      </c>
      <c r="M467" s="1">
        <v>108031</v>
      </c>
      <c r="O467" s="1">
        <v>1539478</v>
      </c>
      <c r="Q467" s="1">
        <v>0</v>
      </c>
      <c r="S467" s="1">
        <v>0</v>
      </c>
      <c r="U467" s="1">
        <v>0</v>
      </c>
      <c r="W467" s="1">
        <v>732610</v>
      </c>
      <c r="Y467" s="41">
        <f t="shared" si="58"/>
        <v>68184258</v>
      </c>
      <c r="AA467" s="1">
        <v>0</v>
      </c>
      <c r="AE467" s="1">
        <v>0</v>
      </c>
      <c r="AG467" s="1">
        <v>69514</v>
      </c>
      <c r="AI467" s="1">
        <v>0</v>
      </c>
      <c r="AK467" s="1">
        <f t="shared" si="59"/>
        <v>69514</v>
      </c>
      <c r="AM467" s="1">
        <f t="shared" si="56"/>
        <v>68253772</v>
      </c>
    </row>
    <row r="468" spans="1:39">
      <c r="A468" s="12" t="s">
        <v>213</v>
      </c>
      <c r="B468" s="12"/>
      <c r="C468" s="12" t="s">
        <v>12</v>
      </c>
      <c r="D468" s="12"/>
      <c r="E468" s="13">
        <v>45880</v>
      </c>
      <c r="G468" s="1">
        <v>3008827</v>
      </c>
      <c r="I468" s="1">
        <v>0</v>
      </c>
      <c r="K468" s="1">
        <v>7403934</v>
      </c>
      <c r="M468" s="1">
        <v>8317</v>
      </c>
      <c r="O468" s="1">
        <v>606127</v>
      </c>
      <c r="Q468" s="1">
        <v>0</v>
      </c>
      <c r="S468" s="1">
        <v>0</v>
      </c>
      <c r="U468" s="1">
        <v>0</v>
      </c>
      <c r="W468" s="1">
        <f>100+36941</f>
        <v>37041</v>
      </c>
      <c r="Y468" s="41">
        <f t="shared" si="58"/>
        <v>11064246</v>
      </c>
      <c r="AA468" s="1">
        <v>0</v>
      </c>
      <c r="AE468" s="1">
        <v>0</v>
      </c>
      <c r="AG468" s="1">
        <v>0</v>
      </c>
      <c r="AI468" s="1">
        <v>0</v>
      </c>
      <c r="AK468" s="1">
        <f t="shared" si="59"/>
        <v>0</v>
      </c>
      <c r="AM468" s="1">
        <f t="shared" si="56"/>
        <v>11064246</v>
      </c>
    </row>
    <row r="469" spans="1:39">
      <c r="A469" s="17" t="s">
        <v>765</v>
      </c>
      <c r="B469" s="17"/>
      <c r="C469" s="17" t="s">
        <v>56</v>
      </c>
      <c r="D469" s="17"/>
      <c r="E469" s="13"/>
      <c r="G469" s="1">
        <v>10516215</v>
      </c>
      <c r="I469" s="1">
        <v>0</v>
      </c>
      <c r="K469" s="1">
        <v>16261498</v>
      </c>
      <c r="M469" s="1">
        <v>55910</v>
      </c>
      <c r="O469" s="1">
        <v>802612</v>
      </c>
      <c r="Q469" s="1">
        <v>0</v>
      </c>
      <c r="S469" s="1">
        <v>0</v>
      </c>
      <c r="U469" s="1">
        <v>320</v>
      </c>
      <c r="W469" s="1">
        <f>26003+8210+114783</f>
        <v>148996</v>
      </c>
      <c r="Y469" s="41">
        <f t="shared" si="58"/>
        <v>27785551</v>
      </c>
      <c r="AA469" s="1">
        <v>0</v>
      </c>
      <c r="AE469" s="1">
        <v>0</v>
      </c>
      <c r="AG469" s="1">
        <v>0</v>
      </c>
      <c r="AI469" s="1">
        <v>0</v>
      </c>
      <c r="AK469" s="1">
        <f t="shared" si="59"/>
        <v>0</v>
      </c>
      <c r="AM469" s="1">
        <f t="shared" si="56"/>
        <v>27785551</v>
      </c>
    </row>
    <row r="470" spans="1:39">
      <c r="A470" s="17" t="s">
        <v>373</v>
      </c>
      <c r="B470" s="17"/>
      <c r="C470" s="17" t="s">
        <v>32</v>
      </c>
      <c r="D470" s="17"/>
      <c r="E470" s="13">
        <v>44693</v>
      </c>
      <c r="G470" s="1">
        <v>6536869</v>
      </c>
      <c r="I470" s="1">
        <v>0</v>
      </c>
      <c r="K470" s="1">
        <v>5635160</v>
      </c>
      <c r="M470" s="1">
        <v>23328</v>
      </c>
      <c r="O470" s="1">
        <v>1140248</v>
      </c>
      <c r="Q470" s="1">
        <v>0</v>
      </c>
      <c r="S470" s="1">
        <v>0</v>
      </c>
      <c r="U470" s="1">
        <v>0</v>
      </c>
      <c r="W470" s="1">
        <f>75934+12444+51991</f>
        <v>140369</v>
      </c>
      <c r="Y470" s="41">
        <f t="shared" si="58"/>
        <v>13475974</v>
      </c>
      <c r="AA470" s="1">
        <v>0</v>
      </c>
      <c r="AE470" s="1">
        <v>0</v>
      </c>
      <c r="AG470" s="1">
        <v>0</v>
      </c>
      <c r="AI470" s="1">
        <v>0</v>
      </c>
      <c r="AK470" s="1">
        <f t="shared" si="59"/>
        <v>0</v>
      </c>
      <c r="AM470" s="1">
        <f t="shared" si="56"/>
        <v>13475974</v>
      </c>
    </row>
    <row r="471" spans="1:39">
      <c r="A471" s="12" t="s">
        <v>594</v>
      </c>
      <c r="B471" s="12"/>
      <c r="C471" s="12" t="s">
        <v>63</v>
      </c>
      <c r="D471" s="12"/>
      <c r="E471" s="13">
        <v>50054</v>
      </c>
      <c r="G471" s="1">
        <v>22529647</v>
      </c>
      <c r="I471" s="1">
        <v>0</v>
      </c>
      <c r="K471" s="1">
        <v>6990154</v>
      </c>
      <c r="M471" s="1">
        <v>147123</v>
      </c>
      <c r="O471" s="1">
        <v>353933</v>
      </c>
      <c r="Q471" s="1">
        <v>9364</v>
      </c>
      <c r="S471" s="1">
        <v>0</v>
      </c>
      <c r="U471" s="1">
        <v>0</v>
      </c>
      <c r="W471" s="1">
        <f>86504+1448+31721</f>
        <v>119673</v>
      </c>
      <c r="Y471" s="41">
        <f t="shared" si="58"/>
        <v>30149894</v>
      </c>
      <c r="AA471" s="1">
        <v>0</v>
      </c>
      <c r="AE471" s="1">
        <v>20080</v>
      </c>
      <c r="AG471" s="1">
        <v>580</v>
      </c>
      <c r="AI471" s="1">
        <v>0</v>
      </c>
      <c r="AK471" s="1">
        <f t="shared" si="59"/>
        <v>20660</v>
      </c>
      <c r="AM471" s="1">
        <f t="shared" si="56"/>
        <v>30170554</v>
      </c>
    </row>
    <row r="472" spans="1:39">
      <c r="A472" s="12" t="s">
        <v>339</v>
      </c>
      <c r="B472" s="12"/>
      <c r="C472" s="12" t="s">
        <v>27</v>
      </c>
      <c r="D472" s="12"/>
      <c r="E472" s="13">
        <v>47001</v>
      </c>
      <c r="G472" s="1">
        <v>21747024</v>
      </c>
      <c r="I472" s="1">
        <v>0</v>
      </c>
      <c r="K472" s="1">
        <f>28677281+314773</f>
        <v>28992054</v>
      </c>
      <c r="M472" s="1">
        <v>16526</v>
      </c>
      <c r="O472" s="1">
        <v>648356</v>
      </c>
      <c r="Q472" s="1">
        <v>13112</v>
      </c>
      <c r="S472" s="1">
        <v>1483796</v>
      </c>
      <c r="U472" s="1">
        <v>0</v>
      </c>
      <c r="W472" s="1">
        <f>130492+353203</f>
        <v>483695</v>
      </c>
      <c r="Y472" s="41">
        <f t="shared" si="58"/>
        <v>53384563</v>
      </c>
      <c r="AA472" s="1">
        <v>0</v>
      </c>
      <c r="AE472" s="1">
        <v>0</v>
      </c>
      <c r="AG472" s="1">
        <v>100</v>
      </c>
      <c r="AI472" s="1">
        <v>0</v>
      </c>
      <c r="AK472" s="1">
        <f t="shared" si="59"/>
        <v>100</v>
      </c>
      <c r="AM472" s="1">
        <f t="shared" si="56"/>
        <v>53384663</v>
      </c>
    </row>
    <row r="473" spans="1:39">
      <c r="A473" s="12" t="s">
        <v>301</v>
      </c>
      <c r="B473" s="12"/>
      <c r="C473" s="12" t="s">
        <v>20</v>
      </c>
      <c r="D473" s="12"/>
      <c r="E473" s="13">
        <v>46599</v>
      </c>
      <c r="G473" s="1">
        <v>8323188</v>
      </c>
      <c r="I473" s="1">
        <v>0</v>
      </c>
      <c r="K473" s="1">
        <v>3560553</v>
      </c>
      <c r="M473" s="1">
        <v>4116</v>
      </c>
      <c r="O473" s="1">
        <v>241736</v>
      </c>
      <c r="Q473" s="1">
        <v>18655</v>
      </c>
      <c r="S473" s="1">
        <v>0</v>
      </c>
      <c r="U473" s="1">
        <v>9563</v>
      </c>
      <c r="W473" s="1">
        <f>22633+1544</f>
        <v>24177</v>
      </c>
      <c r="Y473" s="41">
        <f t="shared" si="58"/>
        <v>12181988</v>
      </c>
      <c r="AA473" s="1">
        <v>0</v>
      </c>
      <c r="AE473" s="1">
        <v>0</v>
      </c>
      <c r="AG473" s="1">
        <v>0</v>
      </c>
      <c r="AI473" s="1">
        <v>0</v>
      </c>
      <c r="AK473" s="1">
        <f t="shared" si="59"/>
        <v>0</v>
      </c>
      <c r="AM473" s="1">
        <f t="shared" si="56"/>
        <v>12181988</v>
      </c>
    </row>
    <row r="474" spans="1:39">
      <c r="A474" s="12" t="s">
        <v>476</v>
      </c>
      <c r="B474" s="12"/>
      <c r="C474" s="12" t="s">
        <v>46</v>
      </c>
      <c r="D474" s="12"/>
      <c r="E474" s="13">
        <v>48439</v>
      </c>
      <c r="G474" s="1">
        <v>2447958</v>
      </c>
      <c r="I474" s="1">
        <v>0</v>
      </c>
      <c r="K474" s="1">
        <v>3827984</v>
      </c>
      <c r="M474" s="1">
        <v>9418</v>
      </c>
      <c r="O474" s="1">
        <v>1038564</v>
      </c>
      <c r="Q474" s="1">
        <v>18037</v>
      </c>
      <c r="S474" s="1">
        <v>52048</v>
      </c>
      <c r="U474" s="1">
        <v>195</v>
      </c>
      <c r="W474" s="1">
        <f>612+32930+28320</f>
        <v>61862</v>
      </c>
      <c r="Y474" s="41">
        <f t="shared" si="58"/>
        <v>7456066</v>
      </c>
      <c r="AA474" s="1">
        <v>0</v>
      </c>
      <c r="AE474" s="1">
        <v>154326</v>
      </c>
      <c r="AG474" s="1">
        <v>0</v>
      </c>
      <c r="AI474" s="1">
        <v>0</v>
      </c>
      <c r="AK474" s="1">
        <f t="shared" si="59"/>
        <v>154326</v>
      </c>
      <c r="AM474" s="1">
        <f t="shared" si="56"/>
        <v>7610392</v>
      </c>
    </row>
    <row r="475" spans="1:39">
      <c r="A475" s="12" t="s">
        <v>895</v>
      </c>
      <c r="B475" s="12"/>
      <c r="C475" s="12" t="s">
        <v>383</v>
      </c>
      <c r="D475" s="12"/>
      <c r="E475" s="13">
        <v>47506</v>
      </c>
      <c r="G475" s="1">
        <v>1051377</v>
      </c>
      <c r="I475" s="1">
        <v>491762</v>
      </c>
      <c r="K475" s="1">
        <v>2599448</v>
      </c>
      <c r="M475" s="1">
        <v>2585</v>
      </c>
      <c r="O475" s="1">
        <v>727979</v>
      </c>
      <c r="Q475" s="1">
        <v>0</v>
      </c>
      <c r="S475" s="1">
        <v>0</v>
      </c>
      <c r="U475" s="1">
        <v>0</v>
      </c>
      <c r="W475" s="1">
        <f>5323+44324</f>
        <v>49647</v>
      </c>
      <c r="Y475" s="41">
        <f t="shared" si="58"/>
        <v>4922798</v>
      </c>
      <c r="AA475" s="1">
        <v>0</v>
      </c>
      <c r="AE475" s="1">
        <v>0</v>
      </c>
      <c r="AG475" s="1">
        <v>0</v>
      </c>
      <c r="AI475" s="1">
        <v>0</v>
      </c>
      <c r="AK475" s="1">
        <f t="shared" si="59"/>
        <v>0</v>
      </c>
      <c r="AM475" s="1">
        <f t="shared" si="56"/>
        <v>4922798</v>
      </c>
    </row>
    <row r="476" spans="1:39">
      <c r="A476" s="12" t="s">
        <v>273</v>
      </c>
      <c r="B476" s="12"/>
      <c r="C476" s="12" t="s">
        <v>19</v>
      </c>
      <c r="D476" s="12"/>
      <c r="E476" s="13">
        <v>46474</v>
      </c>
      <c r="F476" s="8"/>
      <c r="G476" s="1">
        <v>2325408</v>
      </c>
      <c r="I476" s="1">
        <v>0</v>
      </c>
      <c r="K476" s="1">
        <f>7423649+25990</f>
        <v>7449639</v>
      </c>
      <c r="M476" s="1">
        <v>16517</v>
      </c>
      <c r="O476" s="1">
        <v>284534</v>
      </c>
      <c r="Q476" s="1">
        <v>0</v>
      </c>
      <c r="S476" s="1">
        <v>0</v>
      </c>
      <c r="U476" s="1">
        <v>0</v>
      </c>
      <c r="W476" s="1">
        <f>6807+124529</f>
        <v>131336</v>
      </c>
      <c r="Y476" s="41">
        <f t="shared" si="58"/>
        <v>10207434</v>
      </c>
      <c r="AA476" s="1">
        <v>0</v>
      </c>
      <c r="AE476" s="1">
        <v>0</v>
      </c>
      <c r="AG476" s="1">
        <v>12619</v>
      </c>
      <c r="AI476" s="1">
        <v>0</v>
      </c>
      <c r="AK476" s="1">
        <f t="shared" si="59"/>
        <v>12619</v>
      </c>
      <c r="AM476" s="1">
        <f t="shared" si="56"/>
        <v>10220053</v>
      </c>
    </row>
    <row r="477" spans="1:39">
      <c r="A477" s="12" t="s">
        <v>766</v>
      </c>
      <c r="B477" s="12"/>
      <c r="C477" s="12" t="s">
        <v>77</v>
      </c>
      <c r="D477" s="12"/>
      <c r="E477" s="13">
        <v>46078</v>
      </c>
      <c r="F477" s="8"/>
      <c r="G477" s="1">
        <v>1927652</v>
      </c>
      <c r="I477" s="1">
        <v>0</v>
      </c>
      <c r="K477" s="1">
        <v>7028553</v>
      </c>
      <c r="M477" s="1">
        <v>12761</v>
      </c>
      <c r="O477" s="1">
        <v>319490</v>
      </c>
      <c r="Q477" s="1">
        <v>0</v>
      </c>
      <c r="S477" s="1">
        <v>0</v>
      </c>
      <c r="U477" s="1">
        <v>994</v>
      </c>
      <c r="W477" s="1">
        <f>5179+65023</f>
        <v>70202</v>
      </c>
      <c r="Y477" s="41">
        <f t="shared" si="58"/>
        <v>9359652</v>
      </c>
      <c r="AA477" s="1">
        <v>0</v>
      </c>
      <c r="AE477" s="1">
        <v>0</v>
      </c>
      <c r="AG477" s="1">
        <v>3411</v>
      </c>
      <c r="AI477" s="1">
        <v>0</v>
      </c>
      <c r="AK477" s="1">
        <f t="shared" si="59"/>
        <v>3411</v>
      </c>
      <c r="AM477" s="1">
        <f t="shared" si="56"/>
        <v>9363063</v>
      </c>
    </row>
    <row r="478" spans="1:39">
      <c r="A478" s="12" t="s">
        <v>642</v>
      </c>
      <c r="B478" s="12"/>
      <c r="C478" s="12" t="s">
        <v>71</v>
      </c>
      <c r="D478" s="12"/>
      <c r="E478" s="13">
        <v>45591</v>
      </c>
      <c r="G478" s="1">
        <v>2577843</v>
      </c>
      <c r="I478" s="1">
        <v>0</v>
      </c>
      <c r="K478" s="1">
        <v>5589520</v>
      </c>
      <c r="M478" s="1">
        <v>42628</v>
      </c>
      <c r="O478" s="1">
        <v>266963</v>
      </c>
      <c r="Q478" s="1">
        <v>20012</v>
      </c>
      <c r="S478" s="1">
        <v>0</v>
      </c>
      <c r="U478" s="1">
        <v>0</v>
      </c>
      <c r="W478" s="1">
        <f>13043+7242</f>
        <v>20285</v>
      </c>
      <c r="Y478" s="41">
        <f t="shared" si="58"/>
        <v>8517251</v>
      </c>
      <c r="AA478" s="1">
        <v>0</v>
      </c>
      <c r="AE478" s="1">
        <v>0</v>
      </c>
      <c r="AG478" s="1">
        <v>0</v>
      </c>
      <c r="AI478" s="1">
        <v>0</v>
      </c>
      <c r="AK478" s="1">
        <f t="shared" si="59"/>
        <v>0</v>
      </c>
      <c r="AM478" s="1">
        <f t="shared" si="56"/>
        <v>8517251</v>
      </c>
    </row>
    <row r="479" spans="1:39">
      <c r="A479" s="12" t="s">
        <v>477</v>
      </c>
      <c r="B479" s="12"/>
      <c r="C479" s="12" t="s">
        <v>46</v>
      </c>
      <c r="D479" s="12"/>
      <c r="E479" s="13">
        <v>48447</v>
      </c>
      <c r="G479" s="1">
        <v>5517020</v>
      </c>
      <c r="I479" s="1">
        <v>0</v>
      </c>
      <c r="K479" s="1">
        <v>6663153</v>
      </c>
      <c r="M479" s="1">
        <v>7407</v>
      </c>
      <c r="O479" s="1">
        <v>2916669</v>
      </c>
      <c r="Q479" s="1">
        <v>0</v>
      </c>
      <c r="S479" s="1">
        <v>216702</v>
      </c>
      <c r="U479" s="1">
        <v>0</v>
      </c>
      <c r="W479" s="1">
        <v>70461</v>
      </c>
      <c r="Y479" s="41">
        <f t="shared" si="58"/>
        <v>15391412</v>
      </c>
      <c r="AA479" s="1">
        <v>0</v>
      </c>
      <c r="AE479" s="1">
        <v>0</v>
      </c>
      <c r="AG479" s="1">
        <v>0</v>
      </c>
      <c r="AI479" s="1">
        <v>0</v>
      </c>
      <c r="AK479" s="1">
        <f t="shared" si="59"/>
        <v>0</v>
      </c>
      <c r="AM479" s="1">
        <f t="shared" si="56"/>
        <v>15391412</v>
      </c>
    </row>
    <row r="480" spans="1:39">
      <c r="A480" s="12" t="s">
        <v>274</v>
      </c>
      <c r="B480" s="12"/>
      <c r="C480" s="12" t="s">
        <v>19</v>
      </c>
      <c r="D480" s="12"/>
      <c r="E480" s="13">
        <v>46482</v>
      </c>
      <c r="F480" s="8"/>
      <c r="G480" s="1">
        <v>7609091</v>
      </c>
      <c r="I480" s="1">
        <v>0</v>
      </c>
      <c r="K480" s="1">
        <v>10719890</v>
      </c>
      <c r="M480" s="1">
        <v>65891</v>
      </c>
      <c r="O480" s="1">
        <v>653964</v>
      </c>
      <c r="Q480" s="1">
        <v>41687</v>
      </c>
      <c r="S480" s="1">
        <v>0</v>
      </c>
      <c r="U480" s="1">
        <v>15627</v>
      </c>
      <c r="W480" s="1">
        <f>1470+16952+77993</f>
        <v>96415</v>
      </c>
      <c r="Y480" s="41">
        <f t="shared" si="58"/>
        <v>19202565</v>
      </c>
      <c r="AA480" s="1">
        <v>0</v>
      </c>
      <c r="AE480" s="1">
        <v>156134</v>
      </c>
      <c r="AG480" s="1">
        <v>3972</v>
      </c>
      <c r="AI480" s="1">
        <v>0</v>
      </c>
      <c r="AK480" s="1">
        <f t="shared" si="59"/>
        <v>160106</v>
      </c>
      <c r="AM480" s="1">
        <f t="shared" si="56"/>
        <v>19362671</v>
      </c>
    </row>
    <row r="481" spans="1:39" s="16" customFormat="1" hidden="1">
      <c r="A481" s="12" t="s">
        <v>932</v>
      </c>
      <c r="B481" s="14"/>
      <c r="C481" s="14" t="s">
        <v>383</v>
      </c>
      <c r="D481" s="14"/>
      <c r="E481" s="13">
        <v>47514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41">
        <f t="shared" si="58"/>
        <v>0</v>
      </c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>
        <f t="shared" si="59"/>
        <v>0</v>
      </c>
      <c r="AL481" s="1"/>
      <c r="AM481" s="1">
        <f t="shared" si="56"/>
        <v>0</v>
      </c>
    </row>
    <row r="482" spans="1:39" s="16" customFormat="1">
      <c r="A482" s="14" t="s">
        <v>435</v>
      </c>
      <c r="B482" s="14"/>
      <c r="C482" s="14" t="s">
        <v>41</v>
      </c>
      <c r="D482" s="14"/>
      <c r="E482" s="13"/>
      <c r="G482" s="1">
        <v>27275315</v>
      </c>
      <c r="H482" s="1"/>
      <c r="I482" s="1">
        <v>0</v>
      </c>
      <c r="J482" s="1"/>
      <c r="K482" s="1">
        <v>12057645</v>
      </c>
      <c r="L482" s="1"/>
      <c r="M482" s="1">
        <v>24272</v>
      </c>
      <c r="N482" s="1"/>
      <c r="O482" s="1">
        <v>399199</v>
      </c>
      <c r="P482" s="1"/>
      <c r="Q482" s="1">
        <v>0</v>
      </c>
      <c r="R482" s="1"/>
      <c r="S482" s="1">
        <v>0</v>
      </c>
      <c r="T482" s="1"/>
      <c r="U482" s="1">
        <v>0</v>
      </c>
      <c r="V482" s="1"/>
      <c r="W482" s="1">
        <f>110871+330921+222546</f>
        <v>664338</v>
      </c>
      <c r="X482" s="1"/>
      <c r="Y482" s="41">
        <f t="shared" si="58"/>
        <v>40420769</v>
      </c>
      <c r="Z482" s="1"/>
      <c r="AA482" s="1">
        <v>0</v>
      </c>
      <c r="AB482" s="1"/>
      <c r="AC482" s="1"/>
      <c r="AD482" s="1"/>
      <c r="AE482" s="1">
        <v>0</v>
      </c>
      <c r="AF482" s="1"/>
      <c r="AG482" s="1">
        <v>2939</v>
      </c>
      <c r="AH482" s="1"/>
      <c r="AI482" s="1">
        <v>0</v>
      </c>
      <c r="AJ482" s="1"/>
      <c r="AK482" s="1">
        <f t="shared" si="59"/>
        <v>2939</v>
      </c>
      <c r="AL482" s="1"/>
      <c r="AM482" s="1">
        <f t="shared" si="56"/>
        <v>40423708</v>
      </c>
    </row>
    <row r="483" spans="1:39">
      <c r="A483" s="12" t="s">
        <v>435</v>
      </c>
      <c r="B483" s="12"/>
      <c r="C483" s="12" t="s">
        <v>43</v>
      </c>
      <c r="D483" s="12"/>
      <c r="E483" s="13">
        <v>48090</v>
      </c>
      <c r="G483" s="1">
        <v>1123251</v>
      </c>
      <c r="I483" s="1">
        <v>671910</v>
      </c>
      <c r="K483" s="1">
        <v>4093475</v>
      </c>
      <c r="M483" s="1">
        <v>8202</v>
      </c>
      <c r="O483" s="1">
        <v>381681</v>
      </c>
      <c r="Q483" s="1">
        <v>0</v>
      </c>
      <c r="S483" s="1">
        <v>0</v>
      </c>
      <c r="U483" s="1">
        <v>0</v>
      </c>
      <c r="W483" s="1">
        <f>19039+250+7117+20427</f>
        <v>46833</v>
      </c>
      <c r="Y483" s="41">
        <f t="shared" si="58"/>
        <v>6325352</v>
      </c>
      <c r="AA483" s="1">
        <v>0</v>
      </c>
      <c r="AE483" s="1">
        <v>0</v>
      </c>
      <c r="AG483" s="1">
        <v>0</v>
      </c>
      <c r="AI483" s="1">
        <v>0</v>
      </c>
      <c r="AK483" s="1">
        <f t="shared" si="59"/>
        <v>0</v>
      </c>
      <c r="AM483" s="1">
        <f t="shared" si="56"/>
        <v>6325352</v>
      </c>
    </row>
    <row r="484" spans="1:39">
      <c r="A484" s="12" t="s">
        <v>424</v>
      </c>
      <c r="B484" s="12"/>
      <c r="C484" s="12" t="s">
        <v>420</v>
      </c>
      <c r="D484" s="12"/>
      <c r="E484" s="13">
        <v>47944</v>
      </c>
      <c r="G484" s="1">
        <v>1775956</v>
      </c>
      <c r="I484" s="1">
        <v>0</v>
      </c>
      <c r="K484" s="1">
        <v>12451230</v>
      </c>
      <c r="M484" s="1">
        <v>58594</v>
      </c>
      <c r="O484" s="1">
        <v>1518945</v>
      </c>
      <c r="Q484" s="1">
        <v>0</v>
      </c>
      <c r="S484" s="1">
        <v>0</v>
      </c>
      <c r="U484" s="1">
        <v>0</v>
      </c>
      <c r="W484" s="1">
        <v>219550</v>
      </c>
      <c r="Y484" s="41">
        <f t="shared" si="58"/>
        <v>16024275</v>
      </c>
      <c r="AA484" s="1">
        <v>0</v>
      </c>
      <c r="AE484" s="1">
        <v>0</v>
      </c>
      <c r="AG484" s="1">
        <v>9800</v>
      </c>
      <c r="AI484" s="1">
        <v>0</v>
      </c>
      <c r="AK484" s="1">
        <f t="shared" si="59"/>
        <v>9800</v>
      </c>
      <c r="AM484" s="1">
        <f t="shared" si="56"/>
        <v>16034075</v>
      </c>
    </row>
    <row r="485" spans="1:39">
      <c r="A485" s="12" t="s">
        <v>302</v>
      </c>
      <c r="B485" s="12"/>
      <c r="C485" s="12" t="s">
        <v>20</v>
      </c>
      <c r="D485" s="12"/>
      <c r="E485" s="13">
        <v>44701</v>
      </c>
      <c r="G485" s="1">
        <v>25058624</v>
      </c>
      <c r="I485" s="1">
        <v>0</v>
      </c>
      <c r="K485" s="1">
        <v>5926378</v>
      </c>
      <c r="M485" s="1">
        <v>82191</v>
      </c>
      <c r="O485" s="1">
        <v>56331</v>
      </c>
      <c r="Q485" s="1">
        <v>0</v>
      </c>
      <c r="S485" s="1">
        <v>0</v>
      </c>
      <c r="U485" s="1">
        <v>1250</v>
      </c>
      <c r="W485" s="1">
        <f>2400+35906+90059+116268+58830</f>
        <v>303463</v>
      </c>
      <c r="Y485" s="41">
        <f t="shared" si="58"/>
        <v>31428237</v>
      </c>
      <c r="AA485" s="1">
        <v>0</v>
      </c>
      <c r="AE485" s="1">
        <v>0</v>
      </c>
      <c r="AG485" s="1">
        <v>0</v>
      </c>
      <c r="AI485" s="1">
        <v>0</v>
      </c>
      <c r="AK485" s="1">
        <f t="shared" si="59"/>
        <v>0</v>
      </c>
      <c r="AM485" s="1">
        <f t="shared" si="56"/>
        <v>31428237</v>
      </c>
    </row>
    <row r="486" spans="1:39">
      <c r="A486" s="12" t="s">
        <v>362</v>
      </c>
      <c r="B486" s="12"/>
      <c r="C486" s="12" t="s">
        <v>31</v>
      </c>
      <c r="D486" s="12"/>
      <c r="E486" s="13">
        <v>47308</v>
      </c>
      <c r="G486" s="1">
        <v>3539576</v>
      </c>
      <c r="I486" s="1">
        <v>0</v>
      </c>
      <c r="K486" s="1">
        <v>10132530</v>
      </c>
      <c r="M486" s="1">
        <v>10996</v>
      </c>
      <c r="O486" s="1">
        <v>506375</v>
      </c>
      <c r="Q486" s="1">
        <v>0</v>
      </c>
      <c r="S486" s="1">
        <v>0</v>
      </c>
      <c r="U486" s="1">
        <v>78713</v>
      </c>
      <c r="W486" s="1">
        <f>6928+108727</f>
        <v>115655</v>
      </c>
      <c r="Y486" s="41">
        <f t="shared" si="58"/>
        <v>14383845</v>
      </c>
      <c r="AA486" s="1">
        <v>0</v>
      </c>
      <c r="AE486" s="1">
        <f>707824+35597</f>
        <v>743421</v>
      </c>
      <c r="AG486" s="1">
        <v>0</v>
      </c>
      <c r="AI486" s="1">
        <v>0</v>
      </c>
      <c r="AK486" s="1">
        <f t="shared" si="59"/>
        <v>743421</v>
      </c>
      <c r="AM486" s="1">
        <f t="shared" si="56"/>
        <v>15127266</v>
      </c>
    </row>
    <row r="487" spans="1:39">
      <c r="A487" s="12" t="s">
        <v>536</v>
      </c>
      <c r="B487" s="12"/>
      <c r="C487" s="12" t="s">
        <v>56</v>
      </c>
      <c r="D487" s="12"/>
      <c r="E487" s="13">
        <v>49213</v>
      </c>
      <c r="G487" s="1">
        <v>4943415</v>
      </c>
      <c r="I487" s="1">
        <v>0</v>
      </c>
      <c r="K487" s="1">
        <v>5344160</v>
      </c>
      <c r="M487" s="1">
        <v>12999</v>
      </c>
      <c r="O487" s="1">
        <v>320450</v>
      </c>
      <c r="Q487" s="1">
        <v>0</v>
      </c>
      <c r="S487" s="1">
        <v>0</v>
      </c>
      <c r="U487" s="1">
        <v>5800</v>
      </c>
      <c r="W487" s="1">
        <f>3642+640</f>
        <v>4282</v>
      </c>
      <c r="Y487" s="41">
        <f t="shared" si="58"/>
        <v>10631106</v>
      </c>
      <c r="AA487" s="1">
        <v>0</v>
      </c>
      <c r="AE487" s="1">
        <v>0</v>
      </c>
      <c r="AG487" s="1">
        <v>0</v>
      </c>
      <c r="AI487" s="1">
        <v>0</v>
      </c>
      <c r="AK487" s="1">
        <f t="shared" si="59"/>
        <v>0</v>
      </c>
      <c r="AM487" s="1">
        <f t="shared" si="56"/>
        <v>10631106</v>
      </c>
    </row>
    <row r="488" spans="1:39" ht="12" customHeight="1">
      <c r="A488" s="17" t="s">
        <v>235</v>
      </c>
      <c r="B488" s="12"/>
      <c r="C488" s="12" t="s">
        <v>227</v>
      </c>
      <c r="D488" s="12"/>
      <c r="E488" s="13">
        <v>46144</v>
      </c>
      <c r="F488" s="8"/>
      <c r="G488" s="1">
        <v>6555287</v>
      </c>
      <c r="I488" s="1">
        <v>2207330</v>
      </c>
      <c r="K488" s="1">
        <v>11600834</v>
      </c>
      <c r="M488" s="1">
        <v>49827</v>
      </c>
      <c r="O488" s="1">
        <v>98350</v>
      </c>
      <c r="Q488" s="1">
        <v>73211</v>
      </c>
      <c r="S488" s="1">
        <v>0</v>
      </c>
      <c r="U488" s="1">
        <v>0</v>
      </c>
      <c r="W488" s="1">
        <v>230915</v>
      </c>
      <c r="Y488" s="41">
        <f t="shared" si="58"/>
        <v>20815754</v>
      </c>
      <c r="AA488" s="1">
        <v>0</v>
      </c>
      <c r="AE488" s="1">
        <v>0</v>
      </c>
      <c r="AG488" s="1">
        <v>0</v>
      </c>
      <c r="AI488" s="1">
        <v>0</v>
      </c>
      <c r="AK488" s="1">
        <f t="shared" si="59"/>
        <v>0</v>
      </c>
      <c r="AM488" s="1">
        <f t="shared" si="56"/>
        <v>20815754</v>
      </c>
    </row>
    <row r="489" spans="1:39">
      <c r="A489" s="12" t="s">
        <v>652</v>
      </c>
      <c r="B489" s="12"/>
      <c r="C489" s="12" t="s">
        <v>72</v>
      </c>
      <c r="D489" s="12"/>
      <c r="E489" s="12">
        <v>45609</v>
      </c>
      <c r="G489" s="1">
        <v>12042501</v>
      </c>
      <c r="I489" s="1">
        <v>0</v>
      </c>
      <c r="K489" s="1">
        <v>8709442</v>
      </c>
      <c r="M489" s="1">
        <v>25488</v>
      </c>
      <c r="O489" s="1">
        <v>424996</v>
      </c>
      <c r="Q489" s="1">
        <v>12949</v>
      </c>
      <c r="S489" s="1">
        <v>701488</v>
      </c>
      <c r="U489" s="1">
        <v>1336057</v>
      </c>
      <c r="W489" s="1">
        <v>99723</v>
      </c>
      <c r="Y489" s="41">
        <f>SUM(G489:X489)</f>
        <v>23352644</v>
      </c>
      <c r="AA489" s="1">
        <v>0</v>
      </c>
      <c r="AE489" s="1">
        <v>0</v>
      </c>
      <c r="AG489" s="1">
        <v>0</v>
      </c>
      <c r="AI489" s="1">
        <v>0</v>
      </c>
      <c r="AK489" s="1">
        <f>SUM(AA489:AJ489)</f>
        <v>0</v>
      </c>
      <c r="AM489" s="1">
        <f t="shared" si="56"/>
        <v>23352644</v>
      </c>
    </row>
    <row r="490" spans="1:39">
      <c r="A490" s="12" t="s">
        <v>570</v>
      </c>
      <c r="B490" s="12"/>
      <c r="C490" s="12" t="s">
        <v>61</v>
      </c>
      <c r="D490" s="12"/>
      <c r="E490" s="12">
        <v>49817</v>
      </c>
      <c r="G490" s="1">
        <v>827861</v>
      </c>
      <c r="I490" s="1">
        <v>285126</v>
      </c>
      <c r="K490" s="1">
        <v>2183065</v>
      </c>
      <c r="M490" s="1">
        <v>3473</v>
      </c>
      <c r="O490" s="1">
        <v>353594</v>
      </c>
      <c r="Q490" s="1">
        <v>4796</v>
      </c>
      <c r="S490" s="1">
        <v>0</v>
      </c>
      <c r="U490" s="1">
        <v>2792</v>
      </c>
      <c r="W490" s="1">
        <f>200+27421</f>
        <v>27621</v>
      </c>
      <c r="Y490" s="41">
        <f>SUM(G490:X490)</f>
        <v>3688328</v>
      </c>
      <c r="AA490" s="1">
        <v>0</v>
      </c>
      <c r="AE490" s="1">
        <v>0</v>
      </c>
      <c r="AG490" s="1">
        <v>510</v>
      </c>
      <c r="AI490" s="1">
        <v>0</v>
      </c>
      <c r="AK490" s="1">
        <f>SUM(AA490:AJ490)</f>
        <v>510</v>
      </c>
      <c r="AM490" s="1">
        <f t="shared" si="56"/>
        <v>3688838</v>
      </c>
    </row>
    <row r="491" spans="1:39">
      <c r="A491" s="17" t="s">
        <v>725</v>
      </c>
      <c r="B491" s="17"/>
      <c r="C491" s="17" t="s">
        <v>114</v>
      </c>
      <c r="D491" s="17"/>
      <c r="E491" s="13"/>
      <c r="G491" s="1">
        <v>8754312</v>
      </c>
      <c r="I491" s="1">
        <v>7623</v>
      </c>
      <c r="K491" s="1">
        <f>9629604+29874</f>
        <v>9659478</v>
      </c>
      <c r="M491" s="1">
        <v>5902</v>
      </c>
      <c r="O491" s="1">
        <v>364488</v>
      </c>
      <c r="Q491" s="1">
        <v>0</v>
      </c>
      <c r="S491" s="1">
        <v>0</v>
      </c>
      <c r="U491" s="1">
        <v>0</v>
      </c>
      <c r="W491" s="1">
        <f>136407+3750</f>
        <v>140157</v>
      </c>
      <c r="Y491" s="41">
        <f t="shared" ref="Y491:Y543" si="60">SUM(G491:X491)</f>
        <v>18931960</v>
      </c>
      <c r="AA491" s="1">
        <v>0</v>
      </c>
      <c r="AE491" s="1">
        <v>0</v>
      </c>
      <c r="AG491" s="1">
        <v>1175</v>
      </c>
      <c r="AI491" s="1">
        <v>0</v>
      </c>
      <c r="AK491" s="1">
        <f t="shared" ref="AK491:AK511" si="61">SUM(AA491:AJ491)</f>
        <v>1175</v>
      </c>
      <c r="AM491" s="1">
        <f t="shared" si="56"/>
        <v>18933135</v>
      </c>
    </row>
    <row r="492" spans="1:39">
      <c r="A492" s="12" t="s">
        <v>319</v>
      </c>
      <c r="B492" s="12"/>
      <c r="C492" s="12" t="s">
        <v>24</v>
      </c>
      <c r="D492" s="12"/>
      <c r="E492" s="13">
        <v>44743</v>
      </c>
      <c r="G492" s="1">
        <v>16170489</v>
      </c>
      <c r="I492" s="1">
        <v>0</v>
      </c>
      <c r="K492" s="1">
        <v>21323493</v>
      </c>
      <c r="M492" s="1">
        <v>36350</v>
      </c>
      <c r="O492" s="1">
        <v>467456</v>
      </c>
      <c r="Q492" s="1">
        <v>8795</v>
      </c>
      <c r="S492" s="1">
        <v>92543</v>
      </c>
      <c r="U492" s="1">
        <v>0</v>
      </c>
      <c r="W492" s="1">
        <f>47677+276003</f>
        <v>323680</v>
      </c>
      <c r="Y492" s="41">
        <f t="shared" si="60"/>
        <v>38422806</v>
      </c>
      <c r="AA492" s="1">
        <v>0</v>
      </c>
      <c r="AE492" s="1">
        <v>516633</v>
      </c>
      <c r="AG492" s="1">
        <f>95</f>
        <v>95</v>
      </c>
      <c r="AI492" s="1">
        <v>0</v>
      </c>
      <c r="AK492" s="1">
        <f t="shared" si="61"/>
        <v>516728</v>
      </c>
      <c r="AM492" s="1">
        <f t="shared" si="56"/>
        <v>38939534</v>
      </c>
    </row>
    <row r="493" spans="1:39">
      <c r="A493" s="12" t="s">
        <v>584</v>
      </c>
      <c r="B493" s="12"/>
      <c r="C493" s="12" t="s">
        <v>62</v>
      </c>
      <c r="D493" s="12"/>
      <c r="E493" s="13">
        <v>49940</v>
      </c>
      <c r="G493" s="1">
        <v>3170714</v>
      </c>
      <c r="I493" s="1">
        <v>0</v>
      </c>
      <c r="K493" s="1">
        <f>14558+8263650+29609</f>
        <v>8307817</v>
      </c>
      <c r="M493" s="1">
        <v>70684</v>
      </c>
      <c r="O493" s="1">
        <v>533729</v>
      </c>
      <c r="Q493" s="1">
        <v>0</v>
      </c>
      <c r="S493" s="1">
        <v>0</v>
      </c>
      <c r="U493" s="1">
        <v>0</v>
      </c>
      <c r="W493" s="1">
        <f>11166+31757+88018</f>
        <v>130941</v>
      </c>
      <c r="Y493" s="41">
        <f t="shared" si="60"/>
        <v>12213885</v>
      </c>
      <c r="AA493" s="1">
        <v>0</v>
      </c>
      <c r="AE493" s="1">
        <v>0</v>
      </c>
      <c r="AG493" s="1">
        <v>0</v>
      </c>
      <c r="AI493" s="1">
        <v>0</v>
      </c>
      <c r="AK493" s="1">
        <f t="shared" si="61"/>
        <v>0</v>
      </c>
      <c r="AM493" s="1">
        <f t="shared" si="56"/>
        <v>12213885</v>
      </c>
    </row>
    <row r="494" spans="1:39">
      <c r="A494" s="12" t="s">
        <v>529</v>
      </c>
      <c r="B494" s="12"/>
      <c r="C494" s="12" t="s">
        <v>55</v>
      </c>
      <c r="D494" s="12"/>
      <c r="E494" s="13">
        <v>49130</v>
      </c>
      <c r="G494" s="1">
        <v>1754254</v>
      </c>
      <c r="I494" s="1">
        <v>0</v>
      </c>
      <c r="K494" s="1">
        <v>10838602</v>
      </c>
      <c r="M494" s="1">
        <v>26832</v>
      </c>
      <c r="O494" s="1">
        <v>565389</v>
      </c>
      <c r="Q494" s="1">
        <v>0</v>
      </c>
      <c r="S494" s="1">
        <v>0</v>
      </c>
      <c r="U494" s="1">
        <v>4016</v>
      </c>
      <c r="W494" s="1">
        <f>14204+105704</f>
        <v>119908</v>
      </c>
      <c r="Y494" s="41">
        <f t="shared" si="60"/>
        <v>13309001</v>
      </c>
      <c r="AA494" s="1">
        <v>0</v>
      </c>
      <c r="AE494" s="1">
        <v>1050000</v>
      </c>
      <c r="AG494" s="1">
        <v>0</v>
      </c>
      <c r="AI494" s="1">
        <v>0</v>
      </c>
      <c r="AK494" s="1">
        <f t="shared" si="61"/>
        <v>1050000</v>
      </c>
      <c r="AM494" s="1">
        <f t="shared" si="56"/>
        <v>14359001</v>
      </c>
    </row>
    <row r="495" spans="1:39">
      <c r="A495" s="12" t="s">
        <v>468</v>
      </c>
      <c r="B495" s="12"/>
      <c r="C495" s="12" t="s">
        <v>45</v>
      </c>
      <c r="D495" s="12"/>
      <c r="E495" s="13">
        <v>48355</v>
      </c>
      <c r="G495" s="1">
        <v>1024966</v>
      </c>
      <c r="I495" s="1">
        <v>418232</v>
      </c>
      <c r="K495" s="1">
        <v>4276688</v>
      </c>
      <c r="M495" s="1">
        <v>8811</v>
      </c>
      <c r="O495" s="1">
        <v>369672</v>
      </c>
      <c r="Q495" s="1">
        <v>0</v>
      </c>
      <c r="S495" s="1">
        <v>0</v>
      </c>
      <c r="U495" s="1">
        <v>845</v>
      </c>
      <c r="W495" s="1">
        <f>603+15474</f>
        <v>16077</v>
      </c>
      <c r="Y495" s="41">
        <f t="shared" si="60"/>
        <v>6115291</v>
      </c>
      <c r="AA495" s="1">
        <v>0</v>
      </c>
      <c r="AE495" s="1">
        <v>0</v>
      </c>
      <c r="AG495" s="1">
        <v>0</v>
      </c>
      <c r="AI495" s="1">
        <v>0</v>
      </c>
      <c r="AK495" s="1">
        <f t="shared" si="61"/>
        <v>0</v>
      </c>
      <c r="AM495" s="1">
        <f t="shared" ref="AM495:AM557" si="62">+AK495+Y495</f>
        <v>6115291</v>
      </c>
    </row>
    <row r="496" spans="1:39">
      <c r="A496" s="12" t="s">
        <v>567</v>
      </c>
      <c r="B496" s="12"/>
      <c r="C496" s="12" t="s">
        <v>60</v>
      </c>
      <c r="D496" s="12"/>
      <c r="E496" s="13">
        <v>49684</v>
      </c>
      <c r="G496" s="1">
        <v>2451863</v>
      </c>
      <c r="I496" s="1">
        <v>891208</v>
      </c>
      <c r="K496" s="1">
        <v>4538134</v>
      </c>
      <c r="M496" s="1">
        <v>15611</v>
      </c>
      <c r="O496" s="1">
        <v>827212</v>
      </c>
      <c r="Q496" s="1">
        <v>0</v>
      </c>
      <c r="S496" s="1">
        <v>0</v>
      </c>
      <c r="U496" s="1">
        <v>0</v>
      </c>
      <c r="W496" s="1">
        <f>37717+7029+15185+13319</f>
        <v>73250</v>
      </c>
      <c r="Y496" s="41">
        <f t="shared" si="60"/>
        <v>8797278</v>
      </c>
      <c r="AA496" s="1">
        <v>0</v>
      </c>
      <c r="AE496" s="1">
        <v>222624</v>
      </c>
      <c r="AG496" s="1">
        <v>0</v>
      </c>
      <c r="AI496" s="1">
        <v>0</v>
      </c>
      <c r="AK496" s="1">
        <f t="shared" si="61"/>
        <v>222624</v>
      </c>
      <c r="AM496" s="1">
        <f t="shared" si="62"/>
        <v>9019902</v>
      </c>
    </row>
    <row r="497" spans="1:39">
      <c r="A497" s="12" t="s">
        <v>222</v>
      </c>
      <c r="B497" s="12"/>
      <c r="C497" s="12" t="s">
        <v>15</v>
      </c>
      <c r="D497" s="12"/>
      <c r="E497" s="13">
        <v>46003</v>
      </c>
      <c r="F497" s="8"/>
      <c r="G497" s="1">
        <v>2323995</v>
      </c>
      <c r="I497" s="1">
        <v>0</v>
      </c>
      <c r="K497" s="1">
        <v>2839929</v>
      </c>
      <c r="M497" s="1">
        <v>2581</v>
      </c>
      <c r="O497" s="1">
        <v>1113651</v>
      </c>
      <c r="Q497" s="1">
        <v>0</v>
      </c>
      <c r="S497" s="1">
        <v>0</v>
      </c>
      <c r="U497" s="1">
        <v>5603</v>
      </c>
      <c r="W497" s="1">
        <f>6+5823+2730</f>
        <v>8559</v>
      </c>
      <c r="Y497" s="1">
        <f t="shared" si="60"/>
        <v>6294318</v>
      </c>
      <c r="AA497" s="1">
        <v>0</v>
      </c>
      <c r="AE497" s="1">
        <v>0</v>
      </c>
      <c r="AG497" s="1">
        <v>3319</v>
      </c>
      <c r="AI497" s="1">
        <v>0</v>
      </c>
      <c r="AK497" s="1">
        <f t="shared" si="61"/>
        <v>3319</v>
      </c>
      <c r="AM497" s="1">
        <f t="shared" si="62"/>
        <v>6297637</v>
      </c>
    </row>
    <row r="498" spans="1:39">
      <c r="A498" s="17" t="s">
        <v>303</v>
      </c>
      <c r="B498" s="12"/>
      <c r="C498" s="12" t="s">
        <v>20</v>
      </c>
      <c r="D498" s="12"/>
      <c r="E498" s="13">
        <v>44750</v>
      </c>
      <c r="G498" s="1">
        <v>56542652</v>
      </c>
      <c r="I498" s="1">
        <v>0</v>
      </c>
      <c r="K498" s="1">
        <v>24685415</v>
      </c>
      <c r="M498" s="1">
        <v>524915</v>
      </c>
      <c r="O498" s="1">
        <v>1198827</v>
      </c>
      <c r="Q498" s="1">
        <v>0</v>
      </c>
      <c r="S498" s="1">
        <v>0</v>
      </c>
      <c r="U498" s="1">
        <v>195</v>
      </c>
      <c r="W498" s="1">
        <f>103773+52526+165650</f>
        <v>321949</v>
      </c>
      <c r="Y498" s="41">
        <f t="shared" si="60"/>
        <v>83273953</v>
      </c>
      <c r="AA498" s="1">
        <v>0</v>
      </c>
      <c r="AE498" s="1">
        <v>0</v>
      </c>
      <c r="AG498" s="1">
        <v>0</v>
      </c>
      <c r="AI498" s="1">
        <v>0</v>
      </c>
      <c r="AK498" s="1">
        <f t="shared" si="61"/>
        <v>0</v>
      </c>
      <c r="AM498" s="1">
        <f t="shared" si="62"/>
        <v>83273953</v>
      </c>
    </row>
    <row r="499" spans="1:39" hidden="1">
      <c r="A499" s="17" t="s">
        <v>872</v>
      </c>
      <c r="B499" s="17"/>
      <c r="C499" s="17" t="s">
        <v>10</v>
      </c>
      <c r="D499" s="12"/>
      <c r="E499" s="13"/>
      <c r="Y499" s="41">
        <f t="shared" si="60"/>
        <v>0</v>
      </c>
      <c r="AM499" s="1">
        <f t="shared" si="62"/>
        <v>0</v>
      </c>
    </row>
    <row r="500" spans="1:39">
      <c r="A500" s="12" t="s">
        <v>447</v>
      </c>
      <c r="B500" s="12"/>
      <c r="C500" s="12" t="s">
        <v>44</v>
      </c>
      <c r="D500" s="12"/>
      <c r="E500" s="13">
        <v>44768</v>
      </c>
      <c r="G500" s="1">
        <v>10119671</v>
      </c>
      <c r="I500" s="1">
        <v>0</v>
      </c>
      <c r="K500" s="1">
        <v>7470798</v>
      </c>
      <c r="M500" s="1">
        <v>14408</v>
      </c>
      <c r="O500" s="1">
        <v>1208478</v>
      </c>
      <c r="Q500" s="1">
        <v>14170</v>
      </c>
      <c r="S500" s="1">
        <v>0</v>
      </c>
      <c r="U500" s="1">
        <v>0</v>
      </c>
      <c r="W500" s="1">
        <v>101620</v>
      </c>
      <c r="Y500" s="41">
        <f t="shared" si="60"/>
        <v>18929145</v>
      </c>
      <c r="AA500" s="1">
        <v>0</v>
      </c>
      <c r="AE500" s="1">
        <v>0</v>
      </c>
      <c r="AG500" s="1">
        <v>0</v>
      </c>
      <c r="AI500" s="1">
        <v>0</v>
      </c>
      <c r="AK500" s="1">
        <f t="shared" si="61"/>
        <v>0</v>
      </c>
      <c r="AM500" s="1">
        <f t="shared" si="62"/>
        <v>18929145</v>
      </c>
    </row>
    <row r="501" spans="1:39">
      <c r="A501" s="12" t="s">
        <v>548</v>
      </c>
      <c r="B501" s="12"/>
      <c r="C501" s="12" t="s">
        <v>112</v>
      </c>
      <c r="D501" s="12"/>
      <c r="E501" s="13">
        <v>44776</v>
      </c>
      <c r="G501" s="1">
        <v>4815459</v>
      </c>
      <c r="I501" s="1">
        <v>2307421</v>
      </c>
      <c r="K501" s="1">
        <f>9531976+16924</f>
        <v>9548900</v>
      </c>
      <c r="M501" s="1">
        <v>14690</v>
      </c>
      <c r="O501" s="1">
        <v>400355</v>
      </c>
      <c r="Q501" s="1">
        <v>0</v>
      </c>
      <c r="S501" s="1">
        <v>0</v>
      </c>
      <c r="U501" s="1">
        <v>12041</v>
      </c>
      <c r="W501" s="1">
        <f>29243+5563+36283+9760+39186</f>
        <v>120035</v>
      </c>
      <c r="Y501" s="41">
        <f t="shared" si="60"/>
        <v>17218901</v>
      </c>
      <c r="AA501" s="1">
        <v>1022662</v>
      </c>
      <c r="AE501" s="1">
        <v>0</v>
      </c>
      <c r="AG501" s="1">
        <v>0</v>
      </c>
      <c r="AI501" s="1">
        <v>0</v>
      </c>
      <c r="AK501" s="1">
        <f t="shared" si="61"/>
        <v>1022662</v>
      </c>
      <c r="AM501" s="1">
        <f t="shared" si="62"/>
        <v>18241563</v>
      </c>
    </row>
    <row r="502" spans="1:39">
      <c r="A502" s="17" t="s">
        <v>571</v>
      </c>
      <c r="B502" s="12"/>
      <c r="C502" s="12" t="s">
        <v>61</v>
      </c>
      <c r="D502" s="12"/>
      <c r="E502" s="13">
        <v>44784</v>
      </c>
      <c r="G502" s="1">
        <v>13119684</v>
      </c>
      <c r="I502" s="1">
        <v>0</v>
      </c>
      <c r="K502" s="1">
        <v>18744737</v>
      </c>
      <c r="M502" s="1">
        <v>10421</v>
      </c>
      <c r="O502" s="1">
        <v>748738</v>
      </c>
      <c r="Q502" s="1">
        <v>0</v>
      </c>
      <c r="S502" s="1">
        <v>49922</v>
      </c>
      <c r="U502" s="1">
        <v>1119</v>
      </c>
      <c r="W502" s="1">
        <v>412798</v>
      </c>
      <c r="Y502" s="41">
        <f t="shared" si="60"/>
        <v>33087419</v>
      </c>
      <c r="AA502" s="1">
        <v>10130</v>
      </c>
      <c r="AE502" s="1">
        <v>0</v>
      </c>
      <c r="AG502" s="1">
        <v>0</v>
      </c>
      <c r="AI502" s="1">
        <v>0</v>
      </c>
      <c r="AK502" s="1">
        <f t="shared" si="61"/>
        <v>10130</v>
      </c>
      <c r="AM502" s="1">
        <f t="shared" si="62"/>
        <v>33097549</v>
      </c>
    </row>
    <row r="503" spans="1:39">
      <c r="A503" s="12" t="s">
        <v>304</v>
      </c>
      <c r="B503" s="12"/>
      <c r="C503" s="12" t="s">
        <v>20</v>
      </c>
      <c r="D503" s="12"/>
      <c r="E503" s="13">
        <v>46607</v>
      </c>
      <c r="G503" s="1">
        <v>42242079</v>
      </c>
      <c r="I503" s="1">
        <v>0</v>
      </c>
      <c r="K503" s="1">
        <v>18104539</v>
      </c>
      <c r="M503" s="1">
        <v>354136</v>
      </c>
      <c r="O503" s="1">
        <v>1022063</v>
      </c>
      <c r="Q503" s="1">
        <v>0</v>
      </c>
      <c r="S503" s="1">
        <v>0</v>
      </c>
      <c r="U503" s="1">
        <v>0</v>
      </c>
      <c r="W503" s="1">
        <f>102953+165421+248867</f>
        <v>517241</v>
      </c>
      <c r="Y503" s="41">
        <f t="shared" si="60"/>
        <v>62240058</v>
      </c>
      <c r="AA503" s="1">
        <v>0</v>
      </c>
      <c r="AE503" s="1">
        <v>0</v>
      </c>
      <c r="AG503" s="1">
        <v>0</v>
      </c>
      <c r="AI503" s="1">
        <v>0</v>
      </c>
      <c r="AK503" s="1">
        <f t="shared" si="61"/>
        <v>0</v>
      </c>
      <c r="AM503" s="1">
        <f t="shared" si="62"/>
        <v>62240058</v>
      </c>
    </row>
    <row r="504" spans="1:39" ht="12.75" customHeight="1">
      <c r="A504" s="12" t="s">
        <v>767</v>
      </c>
      <c r="B504" s="12"/>
      <c r="C504" s="12" t="s">
        <v>37</v>
      </c>
      <c r="D504" s="12"/>
      <c r="E504" s="13"/>
      <c r="G504" s="1">
        <v>2089586</v>
      </c>
      <c r="I504" s="1">
        <v>0</v>
      </c>
      <c r="K504" s="1">
        <v>4895680</v>
      </c>
      <c r="M504" s="1">
        <v>12851</v>
      </c>
      <c r="O504" s="1">
        <v>271179</v>
      </c>
      <c r="Q504" s="1">
        <v>0</v>
      </c>
      <c r="S504" s="1">
        <v>0</v>
      </c>
      <c r="U504" s="1">
        <v>0</v>
      </c>
      <c r="W504" s="1">
        <f>23420+17793</f>
        <v>41213</v>
      </c>
      <c r="Y504" s="41">
        <f t="shared" si="60"/>
        <v>7310509</v>
      </c>
      <c r="AA504" s="1">
        <v>0</v>
      </c>
      <c r="AE504" s="1">
        <v>0</v>
      </c>
      <c r="AG504" s="1">
        <v>5500</v>
      </c>
      <c r="AI504" s="1">
        <v>0</v>
      </c>
      <c r="AK504" s="1">
        <f t="shared" si="61"/>
        <v>5500</v>
      </c>
      <c r="AM504" s="1">
        <f t="shared" si="62"/>
        <v>7316009</v>
      </c>
    </row>
    <row r="505" spans="1:39">
      <c r="A505" s="12" t="s">
        <v>305</v>
      </c>
      <c r="B505" s="12"/>
      <c r="C505" s="12" t="s">
        <v>20</v>
      </c>
      <c r="D505" s="12"/>
      <c r="E505" s="13">
        <v>44792</v>
      </c>
      <c r="G505" s="1">
        <v>39217500</v>
      </c>
      <c r="I505" s="1">
        <v>0</v>
      </c>
      <c r="K505" s="1">
        <v>14903837</v>
      </c>
      <c r="M505" s="1">
        <v>22056</v>
      </c>
      <c r="O505" s="1">
        <v>1785538</v>
      </c>
      <c r="Q505" s="1">
        <v>78113</v>
      </c>
      <c r="S505" s="1">
        <v>0</v>
      </c>
      <c r="U505" s="1">
        <v>0</v>
      </c>
      <c r="W505" s="1">
        <f>62111+90760+805572</f>
        <v>958443</v>
      </c>
      <c r="Y505" s="41">
        <f t="shared" si="60"/>
        <v>56965487</v>
      </c>
      <c r="AA505" s="1">
        <v>0</v>
      </c>
      <c r="AE505" s="1">
        <v>0</v>
      </c>
      <c r="AG505" s="1">
        <v>0</v>
      </c>
      <c r="AI505" s="1">
        <v>0</v>
      </c>
      <c r="AK505" s="1">
        <f t="shared" si="61"/>
        <v>0</v>
      </c>
      <c r="AM505" s="1">
        <f t="shared" si="62"/>
        <v>56965487</v>
      </c>
    </row>
    <row r="506" spans="1:39">
      <c r="A506" s="12" t="s">
        <v>425</v>
      </c>
      <c r="B506" s="12"/>
      <c r="C506" s="12" t="s">
        <v>420</v>
      </c>
      <c r="D506" s="12"/>
      <c r="E506" s="13">
        <v>47951</v>
      </c>
      <c r="G506" s="1">
        <v>2917236</v>
      </c>
      <c r="I506" s="1">
        <v>0</v>
      </c>
      <c r="K506" s="1">
        <v>11595682</v>
      </c>
      <c r="M506" s="1">
        <v>26187</v>
      </c>
      <c r="O506" s="1">
        <v>172403</v>
      </c>
      <c r="Q506" s="1">
        <v>0</v>
      </c>
      <c r="S506" s="1">
        <v>0</v>
      </c>
      <c r="U506" s="1">
        <v>0</v>
      </c>
      <c r="W506" s="1">
        <f>3657+84985</f>
        <v>88642</v>
      </c>
      <c r="Y506" s="41">
        <f t="shared" si="60"/>
        <v>14800150</v>
      </c>
      <c r="AA506" s="1">
        <v>0</v>
      </c>
      <c r="AE506" s="1">
        <v>0</v>
      </c>
      <c r="AG506" s="1">
        <v>0</v>
      </c>
      <c r="AI506" s="1">
        <v>0</v>
      </c>
      <c r="AK506" s="1">
        <f t="shared" si="61"/>
        <v>0</v>
      </c>
      <c r="AM506" s="1">
        <f t="shared" si="62"/>
        <v>14800150</v>
      </c>
    </row>
    <row r="507" spans="1:39">
      <c r="A507" s="12"/>
      <c r="B507" s="12"/>
      <c r="C507" s="12"/>
      <c r="D507" s="12"/>
      <c r="E507" s="13"/>
      <c r="Y507" s="41"/>
    </row>
    <row r="508" spans="1:39">
      <c r="A508" s="12"/>
      <c r="B508" s="12"/>
      <c r="C508" s="12"/>
      <c r="D508" s="12"/>
      <c r="E508" s="13"/>
      <c r="Y508" s="41"/>
      <c r="AM508" s="20" t="s">
        <v>709</v>
      </c>
    </row>
    <row r="509" spans="1:39">
      <c r="A509" s="12"/>
      <c r="B509" s="12"/>
      <c r="C509" s="12"/>
      <c r="D509" s="12"/>
      <c r="E509" s="13"/>
      <c r="Y509" s="41"/>
    </row>
    <row r="510" spans="1:39" ht="12" customHeight="1">
      <c r="A510" s="12" t="s">
        <v>469</v>
      </c>
      <c r="B510" s="12"/>
      <c r="C510" s="12" t="s">
        <v>45</v>
      </c>
      <c r="D510" s="12"/>
      <c r="E510" s="13">
        <v>48363</v>
      </c>
      <c r="G510" s="16">
        <v>4850090</v>
      </c>
      <c r="H510" s="16"/>
      <c r="I510" s="16">
        <v>0</v>
      </c>
      <c r="J510" s="16"/>
      <c r="K510" s="16">
        <v>5809772</v>
      </c>
      <c r="L510" s="16"/>
      <c r="M510" s="16">
        <v>14710</v>
      </c>
      <c r="N510" s="16"/>
      <c r="O510" s="16">
        <v>88499</v>
      </c>
      <c r="P510" s="16"/>
      <c r="Q510" s="16">
        <v>0</v>
      </c>
      <c r="R510" s="16"/>
      <c r="S510" s="16">
        <v>0</v>
      </c>
      <c r="T510" s="16"/>
      <c r="U510" s="16">
        <v>9325</v>
      </c>
      <c r="V510" s="16"/>
      <c r="W510" s="16">
        <f>25037+13835</f>
        <v>38872</v>
      </c>
      <c r="X510" s="16"/>
      <c r="Y510" s="59">
        <f t="shared" si="60"/>
        <v>10811268</v>
      </c>
      <c r="Z510" s="16"/>
      <c r="AA510" s="16">
        <v>0</v>
      </c>
      <c r="AB510" s="16"/>
      <c r="AC510" s="16"/>
      <c r="AD510" s="16"/>
      <c r="AE510" s="16">
        <v>0</v>
      </c>
      <c r="AF510" s="16"/>
      <c r="AG510" s="16">
        <v>0</v>
      </c>
      <c r="AH510" s="16"/>
      <c r="AI510" s="16">
        <v>0</v>
      </c>
      <c r="AJ510" s="16"/>
      <c r="AK510" s="16">
        <f t="shared" si="61"/>
        <v>0</v>
      </c>
      <c r="AL510" s="16"/>
      <c r="AM510" s="16">
        <f t="shared" si="62"/>
        <v>10811268</v>
      </c>
    </row>
    <row r="511" spans="1:39" ht="12" customHeight="1">
      <c r="A511" s="12" t="s">
        <v>537</v>
      </c>
      <c r="B511" s="12"/>
      <c r="C511" s="12" t="s">
        <v>56</v>
      </c>
      <c r="D511" s="12"/>
      <c r="E511" s="13">
        <v>49221</v>
      </c>
      <c r="G511" s="1">
        <v>6340693</v>
      </c>
      <c r="I511" s="1">
        <v>0</v>
      </c>
      <c r="K511" s="1">
        <v>12047870</v>
      </c>
      <c r="M511" s="1">
        <v>17694</v>
      </c>
      <c r="O511" s="1">
        <v>44723</v>
      </c>
      <c r="Q511" s="1">
        <v>0</v>
      </c>
      <c r="S511" s="1">
        <v>0</v>
      </c>
      <c r="U511" s="1">
        <v>0</v>
      </c>
      <c r="W511" s="1">
        <f>1282+10452</f>
        <v>11734</v>
      </c>
      <c r="Y511" s="41">
        <f t="shared" si="60"/>
        <v>18462714</v>
      </c>
      <c r="AA511" s="1">
        <v>0</v>
      </c>
      <c r="AE511" s="1">
        <v>0</v>
      </c>
      <c r="AG511" s="1">
        <v>0</v>
      </c>
      <c r="AI511" s="1">
        <v>0</v>
      </c>
      <c r="AK511" s="1">
        <f t="shared" si="61"/>
        <v>0</v>
      </c>
      <c r="AM511" s="1">
        <f t="shared" si="62"/>
        <v>18462714</v>
      </c>
    </row>
    <row r="512" spans="1:39" s="16" customFormat="1" ht="12" customHeight="1">
      <c r="A512" s="14" t="s">
        <v>537</v>
      </c>
      <c r="B512" s="14"/>
      <c r="C512" s="14" t="s">
        <v>71</v>
      </c>
      <c r="D512" s="14"/>
      <c r="E512" s="14">
        <v>50583</v>
      </c>
      <c r="G512" s="1">
        <v>5825673</v>
      </c>
      <c r="H512" s="1"/>
      <c r="I512" s="1">
        <v>0</v>
      </c>
      <c r="J512" s="1"/>
      <c r="K512" s="1">
        <v>6051317</v>
      </c>
      <c r="L512" s="1"/>
      <c r="M512" s="1">
        <v>14352</v>
      </c>
      <c r="N512" s="1"/>
      <c r="O512" s="1">
        <v>911847</v>
      </c>
      <c r="P512" s="1"/>
      <c r="Q512" s="1">
        <v>525</v>
      </c>
      <c r="R512" s="1"/>
      <c r="S512" s="1">
        <v>0</v>
      </c>
      <c r="T512" s="1"/>
      <c r="U512" s="1">
        <v>0</v>
      </c>
      <c r="V512" s="1"/>
      <c r="W512" s="1">
        <f>4340+12195</f>
        <v>16535</v>
      </c>
      <c r="X512" s="1"/>
      <c r="Y512" s="41">
        <f t="shared" si="60"/>
        <v>12820249</v>
      </c>
      <c r="Z512" s="1"/>
      <c r="AA512" s="1">
        <v>0</v>
      </c>
      <c r="AB512" s="1"/>
      <c r="AC512" s="1"/>
      <c r="AD512" s="1"/>
      <c r="AE512" s="1">
        <v>0</v>
      </c>
      <c r="AF512" s="1"/>
      <c r="AG512" s="1">
        <v>0</v>
      </c>
      <c r="AH512" s="1"/>
      <c r="AI512" s="1">
        <v>0</v>
      </c>
      <c r="AJ512" s="1"/>
      <c r="AK512" s="1">
        <f t="shared" ref="AK512:AK543" si="63">SUM(AA512:AJ512)</f>
        <v>0</v>
      </c>
      <c r="AL512" s="1"/>
      <c r="AM512" s="1">
        <f t="shared" si="62"/>
        <v>12820249</v>
      </c>
    </row>
    <row r="513" spans="1:39" ht="12" customHeight="1">
      <c r="A513" s="12" t="s">
        <v>249</v>
      </c>
      <c r="B513" s="12"/>
      <c r="C513" s="12" t="s">
        <v>17</v>
      </c>
      <c r="D513" s="12"/>
      <c r="E513" s="13">
        <v>46276</v>
      </c>
      <c r="F513" s="8"/>
      <c r="G513" s="1">
        <v>2153703</v>
      </c>
      <c r="I513" s="1">
        <v>891126</v>
      </c>
      <c r="K513" s="1">
        <v>3704443</v>
      </c>
      <c r="M513" s="1">
        <v>0</v>
      </c>
      <c r="O513" s="1">
        <v>409585</v>
      </c>
      <c r="Q513" s="1">
        <v>0</v>
      </c>
      <c r="S513" s="1">
        <v>0</v>
      </c>
      <c r="U513" s="1">
        <v>0</v>
      </c>
      <c r="W513" s="1">
        <v>5304</v>
      </c>
      <c r="Y513" s="41">
        <f t="shared" si="60"/>
        <v>7164161</v>
      </c>
      <c r="AA513" s="1">
        <v>0</v>
      </c>
      <c r="AE513" s="1">
        <v>138600</v>
      </c>
      <c r="AG513" s="1">
        <v>0</v>
      </c>
      <c r="AI513" s="1">
        <v>0</v>
      </c>
      <c r="AK513" s="1">
        <f t="shared" si="63"/>
        <v>138600</v>
      </c>
      <c r="AM513" s="1">
        <f t="shared" si="62"/>
        <v>7302761</v>
      </c>
    </row>
    <row r="514" spans="1:39" ht="12" customHeight="1">
      <c r="A514" s="12" t="s">
        <v>249</v>
      </c>
      <c r="B514" s="12"/>
      <c r="C514" s="12" t="s">
        <v>58</v>
      </c>
      <c r="D514" s="12"/>
      <c r="E514" s="13">
        <v>49528</v>
      </c>
      <c r="G514" s="1">
        <v>1635331</v>
      </c>
      <c r="I514" s="1">
        <v>54603</v>
      </c>
      <c r="K514" s="1">
        <v>7551481</v>
      </c>
      <c r="M514" s="1">
        <v>49609</v>
      </c>
      <c r="O514" s="1">
        <v>849387</v>
      </c>
      <c r="Q514" s="1">
        <v>0</v>
      </c>
      <c r="S514" s="1">
        <v>0</v>
      </c>
      <c r="U514" s="1">
        <v>0</v>
      </c>
      <c r="W514" s="1">
        <f>36950+67614</f>
        <v>104564</v>
      </c>
      <c r="Y514" s="41">
        <f t="shared" si="60"/>
        <v>10244975</v>
      </c>
      <c r="AA514" s="1">
        <v>333385</v>
      </c>
      <c r="AE514" s="1">
        <v>0</v>
      </c>
      <c r="AG514" s="1">
        <v>1500</v>
      </c>
      <c r="AI514" s="1">
        <v>0</v>
      </c>
      <c r="AK514" s="1">
        <f t="shared" si="63"/>
        <v>334885</v>
      </c>
      <c r="AM514" s="1">
        <f t="shared" si="62"/>
        <v>10579860</v>
      </c>
    </row>
    <row r="515" spans="1:39" ht="12" customHeight="1">
      <c r="A515" s="12" t="s">
        <v>269</v>
      </c>
      <c r="B515" s="12"/>
      <c r="C515" s="12" t="s">
        <v>114</v>
      </c>
      <c r="D515" s="12"/>
      <c r="E515" s="13">
        <v>46441</v>
      </c>
      <c r="F515" s="8"/>
      <c r="G515" s="1">
        <v>1569984</v>
      </c>
      <c r="I515" s="1">
        <v>0</v>
      </c>
      <c r="K515" s="1">
        <v>6394829</v>
      </c>
      <c r="M515" s="1">
        <v>1091</v>
      </c>
      <c r="O515" s="1">
        <v>359620</v>
      </c>
      <c r="Q515" s="1">
        <v>0</v>
      </c>
      <c r="S515" s="1">
        <v>0</v>
      </c>
      <c r="U515" s="1">
        <v>0</v>
      </c>
      <c r="W515" s="1">
        <f>40830+67468</f>
        <v>108298</v>
      </c>
      <c r="Y515" s="41">
        <f>SUM(G515:X515)</f>
        <v>8433822</v>
      </c>
      <c r="AA515" s="1">
        <v>0</v>
      </c>
      <c r="AE515" s="1">
        <v>43707</v>
      </c>
      <c r="AG515" s="1">
        <f>2000</f>
        <v>2000</v>
      </c>
      <c r="AI515" s="1">
        <v>0</v>
      </c>
      <c r="AK515" s="1">
        <f>SUM(AA515:AJ515)</f>
        <v>45707</v>
      </c>
      <c r="AM515" s="1">
        <f t="shared" si="62"/>
        <v>8479529</v>
      </c>
    </row>
    <row r="516" spans="1:39" ht="12" customHeight="1">
      <c r="A516" s="12" t="s">
        <v>269</v>
      </c>
      <c r="B516" s="12"/>
      <c r="C516" s="12" t="s">
        <v>484</v>
      </c>
      <c r="D516" s="12"/>
      <c r="E516" s="13">
        <v>46441</v>
      </c>
      <c r="F516" s="8"/>
      <c r="G516" s="1">
        <v>1475539</v>
      </c>
      <c r="I516" s="1">
        <v>0</v>
      </c>
      <c r="K516" s="1">
        <v>4299965</v>
      </c>
      <c r="M516" s="1">
        <v>43019</v>
      </c>
      <c r="O516" s="1">
        <v>258150</v>
      </c>
      <c r="Q516" s="1">
        <v>0</v>
      </c>
      <c r="S516" s="1">
        <v>0</v>
      </c>
      <c r="U516" s="1">
        <v>0</v>
      </c>
      <c r="W516" s="1">
        <v>27014</v>
      </c>
      <c r="Y516" s="41">
        <f t="shared" si="60"/>
        <v>6103687</v>
      </c>
      <c r="AA516" s="1">
        <v>0</v>
      </c>
      <c r="AE516" s="1">
        <v>0</v>
      </c>
      <c r="AG516" s="1">
        <v>1200</v>
      </c>
      <c r="AI516" s="1">
        <v>0</v>
      </c>
      <c r="AK516" s="1">
        <f t="shared" si="63"/>
        <v>1200</v>
      </c>
      <c r="AM516" s="1">
        <f t="shared" si="62"/>
        <v>6104887</v>
      </c>
    </row>
    <row r="517" spans="1:39" ht="12" hidden="1" customHeight="1">
      <c r="A517" s="12" t="s">
        <v>873</v>
      </c>
      <c r="B517" s="12"/>
      <c r="C517" s="12" t="s">
        <v>524</v>
      </c>
      <c r="D517" s="12"/>
      <c r="E517" s="13"/>
      <c r="F517" s="8"/>
      <c r="Y517" s="41">
        <f t="shared" si="60"/>
        <v>0</v>
      </c>
      <c r="AK517" s="1">
        <f t="shared" si="63"/>
        <v>0</v>
      </c>
      <c r="AM517" s="1">
        <f t="shared" si="62"/>
        <v>0</v>
      </c>
    </row>
    <row r="518" spans="1:39" ht="12" customHeight="1">
      <c r="A518" s="12" t="s">
        <v>615</v>
      </c>
      <c r="B518" s="12"/>
      <c r="C518" s="12" t="s">
        <v>64</v>
      </c>
      <c r="D518" s="12"/>
      <c r="E518" s="13">
        <v>50237</v>
      </c>
      <c r="G518" s="1">
        <v>1533400</v>
      </c>
      <c r="I518" s="1">
        <v>0</v>
      </c>
      <c r="K518" s="1">
        <v>2869190</v>
      </c>
      <c r="M518" s="1">
        <v>13708</v>
      </c>
      <c r="O518" s="1">
        <v>374948</v>
      </c>
      <c r="Q518" s="1">
        <v>10272</v>
      </c>
      <c r="S518" s="1">
        <v>0</v>
      </c>
      <c r="U518" s="1">
        <v>35</v>
      </c>
      <c r="W518" s="1">
        <v>80713</v>
      </c>
      <c r="Y518" s="41">
        <f t="shared" si="60"/>
        <v>4882266</v>
      </c>
      <c r="AA518" s="1">
        <v>0</v>
      </c>
      <c r="AE518" s="1">
        <v>0</v>
      </c>
      <c r="AG518" s="1">
        <v>0</v>
      </c>
      <c r="AI518" s="1">
        <v>0</v>
      </c>
      <c r="AK518" s="1">
        <f t="shared" si="63"/>
        <v>0</v>
      </c>
      <c r="AM518" s="1">
        <f t="shared" si="62"/>
        <v>4882266</v>
      </c>
    </row>
    <row r="519" spans="1:39" ht="12" customHeight="1">
      <c r="A519" s="12" t="s">
        <v>434</v>
      </c>
      <c r="B519" s="12"/>
      <c r="C519" s="12" t="s">
        <v>42</v>
      </c>
      <c r="D519" s="12"/>
      <c r="E519" s="13">
        <v>48041</v>
      </c>
      <c r="G519" s="1">
        <v>14193232</v>
      </c>
      <c r="I519" s="1">
        <v>4046224</v>
      </c>
      <c r="K519" s="1">
        <v>13768030</v>
      </c>
      <c r="M519" s="1">
        <v>183671</v>
      </c>
      <c r="O519" s="1">
        <v>553717</v>
      </c>
      <c r="Q519" s="1">
        <v>131059</v>
      </c>
      <c r="S519" s="1">
        <v>51407</v>
      </c>
      <c r="U519" s="1">
        <v>0</v>
      </c>
      <c r="W519" s="1">
        <f>106469+80821</f>
        <v>187290</v>
      </c>
      <c r="Y519" s="41">
        <f t="shared" si="60"/>
        <v>33114630</v>
      </c>
      <c r="AA519" s="1">
        <v>0</v>
      </c>
      <c r="AE519" s="1">
        <v>0</v>
      </c>
      <c r="AG519" s="1">
        <v>8178</v>
      </c>
      <c r="AI519" s="1">
        <v>0</v>
      </c>
      <c r="AK519" s="1">
        <f t="shared" si="63"/>
        <v>8178</v>
      </c>
      <c r="AM519" s="1">
        <f t="shared" si="62"/>
        <v>33122808</v>
      </c>
    </row>
    <row r="520" spans="1:39" ht="12" customHeight="1">
      <c r="A520" s="12" t="s">
        <v>374</v>
      </c>
      <c r="B520" s="12"/>
      <c r="C520" s="12" t="s">
        <v>32</v>
      </c>
      <c r="D520" s="12"/>
      <c r="E520" s="13">
        <v>47381</v>
      </c>
      <c r="G520" s="1">
        <v>13947832</v>
      </c>
      <c r="I520" s="1">
        <v>0</v>
      </c>
      <c r="K520" s="1">
        <v>15449021</v>
      </c>
      <c r="M520" s="1">
        <v>51790</v>
      </c>
      <c r="O520" s="1">
        <v>62818</v>
      </c>
      <c r="Q520" s="1">
        <v>0</v>
      </c>
      <c r="S520" s="1">
        <v>122134</v>
      </c>
      <c r="U520" s="1">
        <v>0</v>
      </c>
      <c r="W520" s="1">
        <v>101891</v>
      </c>
      <c r="Y520" s="41">
        <f t="shared" si="60"/>
        <v>29735486</v>
      </c>
      <c r="AA520" s="1">
        <v>0</v>
      </c>
      <c r="AE520" s="1">
        <v>0</v>
      </c>
      <c r="AG520" s="1">
        <v>330148</v>
      </c>
      <c r="AI520" s="1">
        <v>0</v>
      </c>
      <c r="AK520" s="1">
        <f t="shared" si="63"/>
        <v>330148</v>
      </c>
      <c r="AM520" s="1">
        <f t="shared" si="62"/>
        <v>30065634</v>
      </c>
    </row>
    <row r="521" spans="1:39" ht="12" customHeight="1">
      <c r="A521" s="12" t="s">
        <v>340</v>
      </c>
      <c r="B521" s="12"/>
      <c r="C521" s="12" t="s">
        <v>27</v>
      </c>
      <c r="D521" s="12"/>
      <c r="E521" s="13">
        <v>44800</v>
      </c>
      <c r="G521" s="1">
        <v>91645660</v>
      </c>
      <c r="I521" s="1">
        <v>0</v>
      </c>
      <c r="K521" s="1">
        <f>109723493+992464</f>
        <v>110715957</v>
      </c>
      <c r="M521" s="1">
        <v>335983</v>
      </c>
      <c r="O521" s="1">
        <v>883547</v>
      </c>
      <c r="Q521" s="1">
        <v>0</v>
      </c>
      <c r="S521" s="1">
        <v>1603739</v>
      </c>
      <c r="U521" s="1">
        <v>0</v>
      </c>
      <c r="W521" s="1">
        <v>1123236</v>
      </c>
      <c r="Y521" s="41">
        <f t="shared" si="60"/>
        <v>206308122</v>
      </c>
      <c r="AA521" s="1">
        <v>0</v>
      </c>
      <c r="AE521" s="1">
        <v>0</v>
      </c>
      <c r="AG521" s="1">
        <v>12346</v>
      </c>
      <c r="AI521" s="1">
        <v>0</v>
      </c>
      <c r="AK521" s="1">
        <f t="shared" si="63"/>
        <v>12346</v>
      </c>
      <c r="AM521" s="1">
        <f t="shared" si="62"/>
        <v>206320468</v>
      </c>
    </row>
    <row r="522" spans="1:39" ht="12" hidden="1" customHeight="1">
      <c r="A522" s="17" t="s">
        <v>875</v>
      </c>
      <c r="B522" s="12"/>
      <c r="C522" s="12" t="s">
        <v>10</v>
      </c>
      <c r="D522" s="12"/>
      <c r="E522" s="13">
        <v>45807</v>
      </c>
      <c r="F522" s="8"/>
      <c r="Y522" s="41">
        <f t="shared" si="60"/>
        <v>0</v>
      </c>
      <c r="AK522" s="1">
        <f t="shared" si="63"/>
        <v>0</v>
      </c>
      <c r="AM522" s="1">
        <f t="shared" si="62"/>
        <v>0</v>
      </c>
    </row>
    <row r="523" spans="1:39" ht="12" hidden="1" customHeight="1">
      <c r="A523" s="17" t="s">
        <v>874</v>
      </c>
      <c r="B523" s="12"/>
      <c r="C523" s="12" t="s">
        <v>69</v>
      </c>
      <c r="D523" s="12"/>
      <c r="E523" s="13">
        <v>50427</v>
      </c>
      <c r="Y523" s="41">
        <f t="shared" si="60"/>
        <v>0</v>
      </c>
      <c r="AK523" s="1">
        <f t="shared" si="63"/>
        <v>0</v>
      </c>
      <c r="AM523" s="1">
        <f t="shared" si="62"/>
        <v>0</v>
      </c>
    </row>
    <row r="524" spans="1:39" ht="12" customHeight="1">
      <c r="A524" s="17" t="s">
        <v>761</v>
      </c>
      <c r="B524" s="17"/>
      <c r="C524" s="17" t="s">
        <v>17</v>
      </c>
      <c r="D524" s="17"/>
      <c r="E524" s="13"/>
      <c r="G524" s="1">
        <v>20422213</v>
      </c>
      <c r="I524" s="1">
        <v>0</v>
      </c>
      <c r="K524" s="1">
        <v>55348598</v>
      </c>
      <c r="M524" s="1">
        <v>211445</v>
      </c>
      <c r="O524" s="1">
        <v>948686</v>
      </c>
      <c r="Q524" s="1">
        <v>34131</v>
      </c>
      <c r="S524" s="1">
        <v>0</v>
      </c>
      <c r="U524" s="1">
        <v>0</v>
      </c>
      <c r="W524" s="1">
        <f>28690+4+307211</f>
        <v>335905</v>
      </c>
      <c r="Y524" s="41">
        <f t="shared" si="60"/>
        <v>77300978</v>
      </c>
      <c r="AA524" s="1">
        <v>0</v>
      </c>
      <c r="AE524" s="1">
        <v>0</v>
      </c>
      <c r="AG524" s="1">
        <v>0</v>
      </c>
      <c r="AI524" s="1">
        <v>0</v>
      </c>
      <c r="AK524" s="1">
        <f t="shared" si="63"/>
        <v>0</v>
      </c>
      <c r="AM524" s="1">
        <f t="shared" si="62"/>
        <v>77300978</v>
      </c>
    </row>
    <row r="525" spans="1:39" ht="12" customHeight="1">
      <c r="A525" s="17" t="s">
        <v>453</v>
      </c>
      <c r="B525" s="12"/>
      <c r="C525" s="12" t="s">
        <v>117</v>
      </c>
      <c r="D525" s="12"/>
      <c r="E525" s="13">
        <v>48223</v>
      </c>
      <c r="G525" s="1">
        <v>21005288</v>
      </c>
      <c r="I525" s="1">
        <v>0</v>
      </c>
      <c r="K525" s="1">
        <v>10552332</v>
      </c>
      <c r="M525" s="1">
        <v>27671</v>
      </c>
      <c r="O525" s="1">
        <v>1013108</v>
      </c>
      <c r="Q525" s="1">
        <v>0</v>
      </c>
      <c r="S525" s="1">
        <v>0</v>
      </c>
      <c r="U525" s="1">
        <v>14815</v>
      </c>
      <c r="W525" s="1">
        <f>29427+26426+694526</f>
        <v>750379</v>
      </c>
      <c r="Y525" s="41">
        <f t="shared" si="60"/>
        <v>33363593</v>
      </c>
      <c r="AA525" s="1">
        <v>0</v>
      </c>
      <c r="AE525" s="1">
        <v>0</v>
      </c>
      <c r="AG525" s="1">
        <v>425</v>
      </c>
      <c r="AI525" s="1">
        <v>0</v>
      </c>
      <c r="AK525" s="1">
        <f t="shared" si="63"/>
        <v>425</v>
      </c>
      <c r="AM525" s="1">
        <f t="shared" si="62"/>
        <v>33364018</v>
      </c>
    </row>
    <row r="526" spans="1:39" ht="12" customHeight="1">
      <c r="A526" s="12" t="s">
        <v>453</v>
      </c>
      <c r="B526" s="12"/>
      <c r="C526" s="12" t="s">
        <v>45</v>
      </c>
      <c r="D526" s="12"/>
      <c r="E526" s="12">
        <v>48371</v>
      </c>
      <c r="G526" s="1">
        <v>2711472</v>
      </c>
      <c r="I526" s="1">
        <v>1584789</v>
      </c>
      <c r="K526" s="1">
        <v>5346866</v>
      </c>
      <c r="M526" s="1">
        <v>8162</v>
      </c>
      <c r="O526" s="1">
        <v>12823</v>
      </c>
      <c r="Q526" s="1">
        <v>0</v>
      </c>
      <c r="S526" s="1">
        <v>0</v>
      </c>
      <c r="U526" s="1">
        <v>0</v>
      </c>
      <c r="W526" s="1">
        <f>24128+50+5000+19753</f>
        <v>48931</v>
      </c>
      <c r="Y526" s="41">
        <f t="shared" si="60"/>
        <v>9713043</v>
      </c>
      <c r="AA526" s="1">
        <v>0</v>
      </c>
      <c r="AE526" s="1">
        <v>0</v>
      </c>
      <c r="AG526" s="1">
        <v>0</v>
      </c>
      <c r="AI526" s="1">
        <v>0</v>
      </c>
      <c r="AK526" s="1">
        <f t="shared" si="63"/>
        <v>0</v>
      </c>
      <c r="AM526" s="1">
        <f t="shared" si="62"/>
        <v>9713043</v>
      </c>
    </row>
    <row r="527" spans="1:39" ht="12" customHeight="1">
      <c r="A527" s="12" t="s">
        <v>453</v>
      </c>
      <c r="B527" s="12"/>
      <c r="C527" s="12" t="s">
        <v>63</v>
      </c>
      <c r="D527" s="12"/>
      <c r="E527" s="12">
        <v>50062</v>
      </c>
      <c r="G527" s="1">
        <v>10549773</v>
      </c>
      <c r="I527" s="1">
        <v>0</v>
      </c>
      <c r="K527" s="1">
        <v>12141413</v>
      </c>
      <c r="M527" s="1">
        <v>7058</v>
      </c>
      <c r="O527" s="1">
        <v>1945587</v>
      </c>
      <c r="Q527" s="1">
        <v>0</v>
      </c>
      <c r="S527" s="1">
        <v>0</v>
      </c>
      <c r="U527" s="1">
        <v>62193</v>
      </c>
      <c r="W527" s="1">
        <f>86728+96731</f>
        <v>183459</v>
      </c>
      <c r="Y527" s="41">
        <f t="shared" si="60"/>
        <v>24889483</v>
      </c>
      <c r="AA527" s="1">
        <v>0</v>
      </c>
      <c r="AE527" s="1">
        <v>117569</v>
      </c>
      <c r="AG527" s="1">
        <f>1289</f>
        <v>1289</v>
      </c>
      <c r="AI527" s="1">
        <v>0</v>
      </c>
      <c r="AK527" s="1">
        <f t="shared" si="63"/>
        <v>118858</v>
      </c>
      <c r="AM527" s="1">
        <f t="shared" si="62"/>
        <v>25008341</v>
      </c>
    </row>
    <row r="528" spans="1:39" ht="12" customHeight="1">
      <c r="A528" s="12" t="s">
        <v>770</v>
      </c>
      <c r="B528" s="12"/>
      <c r="C528" s="12" t="s">
        <v>32</v>
      </c>
      <c r="D528" s="12"/>
      <c r="E528" s="13">
        <v>44719</v>
      </c>
      <c r="G528" s="1">
        <v>4701291</v>
      </c>
      <c r="I528" s="1">
        <v>0</v>
      </c>
      <c r="K528" s="1">
        <v>6805081</v>
      </c>
      <c r="M528" s="1">
        <v>6704</v>
      </c>
      <c r="O528" s="1">
        <v>467598</v>
      </c>
      <c r="Q528" s="1">
        <v>0</v>
      </c>
      <c r="S528" s="1">
        <v>0</v>
      </c>
      <c r="U528" s="1">
        <v>0</v>
      </c>
      <c r="W528" s="1">
        <v>208250</v>
      </c>
      <c r="Y528" s="41">
        <f t="shared" si="60"/>
        <v>12188924</v>
      </c>
      <c r="AA528" s="1">
        <v>452498</v>
      </c>
      <c r="AE528" s="1">
        <v>0</v>
      </c>
      <c r="AG528" s="1">
        <v>0</v>
      </c>
      <c r="AI528" s="1">
        <v>0</v>
      </c>
      <c r="AK528" s="1">
        <f t="shared" si="63"/>
        <v>452498</v>
      </c>
      <c r="AM528" s="1">
        <f t="shared" si="62"/>
        <v>12641422</v>
      </c>
    </row>
    <row r="529" spans="1:39" ht="12" customHeight="1">
      <c r="A529" s="12" t="s">
        <v>769</v>
      </c>
      <c r="B529" s="12"/>
      <c r="C529" s="12" t="s">
        <v>15</v>
      </c>
      <c r="D529" s="12"/>
      <c r="E529" s="13">
        <v>45997</v>
      </c>
      <c r="F529" s="8"/>
      <c r="G529" s="1">
        <v>6111928</v>
      </c>
      <c r="I529" s="1">
        <v>0</v>
      </c>
      <c r="K529" s="1">
        <v>4973987</v>
      </c>
      <c r="M529" s="1">
        <v>11658</v>
      </c>
      <c r="O529" s="1">
        <v>0</v>
      </c>
      <c r="Q529" s="1">
        <v>1010851</v>
      </c>
      <c r="S529" s="1">
        <v>0</v>
      </c>
      <c r="U529" s="1">
        <v>33373</v>
      </c>
      <c r="W529" s="1">
        <f>114196+20486</f>
        <v>134682</v>
      </c>
      <c r="Y529" s="41">
        <f t="shared" si="60"/>
        <v>12276479</v>
      </c>
      <c r="AA529" s="1">
        <v>0</v>
      </c>
      <c r="AE529" s="1">
        <v>55807</v>
      </c>
      <c r="AG529" s="1">
        <f>1500</f>
        <v>1500</v>
      </c>
      <c r="AI529" s="1">
        <v>0</v>
      </c>
      <c r="AK529" s="1">
        <f t="shared" si="63"/>
        <v>57307</v>
      </c>
      <c r="AM529" s="1">
        <f t="shared" si="62"/>
        <v>12333786</v>
      </c>
    </row>
    <row r="530" spans="1:39" ht="12" hidden="1" customHeight="1">
      <c r="A530" s="17" t="s">
        <v>876</v>
      </c>
      <c r="B530" s="12"/>
      <c r="C530" s="12" t="s">
        <v>486</v>
      </c>
      <c r="D530" s="12"/>
      <c r="E530" s="13">
        <v>48587</v>
      </c>
      <c r="Y530" s="41">
        <f t="shared" si="60"/>
        <v>0</v>
      </c>
      <c r="AK530" s="1">
        <f t="shared" si="63"/>
        <v>0</v>
      </c>
      <c r="AM530" s="1">
        <f t="shared" si="62"/>
        <v>0</v>
      </c>
    </row>
    <row r="531" spans="1:39" ht="12" hidden="1" customHeight="1">
      <c r="A531" s="17" t="s">
        <v>877</v>
      </c>
      <c r="B531" s="12"/>
      <c r="C531" s="12" t="s">
        <v>14</v>
      </c>
      <c r="D531" s="12"/>
      <c r="E531" s="13">
        <v>44727</v>
      </c>
      <c r="F531" s="8"/>
      <c r="Y531" s="41">
        <f t="shared" si="60"/>
        <v>0</v>
      </c>
      <c r="AK531" s="1">
        <f t="shared" si="63"/>
        <v>0</v>
      </c>
      <c r="AM531" s="1">
        <f t="shared" si="62"/>
        <v>0</v>
      </c>
    </row>
    <row r="532" spans="1:39" ht="12" customHeight="1">
      <c r="A532" s="12" t="s">
        <v>412</v>
      </c>
      <c r="B532" s="12"/>
      <c r="C532" s="12" t="s">
        <v>39</v>
      </c>
      <c r="D532" s="12"/>
      <c r="E532" s="13">
        <v>44826</v>
      </c>
      <c r="G532" s="1">
        <v>3297293</v>
      </c>
      <c r="I532" s="1">
        <v>0</v>
      </c>
      <c r="K532" s="1">
        <v>11917577</v>
      </c>
      <c r="M532" s="1">
        <v>37590</v>
      </c>
      <c r="O532" s="1">
        <v>3143519</v>
      </c>
      <c r="Q532" s="1">
        <v>0</v>
      </c>
      <c r="S532" s="1">
        <v>0</v>
      </c>
      <c r="U532" s="1">
        <v>2159</v>
      </c>
      <c r="W532" s="1">
        <f>9825+101255</f>
        <v>111080</v>
      </c>
      <c r="Y532" s="41">
        <f t="shared" si="60"/>
        <v>18509218</v>
      </c>
      <c r="AA532" s="1">
        <v>0</v>
      </c>
      <c r="AE532" s="1">
        <v>0</v>
      </c>
      <c r="AG532" s="1">
        <v>4778</v>
      </c>
      <c r="AI532" s="1">
        <v>0</v>
      </c>
      <c r="AK532" s="1">
        <f t="shared" si="63"/>
        <v>4778</v>
      </c>
      <c r="AM532" s="1">
        <f t="shared" si="62"/>
        <v>18513996</v>
      </c>
    </row>
    <row r="533" spans="1:39" ht="12" customHeight="1">
      <c r="A533" s="12" t="s">
        <v>595</v>
      </c>
      <c r="B533" s="12"/>
      <c r="C533" s="12" t="s">
        <v>63</v>
      </c>
      <c r="D533" s="12"/>
      <c r="E533" s="13">
        <v>44834</v>
      </c>
      <c r="G533" s="1">
        <v>28193679</v>
      </c>
      <c r="I533" s="1">
        <v>0</v>
      </c>
      <c r="K533" s="1">
        <f>20638+19763395+39000</f>
        <v>19823033</v>
      </c>
      <c r="M533" s="1">
        <v>131291</v>
      </c>
      <c r="O533" s="1">
        <v>1770239</v>
      </c>
      <c r="Q533" s="1">
        <v>212067</v>
      </c>
      <c r="S533" s="1">
        <v>0</v>
      </c>
      <c r="U533" s="1">
        <v>0</v>
      </c>
      <c r="W533" s="1">
        <v>121128</v>
      </c>
      <c r="Y533" s="41">
        <f t="shared" si="60"/>
        <v>50251437</v>
      </c>
      <c r="AA533" s="1">
        <v>0</v>
      </c>
      <c r="AE533" s="1">
        <v>0</v>
      </c>
      <c r="AG533" s="1">
        <v>8355</v>
      </c>
      <c r="AI533" s="1">
        <v>0</v>
      </c>
      <c r="AK533" s="1">
        <f t="shared" si="63"/>
        <v>8355</v>
      </c>
      <c r="AM533" s="1">
        <f t="shared" si="62"/>
        <v>50259792</v>
      </c>
    </row>
    <row r="534" spans="1:39" ht="12" hidden="1" customHeight="1">
      <c r="A534" s="12" t="s">
        <v>878</v>
      </c>
      <c r="B534" s="12"/>
      <c r="C534" s="12" t="s">
        <v>65</v>
      </c>
      <c r="D534" s="12"/>
      <c r="E534" s="13">
        <v>50294</v>
      </c>
      <c r="Y534" s="41">
        <f t="shared" si="60"/>
        <v>0</v>
      </c>
      <c r="AK534" s="1">
        <f t="shared" si="63"/>
        <v>0</v>
      </c>
      <c r="AM534" s="1">
        <f t="shared" si="62"/>
        <v>0</v>
      </c>
    </row>
    <row r="535" spans="1:39" ht="12" customHeight="1">
      <c r="A535" s="12" t="s">
        <v>538</v>
      </c>
      <c r="B535" s="12"/>
      <c r="C535" s="12" t="s">
        <v>56</v>
      </c>
      <c r="D535" s="12"/>
      <c r="E535" s="13">
        <v>49239</v>
      </c>
      <c r="G535" s="1">
        <v>12387717</v>
      </c>
      <c r="I535" s="1">
        <v>0</v>
      </c>
      <c r="K535" s="1">
        <v>8069752</v>
      </c>
      <c r="M535" s="1">
        <v>3784</v>
      </c>
      <c r="O535" s="1">
        <v>100878</v>
      </c>
      <c r="Q535" s="1">
        <v>71602</v>
      </c>
      <c r="S535" s="1">
        <v>264604</v>
      </c>
      <c r="U535" s="1">
        <v>0</v>
      </c>
      <c r="W535" s="1">
        <f>11461+7269</f>
        <v>18730</v>
      </c>
      <c r="Y535" s="41">
        <f t="shared" si="60"/>
        <v>20917067</v>
      </c>
      <c r="AA535" s="1">
        <v>0</v>
      </c>
      <c r="AE535" s="1">
        <v>0</v>
      </c>
      <c r="AG535" s="1">
        <v>4396</v>
      </c>
      <c r="AI535" s="1">
        <v>0</v>
      </c>
      <c r="AK535" s="1">
        <f t="shared" si="63"/>
        <v>4396</v>
      </c>
      <c r="AM535" s="1">
        <f t="shared" si="62"/>
        <v>20921463</v>
      </c>
    </row>
    <row r="536" spans="1:39" ht="12" customHeight="1">
      <c r="A536" s="12" t="s">
        <v>306</v>
      </c>
      <c r="B536" s="12"/>
      <c r="C536" s="12" t="s">
        <v>20</v>
      </c>
      <c r="D536" s="12"/>
      <c r="E536" s="13">
        <v>44842</v>
      </c>
      <c r="G536" s="1">
        <v>48481299</v>
      </c>
      <c r="I536" s="1">
        <v>0</v>
      </c>
      <c r="K536" s="1">
        <v>22855638</v>
      </c>
      <c r="M536" s="1">
        <v>36754</v>
      </c>
      <c r="O536" s="1">
        <v>343327</v>
      </c>
      <c r="Q536" s="1">
        <v>0</v>
      </c>
      <c r="S536" s="1">
        <v>0</v>
      </c>
      <c r="U536" s="1">
        <v>0</v>
      </c>
      <c r="W536" s="1">
        <v>442794</v>
      </c>
      <c r="Y536" s="41">
        <f t="shared" si="60"/>
        <v>72159812</v>
      </c>
      <c r="AA536" s="1">
        <v>3217</v>
      </c>
      <c r="AE536" s="1">
        <v>0</v>
      </c>
      <c r="AG536" s="1">
        <v>35430</v>
      </c>
      <c r="AI536" s="1">
        <v>0</v>
      </c>
      <c r="AK536" s="1">
        <f t="shared" si="63"/>
        <v>38647</v>
      </c>
      <c r="AM536" s="1">
        <f t="shared" si="62"/>
        <v>72198459</v>
      </c>
    </row>
    <row r="537" spans="1:39" ht="12" customHeight="1">
      <c r="A537" s="12" t="s">
        <v>470</v>
      </c>
      <c r="B537" s="12"/>
      <c r="C537" s="12" t="s">
        <v>45</v>
      </c>
      <c r="D537" s="12"/>
      <c r="E537" s="13">
        <v>44859</v>
      </c>
      <c r="G537" s="1">
        <v>4208684</v>
      </c>
      <c r="I537" s="1">
        <v>0</v>
      </c>
      <c r="K537" s="1">
        <v>11024155</v>
      </c>
      <c r="M537" s="1">
        <v>16043</v>
      </c>
      <c r="O537" s="1">
        <v>1244209</v>
      </c>
      <c r="Q537" s="1">
        <v>13360</v>
      </c>
      <c r="S537" s="1">
        <v>0</v>
      </c>
      <c r="U537" s="1">
        <v>356</v>
      </c>
      <c r="W537" s="1">
        <f>29558+6656</f>
        <v>36214</v>
      </c>
      <c r="Y537" s="41">
        <f t="shared" si="60"/>
        <v>16543021</v>
      </c>
      <c r="AA537" s="1">
        <v>0</v>
      </c>
      <c r="AE537" s="1">
        <v>0</v>
      </c>
      <c r="AG537" s="1">
        <v>0</v>
      </c>
      <c r="AI537" s="1">
        <v>0</v>
      </c>
      <c r="AK537" s="1">
        <f t="shared" si="63"/>
        <v>0</v>
      </c>
      <c r="AM537" s="1">
        <f t="shared" si="62"/>
        <v>16543021</v>
      </c>
    </row>
    <row r="538" spans="1:39" ht="12" customHeight="1">
      <c r="A538" s="12" t="s">
        <v>645</v>
      </c>
      <c r="B538" s="12"/>
      <c r="C538" s="12" t="s">
        <v>643</v>
      </c>
      <c r="D538" s="12"/>
      <c r="E538" s="13">
        <v>50658</v>
      </c>
      <c r="G538" s="1">
        <v>1072508</v>
      </c>
      <c r="I538" s="1">
        <v>583929</v>
      </c>
      <c r="K538" s="1">
        <v>2407021</v>
      </c>
      <c r="M538" s="1">
        <v>8474</v>
      </c>
      <c r="O538" s="1">
        <v>258195</v>
      </c>
      <c r="Q538" s="1">
        <v>0</v>
      </c>
      <c r="S538" s="1">
        <v>0</v>
      </c>
      <c r="U538" s="1">
        <v>0</v>
      </c>
      <c r="W538" s="1">
        <v>25846</v>
      </c>
      <c r="Y538" s="41">
        <f t="shared" si="60"/>
        <v>4355973</v>
      </c>
      <c r="AA538" s="1">
        <v>0</v>
      </c>
      <c r="AE538" s="1">
        <v>0</v>
      </c>
      <c r="AG538" s="1">
        <v>0</v>
      </c>
      <c r="AI538" s="1">
        <v>0</v>
      </c>
      <c r="AK538" s="1">
        <f t="shared" si="63"/>
        <v>0</v>
      </c>
      <c r="AM538" s="1">
        <f t="shared" si="62"/>
        <v>4355973</v>
      </c>
    </row>
    <row r="539" spans="1:39" ht="12" customHeight="1">
      <c r="A539" s="12" t="s">
        <v>347</v>
      </c>
      <c r="B539" s="12"/>
      <c r="C539" s="12" t="s">
        <v>28</v>
      </c>
      <c r="D539" s="12"/>
      <c r="E539" s="13">
        <v>47092</v>
      </c>
      <c r="G539" s="1">
        <v>4606268</v>
      </c>
      <c r="I539" s="1">
        <v>2021992</v>
      </c>
      <c r="K539" s="1">
        <v>5484105</v>
      </c>
      <c r="M539" s="1">
        <v>113437</v>
      </c>
      <c r="O539" s="1">
        <v>678923</v>
      </c>
      <c r="Q539" s="1">
        <v>0</v>
      </c>
      <c r="S539" s="1">
        <v>0</v>
      </c>
      <c r="U539" s="1">
        <v>5483</v>
      </c>
      <c r="W539" s="1">
        <v>123661</v>
      </c>
      <c r="Y539" s="41">
        <f t="shared" si="60"/>
        <v>13033869</v>
      </c>
      <c r="AA539" s="1">
        <v>0</v>
      </c>
      <c r="AE539" s="1">
        <v>0</v>
      </c>
      <c r="AG539" s="1">
        <v>0</v>
      </c>
      <c r="AI539" s="1">
        <v>0</v>
      </c>
      <c r="AK539" s="1">
        <f t="shared" si="63"/>
        <v>0</v>
      </c>
      <c r="AM539" s="1">
        <f t="shared" si="62"/>
        <v>13033869</v>
      </c>
    </row>
    <row r="540" spans="1:39" ht="12" customHeight="1">
      <c r="A540" s="12" t="s">
        <v>760</v>
      </c>
      <c r="B540" s="12"/>
      <c r="C540" s="12" t="s">
        <v>49</v>
      </c>
      <c r="D540" s="12"/>
      <c r="E540" s="13">
        <v>48652</v>
      </c>
      <c r="G540" s="1">
        <v>6424228</v>
      </c>
      <c r="I540" s="1">
        <v>0</v>
      </c>
      <c r="K540" s="1">
        <v>15229587</v>
      </c>
      <c r="M540" s="1">
        <v>6003</v>
      </c>
      <c r="O540" s="1">
        <v>160216</v>
      </c>
      <c r="Q540" s="1">
        <v>3660</v>
      </c>
      <c r="S540" s="1">
        <v>0</v>
      </c>
      <c r="U540" s="1">
        <v>14827</v>
      </c>
      <c r="W540" s="1">
        <f>975+21826</f>
        <v>22801</v>
      </c>
      <c r="Y540" s="41">
        <f t="shared" si="60"/>
        <v>21861322</v>
      </c>
      <c r="AA540" s="1">
        <v>0</v>
      </c>
      <c r="AE540" s="1">
        <v>0</v>
      </c>
      <c r="AG540" s="1">
        <v>4396</v>
      </c>
      <c r="AI540" s="1">
        <v>0</v>
      </c>
      <c r="AK540" s="1">
        <f t="shared" si="63"/>
        <v>4396</v>
      </c>
      <c r="AM540" s="1">
        <f t="shared" si="62"/>
        <v>21865718</v>
      </c>
    </row>
    <row r="541" spans="1:39" ht="12" customHeight="1">
      <c r="A541" s="12" t="s">
        <v>375</v>
      </c>
      <c r="B541" s="12"/>
      <c r="C541" s="12" t="s">
        <v>32</v>
      </c>
      <c r="D541" s="12"/>
      <c r="E541" s="13">
        <v>44867</v>
      </c>
      <c r="G541" s="1">
        <v>53222734</v>
      </c>
      <c r="I541" s="1">
        <v>0</v>
      </c>
      <c r="K541" s="1">
        <v>19705674</v>
      </c>
      <c r="M541" s="1">
        <v>193617</v>
      </c>
      <c r="O541" s="1">
        <v>834494</v>
      </c>
      <c r="Q541" s="1">
        <v>0</v>
      </c>
      <c r="S541" s="1">
        <v>685798</v>
      </c>
      <c r="U541" s="1">
        <v>0</v>
      </c>
      <c r="W541" s="1">
        <f>33080+111755</f>
        <v>144835</v>
      </c>
      <c r="Y541" s="41">
        <f t="shared" si="60"/>
        <v>74787152</v>
      </c>
      <c r="AA541" s="1">
        <v>0</v>
      </c>
      <c r="AE541" s="1">
        <v>0</v>
      </c>
      <c r="AG541" s="1">
        <v>0</v>
      </c>
      <c r="AI541" s="1">
        <v>0</v>
      </c>
      <c r="AK541" s="1">
        <f t="shared" si="63"/>
        <v>0</v>
      </c>
      <c r="AM541" s="1">
        <f t="shared" si="62"/>
        <v>74787152</v>
      </c>
    </row>
    <row r="542" spans="1:39" ht="12" customHeight="1">
      <c r="A542" s="12" t="s">
        <v>454</v>
      </c>
      <c r="B542" s="12"/>
      <c r="C542" s="12" t="s">
        <v>117</v>
      </c>
      <c r="D542" s="12"/>
      <c r="E542" s="13">
        <v>44875</v>
      </c>
      <c r="G542" s="1">
        <v>48768880</v>
      </c>
      <c r="I542" s="1">
        <v>0</v>
      </c>
      <c r="K542" s="1">
        <v>24533691</v>
      </c>
      <c r="M542" s="1">
        <v>125641</v>
      </c>
      <c r="O542" s="1">
        <v>628608</v>
      </c>
      <c r="Q542" s="1">
        <v>0</v>
      </c>
      <c r="S542" s="1">
        <v>0</v>
      </c>
      <c r="U542" s="1">
        <v>27590</v>
      </c>
      <c r="W542" s="1">
        <f>37357+170273+25739+23006+450812</f>
        <v>707187</v>
      </c>
      <c r="Y542" s="41">
        <f t="shared" si="60"/>
        <v>74791597</v>
      </c>
      <c r="AA542" s="1">
        <v>0</v>
      </c>
      <c r="AE542" s="1">
        <v>0</v>
      </c>
      <c r="AG542" s="1">
        <v>35782</v>
      </c>
      <c r="AI542" s="1">
        <v>0</v>
      </c>
      <c r="AK542" s="1">
        <f t="shared" si="63"/>
        <v>35782</v>
      </c>
      <c r="AM542" s="1">
        <f t="shared" si="62"/>
        <v>74827379</v>
      </c>
    </row>
    <row r="543" spans="1:39" ht="12" customHeight="1">
      <c r="A543" s="12" t="s">
        <v>426</v>
      </c>
      <c r="B543" s="12"/>
      <c r="C543" s="12" t="s">
        <v>420</v>
      </c>
      <c r="D543" s="12"/>
      <c r="E543" s="13">
        <v>47969</v>
      </c>
      <c r="G543" s="1">
        <v>831423</v>
      </c>
      <c r="I543" s="1">
        <v>0</v>
      </c>
      <c r="K543" s="1">
        <v>5787258</v>
      </c>
      <c r="M543" s="1">
        <v>96062</v>
      </c>
      <c r="O543" s="1">
        <v>642146</v>
      </c>
      <c r="Q543" s="1">
        <v>120</v>
      </c>
      <c r="S543" s="1">
        <v>0</v>
      </c>
      <c r="U543" s="1">
        <v>0</v>
      </c>
      <c r="W543" s="1">
        <f>7898+4890</f>
        <v>12788</v>
      </c>
      <c r="Y543" s="41">
        <f t="shared" si="60"/>
        <v>7369797</v>
      </c>
      <c r="AA543" s="1">
        <v>0</v>
      </c>
      <c r="AE543" s="1">
        <v>0</v>
      </c>
      <c r="AG543" s="1">
        <v>0</v>
      </c>
      <c r="AI543" s="1">
        <v>0</v>
      </c>
      <c r="AK543" s="1">
        <f t="shared" si="63"/>
        <v>0</v>
      </c>
      <c r="AM543" s="1">
        <f t="shared" si="62"/>
        <v>7369797</v>
      </c>
    </row>
    <row r="544" spans="1:39" ht="12" customHeight="1">
      <c r="A544" s="17" t="s">
        <v>236</v>
      </c>
      <c r="B544" s="12"/>
      <c r="C544" s="12" t="s">
        <v>227</v>
      </c>
      <c r="D544" s="12"/>
      <c r="E544" s="13">
        <v>46151</v>
      </c>
      <c r="F544" s="8"/>
      <c r="G544" s="1">
        <v>17663484</v>
      </c>
      <c r="I544" s="1">
        <v>0</v>
      </c>
      <c r="K544" s="1">
        <v>10996051</v>
      </c>
      <c r="M544" s="1">
        <v>80398</v>
      </c>
      <c r="O544" s="1">
        <v>903747</v>
      </c>
      <c r="Q544" s="1">
        <v>0</v>
      </c>
      <c r="S544" s="1">
        <v>0</v>
      </c>
      <c r="U544" s="1">
        <v>0</v>
      </c>
      <c r="W544" s="1">
        <v>77600</v>
      </c>
      <c r="Y544" s="41">
        <f t="shared" ref="Y544:Y558" si="64">SUM(G544:X544)</f>
        <v>29721280</v>
      </c>
      <c r="AA544" s="1">
        <v>0</v>
      </c>
      <c r="AE544" s="1">
        <v>0</v>
      </c>
      <c r="AG544" s="1">
        <v>0</v>
      </c>
      <c r="AI544" s="1">
        <v>0</v>
      </c>
      <c r="AK544" s="1">
        <f t="shared" ref="AK544:AK564" si="65">SUM(AA544:AJ544)</f>
        <v>0</v>
      </c>
      <c r="AM544" s="1">
        <f t="shared" si="62"/>
        <v>29721280</v>
      </c>
    </row>
    <row r="545" spans="1:39" ht="12" customHeight="1">
      <c r="A545" s="12" t="s">
        <v>596</v>
      </c>
      <c r="B545" s="12"/>
      <c r="C545" s="12" t="s">
        <v>63</v>
      </c>
      <c r="D545" s="12"/>
      <c r="E545" s="13">
        <v>44883</v>
      </c>
      <c r="G545" s="1">
        <v>13110637</v>
      </c>
      <c r="I545" s="1">
        <v>0</v>
      </c>
      <c r="K545" s="1">
        <v>11050703</v>
      </c>
      <c r="M545" s="1">
        <v>17194</v>
      </c>
      <c r="O545" s="1">
        <v>165088</v>
      </c>
      <c r="Q545" s="1">
        <v>161566</v>
      </c>
      <c r="S545" s="1">
        <v>0</v>
      </c>
      <c r="U545" s="1">
        <v>0</v>
      </c>
      <c r="W545" s="1">
        <f>54900+15476+12062</f>
        <v>82438</v>
      </c>
      <c r="Y545" s="41">
        <f t="shared" si="64"/>
        <v>24587626</v>
      </c>
      <c r="AA545" s="1">
        <v>0</v>
      </c>
      <c r="AE545" s="1">
        <v>0</v>
      </c>
      <c r="AG545" s="1">
        <v>0</v>
      </c>
      <c r="AI545" s="1">
        <v>0</v>
      </c>
      <c r="AK545" s="1">
        <f t="shared" si="65"/>
        <v>0</v>
      </c>
      <c r="AM545" s="1">
        <f t="shared" si="62"/>
        <v>24587626</v>
      </c>
    </row>
    <row r="546" spans="1:39" ht="12" customHeight="1">
      <c r="A546" s="12" t="s">
        <v>527</v>
      </c>
      <c r="B546" s="12"/>
      <c r="C546" s="12" t="s">
        <v>54</v>
      </c>
      <c r="D546" s="12"/>
      <c r="E546" s="13">
        <v>49098</v>
      </c>
      <c r="G546" s="1">
        <v>6698528</v>
      </c>
      <c r="I546" s="1">
        <v>2658515</v>
      </c>
      <c r="K546" s="1">
        <f>72941+16353786+61153</f>
        <v>16487880</v>
      </c>
      <c r="M546" s="1">
        <v>257102</v>
      </c>
      <c r="O546" s="1">
        <v>118332</v>
      </c>
      <c r="Q546" s="1">
        <v>0</v>
      </c>
      <c r="S546" s="1">
        <v>0</v>
      </c>
      <c r="U546" s="1">
        <v>0</v>
      </c>
      <c r="W546" s="1">
        <f>81664+9873+28771</f>
        <v>120308</v>
      </c>
      <c r="Y546" s="41">
        <f t="shared" si="64"/>
        <v>26340665</v>
      </c>
      <c r="AA546" s="1">
        <v>2524145</v>
      </c>
      <c r="AE546" s="1">
        <v>125088</v>
      </c>
      <c r="AG546" s="1">
        <v>0</v>
      </c>
      <c r="AI546" s="1">
        <v>0</v>
      </c>
      <c r="AK546" s="1">
        <f t="shared" si="65"/>
        <v>2649233</v>
      </c>
      <c r="AM546" s="1">
        <f t="shared" si="62"/>
        <v>28989898</v>
      </c>
    </row>
    <row r="547" spans="1:39" ht="12" customHeight="1">
      <c r="A547" s="12" t="s">
        <v>250</v>
      </c>
      <c r="B547" s="12"/>
      <c r="C547" s="12" t="s">
        <v>17</v>
      </c>
      <c r="D547" s="12"/>
      <c r="E547" s="13">
        <v>46243</v>
      </c>
      <c r="F547" s="8"/>
      <c r="G547" s="1">
        <v>7994445</v>
      </c>
      <c r="I547" s="1">
        <v>0</v>
      </c>
      <c r="K547" s="1">
        <v>16957664</v>
      </c>
      <c r="M547" s="1">
        <v>18579</v>
      </c>
      <c r="O547" s="1">
        <v>1541258</v>
      </c>
      <c r="Q547" s="1">
        <v>0</v>
      </c>
      <c r="S547" s="1">
        <v>0</v>
      </c>
      <c r="U547" s="1">
        <v>0</v>
      </c>
      <c r="W547" s="1">
        <f>425+20019+89242</f>
        <v>109686</v>
      </c>
      <c r="Y547" s="41">
        <f t="shared" si="64"/>
        <v>26621632</v>
      </c>
      <c r="AA547" s="1">
        <v>0</v>
      </c>
      <c r="AE547" s="1">
        <v>0</v>
      </c>
      <c r="AG547" s="1">
        <v>4050</v>
      </c>
      <c r="AI547" s="1">
        <v>0</v>
      </c>
      <c r="AK547" s="1">
        <f t="shared" si="65"/>
        <v>4050</v>
      </c>
      <c r="AM547" s="1">
        <f t="shared" si="62"/>
        <v>26625682</v>
      </c>
    </row>
    <row r="548" spans="1:39" ht="12" customHeight="1">
      <c r="A548" s="12" t="s">
        <v>901</v>
      </c>
      <c r="B548" s="12"/>
      <c r="C548" s="12" t="s">
        <v>32</v>
      </c>
      <c r="D548" s="12"/>
      <c r="E548" s="13">
        <v>47399</v>
      </c>
      <c r="G548" s="1">
        <v>12022515</v>
      </c>
      <c r="I548" s="1">
        <v>0</v>
      </c>
      <c r="K548" s="1">
        <v>7206426</v>
      </c>
      <c r="M548" s="1">
        <v>26618</v>
      </c>
      <c r="O548" s="1">
        <v>130365</v>
      </c>
      <c r="Q548" s="1">
        <v>500</v>
      </c>
      <c r="S548" s="1">
        <v>2184572</v>
      </c>
      <c r="U548" s="1">
        <v>0</v>
      </c>
      <c r="W548" s="1">
        <f>50962+218848</f>
        <v>269810</v>
      </c>
      <c r="Y548" s="41">
        <f t="shared" si="64"/>
        <v>21840806</v>
      </c>
      <c r="AA548" s="1">
        <v>59976</v>
      </c>
      <c r="AE548" s="1">
        <v>0</v>
      </c>
      <c r="AG548" s="1">
        <v>0</v>
      </c>
      <c r="AI548" s="1">
        <v>0</v>
      </c>
      <c r="AK548" s="1">
        <f t="shared" si="65"/>
        <v>59976</v>
      </c>
      <c r="AM548" s="1">
        <f t="shared" si="62"/>
        <v>21900782</v>
      </c>
    </row>
    <row r="549" spans="1:39" ht="12" customHeight="1">
      <c r="A549" s="12" t="s">
        <v>568</v>
      </c>
      <c r="B549" s="12"/>
      <c r="C549" s="12" t="s">
        <v>60</v>
      </c>
      <c r="D549" s="12"/>
      <c r="E549" s="13">
        <v>44891</v>
      </c>
      <c r="G549" s="1">
        <v>9736028</v>
      </c>
      <c r="I549" s="1">
        <v>0</v>
      </c>
      <c r="K549" s="1">
        <f>11135448+73</f>
        <v>11135521</v>
      </c>
      <c r="M549" s="1">
        <v>8112</v>
      </c>
      <c r="O549" s="1">
        <v>1291488</v>
      </c>
      <c r="Q549" s="1">
        <v>0</v>
      </c>
      <c r="S549" s="1">
        <v>58620</v>
      </c>
      <c r="U549" s="1">
        <v>0</v>
      </c>
      <c r="W549" s="1">
        <f>177753+60854</f>
        <v>238607</v>
      </c>
      <c r="Y549" s="41">
        <f t="shared" si="64"/>
        <v>22468376</v>
      </c>
      <c r="AA549" s="1">
        <v>1826</v>
      </c>
      <c r="AE549" s="1">
        <v>0</v>
      </c>
      <c r="AG549" s="1">
        <v>0</v>
      </c>
      <c r="AI549" s="1">
        <v>184025</v>
      </c>
      <c r="AK549" s="1">
        <f t="shared" si="65"/>
        <v>185851</v>
      </c>
      <c r="AM549" s="1">
        <f t="shared" si="62"/>
        <v>22654227</v>
      </c>
    </row>
    <row r="550" spans="1:39" ht="12" customHeight="1">
      <c r="A550" s="12" t="s">
        <v>491</v>
      </c>
      <c r="B550" s="12"/>
      <c r="C550" s="12" t="s">
        <v>48</v>
      </c>
      <c r="D550" s="12"/>
      <c r="E550" s="13">
        <v>45617</v>
      </c>
      <c r="G550" s="1">
        <v>6772865</v>
      </c>
      <c r="I550" s="1">
        <v>0</v>
      </c>
      <c r="K550" s="1">
        <v>10097913</v>
      </c>
      <c r="M550" s="1">
        <v>22501</v>
      </c>
      <c r="O550" s="1">
        <v>355062</v>
      </c>
      <c r="Q550" s="1">
        <v>0</v>
      </c>
      <c r="S550" s="1">
        <v>0</v>
      </c>
      <c r="U550" s="1">
        <v>0</v>
      </c>
      <c r="W550" s="1">
        <v>78153</v>
      </c>
      <c r="Y550" s="41">
        <f t="shared" si="64"/>
        <v>17326494</v>
      </c>
      <c r="AA550" s="1">
        <v>0</v>
      </c>
      <c r="AE550" s="1">
        <v>0</v>
      </c>
      <c r="AG550" s="1">
        <v>0</v>
      </c>
      <c r="AI550" s="1">
        <v>0</v>
      </c>
      <c r="AK550" s="1">
        <f t="shared" si="65"/>
        <v>0</v>
      </c>
      <c r="AM550" s="1">
        <f t="shared" si="62"/>
        <v>17326494</v>
      </c>
    </row>
    <row r="551" spans="1:39" ht="12" customHeight="1">
      <c r="A551" s="12" t="s">
        <v>455</v>
      </c>
      <c r="B551" s="12"/>
      <c r="C551" s="12" t="s">
        <v>117</v>
      </c>
      <c r="D551" s="12"/>
      <c r="E551" s="13">
        <v>44909</v>
      </c>
      <c r="G551" s="1">
        <v>87179834</v>
      </c>
      <c r="I551" s="1">
        <v>0</v>
      </c>
      <c r="K551" s="1">
        <f>221961043+1026870</f>
        <v>222987913</v>
      </c>
      <c r="M551" s="1">
        <v>351829</v>
      </c>
      <c r="O551" s="1">
        <v>1437144</v>
      </c>
      <c r="Q551" s="1">
        <v>0</v>
      </c>
      <c r="S551" s="1">
        <v>0</v>
      </c>
      <c r="U551" s="1">
        <v>0</v>
      </c>
      <c r="W551" s="1">
        <f>212475+789969+8207977</f>
        <v>9210421</v>
      </c>
      <c r="Y551" s="41">
        <f t="shared" si="64"/>
        <v>321167141</v>
      </c>
      <c r="AA551" s="1">
        <v>0</v>
      </c>
      <c r="AE551" s="1">
        <v>0</v>
      </c>
      <c r="AG551" s="1">
        <v>0</v>
      </c>
      <c r="AI551" s="1">
        <v>0</v>
      </c>
      <c r="AK551" s="1">
        <f t="shared" si="65"/>
        <v>0</v>
      </c>
      <c r="AM551" s="1">
        <f t="shared" si="62"/>
        <v>321167141</v>
      </c>
    </row>
    <row r="552" spans="1:39" ht="12" hidden="1" customHeight="1">
      <c r="A552" s="12" t="s">
        <v>952</v>
      </c>
      <c r="B552" s="12"/>
      <c r="C552" s="12" t="s">
        <v>117</v>
      </c>
      <c r="D552" s="12"/>
      <c r="E552" s="13"/>
      <c r="Y552" s="41">
        <f t="shared" si="64"/>
        <v>0</v>
      </c>
      <c r="AK552" s="1">
        <f t="shared" si="65"/>
        <v>0</v>
      </c>
      <c r="AM552" s="1">
        <f t="shared" si="62"/>
        <v>0</v>
      </c>
    </row>
    <row r="553" spans="1:39" ht="12" customHeight="1">
      <c r="A553" s="12" t="s">
        <v>413</v>
      </c>
      <c r="B553" s="12"/>
      <c r="C553" s="12" t="s">
        <v>39</v>
      </c>
      <c r="D553" s="12"/>
      <c r="E553" s="12">
        <v>44917</v>
      </c>
      <c r="G553" s="1">
        <v>1384555</v>
      </c>
      <c r="I553" s="1">
        <v>0</v>
      </c>
      <c r="K553" s="1">
        <v>4634160</v>
      </c>
      <c r="M553" s="1">
        <v>15738</v>
      </c>
      <c r="O553" s="1">
        <v>580653</v>
      </c>
      <c r="Q553" s="1">
        <v>0</v>
      </c>
      <c r="S553" s="1">
        <v>0</v>
      </c>
      <c r="U553" s="1">
        <v>0</v>
      </c>
      <c r="W553" s="1">
        <v>33131</v>
      </c>
      <c r="Y553" s="41">
        <f t="shared" si="64"/>
        <v>6648237</v>
      </c>
      <c r="AA553" s="1">
        <v>0</v>
      </c>
      <c r="AE553" s="1">
        <v>0</v>
      </c>
      <c r="AG553" s="1">
        <v>1676</v>
      </c>
      <c r="AI553" s="1">
        <v>0</v>
      </c>
      <c r="AK553" s="1">
        <f t="shared" si="65"/>
        <v>1676</v>
      </c>
      <c r="AM553" s="1">
        <f t="shared" si="62"/>
        <v>6649913</v>
      </c>
    </row>
    <row r="554" spans="1:39" ht="12" customHeight="1">
      <c r="A554" s="12" t="s">
        <v>242</v>
      </c>
      <c r="B554" s="12"/>
      <c r="C554" s="12" t="s">
        <v>240</v>
      </c>
      <c r="D554" s="12"/>
      <c r="E554" s="12">
        <v>46201</v>
      </c>
      <c r="F554" s="8"/>
      <c r="G554" s="1">
        <v>1870368</v>
      </c>
      <c r="I554" s="1">
        <v>1557366</v>
      </c>
      <c r="K554" s="1">
        <v>5231780</v>
      </c>
      <c r="M554" s="1">
        <v>10092</v>
      </c>
      <c r="O554" s="1">
        <v>507166</v>
      </c>
      <c r="Q554" s="1">
        <v>27101</v>
      </c>
      <c r="S554" s="1">
        <v>0</v>
      </c>
      <c r="U554" s="1">
        <v>0</v>
      </c>
      <c r="W554" s="1">
        <f>27591+32062</f>
        <v>59653</v>
      </c>
      <c r="Y554" s="41">
        <f t="shared" si="64"/>
        <v>9263526</v>
      </c>
      <c r="AA554" s="1">
        <v>0</v>
      </c>
      <c r="AE554" s="1">
        <v>0</v>
      </c>
      <c r="AG554" s="1">
        <v>0</v>
      </c>
      <c r="AI554" s="1">
        <v>0</v>
      </c>
      <c r="AK554" s="1">
        <f t="shared" si="65"/>
        <v>0</v>
      </c>
      <c r="AM554" s="1">
        <f t="shared" si="62"/>
        <v>9263526</v>
      </c>
    </row>
    <row r="555" spans="1:39" ht="12" customHeight="1">
      <c r="A555" s="12" t="s">
        <v>541</v>
      </c>
      <c r="B555" s="12"/>
      <c r="C555" s="12" t="s">
        <v>57</v>
      </c>
      <c r="D555" s="12"/>
      <c r="E555" s="13">
        <v>91397</v>
      </c>
      <c r="G555" s="1">
        <v>3753756</v>
      </c>
      <c r="I555" s="1">
        <v>0</v>
      </c>
      <c r="K555" s="1">
        <v>4874949</v>
      </c>
      <c r="M555" s="1">
        <v>63381</v>
      </c>
      <c r="O555" s="1">
        <v>138441</v>
      </c>
      <c r="Q555" s="1">
        <v>0</v>
      </c>
      <c r="S555" s="1">
        <v>0</v>
      </c>
      <c r="U555" s="1">
        <v>5447</v>
      </c>
      <c r="W555" s="1">
        <f>8800+12261</f>
        <v>21061</v>
      </c>
      <c r="Y555" s="41">
        <f t="shared" si="64"/>
        <v>8857035</v>
      </c>
      <c r="AA555" s="1">
        <v>0</v>
      </c>
      <c r="AE555" s="1">
        <v>0</v>
      </c>
      <c r="AG555" s="1">
        <v>0</v>
      </c>
      <c r="AI555" s="1">
        <v>0</v>
      </c>
      <c r="AK555" s="1">
        <f t="shared" si="65"/>
        <v>0</v>
      </c>
      <c r="AM555" s="1">
        <f t="shared" si="62"/>
        <v>8857035</v>
      </c>
    </row>
    <row r="556" spans="1:39" ht="12" customHeight="1">
      <c r="A556" s="12" t="s">
        <v>216</v>
      </c>
      <c r="B556" s="12"/>
      <c r="C556" s="12" t="s">
        <v>13</v>
      </c>
      <c r="D556" s="12"/>
      <c r="E556" s="13">
        <v>45922</v>
      </c>
      <c r="F556" s="8"/>
      <c r="G556" s="1">
        <v>728637</v>
      </c>
      <c r="I556" s="1">
        <v>0</v>
      </c>
      <c r="K556" s="1">
        <v>6450928</v>
      </c>
      <c r="M556" s="1">
        <v>3488</v>
      </c>
      <c r="O556" s="1">
        <v>591992</v>
      </c>
      <c r="Q556" s="1">
        <v>0</v>
      </c>
      <c r="S556" s="1">
        <v>0</v>
      </c>
      <c r="U556" s="1">
        <v>600</v>
      </c>
      <c r="W556" s="1">
        <f>441+22991</f>
        <v>23432</v>
      </c>
      <c r="Y556" s="41">
        <f t="shared" si="64"/>
        <v>7799077</v>
      </c>
      <c r="AA556" s="1">
        <v>0</v>
      </c>
      <c r="AE556" s="1">
        <v>0</v>
      </c>
      <c r="AG556" s="1">
        <v>0</v>
      </c>
      <c r="AI556" s="1">
        <v>0</v>
      </c>
      <c r="AK556" s="1">
        <f t="shared" si="65"/>
        <v>0</v>
      </c>
      <c r="AM556" s="1">
        <f t="shared" si="62"/>
        <v>7799077</v>
      </c>
    </row>
    <row r="557" spans="1:39" ht="12" customHeight="1">
      <c r="A557" s="12" t="s">
        <v>514</v>
      </c>
      <c r="B557" s="12"/>
      <c r="C557" s="12" t="s">
        <v>51</v>
      </c>
      <c r="D557" s="12"/>
      <c r="E557" s="13">
        <v>48876</v>
      </c>
      <c r="G557" s="1">
        <v>5956563</v>
      </c>
      <c r="I557" s="1">
        <v>0</v>
      </c>
      <c r="K557" s="1">
        <v>16400204</v>
      </c>
      <c r="M557" s="1">
        <v>122732</v>
      </c>
      <c r="O557" s="1">
        <v>66880</v>
      </c>
      <c r="Q557" s="1">
        <v>29366</v>
      </c>
      <c r="S557" s="1">
        <v>44523</v>
      </c>
      <c r="U557" s="1">
        <v>0</v>
      </c>
      <c r="W557" s="1">
        <v>130906</v>
      </c>
      <c r="Y557" s="41">
        <f t="shared" si="64"/>
        <v>22751174</v>
      </c>
      <c r="AA557" s="1">
        <v>0</v>
      </c>
      <c r="AE557" s="1">
        <v>0</v>
      </c>
      <c r="AG557" s="1">
        <v>0</v>
      </c>
      <c r="AI557" s="1">
        <v>0</v>
      </c>
      <c r="AK557" s="1">
        <f t="shared" si="65"/>
        <v>0</v>
      </c>
      <c r="AM557" s="1">
        <f t="shared" si="62"/>
        <v>22751174</v>
      </c>
    </row>
    <row r="558" spans="1:39" ht="12" hidden="1" customHeight="1">
      <c r="A558" s="17" t="s">
        <v>859</v>
      </c>
      <c r="B558" s="12"/>
      <c r="C558" s="12" t="s">
        <v>21</v>
      </c>
      <c r="D558" s="12"/>
      <c r="E558" s="13">
        <v>46680</v>
      </c>
      <c r="Y558" s="41">
        <f t="shared" si="64"/>
        <v>0</v>
      </c>
      <c r="AK558" s="1">
        <f t="shared" si="65"/>
        <v>0</v>
      </c>
      <c r="AM558" s="1">
        <f t="shared" ref="AM558:AM564" si="66">+AK558+Y558</f>
        <v>0</v>
      </c>
    </row>
    <row r="559" spans="1:39" ht="12" hidden="1" customHeight="1">
      <c r="A559" s="17" t="s">
        <v>933</v>
      </c>
      <c r="B559" s="12"/>
      <c r="C559" s="12" t="s">
        <v>71</v>
      </c>
      <c r="D559" s="12"/>
      <c r="E559" s="13">
        <v>50591</v>
      </c>
      <c r="Y559" s="41">
        <f t="shared" ref="Y559:Y603" si="67">SUM(G559:X559)</f>
        <v>0</v>
      </c>
      <c r="AK559" s="1">
        <f t="shared" si="65"/>
        <v>0</v>
      </c>
      <c r="AM559" s="1">
        <f t="shared" si="66"/>
        <v>0</v>
      </c>
    </row>
    <row r="560" spans="1:39" ht="12" customHeight="1">
      <c r="A560" s="12" t="s">
        <v>505</v>
      </c>
      <c r="B560" s="12"/>
      <c r="C560" s="12" t="s">
        <v>50</v>
      </c>
      <c r="D560" s="12"/>
      <c r="E560" s="13">
        <v>48694</v>
      </c>
      <c r="G560" s="1">
        <v>8568417</v>
      </c>
      <c r="I560" s="1">
        <v>0</v>
      </c>
      <c r="K560" s="1">
        <v>23184992</v>
      </c>
      <c r="M560" s="1">
        <v>42622</v>
      </c>
      <c r="O560" s="1">
        <v>320073</v>
      </c>
      <c r="Q560" s="1">
        <v>0</v>
      </c>
      <c r="S560" s="1">
        <v>55770</v>
      </c>
      <c r="U560" s="1">
        <v>0</v>
      </c>
      <c r="W560" s="1">
        <v>634269</v>
      </c>
      <c r="Y560" s="41">
        <f t="shared" si="67"/>
        <v>32806143</v>
      </c>
      <c r="AA560" s="1">
        <v>119396</v>
      </c>
      <c r="AE560" s="1">
        <v>0</v>
      </c>
      <c r="AG560" s="1">
        <v>0</v>
      </c>
      <c r="AI560" s="1">
        <v>0</v>
      </c>
      <c r="AK560" s="1">
        <f t="shared" si="65"/>
        <v>119396</v>
      </c>
      <c r="AM560" s="1">
        <f t="shared" si="66"/>
        <v>32925539</v>
      </c>
    </row>
    <row r="561" spans="1:39" ht="12" customHeight="1">
      <c r="A561" s="12" t="s">
        <v>492</v>
      </c>
      <c r="B561" s="12"/>
      <c r="C561" s="12" t="s">
        <v>48</v>
      </c>
      <c r="D561" s="12"/>
      <c r="E561" s="12">
        <v>44925</v>
      </c>
      <c r="G561" s="1">
        <v>22459967</v>
      </c>
      <c r="I561" s="1">
        <v>0</v>
      </c>
      <c r="K561" s="1">
        <v>16880036</v>
      </c>
      <c r="M561" s="1">
        <v>62886</v>
      </c>
      <c r="O561" s="1">
        <v>1105367</v>
      </c>
      <c r="Q561" s="1">
        <v>0</v>
      </c>
      <c r="S561" s="1">
        <v>0</v>
      </c>
      <c r="U561" s="1">
        <v>0</v>
      </c>
      <c r="W561" s="1">
        <v>138512</v>
      </c>
      <c r="Y561" s="41">
        <f t="shared" si="67"/>
        <v>40646768</v>
      </c>
      <c r="AA561" s="1">
        <v>0</v>
      </c>
      <c r="AE561" s="1">
        <v>0</v>
      </c>
      <c r="AG561" s="1">
        <v>865</v>
      </c>
      <c r="AI561" s="1">
        <v>0</v>
      </c>
      <c r="AK561" s="1">
        <f t="shared" si="65"/>
        <v>865</v>
      </c>
      <c r="AM561" s="1">
        <f t="shared" si="66"/>
        <v>40647633</v>
      </c>
    </row>
    <row r="562" spans="1:39" ht="12" customHeight="1">
      <c r="A562" s="12" t="s">
        <v>624</v>
      </c>
      <c r="B562" s="12"/>
      <c r="C562" s="12" t="s">
        <v>65</v>
      </c>
      <c r="D562" s="12"/>
      <c r="E562" s="13">
        <v>50302</v>
      </c>
      <c r="G562" s="1">
        <v>5085621</v>
      </c>
      <c r="I562" s="1">
        <v>0</v>
      </c>
      <c r="K562" s="1">
        <v>6368575</v>
      </c>
      <c r="M562" s="1">
        <v>9045</v>
      </c>
      <c r="O562" s="1">
        <v>323643</v>
      </c>
      <c r="Q562" s="1">
        <v>1030</v>
      </c>
      <c r="S562" s="1">
        <v>0</v>
      </c>
      <c r="U562" s="1">
        <v>2074</v>
      </c>
      <c r="W562" s="1">
        <f>62330+8907+672</f>
        <v>71909</v>
      </c>
      <c r="Y562" s="41">
        <f t="shared" si="67"/>
        <v>11861897</v>
      </c>
      <c r="AA562" s="1">
        <v>0</v>
      </c>
      <c r="AE562" s="1">
        <v>0</v>
      </c>
      <c r="AG562" s="1">
        <v>0</v>
      </c>
      <c r="AI562" s="1">
        <v>0</v>
      </c>
      <c r="AK562" s="1">
        <f t="shared" si="65"/>
        <v>0</v>
      </c>
      <c r="AM562" s="1">
        <f t="shared" si="66"/>
        <v>11861897</v>
      </c>
    </row>
    <row r="563" spans="1:39" ht="12" customHeight="1">
      <c r="A563" s="12" t="s">
        <v>585</v>
      </c>
      <c r="B563" s="12"/>
      <c r="C563" s="12" t="s">
        <v>62</v>
      </c>
      <c r="D563" s="12"/>
      <c r="E563" s="13">
        <v>49957</v>
      </c>
      <c r="G563" s="1">
        <v>3607435</v>
      </c>
      <c r="I563" s="1">
        <v>0</v>
      </c>
      <c r="K563" s="1">
        <v>6515033</v>
      </c>
      <c r="M563" s="1">
        <v>22336</v>
      </c>
      <c r="O563" s="1">
        <v>750650</v>
      </c>
      <c r="Q563" s="1">
        <v>66</v>
      </c>
      <c r="S563" s="1">
        <v>0</v>
      </c>
      <c r="U563" s="1">
        <v>0</v>
      </c>
      <c r="W563" s="1">
        <f>11728+9408</f>
        <v>21136</v>
      </c>
      <c r="Y563" s="41">
        <f t="shared" si="67"/>
        <v>10916656</v>
      </c>
      <c r="AA563" s="1">
        <v>0</v>
      </c>
      <c r="AE563" s="1">
        <v>0</v>
      </c>
      <c r="AG563" s="1">
        <v>0</v>
      </c>
      <c r="AI563" s="1">
        <v>0</v>
      </c>
      <c r="AK563" s="1">
        <f t="shared" si="65"/>
        <v>0</v>
      </c>
      <c r="AM563" s="1">
        <f t="shared" si="66"/>
        <v>10916656</v>
      </c>
    </row>
    <row r="564" spans="1:39" ht="12" hidden="1" customHeight="1">
      <c r="A564" s="17" t="s">
        <v>865</v>
      </c>
      <c r="B564" s="12"/>
      <c r="C564" s="12" t="s">
        <v>57</v>
      </c>
      <c r="D564" s="12"/>
      <c r="E564" s="13">
        <v>49296</v>
      </c>
      <c r="Y564" s="41">
        <f t="shared" si="67"/>
        <v>0</v>
      </c>
      <c r="AK564" s="1">
        <f t="shared" si="65"/>
        <v>0</v>
      </c>
      <c r="AM564" s="1">
        <f t="shared" si="66"/>
        <v>0</v>
      </c>
    </row>
    <row r="565" spans="1:39" ht="12" customHeight="1">
      <c r="A565" s="12" t="s">
        <v>597</v>
      </c>
      <c r="B565" s="12"/>
      <c r="C565" s="12" t="s">
        <v>63</v>
      </c>
      <c r="D565" s="12"/>
      <c r="E565" s="13">
        <v>50070</v>
      </c>
      <c r="G565" s="1">
        <v>23920511</v>
      </c>
      <c r="I565" s="1">
        <v>0</v>
      </c>
      <c r="K565" s="1">
        <v>14270556</v>
      </c>
      <c r="M565" s="1">
        <v>68432</v>
      </c>
      <c r="O565" s="1">
        <v>377423</v>
      </c>
      <c r="Q565" s="1">
        <v>0</v>
      </c>
      <c r="S565" s="1">
        <v>187451</v>
      </c>
      <c r="U565" s="1">
        <v>0</v>
      </c>
      <c r="W565" s="1">
        <f>70692+35022</f>
        <v>105714</v>
      </c>
      <c r="Y565" s="41">
        <f t="shared" si="67"/>
        <v>38930087</v>
      </c>
      <c r="AA565" s="1">
        <v>0</v>
      </c>
      <c r="AE565" s="1">
        <v>0</v>
      </c>
      <c r="AG565" s="1">
        <v>0</v>
      </c>
      <c r="AI565" s="1">
        <v>0</v>
      </c>
      <c r="AK565" s="1">
        <f t="shared" ref="AK565:AK573" si="68">SUM(AA565:AJ565)</f>
        <v>0</v>
      </c>
      <c r="AM565" s="1">
        <f t="shared" ref="AM565:AM631" si="69">+AK565+Y565</f>
        <v>38930087</v>
      </c>
    </row>
    <row r="566" spans="1:39" ht="12" hidden="1" customHeight="1">
      <c r="A566" s="12" t="s">
        <v>931</v>
      </c>
      <c r="B566" s="12"/>
      <c r="C566" s="12" t="s">
        <v>15</v>
      </c>
      <c r="D566" s="12"/>
      <c r="E566" s="13">
        <v>46011</v>
      </c>
      <c r="F566" s="8"/>
      <c r="Y566" s="41">
        <f t="shared" si="67"/>
        <v>0</v>
      </c>
      <c r="AK566" s="1">
        <f t="shared" si="68"/>
        <v>0</v>
      </c>
      <c r="AM566" s="1">
        <f t="shared" si="69"/>
        <v>0</v>
      </c>
    </row>
    <row r="567" spans="1:39" ht="12" customHeight="1">
      <c r="A567" s="12" t="s">
        <v>553</v>
      </c>
      <c r="B567" s="12"/>
      <c r="C567" s="12" t="s">
        <v>58</v>
      </c>
      <c r="D567" s="12"/>
      <c r="E567" s="13">
        <v>49536</v>
      </c>
      <c r="G567" s="1">
        <v>3458902</v>
      </c>
      <c r="I567" s="1">
        <v>1073206</v>
      </c>
      <c r="K567" s="1">
        <v>9888934</v>
      </c>
      <c r="M567" s="1">
        <v>18203</v>
      </c>
      <c r="O567" s="1">
        <v>2369941</v>
      </c>
      <c r="Q567" s="1">
        <v>0</v>
      </c>
      <c r="S567" s="1">
        <v>0</v>
      </c>
      <c r="U567" s="1">
        <v>24500</v>
      </c>
      <c r="W567" s="1">
        <f>10502+23256+67744</f>
        <v>101502</v>
      </c>
      <c r="Y567" s="41">
        <f t="shared" si="67"/>
        <v>16935188</v>
      </c>
      <c r="AA567" s="1">
        <v>0</v>
      </c>
      <c r="AE567" s="1">
        <v>184131</v>
      </c>
      <c r="AG567" s="1">
        <f>4700</f>
        <v>4700</v>
      </c>
      <c r="AI567" s="1">
        <v>0</v>
      </c>
      <c r="AK567" s="1">
        <f t="shared" si="68"/>
        <v>188831</v>
      </c>
      <c r="AM567" s="1">
        <f t="shared" si="69"/>
        <v>17124019</v>
      </c>
    </row>
    <row r="568" spans="1:39" ht="12" customHeight="1">
      <c r="A568" s="12" t="s">
        <v>270</v>
      </c>
      <c r="B568" s="12"/>
      <c r="C568" s="12" t="s">
        <v>114</v>
      </c>
      <c r="D568" s="12"/>
      <c r="E568" s="13">
        <v>46458</v>
      </c>
      <c r="F568" s="8"/>
      <c r="G568" s="1">
        <v>2472124</v>
      </c>
      <c r="I568" s="1">
        <v>592317</v>
      </c>
      <c r="K568" s="1">
        <f>6872730+3959</f>
        <v>6876689</v>
      </c>
      <c r="M568" s="1">
        <v>168119</v>
      </c>
      <c r="O568" s="1">
        <v>658450</v>
      </c>
      <c r="Q568" s="1">
        <v>5168</v>
      </c>
      <c r="S568" s="1">
        <v>0</v>
      </c>
      <c r="U568" s="1">
        <v>0</v>
      </c>
      <c r="W568" s="1">
        <f>21847+36937+49142</f>
        <v>107926</v>
      </c>
      <c r="Y568" s="41">
        <f t="shared" si="67"/>
        <v>10880793</v>
      </c>
      <c r="AA568" s="1">
        <v>0</v>
      </c>
      <c r="AE568" s="1">
        <v>0</v>
      </c>
      <c r="AG568" s="1">
        <v>0</v>
      </c>
      <c r="AI568" s="1">
        <v>0</v>
      </c>
      <c r="AK568" s="1">
        <v>0</v>
      </c>
      <c r="AM568" s="1">
        <f t="shared" si="69"/>
        <v>10880793</v>
      </c>
    </row>
    <row r="569" spans="1:39" ht="12" customHeight="1">
      <c r="A569" s="12" t="s">
        <v>341</v>
      </c>
      <c r="B569" s="12"/>
      <c r="C569" s="12" t="s">
        <v>27</v>
      </c>
      <c r="D569" s="12"/>
      <c r="E569" s="13">
        <v>44933</v>
      </c>
      <c r="G569" s="1">
        <v>61137872</v>
      </c>
      <c r="I569" s="1">
        <v>0</v>
      </c>
      <c r="K569" s="1">
        <v>14535648</v>
      </c>
      <c r="M569" s="1">
        <v>526378</v>
      </c>
      <c r="O569" s="1">
        <v>82706</v>
      </c>
      <c r="Q569" s="1">
        <v>153011</v>
      </c>
      <c r="S569" s="1">
        <v>0</v>
      </c>
      <c r="U569" s="1">
        <v>0</v>
      </c>
      <c r="W569" s="1">
        <v>594638</v>
      </c>
      <c r="Y569" s="41">
        <f t="shared" si="67"/>
        <v>77030253</v>
      </c>
      <c r="AA569" s="1">
        <v>0</v>
      </c>
      <c r="AE569" s="1">
        <v>0</v>
      </c>
      <c r="AG569" s="1">
        <v>0</v>
      </c>
      <c r="AI569" s="1">
        <v>0</v>
      </c>
      <c r="AK569" s="1">
        <f t="shared" si="68"/>
        <v>0</v>
      </c>
      <c r="AM569" s="1">
        <f t="shared" si="69"/>
        <v>77030253</v>
      </c>
    </row>
    <row r="570" spans="1:39" ht="12" hidden="1" customHeight="1">
      <c r="A570" s="17" t="s">
        <v>866</v>
      </c>
      <c r="B570" s="12"/>
      <c r="C570" s="12" t="s">
        <v>653</v>
      </c>
      <c r="D570" s="12"/>
      <c r="E570" s="13">
        <v>45625</v>
      </c>
      <c r="Y570" s="41">
        <f t="shared" si="67"/>
        <v>0</v>
      </c>
      <c r="AK570" s="1">
        <f t="shared" si="68"/>
        <v>0</v>
      </c>
      <c r="AM570" s="1">
        <f t="shared" si="69"/>
        <v>0</v>
      </c>
    </row>
    <row r="571" spans="1:39" ht="12" hidden="1" customHeight="1">
      <c r="A571" s="17" t="s">
        <v>867</v>
      </c>
      <c r="B571" s="12"/>
      <c r="C571" s="12" t="s">
        <v>383</v>
      </c>
      <c r="D571" s="12"/>
      <c r="E571" s="13">
        <v>47522</v>
      </c>
      <c r="Y571" s="41">
        <f t="shared" si="67"/>
        <v>0</v>
      </c>
      <c r="AK571" s="1">
        <f t="shared" si="68"/>
        <v>0</v>
      </c>
      <c r="AM571" s="1">
        <f t="shared" si="69"/>
        <v>0</v>
      </c>
    </row>
    <row r="572" spans="1:39" ht="12" customHeight="1">
      <c r="A572" s="12" t="s">
        <v>243</v>
      </c>
      <c r="B572" s="12"/>
      <c r="C572" s="12" t="s">
        <v>240</v>
      </c>
      <c r="D572" s="12"/>
      <c r="E572" s="13">
        <v>44941</v>
      </c>
      <c r="F572" s="8"/>
      <c r="G572" s="1">
        <v>8784362</v>
      </c>
      <c r="I572" s="1">
        <v>0</v>
      </c>
      <c r="K572" s="1">
        <f>109416+12189411</f>
        <v>12298827</v>
      </c>
      <c r="M572" s="1">
        <v>69654</v>
      </c>
      <c r="O572" s="1">
        <v>709787</v>
      </c>
      <c r="Q572" s="1">
        <v>0</v>
      </c>
      <c r="S572" s="1">
        <v>0</v>
      </c>
      <c r="U572" s="1">
        <v>0</v>
      </c>
      <c r="W572" s="1">
        <f>20642+28381</f>
        <v>49023</v>
      </c>
      <c r="Y572" s="41">
        <f t="shared" si="67"/>
        <v>21911653</v>
      </c>
      <c r="AA572" s="1">
        <v>0</v>
      </c>
      <c r="AE572" s="1">
        <v>381864</v>
      </c>
      <c r="AG572" s="1">
        <v>0</v>
      </c>
      <c r="AI572" s="1">
        <v>0</v>
      </c>
      <c r="AK572" s="1">
        <f t="shared" si="68"/>
        <v>381864</v>
      </c>
      <c r="AM572" s="1">
        <f t="shared" si="69"/>
        <v>22293517</v>
      </c>
    </row>
    <row r="573" spans="1:39" ht="12" hidden="1" customHeight="1">
      <c r="A573" s="17" t="s">
        <v>868</v>
      </c>
      <c r="B573" s="12"/>
      <c r="C573" s="12" t="s">
        <v>59</v>
      </c>
      <c r="D573" s="12"/>
      <c r="E573" s="13">
        <v>49643</v>
      </c>
      <c r="Y573" s="41">
        <f t="shared" si="67"/>
        <v>0</v>
      </c>
      <c r="AK573" s="1">
        <f t="shared" si="68"/>
        <v>0</v>
      </c>
      <c r="AM573" s="1">
        <f t="shared" si="69"/>
        <v>0</v>
      </c>
    </row>
    <row r="574" spans="1:39" ht="12" customHeight="1">
      <c r="A574" s="12" t="s">
        <v>506</v>
      </c>
      <c r="B574" s="12"/>
      <c r="C574" s="12" t="s">
        <v>50</v>
      </c>
      <c r="D574" s="12"/>
      <c r="E574" s="13">
        <v>48744</v>
      </c>
      <c r="F574" s="16"/>
      <c r="G574" s="1">
        <v>4201116</v>
      </c>
      <c r="I574" s="1">
        <v>2739490</v>
      </c>
      <c r="K574" s="1">
        <v>8619252</v>
      </c>
      <c r="M574" s="1">
        <v>162172</v>
      </c>
      <c r="O574" s="1">
        <v>107990</v>
      </c>
      <c r="Q574" s="1">
        <v>38235</v>
      </c>
      <c r="S574" s="1">
        <v>0</v>
      </c>
      <c r="U574" s="1">
        <v>0</v>
      </c>
      <c r="W574" s="1">
        <f>109007+15850+87666</f>
        <v>212523</v>
      </c>
      <c r="Y574" s="41">
        <f t="shared" si="67"/>
        <v>16080778</v>
      </c>
      <c r="AA574" s="1">
        <v>0</v>
      </c>
      <c r="AE574" s="1">
        <v>0</v>
      </c>
      <c r="AG574" s="1">
        <v>0</v>
      </c>
      <c r="AI574" s="1">
        <v>0</v>
      </c>
      <c r="AK574" s="1">
        <f t="shared" ref="AK574:AK580" si="70">SUM(AA574:AJ574)</f>
        <v>0</v>
      </c>
      <c r="AM574" s="1">
        <f t="shared" si="69"/>
        <v>16080778</v>
      </c>
    </row>
    <row r="575" spans="1:39" ht="12" customHeight="1">
      <c r="A575" s="12" t="s">
        <v>382</v>
      </c>
      <c r="B575" s="12"/>
      <c r="C575" s="12" t="s">
        <v>33</v>
      </c>
      <c r="D575" s="12"/>
      <c r="E575" s="13">
        <v>47464</v>
      </c>
      <c r="G575" s="1">
        <v>5008129</v>
      </c>
      <c r="I575" s="1">
        <v>0</v>
      </c>
      <c r="K575" s="1">
        <v>3450936</v>
      </c>
      <c r="M575" s="1">
        <v>47717</v>
      </c>
      <c r="O575" s="1">
        <v>786195</v>
      </c>
      <c r="Q575" s="1">
        <v>8217</v>
      </c>
      <c r="S575" s="1">
        <v>41069</v>
      </c>
      <c r="U575" s="1">
        <v>19498</v>
      </c>
      <c r="W575" s="1">
        <v>60671</v>
      </c>
      <c r="Y575" s="41">
        <f t="shared" si="67"/>
        <v>9422432</v>
      </c>
      <c r="AA575" s="1">
        <v>0</v>
      </c>
      <c r="AE575" s="1">
        <v>0</v>
      </c>
      <c r="AG575" s="1">
        <v>0</v>
      </c>
      <c r="AI575" s="1">
        <v>0</v>
      </c>
      <c r="AK575" s="1">
        <f t="shared" si="70"/>
        <v>0</v>
      </c>
      <c r="AM575" s="1">
        <f t="shared" si="69"/>
        <v>9422432</v>
      </c>
    </row>
    <row r="576" spans="1:39" ht="12" customHeight="1">
      <c r="A576" s="12" t="s">
        <v>629</v>
      </c>
      <c r="B576" s="12"/>
      <c r="C576" s="12" t="s">
        <v>67</v>
      </c>
      <c r="D576" s="12"/>
      <c r="E576" s="13">
        <v>44966</v>
      </c>
      <c r="G576" s="1">
        <v>4778932</v>
      </c>
      <c r="I576" s="1">
        <v>2085254</v>
      </c>
      <c r="K576" s="1">
        <v>10538155</v>
      </c>
      <c r="M576" s="1">
        <v>50582</v>
      </c>
      <c r="O576" s="1">
        <v>844335</v>
      </c>
      <c r="Q576" s="1">
        <v>0</v>
      </c>
      <c r="S576" s="1">
        <v>195045</v>
      </c>
      <c r="U576" s="1">
        <v>5730</v>
      </c>
      <c r="W576" s="1">
        <f>6576+78561</f>
        <v>85137</v>
      </c>
      <c r="Y576" s="41">
        <f t="shared" si="67"/>
        <v>18583170</v>
      </c>
      <c r="AA576" s="1">
        <v>0</v>
      </c>
      <c r="AE576" s="1">
        <v>0</v>
      </c>
      <c r="AG576" s="1">
        <v>0</v>
      </c>
      <c r="AI576" s="1">
        <v>0</v>
      </c>
      <c r="AK576" s="1">
        <f t="shared" si="70"/>
        <v>0</v>
      </c>
      <c r="AM576" s="1">
        <f t="shared" si="69"/>
        <v>18583170</v>
      </c>
    </row>
    <row r="577" spans="1:39" ht="12" customHeight="1">
      <c r="A577" s="12" t="s">
        <v>507</v>
      </c>
      <c r="B577" s="12"/>
      <c r="C577" s="12" t="s">
        <v>50</v>
      </c>
      <c r="D577" s="12"/>
      <c r="E577" s="13">
        <v>44958</v>
      </c>
      <c r="G577" s="1">
        <v>19018840</v>
      </c>
      <c r="I577" s="1">
        <v>0</v>
      </c>
      <c r="K577" s="1">
        <v>11327501</v>
      </c>
      <c r="M577" s="1">
        <v>368878</v>
      </c>
      <c r="O577" s="1">
        <v>786255</v>
      </c>
      <c r="Q577" s="1">
        <v>0</v>
      </c>
      <c r="S577" s="1">
        <v>0</v>
      </c>
      <c r="U577" s="1">
        <v>0</v>
      </c>
      <c r="W577" s="1">
        <f>22339+95890</f>
        <v>118229</v>
      </c>
      <c r="Y577" s="41">
        <f t="shared" si="67"/>
        <v>31619703</v>
      </c>
      <c r="AA577" s="1">
        <v>0</v>
      </c>
      <c r="AE577" s="1">
        <v>515659</v>
      </c>
      <c r="AG577" s="1">
        <f>1819</f>
        <v>1819</v>
      </c>
      <c r="AI577" s="1">
        <v>0</v>
      </c>
      <c r="AK577" s="1">
        <f t="shared" si="70"/>
        <v>517478</v>
      </c>
      <c r="AM577" s="1">
        <f t="shared" si="69"/>
        <v>32137181</v>
      </c>
    </row>
    <row r="578" spans="1:39" ht="12" hidden="1" customHeight="1">
      <c r="A578" s="17" t="s">
        <v>870</v>
      </c>
      <c r="B578" s="12"/>
      <c r="C578" s="12" t="s">
        <v>33</v>
      </c>
      <c r="D578" s="12"/>
      <c r="E578" s="13">
        <v>47472</v>
      </c>
      <c r="Y578" s="41">
        <f t="shared" si="67"/>
        <v>0</v>
      </c>
      <c r="AK578" s="1">
        <f t="shared" si="70"/>
        <v>0</v>
      </c>
      <c r="AM578" s="1">
        <f t="shared" si="69"/>
        <v>0</v>
      </c>
    </row>
    <row r="579" spans="1:39" ht="12" customHeight="1">
      <c r="A579" s="12" t="s">
        <v>320</v>
      </c>
      <c r="B579" s="12"/>
      <c r="C579" s="12" t="s">
        <v>24</v>
      </c>
      <c r="D579" s="12"/>
      <c r="E579" s="13">
        <v>46821</v>
      </c>
      <c r="G579" s="1">
        <v>15453890</v>
      </c>
      <c r="I579" s="1">
        <v>0</v>
      </c>
      <c r="K579" s="1">
        <f>8092059+103908</f>
        <v>8195967</v>
      </c>
      <c r="M579" s="1">
        <v>177461</v>
      </c>
      <c r="O579" s="1">
        <v>470169</v>
      </c>
      <c r="Q579" s="1">
        <v>0</v>
      </c>
      <c r="S579" s="1">
        <v>0</v>
      </c>
      <c r="U579" s="1">
        <v>0</v>
      </c>
      <c r="W579" s="1">
        <f>30427+50821+294</f>
        <v>81542</v>
      </c>
      <c r="Y579" s="41">
        <f t="shared" si="67"/>
        <v>24379029</v>
      </c>
      <c r="AA579" s="1">
        <v>0</v>
      </c>
      <c r="AE579" s="1">
        <v>2303256</v>
      </c>
      <c r="AG579" s="1">
        <v>0</v>
      </c>
      <c r="AI579" s="1">
        <v>0</v>
      </c>
      <c r="AK579" s="1">
        <f t="shared" si="70"/>
        <v>2303256</v>
      </c>
      <c r="AM579" s="1">
        <f t="shared" si="69"/>
        <v>26682285</v>
      </c>
    </row>
    <row r="580" spans="1:39" ht="12" hidden="1" customHeight="1">
      <c r="A580" s="17" t="s">
        <v>871</v>
      </c>
      <c r="B580" s="17"/>
      <c r="C580" s="17" t="s">
        <v>21</v>
      </c>
      <c r="D580" s="12"/>
      <c r="E580" s="13"/>
      <c r="Y580" s="41">
        <f t="shared" si="67"/>
        <v>0</v>
      </c>
      <c r="AK580" s="1">
        <f t="shared" si="70"/>
        <v>0</v>
      </c>
      <c r="AM580" s="1">
        <f t="shared" si="69"/>
        <v>0</v>
      </c>
    </row>
    <row r="581" spans="1:39" ht="12" customHeight="1">
      <c r="A581" s="12" t="s">
        <v>630</v>
      </c>
      <c r="B581" s="12"/>
      <c r="C581" s="12" t="s">
        <v>68</v>
      </c>
      <c r="D581" s="12"/>
      <c r="E581" s="13">
        <v>50393</v>
      </c>
      <c r="G581" s="1">
        <v>3357967</v>
      </c>
      <c r="I581" s="1">
        <v>0</v>
      </c>
      <c r="K581" s="1">
        <v>16745666</v>
      </c>
      <c r="M581" s="1">
        <v>150400</v>
      </c>
      <c r="O581" s="1">
        <v>394863</v>
      </c>
      <c r="Q581" s="1">
        <v>0</v>
      </c>
      <c r="S581" s="1">
        <v>692010</v>
      </c>
      <c r="U581" s="1">
        <v>2500</v>
      </c>
      <c r="W581" s="1">
        <f>300+223768+85237</f>
        <v>309305</v>
      </c>
      <c r="Y581" s="41">
        <f t="shared" si="67"/>
        <v>21652711</v>
      </c>
      <c r="AA581" s="1">
        <v>0</v>
      </c>
      <c r="AE581" s="1">
        <v>524031</v>
      </c>
      <c r="AG581" s="1">
        <f>1926</f>
        <v>1926</v>
      </c>
      <c r="AI581" s="1">
        <v>0</v>
      </c>
      <c r="AK581" s="1">
        <f>SUM(AA581:AJ581)</f>
        <v>525957</v>
      </c>
      <c r="AM581" s="1">
        <f t="shared" si="69"/>
        <v>22178668</v>
      </c>
    </row>
    <row r="582" spans="1:39" ht="12" customHeight="1">
      <c r="A582" s="12" t="s">
        <v>483</v>
      </c>
      <c r="B582" s="12"/>
      <c r="C582" s="12" t="s">
        <v>47</v>
      </c>
      <c r="D582" s="12"/>
      <c r="E582" s="13">
        <v>44974</v>
      </c>
      <c r="G582" s="1">
        <v>16262634</v>
      </c>
      <c r="I582" s="1">
        <v>0</v>
      </c>
      <c r="K582" s="1">
        <v>18136570</v>
      </c>
      <c r="M582" s="1">
        <v>93096</v>
      </c>
      <c r="O582" s="1">
        <v>879441</v>
      </c>
      <c r="Q582" s="1">
        <v>0</v>
      </c>
      <c r="S582" s="1">
        <v>0</v>
      </c>
      <c r="U582" s="1">
        <v>15161</v>
      </c>
      <c r="W582" s="1">
        <f>26940+33778</f>
        <v>60718</v>
      </c>
      <c r="Y582" s="41">
        <f t="shared" si="67"/>
        <v>35447620</v>
      </c>
      <c r="AA582" s="1">
        <v>0</v>
      </c>
      <c r="AE582" s="1">
        <v>0</v>
      </c>
      <c r="AG582" s="1">
        <v>29110</v>
      </c>
      <c r="AI582" s="1">
        <v>0</v>
      </c>
      <c r="AK582" s="1">
        <f>SUM(AA582:AJ582)</f>
        <v>29110</v>
      </c>
      <c r="AM582" s="1">
        <f t="shared" si="69"/>
        <v>35476730</v>
      </c>
    </row>
    <row r="583" spans="1:39" ht="12" customHeight="1">
      <c r="A583" s="12" t="s">
        <v>616</v>
      </c>
      <c r="B583" s="12"/>
      <c r="C583" s="12" t="s">
        <v>64</v>
      </c>
      <c r="D583" s="12"/>
      <c r="E583" s="13">
        <v>44990</v>
      </c>
      <c r="G583" s="1">
        <v>12283384</v>
      </c>
      <c r="I583" s="1">
        <v>0</v>
      </c>
      <c r="K583" s="1">
        <f>44481911+334942</f>
        <v>44816853</v>
      </c>
      <c r="M583" s="1">
        <v>269421</v>
      </c>
      <c r="O583" s="1">
        <v>1242659</v>
      </c>
      <c r="Q583" s="1">
        <v>0</v>
      </c>
      <c r="S583" s="1">
        <v>0</v>
      </c>
      <c r="U583" s="1">
        <v>0</v>
      </c>
      <c r="W583" s="1">
        <f>103420+250430</f>
        <v>353850</v>
      </c>
      <c r="Y583" s="41">
        <f t="shared" si="67"/>
        <v>58966167</v>
      </c>
      <c r="AA583" s="1">
        <v>55147</v>
      </c>
      <c r="AE583" s="1">
        <v>0</v>
      </c>
      <c r="AG583" s="1">
        <v>35317</v>
      </c>
      <c r="AI583" s="1">
        <v>0</v>
      </c>
      <c r="AK583" s="1">
        <f>SUM(AA583:AJ583)</f>
        <v>90464</v>
      </c>
      <c r="AM583" s="1">
        <f t="shared" si="69"/>
        <v>59056631</v>
      </c>
    </row>
    <row r="584" spans="1:39" ht="12" customHeight="1">
      <c r="A584" s="12" t="s">
        <v>638</v>
      </c>
      <c r="B584" s="12"/>
      <c r="C584" s="12" t="s">
        <v>70</v>
      </c>
      <c r="D584" s="12"/>
      <c r="E584" s="13">
        <v>50500</v>
      </c>
      <c r="G584" s="1">
        <v>5688062</v>
      </c>
      <c r="I584" s="1">
        <v>0</v>
      </c>
      <c r="K584" s="1">
        <v>12678019</v>
      </c>
      <c r="M584" s="1">
        <v>3406</v>
      </c>
      <c r="O584" s="1">
        <v>1412654</v>
      </c>
      <c r="Q584" s="1">
        <v>0</v>
      </c>
      <c r="S584" s="1">
        <v>0</v>
      </c>
      <c r="U584" s="1">
        <v>37051</v>
      </c>
      <c r="W584" s="1">
        <v>35838</v>
      </c>
      <c r="Y584" s="41">
        <f t="shared" si="67"/>
        <v>19855030</v>
      </c>
      <c r="AA584" s="1">
        <v>0</v>
      </c>
      <c r="AE584" s="1">
        <v>0</v>
      </c>
      <c r="AG584" s="1">
        <f>57420+21023</f>
        <v>78443</v>
      </c>
      <c r="AI584" s="1">
        <v>0</v>
      </c>
      <c r="AK584" s="1">
        <f t="shared" ref="AK584:AK633" si="71">SUM(AA584:AJ584)</f>
        <v>78443</v>
      </c>
      <c r="AM584" s="1">
        <f t="shared" si="69"/>
        <v>19933473</v>
      </c>
    </row>
    <row r="585" spans="1:39" ht="12" customHeight="1">
      <c r="A585" s="12" t="s">
        <v>307</v>
      </c>
      <c r="B585" s="12"/>
      <c r="C585" s="12" t="s">
        <v>20</v>
      </c>
      <c r="D585" s="12"/>
      <c r="E585" s="12">
        <v>45005</v>
      </c>
      <c r="G585" s="1">
        <v>15037307</v>
      </c>
      <c r="I585" s="1">
        <v>0</v>
      </c>
      <c r="K585" s="1">
        <v>15162046</v>
      </c>
      <c r="M585" s="1">
        <v>34650</v>
      </c>
      <c r="O585" s="1">
        <v>99194</v>
      </c>
      <c r="Q585" s="1">
        <v>0</v>
      </c>
      <c r="S585" s="1">
        <v>0</v>
      </c>
      <c r="U585" s="1">
        <v>0</v>
      </c>
      <c r="W585" s="1">
        <f>6529+91539</f>
        <v>98068</v>
      </c>
      <c r="Y585" s="41">
        <f>SUM(G585:X585)</f>
        <v>30431265</v>
      </c>
      <c r="AA585" s="1">
        <v>49824</v>
      </c>
      <c r="AE585" s="1">
        <v>0</v>
      </c>
      <c r="AG585" s="1">
        <v>0</v>
      </c>
      <c r="AI585" s="1">
        <v>0</v>
      </c>
      <c r="AK585" s="1">
        <f>SUM(AA585:AJ585)</f>
        <v>49824</v>
      </c>
      <c r="AM585" s="1">
        <f t="shared" si="69"/>
        <v>30481089</v>
      </c>
    </row>
    <row r="586" spans="1:39" ht="12" customHeight="1">
      <c r="A586" s="12" t="s">
        <v>328</v>
      </c>
      <c r="B586" s="12"/>
      <c r="C586" s="12" t="s">
        <v>26</v>
      </c>
      <c r="D586" s="12"/>
      <c r="E586" s="13">
        <v>45013</v>
      </c>
      <c r="G586" s="1">
        <v>4099635</v>
      </c>
      <c r="I586" s="1">
        <v>0</v>
      </c>
      <c r="K586" s="1">
        <v>12213078</v>
      </c>
      <c r="M586" s="1">
        <v>0</v>
      </c>
      <c r="O586" s="1">
        <v>755257</v>
      </c>
      <c r="Q586" s="1">
        <v>0</v>
      </c>
      <c r="S586" s="1">
        <v>13383</v>
      </c>
      <c r="U586" s="1">
        <v>2500</v>
      </c>
      <c r="W586" s="1">
        <f>5597+180303+103</f>
        <v>186003</v>
      </c>
      <c r="Y586" s="41">
        <f t="shared" si="67"/>
        <v>17269856</v>
      </c>
      <c r="AA586" s="1">
        <v>33923</v>
      </c>
      <c r="AE586" s="1">
        <v>0</v>
      </c>
      <c r="AG586" s="1">
        <v>0</v>
      </c>
      <c r="AI586" s="1">
        <v>0</v>
      </c>
      <c r="AK586" s="1">
        <f t="shared" si="71"/>
        <v>33923</v>
      </c>
      <c r="AM586" s="1">
        <f t="shared" si="69"/>
        <v>17303779</v>
      </c>
    </row>
    <row r="587" spans="1:39" ht="12" customHeight="1">
      <c r="A587" s="12" t="s">
        <v>456</v>
      </c>
      <c r="B587" s="12"/>
      <c r="C587" s="12" t="s">
        <v>117</v>
      </c>
      <c r="D587" s="12"/>
      <c r="E587" s="13">
        <v>48231</v>
      </c>
      <c r="G587" s="1">
        <v>31419930</v>
      </c>
      <c r="I587" s="1">
        <v>0</v>
      </c>
      <c r="K587" s="1">
        <f>32586491+217459</f>
        <v>32803950</v>
      </c>
      <c r="M587" s="1">
        <v>363806</v>
      </c>
      <c r="O587" s="1">
        <v>556469</v>
      </c>
      <c r="Q587" s="1">
        <v>0</v>
      </c>
      <c r="S587" s="1">
        <v>3210083</v>
      </c>
      <c r="U587" s="1">
        <v>12183</v>
      </c>
      <c r="W587" s="1">
        <f>151946+41261+96891+13411+437137</f>
        <v>740646</v>
      </c>
      <c r="Y587" s="41">
        <f t="shared" si="67"/>
        <v>69107067</v>
      </c>
      <c r="AA587" s="1">
        <v>0</v>
      </c>
      <c r="AE587" s="1">
        <v>0</v>
      </c>
      <c r="AG587" s="1">
        <v>13870</v>
      </c>
      <c r="AI587" s="1">
        <v>0</v>
      </c>
      <c r="AK587" s="1">
        <f t="shared" si="71"/>
        <v>13870</v>
      </c>
      <c r="AM587" s="1">
        <f t="shared" si="69"/>
        <v>69120937</v>
      </c>
    </row>
    <row r="588" spans="1:39" ht="12" customHeight="1">
      <c r="A588" s="12" t="s">
        <v>565</v>
      </c>
      <c r="B588" s="12"/>
      <c r="C588" s="12" t="s">
        <v>59</v>
      </c>
      <c r="D588" s="12"/>
      <c r="E588" s="13">
        <v>49650</v>
      </c>
      <c r="G588" s="1">
        <v>1318074</v>
      </c>
      <c r="I588" s="1">
        <v>0</v>
      </c>
      <c r="K588" s="1">
        <v>9710810</v>
      </c>
      <c r="M588" s="1">
        <v>76182</v>
      </c>
      <c r="O588" s="1">
        <v>1080926</v>
      </c>
      <c r="Q588" s="1">
        <v>0</v>
      </c>
      <c r="S588" s="1">
        <v>0</v>
      </c>
      <c r="U588" s="1">
        <v>500</v>
      </c>
      <c r="W588" s="1">
        <f>49775+93761</f>
        <v>143536</v>
      </c>
      <c r="Y588" s="41">
        <f t="shared" si="67"/>
        <v>12330028</v>
      </c>
      <c r="AA588" s="1">
        <v>0</v>
      </c>
      <c r="AE588" s="1">
        <v>0</v>
      </c>
      <c r="AG588" s="1">
        <v>388</v>
      </c>
      <c r="AI588" s="1">
        <v>0</v>
      </c>
      <c r="AK588" s="1">
        <f t="shared" si="71"/>
        <v>388</v>
      </c>
      <c r="AM588" s="1">
        <f t="shared" si="69"/>
        <v>12330416</v>
      </c>
    </row>
    <row r="589" spans="1:39" ht="12" customHeight="1">
      <c r="A589" s="12" t="s">
        <v>539</v>
      </c>
      <c r="B589" s="12"/>
      <c r="C589" s="12" t="s">
        <v>56</v>
      </c>
      <c r="D589" s="12"/>
      <c r="E589" s="13">
        <v>49247</v>
      </c>
      <c r="G589" s="1">
        <v>3246753</v>
      </c>
      <c r="I589" s="1">
        <v>0</v>
      </c>
      <c r="K589" s="1">
        <v>6447115</v>
      </c>
      <c r="M589" s="1">
        <v>13509</v>
      </c>
      <c r="O589" s="1">
        <v>206302</v>
      </c>
      <c r="Q589" s="1">
        <v>0</v>
      </c>
      <c r="S589" s="1">
        <v>0</v>
      </c>
      <c r="U589" s="1">
        <v>0</v>
      </c>
      <c r="W589" s="1">
        <f>38854+1130+84107</f>
        <v>124091</v>
      </c>
      <c r="Y589" s="41">
        <f t="shared" si="67"/>
        <v>10037770</v>
      </c>
      <c r="AA589" s="1">
        <v>0</v>
      </c>
      <c r="AE589" s="1">
        <v>0</v>
      </c>
      <c r="AG589" s="1">
        <v>0</v>
      </c>
      <c r="AI589" s="1">
        <v>0</v>
      </c>
      <c r="AK589" s="1">
        <f t="shared" si="71"/>
        <v>0</v>
      </c>
      <c r="AM589" s="1">
        <f t="shared" si="69"/>
        <v>10037770</v>
      </c>
    </row>
    <row r="590" spans="1:39" ht="12" customHeight="1">
      <c r="A590" s="12" t="s">
        <v>348</v>
      </c>
      <c r="B590" s="12"/>
      <c r="C590" s="12" t="s">
        <v>28</v>
      </c>
      <c r="D590" s="12"/>
      <c r="E590" s="13">
        <v>45641</v>
      </c>
      <c r="G590" s="1">
        <v>4195767</v>
      </c>
      <c r="I590" s="1">
        <v>0</v>
      </c>
      <c r="K590" s="1">
        <f>9042585+362</f>
        <v>9042947</v>
      </c>
      <c r="M590" s="1">
        <v>73068</v>
      </c>
      <c r="O590" s="1">
        <v>728260</v>
      </c>
      <c r="Q590" s="1">
        <v>0</v>
      </c>
      <c r="S590" s="1">
        <v>0</v>
      </c>
      <c r="U590" s="1">
        <v>0</v>
      </c>
      <c r="W590" s="1">
        <f>23714+3470+91554</f>
        <v>118738</v>
      </c>
      <c r="Y590" s="41">
        <f t="shared" si="67"/>
        <v>14158780</v>
      </c>
      <c r="AA590" s="1">
        <v>0</v>
      </c>
      <c r="AE590" s="1">
        <v>0</v>
      </c>
      <c r="AG590" s="1">
        <f>148409+74698</f>
        <v>223107</v>
      </c>
      <c r="AI590" s="1">
        <v>0</v>
      </c>
      <c r="AK590" s="1">
        <f t="shared" si="71"/>
        <v>223107</v>
      </c>
      <c r="AM590" s="1">
        <f t="shared" si="69"/>
        <v>14381887</v>
      </c>
    </row>
    <row r="591" spans="1:39" ht="12" customHeight="1">
      <c r="A591" s="12" t="s">
        <v>530</v>
      </c>
      <c r="B591" s="12"/>
      <c r="C591" s="12" t="s">
        <v>55</v>
      </c>
      <c r="D591" s="12"/>
      <c r="E591" s="13">
        <v>49148</v>
      </c>
      <c r="G591" s="1">
        <v>3093270</v>
      </c>
      <c r="I591" s="1">
        <v>0</v>
      </c>
      <c r="K591" s="1">
        <v>10948140</v>
      </c>
      <c r="M591" s="1">
        <v>8881</v>
      </c>
      <c r="O591" s="1">
        <v>724148</v>
      </c>
      <c r="Q591" s="1">
        <v>0</v>
      </c>
      <c r="S591" s="1">
        <v>10525</v>
      </c>
      <c r="U591" s="1">
        <v>4460</v>
      </c>
      <c r="W591" s="1">
        <f>1275+4412</f>
        <v>5687</v>
      </c>
      <c r="Y591" s="41">
        <f t="shared" si="67"/>
        <v>14795111</v>
      </c>
      <c r="AA591" s="1">
        <v>0</v>
      </c>
      <c r="AE591" s="1">
        <v>0</v>
      </c>
      <c r="AG591" s="1">
        <v>800</v>
      </c>
      <c r="AI591" s="1">
        <v>0</v>
      </c>
      <c r="AK591" s="1">
        <f t="shared" si="71"/>
        <v>800</v>
      </c>
      <c r="AM591" s="1">
        <f t="shared" si="69"/>
        <v>14795911</v>
      </c>
    </row>
    <row r="592" spans="1:39" ht="12" hidden="1" customHeight="1">
      <c r="A592" s="17" t="s">
        <v>881</v>
      </c>
      <c r="B592" s="12"/>
      <c r="C592" s="12" t="s">
        <v>69</v>
      </c>
      <c r="D592" s="12"/>
      <c r="E592" s="13">
        <v>50468</v>
      </c>
      <c r="Y592" s="41">
        <f t="shared" si="67"/>
        <v>0</v>
      </c>
      <c r="AK592" s="1">
        <f t="shared" si="71"/>
        <v>0</v>
      </c>
      <c r="AM592" s="1">
        <f t="shared" si="69"/>
        <v>0</v>
      </c>
    </row>
    <row r="593" spans="1:39" ht="12" hidden="1" customHeight="1">
      <c r="A593" s="17" t="s">
        <v>746</v>
      </c>
      <c r="B593" s="12"/>
      <c r="C593" s="12" t="s">
        <v>523</v>
      </c>
      <c r="D593" s="12"/>
      <c r="E593" s="13">
        <v>49031</v>
      </c>
      <c r="Y593" s="41">
        <f t="shared" si="67"/>
        <v>0</v>
      </c>
      <c r="AK593" s="1">
        <f t="shared" si="71"/>
        <v>0</v>
      </c>
      <c r="AM593" s="1">
        <f t="shared" si="69"/>
        <v>0</v>
      </c>
    </row>
    <row r="594" spans="1:39" ht="12" hidden="1" customHeight="1">
      <c r="A594" s="17" t="s">
        <v>789</v>
      </c>
      <c r="B594" s="12"/>
      <c r="C594" s="12" t="s">
        <v>14</v>
      </c>
      <c r="D594" s="12"/>
      <c r="E594" s="13">
        <v>45971</v>
      </c>
      <c r="F594" s="8"/>
      <c r="Y594" s="41">
        <f t="shared" si="67"/>
        <v>0</v>
      </c>
      <c r="AK594" s="1">
        <f t="shared" si="71"/>
        <v>0</v>
      </c>
      <c r="AM594" s="1">
        <f t="shared" si="69"/>
        <v>0</v>
      </c>
    </row>
    <row r="595" spans="1:39" ht="12" customHeight="1">
      <c r="A595" s="17"/>
      <c r="B595" s="12"/>
      <c r="C595" s="12"/>
      <c r="D595" s="12"/>
      <c r="E595" s="13"/>
      <c r="F595" s="8"/>
      <c r="Y595" s="41"/>
    </row>
    <row r="596" spans="1:39" ht="12" customHeight="1">
      <c r="A596" s="17"/>
      <c r="B596" s="12"/>
      <c r="C596" s="12"/>
      <c r="D596" s="12"/>
      <c r="E596" s="13"/>
      <c r="F596" s="8"/>
      <c r="Y596" s="41"/>
      <c r="AM596" s="20" t="s">
        <v>709</v>
      </c>
    </row>
    <row r="597" spans="1:39" ht="12" customHeight="1">
      <c r="A597" s="17"/>
      <c r="B597" s="12"/>
      <c r="C597" s="12"/>
      <c r="D597" s="12"/>
      <c r="E597" s="13"/>
      <c r="F597" s="8"/>
      <c r="Y597" s="41"/>
    </row>
    <row r="598" spans="1:39" ht="12" customHeight="1">
      <c r="A598" s="12" t="s">
        <v>617</v>
      </c>
      <c r="B598" s="12"/>
      <c r="C598" s="12" t="s">
        <v>64</v>
      </c>
      <c r="D598" s="12"/>
      <c r="E598" s="13">
        <v>50252</v>
      </c>
      <c r="G598" s="16">
        <v>2319746</v>
      </c>
      <c r="H598" s="16"/>
      <c r="I598" s="16">
        <v>0</v>
      </c>
      <c r="J598" s="16"/>
      <c r="K598" s="16">
        <v>4436757</v>
      </c>
      <c r="L598" s="16"/>
      <c r="M598" s="16">
        <v>29615</v>
      </c>
      <c r="N598" s="16"/>
      <c r="O598" s="16">
        <v>1400718</v>
      </c>
      <c r="P598" s="16"/>
      <c r="Q598" s="16">
        <v>73</v>
      </c>
      <c r="R598" s="16"/>
      <c r="S598" s="16">
        <v>0</v>
      </c>
      <c r="T598" s="16"/>
      <c r="U598" s="16">
        <v>0</v>
      </c>
      <c r="V598" s="16"/>
      <c r="W598" s="16">
        <v>873</v>
      </c>
      <c r="X598" s="16"/>
      <c r="Y598" s="59">
        <f t="shared" si="67"/>
        <v>8187782</v>
      </c>
      <c r="Z598" s="16"/>
      <c r="AA598" s="16">
        <v>0</v>
      </c>
      <c r="AB598" s="16"/>
      <c r="AC598" s="16"/>
      <c r="AD598" s="16"/>
      <c r="AE598" s="16">
        <v>0</v>
      </c>
      <c r="AF598" s="16"/>
      <c r="AG598" s="16">
        <v>0</v>
      </c>
      <c r="AH598" s="16"/>
      <c r="AI598" s="16">
        <v>0</v>
      </c>
      <c r="AJ598" s="16"/>
      <c r="AK598" s="16">
        <f t="shared" si="71"/>
        <v>0</v>
      </c>
      <c r="AL598" s="16"/>
      <c r="AM598" s="16">
        <f t="shared" si="69"/>
        <v>8187782</v>
      </c>
    </row>
    <row r="599" spans="1:39">
      <c r="A599" s="12" t="s">
        <v>448</v>
      </c>
      <c r="B599" s="12"/>
      <c r="C599" s="12" t="s">
        <v>44</v>
      </c>
      <c r="D599" s="12"/>
      <c r="E599" s="13">
        <v>45658</v>
      </c>
      <c r="G599" s="1">
        <v>3540530</v>
      </c>
      <c r="I599" s="1">
        <v>1561541</v>
      </c>
      <c r="K599" s="1">
        <v>6300425</v>
      </c>
      <c r="M599" s="1">
        <v>2577</v>
      </c>
      <c r="O599" s="1">
        <v>422481</v>
      </c>
      <c r="Q599" s="1">
        <v>36597</v>
      </c>
      <c r="S599" s="1">
        <v>8823</v>
      </c>
      <c r="U599" s="1">
        <v>25</v>
      </c>
      <c r="W599" s="1">
        <f>700+12069</f>
        <v>12769</v>
      </c>
      <c r="Y599" s="41">
        <f t="shared" si="67"/>
        <v>11885768</v>
      </c>
      <c r="AA599" s="1">
        <v>0</v>
      </c>
      <c r="AE599" s="1">
        <v>0</v>
      </c>
      <c r="AG599" s="1">
        <v>0</v>
      </c>
      <c r="AI599" s="1">
        <v>0</v>
      </c>
      <c r="AK599" s="1">
        <f t="shared" si="71"/>
        <v>0</v>
      </c>
      <c r="AM599" s="1">
        <f t="shared" si="69"/>
        <v>11885768</v>
      </c>
    </row>
    <row r="600" spans="1:39">
      <c r="A600" s="12" t="s">
        <v>409</v>
      </c>
      <c r="B600" s="12"/>
      <c r="C600" s="12" t="s">
        <v>38</v>
      </c>
      <c r="D600" s="12"/>
      <c r="E600" s="13">
        <v>45021</v>
      </c>
      <c r="G600" s="1">
        <v>2023664</v>
      </c>
      <c r="I600" s="1">
        <v>0</v>
      </c>
      <c r="K600" s="1">
        <v>10405434</v>
      </c>
      <c r="M600" s="1">
        <v>41582</v>
      </c>
      <c r="O600" s="1">
        <v>460672</v>
      </c>
      <c r="Q600" s="1">
        <v>0</v>
      </c>
      <c r="S600" s="1">
        <v>0</v>
      </c>
      <c r="U600" s="1">
        <v>10000</v>
      </c>
      <c r="W600" s="1">
        <f>4753+9901</f>
        <v>14654</v>
      </c>
      <c r="Y600" s="41">
        <f t="shared" si="67"/>
        <v>12956006</v>
      </c>
      <c r="AA600" s="1">
        <v>0</v>
      </c>
      <c r="AE600" s="1">
        <v>0</v>
      </c>
      <c r="AG600" s="1">
        <v>4730</v>
      </c>
      <c r="AI600" s="1">
        <v>0</v>
      </c>
      <c r="AK600" s="1">
        <f t="shared" si="71"/>
        <v>4730</v>
      </c>
      <c r="AM600" s="1">
        <f t="shared" si="69"/>
        <v>12960736</v>
      </c>
    </row>
    <row r="601" spans="1:39">
      <c r="A601" s="12" t="s">
        <v>271</v>
      </c>
      <c r="B601" s="12"/>
      <c r="C601" s="12" t="s">
        <v>114</v>
      </c>
      <c r="D601" s="12"/>
      <c r="E601" s="13">
        <v>45039</v>
      </c>
      <c r="F601" s="8"/>
      <c r="G601" s="1">
        <v>786394</v>
      </c>
      <c r="I601" s="1">
        <v>0</v>
      </c>
      <c r="K601" s="1">
        <v>5704177</v>
      </c>
      <c r="M601" s="1">
        <v>47186</v>
      </c>
      <c r="O601" s="1">
        <v>785066</v>
      </c>
      <c r="Q601" s="1">
        <v>1178</v>
      </c>
      <c r="S601" s="1">
        <v>0</v>
      </c>
      <c r="U601" s="1">
        <v>0</v>
      </c>
      <c r="W601" s="1">
        <f>1205+220</f>
        <v>1425</v>
      </c>
      <c r="Y601" s="41">
        <f t="shared" si="67"/>
        <v>7325426</v>
      </c>
      <c r="AA601" s="1">
        <v>0</v>
      </c>
      <c r="AE601" s="1">
        <v>0</v>
      </c>
      <c r="AG601" s="1">
        <v>0</v>
      </c>
      <c r="AI601" s="1">
        <v>0</v>
      </c>
      <c r="AK601" s="1">
        <f t="shared" si="71"/>
        <v>0</v>
      </c>
      <c r="AM601" s="1">
        <f t="shared" si="69"/>
        <v>7325426</v>
      </c>
    </row>
    <row r="602" spans="1:39">
      <c r="A602" s="12" t="s">
        <v>471</v>
      </c>
      <c r="B602" s="12"/>
      <c r="C602" s="12" t="s">
        <v>45</v>
      </c>
      <c r="D602" s="12"/>
      <c r="E602" s="13">
        <v>48389</v>
      </c>
      <c r="G602" s="1">
        <v>4044411</v>
      </c>
      <c r="I602" s="1">
        <v>0</v>
      </c>
      <c r="K602" s="1">
        <f>3672+12226527+82021</f>
        <v>12312220</v>
      </c>
      <c r="M602" s="1">
        <v>11889</v>
      </c>
      <c r="O602" s="1">
        <v>1631398</v>
      </c>
      <c r="Q602" s="1">
        <v>1236</v>
      </c>
      <c r="S602" s="1">
        <v>0</v>
      </c>
      <c r="U602" s="1">
        <v>0</v>
      </c>
      <c r="W602" s="1">
        <f>1407+306835</f>
        <v>308242</v>
      </c>
      <c r="Y602" s="41">
        <f t="shared" si="67"/>
        <v>18309396</v>
      </c>
      <c r="AA602" s="1">
        <v>1088</v>
      </c>
      <c r="AE602" s="1">
        <v>0</v>
      </c>
      <c r="AG602" s="1">
        <v>2341</v>
      </c>
      <c r="AI602" s="1">
        <v>0</v>
      </c>
      <c r="AK602" s="1">
        <f t="shared" ref="AK602:AK614" si="72">SUM(AA602:AJ602)</f>
        <v>3429</v>
      </c>
      <c r="AM602" s="1">
        <f t="shared" si="69"/>
        <v>18312825</v>
      </c>
    </row>
    <row r="603" spans="1:39">
      <c r="A603" s="17" t="s">
        <v>880</v>
      </c>
      <c r="B603" s="17"/>
      <c r="C603" s="17" t="s">
        <v>50</v>
      </c>
      <c r="D603" s="12"/>
      <c r="E603" s="13"/>
      <c r="G603" s="1">
        <v>15918731</v>
      </c>
      <c r="I603" s="1">
        <v>0</v>
      </c>
      <c r="K603" s="1">
        <f>18653566+152310</f>
        <v>18805876</v>
      </c>
      <c r="M603" s="1">
        <v>535296</v>
      </c>
      <c r="O603" s="1">
        <v>371483</v>
      </c>
      <c r="Q603" s="1">
        <v>20900</v>
      </c>
      <c r="S603" s="1">
        <v>0</v>
      </c>
      <c r="U603" s="1">
        <v>15</v>
      </c>
      <c r="W603" s="1">
        <f>27685+5111+104375+87171</f>
        <v>224342</v>
      </c>
      <c r="Y603" s="41">
        <f t="shared" si="67"/>
        <v>35876643</v>
      </c>
      <c r="AA603" s="1">
        <v>0</v>
      </c>
      <c r="AE603" s="1">
        <v>0</v>
      </c>
      <c r="AG603" s="1">
        <v>0</v>
      </c>
      <c r="AI603" s="1">
        <v>0</v>
      </c>
      <c r="AK603" s="1">
        <f t="shared" si="72"/>
        <v>0</v>
      </c>
      <c r="AM603" s="1">
        <f t="shared" si="69"/>
        <v>35876643</v>
      </c>
    </row>
    <row r="604" spans="1:39">
      <c r="A604" s="12" t="s">
        <v>257</v>
      </c>
      <c r="B604" s="12"/>
      <c r="C604" s="12" t="s">
        <v>115</v>
      </c>
      <c r="D604" s="12"/>
      <c r="E604" s="13">
        <v>46359</v>
      </c>
      <c r="F604" s="8"/>
      <c r="G604" s="1">
        <v>37435656</v>
      </c>
      <c r="I604" s="1">
        <v>0</v>
      </c>
      <c r="K604" s="1">
        <v>31068430</v>
      </c>
      <c r="M604" s="1">
        <v>5661</v>
      </c>
      <c r="O604" s="1">
        <v>346429</v>
      </c>
      <c r="Q604" s="1">
        <v>0</v>
      </c>
      <c r="S604" s="1">
        <v>0</v>
      </c>
      <c r="U604" s="1">
        <v>0</v>
      </c>
      <c r="W604" s="1">
        <f>30512+434960</f>
        <v>465472</v>
      </c>
      <c r="Y604" s="41">
        <f t="shared" ref="Y604:Y635" si="73">SUM(G604:X604)</f>
        <v>69321648</v>
      </c>
      <c r="AA604" s="1">
        <v>0</v>
      </c>
      <c r="AE604" s="1">
        <v>0</v>
      </c>
      <c r="AG604" s="1">
        <v>0</v>
      </c>
      <c r="AI604" s="1">
        <v>0</v>
      </c>
      <c r="AK604" s="1">
        <f t="shared" si="72"/>
        <v>0</v>
      </c>
      <c r="AM604" s="1">
        <f t="shared" si="69"/>
        <v>69321648</v>
      </c>
    </row>
    <row r="605" spans="1:39">
      <c r="A605" s="12" t="s">
        <v>356</v>
      </c>
      <c r="B605" s="12"/>
      <c r="C605" s="12" t="s">
        <v>30</v>
      </c>
      <c r="D605" s="12"/>
      <c r="E605" s="13">
        <v>47225</v>
      </c>
      <c r="G605" s="1">
        <v>16170926</v>
      </c>
      <c r="I605" s="1">
        <v>0</v>
      </c>
      <c r="K605" s="1">
        <v>6549417</v>
      </c>
      <c r="M605" s="1">
        <v>118459</v>
      </c>
      <c r="O605" s="1">
        <v>750131</v>
      </c>
      <c r="Q605" s="1">
        <v>0</v>
      </c>
      <c r="S605" s="1">
        <v>0</v>
      </c>
      <c r="U605" s="1">
        <v>600</v>
      </c>
      <c r="W605" s="1">
        <f>13746+5702+23649</f>
        <v>43097</v>
      </c>
      <c r="Y605" s="41">
        <f t="shared" si="73"/>
        <v>23632630</v>
      </c>
      <c r="AA605" s="1">
        <v>0</v>
      </c>
      <c r="AE605" s="1">
        <v>0</v>
      </c>
      <c r="AG605" s="1">
        <v>0</v>
      </c>
      <c r="AI605" s="1">
        <v>0</v>
      </c>
      <c r="AK605" s="1">
        <f t="shared" si="72"/>
        <v>0</v>
      </c>
      <c r="AM605" s="1">
        <f t="shared" si="69"/>
        <v>23632630</v>
      </c>
    </row>
    <row r="606" spans="1:39">
      <c r="A606" s="12" t="s">
        <v>402</v>
      </c>
      <c r="B606" s="12"/>
      <c r="C606" s="12" t="s">
        <v>36</v>
      </c>
      <c r="D606" s="12"/>
      <c r="E606" s="13">
        <v>47696</v>
      </c>
      <c r="G606" s="1">
        <v>8222762</v>
      </c>
      <c r="I606" s="1">
        <v>0</v>
      </c>
      <c r="K606" s="1">
        <v>11781640</v>
      </c>
      <c r="M606" s="1">
        <v>114050</v>
      </c>
      <c r="O606" s="1">
        <v>533607</v>
      </c>
      <c r="Q606" s="1">
        <v>56900</v>
      </c>
      <c r="S606" s="1">
        <v>0</v>
      </c>
      <c r="U606" s="1">
        <v>0</v>
      </c>
      <c r="W606" s="1">
        <f>22194+98761</f>
        <v>120955</v>
      </c>
      <c r="Y606" s="41">
        <f t="shared" si="73"/>
        <v>20829914</v>
      </c>
      <c r="AA606" s="1">
        <v>0</v>
      </c>
      <c r="AE606" s="1">
        <v>0</v>
      </c>
      <c r="AG606" s="1">
        <v>0</v>
      </c>
      <c r="AI606" s="1">
        <v>0</v>
      </c>
      <c r="AK606" s="1">
        <f t="shared" si="72"/>
        <v>0</v>
      </c>
      <c r="AM606" s="1">
        <f t="shared" si="69"/>
        <v>20829914</v>
      </c>
    </row>
    <row r="607" spans="1:39" ht="11.25" customHeight="1">
      <c r="A607" s="12" t="s">
        <v>244</v>
      </c>
      <c r="B607" s="12"/>
      <c r="C607" s="12" t="s">
        <v>240</v>
      </c>
      <c r="D607" s="12"/>
      <c r="E607" s="13">
        <v>46219</v>
      </c>
      <c r="F607" s="8"/>
      <c r="G607" s="1">
        <v>1802895</v>
      </c>
      <c r="I607" s="1">
        <v>1601689</v>
      </c>
      <c r="K607" s="1">
        <v>5975958</v>
      </c>
      <c r="M607" s="1">
        <v>69166</v>
      </c>
      <c r="O607" s="1">
        <v>1206729</v>
      </c>
      <c r="Q607" s="1">
        <v>0</v>
      </c>
      <c r="S607" s="1">
        <v>0</v>
      </c>
      <c r="U607" s="1">
        <v>0</v>
      </c>
      <c r="W607" s="1">
        <f>8920+49082</f>
        <v>58002</v>
      </c>
      <c r="Y607" s="41">
        <f t="shared" si="73"/>
        <v>10714439</v>
      </c>
      <c r="AA607" s="1">
        <v>0</v>
      </c>
      <c r="AE607" s="1">
        <v>0</v>
      </c>
      <c r="AG607" s="1">
        <v>0</v>
      </c>
      <c r="AI607" s="1">
        <v>0</v>
      </c>
      <c r="AK607" s="1">
        <f t="shared" si="72"/>
        <v>0</v>
      </c>
      <c r="AM607" s="1">
        <f t="shared" si="69"/>
        <v>10714439</v>
      </c>
    </row>
    <row r="608" spans="1:39">
      <c r="A608" s="12" t="s">
        <v>515</v>
      </c>
      <c r="B608" s="12"/>
      <c r="C608" s="12" t="s">
        <v>51</v>
      </c>
      <c r="D608" s="12"/>
      <c r="E608" s="13">
        <v>48884</v>
      </c>
      <c r="G608" s="1">
        <v>5146381</v>
      </c>
      <c r="I608" s="1">
        <v>0</v>
      </c>
      <c r="K608" s="1">
        <v>7023882</v>
      </c>
      <c r="M608" s="1">
        <v>34808</v>
      </c>
      <c r="O608" s="1">
        <v>1001128</v>
      </c>
      <c r="Q608" s="1">
        <v>0</v>
      </c>
      <c r="S608" s="1">
        <v>0</v>
      </c>
      <c r="U608" s="1">
        <v>9025</v>
      </c>
      <c r="W608" s="1">
        <f>19966+99891</f>
        <v>119857</v>
      </c>
      <c r="Y608" s="41">
        <f t="shared" si="73"/>
        <v>13335081</v>
      </c>
      <c r="AA608" s="1">
        <v>0</v>
      </c>
      <c r="AE608" s="1">
        <v>0</v>
      </c>
      <c r="AG608" s="1">
        <v>103357</v>
      </c>
      <c r="AI608" s="1">
        <v>0</v>
      </c>
      <c r="AK608" s="1">
        <f t="shared" si="72"/>
        <v>103357</v>
      </c>
      <c r="AM608" s="1">
        <f t="shared" si="69"/>
        <v>13438438</v>
      </c>
    </row>
    <row r="609" spans="1:39">
      <c r="A609" s="12" t="s">
        <v>225</v>
      </c>
      <c r="B609" s="12"/>
      <c r="C609" s="12" t="s">
        <v>77</v>
      </c>
      <c r="D609" s="12"/>
      <c r="E609" s="13">
        <v>46060</v>
      </c>
      <c r="F609" s="8"/>
      <c r="G609" s="1">
        <v>4084548</v>
      </c>
      <c r="I609" s="1">
        <v>0</v>
      </c>
      <c r="K609" s="1">
        <v>19377295</v>
      </c>
      <c r="M609" s="1">
        <v>17979</v>
      </c>
      <c r="O609" s="1">
        <v>1346270</v>
      </c>
      <c r="Q609" s="1">
        <v>20656</v>
      </c>
      <c r="S609" s="1">
        <v>88076</v>
      </c>
      <c r="U609" s="1">
        <v>81366</v>
      </c>
      <c r="W609" s="1">
        <f>15568+147192</f>
        <v>162760</v>
      </c>
      <c r="Y609" s="41">
        <f t="shared" si="73"/>
        <v>25178950</v>
      </c>
      <c r="AA609" s="1">
        <v>0</v>
      </c>
      <c r="AE609" s="1">
        <v>610000</v>
      </c>
      <c r="AG609" s="1">
        <f>36500</f>
        <v>36500</v>
      </c>
      <c r="AI609" s="1">
        <v>0</v>
      </c>
      <c r="AK609" s="1">
        <f t="shared" si="72"/>
        <v>646500</v>
      </c>
      <c r="AM609" s="1">
        <f t="shared" si="69"/>
        <v>25825450</v>
      </c>
    </row>
    <row r="610" spans="1:39">
      <c r="A610" s="12" t="s">
        <v>531</v>
      </c>
      <c r="B610" s="12"/>
      <c r="C610" s="12" t="s">
        <v>55</v>
      </c>
      <c r="D610" s="12"/>
      <c r="E610" s="13">
        <v>49155</v>
      </c>
      <c r="G610" s="1">
        <v>729099</v>
      </c>
      <c r="I610" s="1">
        <v>0</v>
      </c>
      <c r="K610" s="1">
        <v>5984585</v>
      </c>
      <c r="M610" s="1">
        <v>81043</v>
      </c>
      <c r="O610" s="1">
        <v>167432</v>
      </c>
      <c r="Q610" s="1">
        <v>930</v>
      </c>
      <c r="S610" s="1">
        <v>0</v>
      </c>
      <c r="U610" s="1">
        <v>5591</v>
      </c>
      <c r="W610" s="1">
        <f>110+1715</f>
        <v>1825</v>
      </c>
      <c r="Y610" s="41">
        <f t="shared" si="73"/>
        <v>6970505</v>
      </c>
      <c r="AA610" s="1">
        <v>0</v>
      </c>
      <c r="AE610" s="1">
        <v>500000</v>
      </c>
      <c r="AG610" s="1">
        <v>0</v>
      </c>
      <c r="AI610" s="1">
        <v>0</v>
      </c>
      <c r="AK610" s="1">
        <f t="shared" si="72"/>
        <v>500000</v>
      </c>
      <c r="AM610" s="1">
        <f t="shared" si="69"/>
        <v>7470505</v>
      </c>
    </row>
    <row r="611" spans="1:39">
      <c r="A611" s="12" t="s">
        <v>407</v>
      </c>
      <c r="B611" s="12"/>
      <c r="C611" s="12" t="s">
        <v>37</v>
      </c>
      <c r="D611" s="12"/>
      <c r="E611" s="13">
        <v>47746</v>
      </c>
      <c r="G611" s="1">
        <v>2118587</v>
      </c>
      <c r="I611" s="1">
        <v>1546735</v>
      </c>
      <c r="K611" s="1">
        <f>45055+6382562</f>
        <v>6427617</v>
      </c>
      <c r="M611" s="1">
        <v>35773</v>
      </c>
      <c r="O611" s="1">
        <v>552747</v>
      </c>
      <c r="Q611" s="1">
        <v>210</v>
      </c>
      <c r="S611" s="1">
        <v>0</v>
      </c>
      <c r="U611" s="1">
        <v>0</v>
      </c>
      <c r="W611" s="1">
        <f>15892+93324</f>
        <v>109216</v>
      </c>
      <c r="Y611" s="41">
        <f t="shared" si="73"/>
        <v>10790885</v>
      </c>
      <c r="AA611" s="1">
        <v>0</v>
      </c>
      <c r="AE611" s="1">
        <v>0</v>
      </c>
      <c r="AG611" s="1">
        <v>0</v>
      </c>
      <c r="AI611" s="1">
        <v>0</v>
      </c>
      <c r="AK611" s="1">
        <f t="shared" si="72"/>
        <v>0</v>
      </c>
      <c r="AM611" s="1">
        <f t="shared" si="69"/>
        <v>10790885</v>
      </c>
    </row>
    <row r="612" spans="1:39">
      <c r="A612" s="12" t="s">
        <v>407</v>
      </c>
      <c r="B612" s="12"/>
      <c r="C612" s="12" t="s">
        <v>45</v>
      </c>
      <c r="D612" s="12"/>
      <c r="E612" s="12">
        <v>48397</v>
      </c>
      <c r="G612" s="1">
        <v>2514399</v>
      </c>
      <c r="I612" s="1">
        <v>0</v>
      </c>
      <c r="K612" s="1">
        <v>2926791</v>
      </c>
      <c r="M612" s="1">
        <v>39324</v>
      </c>
      <c r="O612" s="1">
        <v>757663</v>
      </c>
      <c r="Q612" s="1">
        <v>19766</v>
      </c>
      <c r="S612" s="1">
        <v>0</v>
      </c>
      <c r="U612" s="1">
        <v>11210</v>
      </c>
      <c r="W612" s="1">
        <f>37984+787</f>
        <v>38771</v>
      </c>
      <c r="Y612" s="41">
        <f>SUM(G612:X612)</f>
        <v>6307924</v>
      </c>
      <c r="AA612" s="1">
        <v>0</v>
      </c>
      <c r="AE612" s="1">
        <v>0</v>
      </c>
      <c r="AG612" s="1">
        <v>0</v>
      </c>
      <c r="AI612" s="1">
        <v>0</v>
      </c>
      <c r="AK612" s="1">
        <f t="shared" si="72"/>
        <v>0</v>
      </c>
      <c r="AM612" s="1">
        <f t="shared" si="69"/>
        <v>6307924</v>
      </c>
    </row>
    <row r="613" spans="1:39" s="16" customFormat="1">
      <c r="A613" s="14" t="s">
        <v>342</v>
      </c>
      <c r="B613" s="14"/>
      <c r="C613" s="14" t="s">
        <v>27</v>
      </c>
      <c r="D613" s="14"/>
      <c r="E613" s="14">
        <v>45047</v>
      </c>
      <c r="G613" s="1">
        <v>92483363</v>
      </c>
      <c r="H613" s="1"/>
      <c r="I613" s="1">
        <v>0</v>
      </c>
      <c r="J613" s="1"/>
      <c r="K613" s="1">
        <v>48201095</v>
      </c>
      <c r="L613" s="1"/>
      <c r="M613" s="1">
        <v>52249</v>
      </c>
      <c r="N613" s="1"/>
      <c r="O613" s="1">
        <v>1448710</v>
      </c>
      <c r="P613" s="1"/>
      <c r="Q613" s="1">
        <v>224088</v>
      </c>
      <c r="R613" s="1"/>
      <c r="S613" s="1">
        <v>1117132</v>
      </c>
      <c r="T613" s="1"/>
      <c r="U613" s="1">
        <v>0</v>
      </c>
      <c r="V613" s="1"/>
      <c r="W613" s="1">
        <v>659487</v>
      </c>
      <c r="X613" s="1"/>
      <c r="Y613" s="41">
        <f t="shared" si="73"/>
        <v>144186124</v>
      </c>
      <c r="Z613" s="1"/>
      <c r="AA613" s="1">
        <v>2687736</v>
      </c>
      <c r="AB613" s="1"/>
      <c r="AC613" s="1"/>
      <c r="AD613" s="1"/>
      <c r="AE613" s="1">
        <v>0</v>
      </c>
      <c r="AF613" s="1"/>
      <c r="AG613" s="1">
        <v>0</v>
      </c>
      <c r="AH613" s="1"/>
      <c r="AI613" s="1">
        <v>0</v>
      </c>
      <c r="AJ613" s="1"/>
      <c r="AK613" s="1">
        <f t="shared" si="72"/>
        <v>2687736</v>
      </c>
      <c r="AL613" s="1"/>
      <c r="AM613" s="1">
        <f t="shared" si="69"/>
        <v>146873860</v>
      </c>
    </row>
    <row r="614" spans="1:39">
      <c r="A614" s="12" t="s">
        <v>528</v>
      </c>
      <c r="B614" s="12"/>
      <c r="C614" s="12" t="s">
        <v>54</v>
      </c>
      <c r="D614" s="12"/>
      <c r="E614" s="13">
        <v>49106</v>
      </c>
      <c r="G614" s="1">
        <v>3008143</v>
      </c>
      <c r="I614" s="1">
        <v>0</v>
      </c>
      <c r="K614" s="1">
        <v>7879035</v>
      </c>
      <c r="M614" s="1">
        <v>38791</v>
      </c>
      <c r="O614" s="1">
        <v>713395</v>
      </c>
      <c r="Q614" s="1">
        <v>17323</v>
      </c>
      <c r="S614" s="1">
        <v>505815</v>
      </c>
      <c r="U614" s="1">
        <v>0</v>
      </c>
      <c r="W614" s="1">
        <v>264301</v>
      </c>
      <c r="Y614" s="41">
        <f t="shared" si="73"/>
        <v>12426803</v>
      </c>
      <c r="AA614" s="1">
        <v>0</v>
      </c>
      <c r="AE614" s="1">
        <v>0</v>
      </c>
      <c r="AG614" s="1">
        <v>0</v>
      </c>
      <c r="AI614" s="1">
        <v>0</v>
      </c>
      <c r="AK614" s="1">
        <f t="shared" si="72"/>
        <v>0</v>
      </c>
      <c r="AM614" s="1">
        <f t="shared" si="69"/>
        <v>12426803</v>
      </c>
    </row>
    <row r="615" spans="1:39">
      <c r="A615" s="12" t="s">
        <v>308</v>
      </c>
      <c r="B615" s="12"/>
      <c r="C615" s="12" t="s">
        <v>20</v>
      </c>
      <c r="D615" s="12"/>
      <c r="E615" s="13">
        <v>45062</v>
      </c>
      <c r="G615" s="1">
        <v>38444417</v>
      </c>
      <c r="I615" s="1">
        <v>0</v>
      </c>
      <c r="K615" s="1">
        <v>10923353</v>
      </c>
      <c r="M615" s="1">
        <v>278049</v>
      </c>
      <c r="O615" s="1">
        <v>16032</v>
      </c>
      <c r="Q615" s="1">
        <v>0</v>
      </c>
      <c r="S615" s="1">
        <v>0</v>
      </c>
      <c r="U615" s="1">
        <v>0</v>
      </c>
      <c r="W615" s="1">
        <f>8867+15502+66563+16769+79077</f>
        <v>186778</v>
      </c>
      <c r="Y615" s="41">
        <f t="shared" si="73"/>
        <v>49848629</v>
      </c>
      <c r="AA615" s="1">
        <v>0</v>
      </c>
      <c r="AE615" s="1">
        <v>0</v>
      </c>
      <c r="AG615" s="1">
        <v>900</v>
      </c>
      <c r="AI615" s="1">
        <v>0</v>
      </c>
      <c r="AK615" s="1">
        <f t="shared" si="71"/>
        <v>900</v>
      </c>
      <c r="AM615" s="1">
        <f t="shared" si="69"/>
        <v>49849529</v>
      </c>
    </row>
    <row r="616" spans="1:39">
      <c r="A616" s="12" t="s">
        <v>566</v>
      </c>
      <c r="B616" s="12"/>
      <c r="C616" s="12" t="s">
        <v>59</v>
      </c>
      <c r="D616" s="12"/>
      <c r="E616" s="13">
        <v>49668</v>
      </c>
      <c r="G616" s="1">
        <v>2582340</v>
      </c>
      <c r="I616" s="1">
        <v>0</v>
      </c>
      <c r="K616" s="1">
        <v>6799174</v>
      </c>
      <c r="M616" s="1">
        <v>71523</v>
      </c>
      <c r="O616" s="1">
        <v>1818230</v>
      </c>
      <c r="Q616" s="1">
        <v>0</v>
      </c>
      <c r="S616" s="1">
        <v>0</v>
      </c>
      <c r="U616" s="1">
        <v>0</v>
      </c>
      <c r="W616" s="1">
        <f>75+62709</f>
        <v>62784</v>
      </c>
      <c r="Y616" s="41">
        <f t="shared" si="73"/>
        <v>11334051</v>
      </c>
      <c r="AA616" s="1">
        <v>0</v>
      </c>
      <c r="AE616" s="1">
        <v>0</v>
      </c>
      <c r="AG616" s="1">
        <v>5350</v>
      </c>
      <c r="AI616" s="1">
        <v>0</v>
      </c>
      <c r="AK616" s="1">
        <f t="shared" si="71"/>
        <v>5350</v>
      </c>
      <c r="AM616" s="1">
        <f t="shared" si="69"/>
        <v>11339401</v>
      </c>
    </row>
    <row r="617" spans="1:39">
      <c r="A617" s="12" t="s">
        <v>343</v>
      </c>
      <c r="B617" s="12"/>
      <c r="C617" s="12" t="s">
        <v>27</v>
      </c>
      <c r="D617" s="12"/>
      <c r="E617" s="13">
        <v>45070</v>
      </c>
      <c r="G617" s="1">
        <v>8963470</v>
      </c>
      <c r="I617" s="1">
        <v>0</v>
      </c>
      <c r="K617" s="1">
        <f>83165+18285309+181837</f>
        <v>18550311</v>
      </c>
      <c r="M617" s="1">
        <v>426515</v>
      </c>
      <c r="O617" s="1">
        <v>205530</v>
      </c>
      <c r="Q617" s="1">
        <v>8656</v>
      </c>
      <c r="S617" s="1">
        <v>1611576</v>
      </c>
      <c r="U617" s="1">
        <v>0</v>
      </c>
      <c r="W617" s="1">
        <v>87300</v>
      </c>
      <c r="Y617" s="41">
        <f t="shared" si="73"/>
        <v>29853358</v>
      </c>
      <c r="AA617" s="1">
        <v>0</v>
      </c>
      <c r="AE617" s="1">
        <v>0</v>
      </c>
      <c r="AG617" s="1">
        <v>0</v>
      </c>
      <c r="AI617" s="1">
        <v>0</v>
      </c>
      <c r="AK617" s="1">
        <f t="shared" si="71"/>
        <v>0</v>
      </c>
      <c r="AM617" s="1">
        <f t="shared" si="69"/>
        <v>29853358</v>
      </c>
    </row>
    <row r="618" spans="1:39" hidden="1">
      <c r="A618" s="17" t="s">
        <v>744</v>
      </c>
      <c r="B618" s="12"/>
      <c r="C618" s="12" t="s">
        <v>41</v>
      </c>
      <c r="D618" s="12"/>
      <c r="E618" s="13">
        <v>45088</v>
      </c>
      <c r="Y618" s="41">
        <f t="shared" si="73"/>
        <v>0</v>
      </c>
      <c r="AK618" s="1">
        <f t="shared" si="71"/>
        <v>0</v>
      </c>
      <c r="AM618" s="1">
        <f t="shared" si="69"/>
        <v>0</v>
      </c>
    </row>
    <row r="619" spans="1:39">
      <c r="A619" s="12" t="s">
        <v>408</v>
      </c>
      <c r="B619" s="12"/>
      <c r="C619" s="12" t="s">
        <v>37</v>
      </c>
      <c r="D619" s="12"/>
      <c r="E619" s="13">
        <v>45096</v>
      </c>
      <c r="G619" s="1">
        <v>4714751</v>
      </c>
      <c r="I619" s="1">
        <v>0</v>
      </c>
      <c r="K619" s="1">
        <f>10706631+53073</f>
        <v>10759704</v>
      </c>
      <c r="M619" s="1">
        <v>26543</v>
      </c>
      <c r="O619" s="1">
        <v>223344</v>
      </c>
      <c r="Q619" s="1">
        <v>0</v>
      </c>
      <c r="S619" s="1">
        <v>0</v>
      </c>
      <c r="U619" s="1">
        <v>28</v>
      </c>
      <c r="W619" s="1">
        <f>114818+1940+6441+12560+9580</f>
        <v>145339</v>
      </c>
      <c r="Y619" s="41">
        <f t="shared" si="73"/>
        <v>15869709</v>
      </c>
      <c r="AA619" s="1">
        <v>0</v>
      </c>
      <c r="AE619" s="1">
        <v>0</v>
      </c>
      <c r="AG619" s="1">
        <v>3494</v>
      </c>
      <c r="AI619" s="1">
        <v>0</v>
      </c>
      <c r="AK619" s="1">
        <f t="shared" si="71"/>
        <v>3494</v>
      </c>
      <c r="AM619" s="1">
        <f t="shared" si="69"/>
        <v>15873203</v>
      </c>
    </row>
    <row r="620" spans="1:39">
      <c r="A620" s="12" t="s">
        <v>258</v>
      </c>
      <c r="B620" s="12"/>
      <c r="C620" s="12" t="s">
        <v>115</v>
      </c>
      <c r="D620" s="12"/>
      <c r="E620" s="13">
        <v>46367</v>
      </c>
      <c r="F620" s="8"/>
      <c r="G620" s="1">
        <v>3347645</v>
      </c>
      <c r="I620" s="1">
        <v>0</v>
      </c>
      <c r="K620" s="1">
        <v>4289957</v>
      </c>
      <c r="M620" s="1">
        <v>27229</v>
      </c>
      <c r="O620" s="1">
        <v>412118</v>
      </c>
      <c r="Q620" s="1">
        <v>2767</v>
      </c>
      <c r="S620" s="1">
        <v>0</v>
      </c>
      <c r="U620" s="1">
        <v>44806</v>
      </c>
      <c r="W620" s="1">
        <f>212271+120+224490</f>
        <v>436881</v>
      </c>
      <c r="Y620" s="41">
        <f t="shared" si="73"/>
        <v>8561403</v>
      </c>
      <c r="AA620" s="1">
        <v>0</v>
      </c>
      <c r="AE620" s="1">
        <v>0</v>
      </c>
      <c r="AG620" s="1">
        <v>0</v>
      </c>
      <c r="AI620" s="1">
        <v>0</v>
      </c>
      <c r="AK620" s="1">
        <f t="shared" si="71"/>
        <v>0</v>
      </c>
      <c r="AM620" s="1">
        <f t="shared" si="69"/>
        <v>8561403</v>
      </c>
    </row>
    <row r="621" spans="1:39">
      <c r="A621" s="12" t="s">
        <v>418</v>
      </c>
      <c r="B621" s="12"/>
      <c r="C621" s="12" t="s">
        <v>41</v>
      </c>
      <c r="D621" s="12"/>
      <c r="E621" s="12">
        <v>45104</v>
      </c>
      <c r="G621" s="1">
        <v>53768806</v>
      </c>
      <c r="I621" s="1">
        <v>0</v>
      </c>
      <c r="K621" s="1">
        <v>27542920</v>
      </c>
      <c r="M621" s="1">
        <v>122053</v>
      </c>
      <c r="O621" s="1">
        <v>1942646</v>
      </c>
      <c r="Q621" s="1">
        <v>0</v>
      </c>
      <c r="S621" s="1">
        <v>0</v>
      </c>
      <c r="U621" s="1">
        <v>0</v>
      </c>
      <c r="W621" s="1">
        <f>219960+30078+357425</f>
        <v>607463</v>
      </c>
      <c r="Y621" s="41">
        <f t="shared" si="73"/>
        <v>83983888</v>
      </c>
      <c r="AA621" s="1">
        <v>0</v>
      </c>
      <c r="AE621" s="1">
        <v>0</v>
      </c>
      <c r="AG621" s="1">
        <v>5132</v>
      </c>
      <c r="AI621" s="1">
        <v>0</v>
      </c>
      <c r="AK621" s="1">
        <f t="shared" ref="AK621:AK627" si="74">SUM(AA621:AJ621)</f>
        <v>5132</v>
      </c>
      <c r="AM621" s="1">
        <f t="shared" si="69"/>
        <v>83989020</v>
      </c>
    </row>
    <row r="622" spans="1:39">
      <c r="A622" s="12" t="s">
        <v>262</v>
      </c>
      <c r="B622" s="12"/>
      <c r="C622" s="12" t="s">
        <v>18</v>
      </c>
      <c r="D622" s="12"/>
      <c r="E622" s="13">
        <v>45112</v>
      </c>
      <c r="F622" s="8"/>
      <c r="G622" s="1">
        <v>12408015</v>
      </c>
      <c r="I622" s="1">
        <v>0</v>
      </c>
      <c r="K622" s="1">
        <v>10624961</v>
      </c>
      <c r="M622" s="1">
        <v>22300</v>
      </c>
      <c r="O622" s="1">
        <v>773049</v>
      </c>
      <c r="Q622" s="1">
        <v>0</v>
      </c>
      <c r="S622" s="1">
        <v>5355</v>
      </c>
      <c r="U622" s="1">
        <v>0</v>
      </c>
      <c r="W622" s="1">
        <f>35459+47106</f>
        <v>82565</v>
      </c>
      <c r="Y622" s="41">
        <f t="shared" si="73"/>
        <v>23916245</v>
      </c>
      <c r="AA622" s="1">
        <v>91831</v>
      </c>
      <c r="AE622" s="1">
        <v>0</v>
      </c>
      <c r="AG622" s="1">
        <v>20136</v>
      </c>
      <c r="AI622" s="1">
        <v>0</v>
      </c>
      <c r="AK622" s="1">
        <f t="shared" si="74"/>
        <v>111967</v>
      </c>
      <c r="AM622" s="1">
        <f t="shared" si="69"/>
        <v>24028212</v>
      </c>
    </row>
    <row r="623" spans="1:39">
      <c r="A623" s="12" t="s">
        <v>540</v>
      </c>
      <c r="B623" s="12"/>
      <c r="C623" s="12" t="s">
        <v>56</v>
      </c>
      <c r="D623" s="12"/>
      <c r="E623" s="13">
        <v>45666</v>
      </c>
      <c r="G623" s="1">
        <v>1478996</v>
      </c>
      <c r="I623" s="1">
        <v>0</v>
      </c>
      <c r="K623" s="1">
        <f>6102722+92727</f>
        <v>6195449</v>
      </c>
      <c r="M623" s="1">
        <v>2249</v>
      </c>
      <c r="O623" s="1">
        <v>218393</v>
      </c>
      <c r="Q623" s="1">
        <v>0</v>
      </c>
      <c r="S623" s="1">
        <v>2712</v>
      </c>
      <c r="U623" s="1">
        <v>0</v>
      </c>
      <c r="W623" s="1">
        <f>89682+3240</f>
        <v>92922</v>
      </c>
      <c r="Y623" s="41">
        <f t="shared" si="73"/>
        <v>7990721</v>
      </c>
      <c r="AA623" s="1">
        <v>2615</v>
      </c>
      <c r="AE623" s="1">
        <v>91137</v>
      </c>
      <c r="AG623" s="1">
        <f>7600</f>
        <v>7600</v>
      </c>
      <c r="AI623" s="1">
        <v>0</v>
      </c>
      <c r="AK623" s="1">
        <f t="shared" si="74"/>
        <v>101352</v>
      </c>
      <c r="AM623" s="1">
        <f t="shared" si="69"/>
        <v>8092073</v>
      </c>
    </row>
    <row r="624" spans="1:39">
      <c r="A624" s="12" t="s">
        <v>376</v>
      </c>
      <c r="B624" s="12"/>
      <c r="C624" s="12" t="s">
        <v>32</v>
      </c>
      <c r="D624" s="12"/>
      <c r="E624" s="13">
        <v>44081</v>
      </c>
      <c r="G624" s="1">
        <v>21815038</v>
      </c>
      <c r="I624" s="1">
        <v>0</v>
      </c>
      <c r="K624" s="1">
        <v>18452937</v>
      </c>
      <c r="M624" s="1">
        <v>32867</v>
      </c>
      <c r="O624" s="1">
        <v>609293</v>
      </c>
      <c r="Q624" s="1">
        <v>63920</v>
      </c>
      <c r="S624" s="1">
        <v>311830</v>
      </c>
      <c r="U624" s="1">
        <v>0</v>
      </c>
      <c r="W624" s="1">
        <v>197197</v>
      </c>
      <c r="Y624" s="41">
        <f t="shared" si="73"/>
        <v>41483082</v>
      </c>
      <c r="AA624" s="1">
        <v>0</v>
      </c>
      <c r="AE624" s="1">
        <v>15704</v>
      </c>
      <c r="AG624" s="1">
        <f>21172</f>
        <v>21172</v>
      </c>
      <c r="AI624" s="1">
        <v>0</v>
      </c>
      <c r="AK624" s="1">
        <f t="shared" si="74"/>
        <v>36876</v>
      </c>
      <c r="AM624" s="1">
        <f t="shared" si="69"/>
        <v>41519958</v>
      </c>
    </row>
    <row r="625" spans="1:39">
      <c r="A625" s="12" t="s">
        <v>639</v>
      </c>
      <c r="B625" s="12"/>
      <c r="C625" s="12" t="s">
        <v>70</v>
      </c>
      <c r="D625" s="12"/>
      <c r="E625" s="13">
        <v>50518</v>
      </c>
      <c r="G625" s="1">
        <v>4259327</v>
      </c>
      <c r="I625" s="1">
        <v>0</v>
      </c>
      <c r="K625" s="1">
        <v>2493976</v>
      </c>
      <c r="M625" s="1">
        <v>109019</v>
      </c>
      <c r="O625" s="1">
        <v>387427</v>
      </c>
      <c r="Q625" s="1">
        <v>0</v>
      </c>
      <c r="S625" s="1">
        <v>0</v>
      </c>
      <c r="U625" s="1">
        <v>76000</v>
      </c>
      <c r="W625" s="1">
        <v>33708</v>
      </c>
      <c r="Y625" s="41">
        <f t="shared" si="73"/>
        <v>7359457</v>
      </c>
      <c r="AA625" s="1">
        <v>0</v>
      </c>
      <c r="AE625" s="1">
        <v>0</v>
      </c>
      <c r="AG625" s="1">
        <v>0</v>
      </c>
      <c r="AI625" s="1">
        <v>0</v>
      </c>
      <c r="AK625" s="1">
        <f t="shared" si="74"/>
        <v>0</v>
      </c>
      <c r="AM625" s="1">
        <f t="shared" si="69"/>
        <v>7359457</v>
      </c>
    </row>
    <row r="626" spans="1:39">
      <c r="A626" s="12" t="s">
        <v>558</v>
      </c>
      <c r="B626" s="12"/>
      <c r="C626" s="12" t="s">
        <v>79</v>
      </c>
      <c r="D626" s="12"/>
      <c r="E626" s="13">
        <v>49577</v>
      </c>
      <c r="G626" s="1">
        <v>3646150</v>
      </c>
      <c r="I626" s="1">
        <v>0</v>
      </c>
      <c r="K626" s="1">
        <v>4692278</v>
      </c>
      <c r="M626" s="1">
        <v>2470</v>
      </c>
      <c r="O626" s="1">
        <v>367745</v>
      </c>
      <c r="Q626" s="1">
        <v>23004</v>
      </c>
      <c r="S626" s="1">
        <v>85000</v>
      </c>
      <c r="U626" s="1">
        <v>0</v>
      </c>
      <c r="W626" s="1">
        <f>23865+16660</f>
        <v>40525</v>
      </c>
      <c r="Y626" s="41">
        <f t="shared" si="73"/>
        <v>8857172</v>
      </c>
      <c r="AA626" s="1">
        <v>0</v>
      </c>
      <c r="AE626" s="1">
        <v>0</v>
      </c>
      <c r="AG626" s="1">
        <v>0</v>
      </c>
      <c r="AI626" s="1">
        <v>0</v>
      </c>
      <c r="AK626" s="1">
        <f t="shared" si="74"/>
        <v>0</v>
      </c>
      <c r="AM626" s="1">
        <f t="shared" si="69"/>
        <v>8857172</v>
      </c>
    </row>
    <row r="627" spans="1:39">
      <c r="A627" s="12" t="s">
        <v>598</v>
      </c>
      <c r="B627" s="12"/>
      <c r="C627" s="12" t="s">
        <v>63</v>
      </c>
      <c r="D627" s="12"/>
      <c r="E627" s="13">
        <v>49973</v>
      </c>
      <c r="G627" s="1">
        <v>14129716</v>
      </c>
      <c r="I627" s="1">
        <v>0</v>
      </c>
      <c r="K627" s="1">
        <v>5199728</v>
      </c>
      <c r="M627" s="1">
        <v>32211</v>
      </c>
      <c r="O627" s="1">
        <v>1027680</v>
      </c>
      <c r="Q627" s="1">
        <v>0</v>
      </c>
      <c r="S627" s="1">
        <v>311461</v>
      </c>
      <c r="U627" s="1">
        <v>631</v>
      </c>
      <c r="W627" s="1">
        <f>1092+156022</f>
        <v>157114</v>
      </c>
      <c r="Y627" s="41">
        <f t="shared" si="73"/>
        <v>20858541</v>
      </c>
      <c r="AA627" s="1">
        <v>0</v>
      </c>
      <c r="AE627" s="1">
        <v>0</v>
      </c>
      <c r="AG627" s="1">
        <v>0</v>
      </c>
      <c r="AI627" s="1">
        <v>0</v>
      </c>
      <c r="AK627" s="1">
        <f t="shared" si="74"/>
        <v>0</v>
      </c>
      <c r="AM627" s="1">
        <f t="shared" si="69"/>
        <v>20858541</v>
      </c>
    </row>
    <row r="628" spans="1:39">
      <c r="A628" s="12" t="s">
        <v>745</v>
      </c>
      <c r="B628" s="12"/>
      <c r="C628" s="12" t="s">
        <v>71</v>
      </c>
      <c r="D628" s="12"/>
      <c r="E628" s="13">
        <v>45138</v>
      </c>
      <c r="G628" s="1">
        <v>20670771</v>
      </c>
      <c r="I628" s="1">
        <v>0</v>
      </c>
      <c r="K628" s="1">
        <v>16687766</v>
      </c>
      <c r="M628" s="1">
        <v>145510</v>
      </c>
      <c r="O628" s="1">
        <v>698584</v>
      </c>
      <c r="Q628" s="1">
        <v>109005</v>
      </c>
      <c r="S628" s="1">
        <v>0</v>
      </c>
      <c r="U628" s="1">
        <v>0</v>
      </c>
      <c r="W628" s="1">
        <f>17850+105335</f>
        <v>123185</v>
      </c>
      <c r="Y628" s="41">
        <f t="shared" si="73"/>
        <v>38434821</v>
      </c>
      <c r="AA628" s="1">
        <v>0</v>
      </c>
      <c r="AE628" s="1">
        <v>0</v>
      </c>
      <c r="AG628" s="1">
        <v>0</v>
      </c>
      <c r="AI628" s="1">
        <v>0</v>
      </c>
      <c r="AK628" s="1">
        <f t="shared" si="71"/>
        <v>0</v>
      </c>
      <c r="AM628" s="1">
        <f t="shared" si="69"/>
        <v>38434821</v>
      </c>
    </row>
    <row r="629" spans="1:39">
      <c r="A629" s="12" t="s">
        <v>344</v>
      </c>
      <c r="B629" s="12"/>
      <c r="C629" s="12" t="s">
        <v>27</v>
      </c>
      <c r="D629" s="12"/>
      <c r="E629" s="13">
        <v>46524</v>
      </c>
      <c r="G629" s="1">
        <v>77250078</v>
      </c>
      <c r="I629" s="1">
        <v>0</v>
      </c>
      <c r="K629" s="1">
        <v>37226299</v>
      </c>
      <c r="M629" s="1">
        <v>332512</v>
      </c>
      <c r="O629" s="1">
        <v>1706535</v>
      </c>
      <c r="Q629" s="1">
        <v>0</v>
      </c>
      <c r="S629" s="1">
        <v>0</v>
      </c>
      <c r="U629" s="1">
        <v>0</v>
      </c>
      <c r="W629" s="1">
        <v>794639</v>
      </c>
      <c r="Y629" s="41">
        <f t="shared" si="73"/>
        <v>117310063</v>
      </c>
      <c r="AA629" s="1">
        <v>0</v>
      </c>
      <c r="AE629" s="1">
        <v>0</v>
      </c>
      <c r="AG629" s="1">
        <v>0</v>
      </c>
      <c r="AI629" s="1">
        <v>0</v>
      </c>
      <c r="AK629" s="1">
        <f t="shared" si="71"/>
        <v>0</v>
      </c>
      <c r="AM629" s="1">
        <f t="shared" si="69"/>
        <v>117310063</v>
      </c>
    </row>
    <row r="630" spans="1:39">
      <c r="A630" s="12" t="s">
        <v>279</v>
      </c>
      <c r="B630" s="12"/>
      <c r="C630" s="12" t="s">
        <v>113</v>
      </c>
      <c r="D630" s="12"/>
      <c r="E630" s="13">
        <v>45146</v>
      </c>
      <c r="G630" s="1">
        <v>3280540</v>
      </c>
      <c r="I630" s="1">
        <v>0</v>
      </c>
      <c r="K630" s="1">
        <f>5568070+65393</f>
        <v>5633463</v>
      </c>
      <c r="M630" s="1">
        <v>44839</v>
      </c>
      <c r="O630" s="1">
        <v>650577</v>
      </c>
      <c r="Q630" s="1">
        <v>0</v>
      </c>
      <c r="S630" s="1">
        <v>0</v>
      </c>
      <c r="U630" s="1">
        <v>0</v>
      </c>
      <c r="W630" s="1">
        <f>1785+17464+50027</f>
        <v>69276</v>
      </c>
      <c r="Y630" s="41">
        <f t="shared" si="73"/>
        <v>9678695</v>
      </c>
      <c r="AA630" s="1">
        <v>0</v>
      </c>
      <c r="AE630" s="1">
        <v>33100</v>
      </c>
      <c r="AG630" s="1">
        <v>0</v>
      </c>
      <c r="AI630" s="1">
        <v>0</v>
      </c>
      <c r="AK630" s="1">
        <f t="shared" si="71"/>
        <v>33100</v>
      </c>
      <c r="AM630" s="1">
        <f t="shared" si="69"/>
        <v>9711795</v>
      </c>
    </row>
    <row r="631" spans="1:39">
      <c r="A631" s="12" t="s">
        <v>377</v>
      </c>
      <c r="B631" s="12"/>
      <c r="C631" s="12" t="s">
        <v>32</v>
      </c>
      <c r="D631" s="12"/>
      <c r="E631" s="13">
        <v>45153</v>
      </c>
      <c r="G631" s="1">
        <v>14066695</v>
      </c>
      <c r="I631" s="1">
        <v>0</v>
      </c>
      <c r="K631" s="1">
        <v>6609302</v>
      </c>
      <c r="M631" s="1">
        <v>141072</v>
      </c>
      <c r="O631" s="1">
        <v>495044</v>
      </c>
      <c r="Q631" s="1">
        <v>0</v>
      </c>
      <c r="S631" s="1">
        <v>0</v>
      </c>
      <c r="U631" s="1">
        <v>0</v>
      </c>
      <c r="W631" s="1">
        <v>372780</v>
      </c>
      <c r="Y631" s="41">
        <f t="shared" si="73"/>
        <v>21684893</v>
      </c>
      <c r="AA631" s="1">
        <v>0</v>
      </c>
      <c r="AE631" s="1">
        <v>0</v>
      </c>
      <c r="AG631" s="1">
        <v>0</v>
      </c>
      <c r="AI631" s="1">
        <v>0</v>
      </c>
      <c r="AK631" s="1">
        <f t="shared" si="71"/>
        <v>0</v>
      </c>
      <c r="AM631" s="1">
        <f t="shared" si="69"/>
        <v>21684893</v>
      </c>
    </row>
    <row r="632" spans="1:39">
      <c r="A632" s="12" t="s">
        <v>359</v>
      </c>
      <c r="B632" s="12"/>
      <c r="C632" s="12" t="s">
        <v>116</v>
      </c>
      <c r="D632" s="12"/>
      <c r="E632" s="13">
        <v>45674</v>
      </c>
      <c r="G632" s="1">
        <v>3184063</v>
      </c>
      <c r="I632" s="1">
        <v>1076060</v>
      </c>
      <c r="K632" s="1">
        <v>1833715</v>
      </c>
      <c r="M632" s="1">
        <v>31646</v>
      </c>
      <c r="O632" s="1">
        <v>922762</v>
      </c>
      <c r="Q632" s="1">
        <v>2400</v>
      </c>
      <c r="S632" s="1">
        <v>0</v>
      </c>
      <c r="U632" s="1">
        <v>0</v>
      </c>
      <c r="W632" s="1">
        <v>10442</v>
      </c>
      <c r="Y632" s="41">
        <f t="shared" si="73"/>
        <v>7061088</v>
      </c>
      <c r="AA632" s="1">
        <v>0</v>
      </c>
      <c r="AE632" s="1">
        <v>0</v>
      </c>
      <c r="AG632" s="1">
        <v>0</v>
      </c>
      <c r="AI632" s="1">
        <v>0</v>
      </c>
      <c r="AK632" s="1">
        <f t="shared" si="71"/>
        <v>0</v>
      </c>
      <c r="AM632" s="1">
        <f t="shared" ref="AM632:AM633" si="75">+AK632+Y632</f>
        <v>7061088</v>
      </c>
    </row>
    <row r="633" spans="1:39">
      <c r="A633" s="12" t="s">
        <v>472</v>
      </c>
      <c r="B633" s="12"/>
      <c r="C633" s="12" t="s">
        <v>45</v>
      </c>
      <c r="D633" s="12"/>
      <c r="E633" s="13">
        <v>45161</v>
      </c>
      <c r="G633" s="1">
        <v>20101536</v>
      </c>
      <c r="I633" s="1">
        <v>0</v>
      </c>
      <c r="K633" s="1">
        <v>85396735</v>
      </c>
      <c r="M633" s="1">
        <v>91222</v>
      </c>
      <c r="O633" s="1">
        <v>953891</v>
      </c>
      <c r="Q633" s="1">
        <v>56850</v>
      </c>
      <c r="S633" s="1">
        <v>0</v>
      </c>
      <c r="U633" s="1">
        <v>6046</v>
      </c>
      <c r="W633" s="1">
        <f>17417+446782</f>
        <v>464199</v>
      </c>
      <c r="Y633" s="41">
        <f t="shared" si="73"/>
        <v>107070479</v>
      </c>
      <c r="AA633" s="1">
        <v>0</v>
      </c>
      <c r="AE633" s="1">
        <v>0</v>
      </c>
      <c r="AG633" s="1">
        <v>0</v>
      </c>
      <c r="AI633" s="1">
        <v>0</v>
      </c>
      <c r="AK633" s="1">
        <f t="shared" si="71"/>
        <v>0</v>
      </c>
      <c r="AM633" s="1">
        <f t="shared" si="75"/>
        <v>107070479</v>
      </c>
    </row>
    <row r="634" spans="1:39">
      <c r="A634" s="12" t="s">
        <v>554</v>
      </c>
      <c r="B634" s="12"/>
      <c r="C634" s="12" t="s">
        <v>58</v>
      </c>
      <c r="D634" s="12"/>
      <c r="E634" s="13">
        <v>49544</v>
      </c>
      <c r="G634" s="1">
        <v>3861926</v>
      </c>
      <c r="I634" s="1">
        <v>4951</v>
      </c>
      <c r="K634" s="1">
        <v>7490289</v>
      </c>
      <c r="M634" s="1">
        <v>89811</v>
      </c>
      <c r="O634" s="1">
        <v>432413</v>
      </c>
      <c r="Q634" s="1">
        <v>25534</v>
      </c>
      <c r="S634" s="1">
        <v>0</v>
      </c>
      <c r="U634" s="1">
        <v>0</v>
      </c>
      <c r="W634" s="1">
        <f>58429+36887</f>
        <v>95316</v>
      </c>
      <c r="Y634" s="41">
        <f t="shared" si="73"/>
        <v>12000240</v>
      </c>
      <c r="AA634" s="1">
        <v>170596</v>
      </c>
      <c r="AE634" s="1">
        <v>7535</v>
      </c>
      <c r="AG634" s="1">
        <v>0</v>
      </c>
      <c r="AI634" s="1">
        <v>0</v>
      </c>
      <c r="AK634" s="1">
        <f t="shared" ref="AK634:AK635" si="76">SUM(AA634:AJ634)</f>
        <v>178131</v>
      </c>
      <c r="AM634" s="1">
        <f>+AK634+Y634</f>
        <v>12178371</v>
      </c>
    </row>
    <row r="635" spans="1:39">
      <c r="A635" s="12" t="s">
        <v>516</v>
      </c>
      <c r="B635" s="12"/>
      <c r="C635" s="12" t="s">
        <v>51</v>
      </c>
      <c r="D635" s="12"/>
      <c r="E635" s="13">
        <v>45179</v>
      </c>
      <c r="G635" s="1">
        <v>7915065</v>
      </c>
      <c r="I635" s="1">
        <v>0</v>
      </c>
      <c r="K635" s="1">
        <v>23744275</v>
      </c>
      <c r="M635" s="1">
        <v>50075</v>
      </c>
      <c r="O635" s="1">
        <v>1444915</v>
      </c>
      <c r="Q635" s="1">
        <v>0</v>
      </c>
      <c r="S635" s="1">
        <v>17265</v>
      </c>
      <c r="U635" s="1">
        <v>909</v>
      </c>
      <c r="W635" s="1">
        <f>466+54076</f>
        <v>54542</v>
      </c>
      <c r="Y635" s="41">
        <f t="shared" si="73"/>
        <v>33227046</v>
      </c>
      <c r="AA635" s="1">
        <v>0</v>
      </c>
      <c r="AE635" s="1">
        <v>333899</v>
      </c>
      <c r="AG635" s="1">
        <v>0</v>
      </c>
      <c r="AI635" s="1">
        <v>0</v>
      </c>
      <c r="AK635" s="1">
        <f t="shared" si="76"/>
        <v>333899</v>
      </c>
      <c r="AM635" s="1">
        <f>+AK635+Y635</f>
        <v>33560945</v>
      </c>
    </row>
    <row r="636" spans="1:39">
      <c r="A636" s="12"/>
      <c r="B636" s="12"/>
      <c r="C636" s="12"/>
      <c r="D636" s="12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</row>
    <row r="638" spans="1:39">
      <c r="E638" s="1"/>
    </row>
    <row r="639" spans="1:39">
      <c r="AI639" s="1">
        <f>SUM(AI11:AI638)</f>
        <v>1727450</v>
      </c>
    </row>
  </sheetData>
  <mergeCells count="1">
    <mergeCell ref="AA6:AG6"/>
  </mergeCells>
  <phoneticPr fontId="3" type="noConversion"/>
  <pageMargins left="0.9" right="0.75" top="0.5" bottom="0.5" header="0.25" footer="0.25"/>
  <pageSetup scale="77" firstPageNumber="86" pageOrder="overThenDown" orientation="portrait" useFirstPageNumber="1" r:id="rId1"/>
  <headerFooter scaleWithDoc="0" alignWithMargins="0">
    <oddFooter>&amp;C&amp;"Times New Roman,Regular"&amp;11&amp;P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V640"/>
  <sheetViews>
    <sheetView zoomScaleNormal="100" zoomScaleSheetLayoutView="75" workbookViewId="0">
      <pane xSplit="6" ySplit="9" topLeftCell="BG10" activePane="bottomRight" state="frozen"/>
      <selection pane="topRight" activeCell="G1" sqref="G1"/>
      <selection pane="bottomLeft" activeCell="A10" sqref="A10"/>
      <selection pane="bottomRight" activeCell="CF10" sqref="CF10"/>
    </sheetView>
  </sheetViews>
  <sheetFormatPr defaultColWidth="9.140625" defaultRowHeight="12"/>
  <cols>
    <col min="1" max="1" width="32" style="1" customWidth="1"/>
    <col min="2" max="2" width="1.7109375" style="1" customWidth="1"/>
    <col min="3" max="3" width="10.140625" style="1" bestFit="1" customWidth="1"/>
    <col min="4" max="4" width="1.7109375" style="1" hidden="1" customWidth="1"/>
    <col min="5" max="5" width="11.7109375" style="3" hidden="1" customWidth="1"/>
    <col min="6" max="6" width="1.7109375" style="1" customWidth="1"/>
    <col min="7" max="7" width="10.140625" style="1" bestFit="1" customWidth="1"/>
    <col min="8" max="8" width="1.7109375" style="1" customWidth="1"/>
    <col min="9" max="9" width="10.140625" style="1" bestFit="1" customWidth="1"/>
    <col min="10" max="10" width="1.7109375" style="1" customWidth="1"/>
    <col min="11" max="11" width="9.28515625" style="1" bestFit="1" customWidth="1"/>
    <col min="12" max="12" width="1.7109375" style="1" customWidth="1"/>
    <col min="13" max="13" width="9.28515625" style="1" bestFit="1" customWidth="1"/>
    <col min="14" max="14" width="1.7109375" style="1" customWidth="1"/>
    <col min="15" max="15" width="10.140625" style="1" bestFit="1" customWidth="1"/>
    <col min="16" max="16" width="1.7109375" style="1" customWidth="1"/>
    <col min="17" max="17" width="9.7109375" style="1" bestFit="1" customWidth="1"/>
    <col min="18" max="18" width="1.7109375" style="1" customWidth="1"/>
    <col min="19" max="19" width="8.42578125" style="1" bestFit="1" customWidth="1"/>
    <col min="20" max="20" width="1.7109375" style="1" customWidth="1"/>
    <col min="21" max="21" width="12.7109375" style="1" customWidth="1"/>
    <col min="22" max="22" width="1.7109375" style="1" customWidth="1"/>
    <col min="23" max="23" width="9.28515625" style="1" bestFit="1" customWidth="1"/>
    <col min="24" max="24" width="1.7109375" style="1" customWidth="1"/>
    <col min="25" max="25" width="11.140625" style="1" customWidth="1"/>
    <col min="26" max="26" width="1.7109375" style="1" customWidth="1"/>
    <col min="27" max="27" width="11.85546875" style="1" customWidth="1"/>
    <col min="28" max="28" width="1.7109375" style="1" customWidth="1"/>
    <col min="29" max="29" width="11.42578125" style="1" bestFit="1" customWidth="1"/>
    <col min="30" max="30" width="1.7109375" style="1" customWidth="1"/>
    <col min="31" max="31" width="9.28515625" style="1" bestFit="1" customWidth="1"/>
    <col min="32" max="32" width="1.7109375" style="1" customWidth="1"/>
    <col min="33" max="33" width="10.85546875" style="1" customWidth="1"/>
    <col min="34" max="34" width="1.7109375" style="1" customWidth="1"/>
    <col min="35" max="35" width="9.28515625" style="1" bestFit="1" customWidth="1"/>
    <col min="36" max="36" width="32" style="1" customWidth="1"/>
    <col min="37" max="37" width="1.7109375" style="1" customWidth="1"/>
    <col min="38" max="38" width="10.140625" style="1" bestFit="1" customWidth="1"/>
    <col min="39" max="39" width="1.7109375" style="1" customWidth="1"/>
    <col min="40" max="40" width="11" style="1" bestFit="1" customWidth="1"/>
    <col min="41" max="41" width="1.7109375" style="1" customWidth="1"/>
    <col min="42" max="42" width="8.42578125" style="1" bestFit="1" customWidth="1"/>
    <col min="43" max="43" width="1.7109375" style="1" hidden="1" customWidth="1"/>
    <col min="44" max="44" width="11.7109375" style="1" hidden="1" customWidth="1"/>
    <col min="45" max="45" width="1.7109375" style="1" customWidth="1"/>
    <col min="46" max="46" width="11" style="1" bestFit="1" customWidth="1"/>
    <col min="47" max="47" width="1.7109375" style="1" customWidth="1"/>
    <col min="48" max="48" width="8.42578125" style="1" bestFit="1" customWidth="1"/>
    <col min="49" max="49" width="1.7109375" style="1" customWidth="1"/>
    <col min="50" max="50" width="10" style="1" bestFit="1" customWidth="1"/>
    <col min="51" max="51" width="1.7109375" style="1" customWidth="1"/>
    <col min="52" max="52" width="11" style="1" bestFit="1" customWidth="1"/>
    <col min="53" max="53" width="1.7109375" style="1" customWidth="1"/>
    <col min="54" max="54" width="10.140625" style="1" bestFit="1" customWidth="1"/>
    <col min="55" max="55" width="1.7109375" style="1" hidden="1" customWidth="1"/>
    <col min="56" max="56" width="11.7109375" style="1" hidden="1" customWidth="1"/>
    <col min="57" max="57" width="1.7109375" style="1" hidden="1" customWidth="1"/>
    <col min="58" max="58" width="11.7109375" style="1" hidden="1" customWidth="1"/>
    <col min="59" max="59" width="1.7109375" style="1" customWidth="1"/>
    <col min="60" max="60" width="10" style="1" customWidth="1"/>
    <col min="61" max="61" width="1.7109375" style="1" customWidth="1"/>
    <col min="62" max="62" width="11" style="1" bestFit="1" customWidth="1"/>
    <col min="63" max="63" width="1.7109375" style="1" customWidth="1"/>
    <col min="64" max="64" width="9.85546875" style="1" bestFit="1" customWidth="1"/>
    <col min="65" max="65" width="1.7109375" style="1" customWidth="1"/>
    <col min="66" max="66" width="10.140625" style="1" bestFit="1" customWidth="1"/>
    <col min="67" max="67" width="1.7109375" style="1" customWidth="1"/>
    <col min="68" max="68" width="14.42578125" style="1" bestFit="1" customWidth="1"/>
    <col min="69" max="69" width="10.85546875" style="1" hidden="1" customWidth="1"/>
    <col min="70" max="70" width="1.7109375" style="1" customWidth="1"/>
    <col min="71" max="71" width="10.140625" style="1" bestFit="1" customWidth="1"/>
    <col min="72" max="72" width="1.7109375" style="1" customWidth="1"/>
    <col min="73" max="73" width="11.7109375" style="20" customWidth="1"/>
    <col min="74" max="74" width="1.7109375" style="1" customWidth="1"/>
    <col min="75" max="16384" width="9.140625" style="1"/>
  </cols>
  <sheetData>
    <row r="1" spans="1:73" s="2" customFormat="1">
      <c r="A1" s="55" t="s">
        <v>130</v>
      </c>
      <c r="B1" s="55"/>
      <c r="C1" s="55"/>
      <c r="D1" s="55"/>
      <c r="E1" s="63"/>
      <c r="F1" s="55"/>
      <c r="G1" s="55"/>
      <c r="H1" s="55"/>
      <c r="I1" s="56"/>
      <c r="J1" s="56"/>
      <c r="K1" s="56"/>
      <c r="L1" s="56"/>
      <c r="M1" s="56"/>
      <c r="N1" s="56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55" t="s">
        <v>130</v>
      </c>
      <c r="AK1" s="55"/>
      <c r="AL1" s="55"/>
      <c r="AM1" s="9"/>
      <c r="AN1" s="9"/>
      <c r="AO1" s="9"/>
      <c r="AP1" s="9"/>
      <c r="AQ1" s="35"/>
      <c r="AR1" s="35"/>
      <c r="AS1" s="35"/>
      <c r="AT1" s="35"/>
      <c r="BU1" s="39"/>
    </row>
    <row r="2" spans="1:73" s="2" customFormat="1">
      <c r="A2" s="55" t="s">
        <v>919</v>
      </c>
      <c r="B2" s="55"/>
      <c r="C2" s="55"/>
      <c r="D2" s="55"/>
      <c r="E2" s="63"/>
      <c r="F2" s="55"/>
      <c r="G2" s="55"/>
      <c r="H2" s="55"/>
      <c r="I2" s="56"/>
      <c r="J2" s="56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55" t="s">
        <v>919</v>
      </c>
      <c r="AK2" s="55"/>
      <c r="AL2" s="55"/>
      <c r="AM2" s="9"/>
      <c r="AN2" s="9"/>
      <c r="AO2" s="9"/>
      <c r="AP2" s="9"/>
      <c r="AQ2" s="35"/>
      <c r="AR2" s="35"/>
      <c r="AS2" s="35"/>
      <c r="AT2" s="35"/>
      <c r="BU2" s="39"/>
    </row>
    <row r="3" spans="1:73" s="2" customFormat="1">
      <c r="A3" s="35"/>
      <c r="B3" s="55"/>
      <c r="C3" s="55"/>
      <c r="D3" s="55"/>
      <c r="E3" s="63"/>
      <c r="F3" s="55"/>
      <c r="G3" s="55"/>
      <c r="H3" s="55"/>
      <c r="I3" s="56"/>
      <c r="J3" s="56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35" t="s">
        <v>709</v>
      </c>
      <c r="AK3" s="55"/>
      <c r="AL3" s="55"/>
      <c r="AM3" s="9"/>
      <c r="AN3" s="9"/>
      <c r="AO3" s="9"/>
      <c r="AP3" s="9"/>
      <c r="AQ3" s="35"/>
      <c r="AR3" s="35"/>
      <c r="AS3" s="35"/>
      <c r="AT3" s="35"/>
      <c r="BU3" s="39"/>
    </row>
    <row r="4" spans="1:73">
      <c r="A4" s="35" t="s">
        <v>171</v>
      </c>
      <c r="B4" s="35"/>
      <c r="C4" s="35"/>
      <c r="D4" s="35"/>
      <c r="E4" s="36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35" t="s">
        <v>171</v>
      </c>
      <c r="AK4" s="35"/>
      <c r="AL4" s="35"/>
      <c r="AM4" s="8"/>
      <c r="AN4" s="8"/>
      <c r="AO4" s="8"/>
      <c r="AP4" s="8"/>
      <c r="AQ4" s="8"/>
      <c r="AR4" s="8"/>
      <c r="AS4" s="8"/>
      <c r="AT4" s="8"/>
    </row>
    <row r="5" spans="1:73" s="2" customFormat="1">
      <c r="A5" s="35"/>
      <c r="B5" s="8"/>
      <c r="C5" s="8"/>
      <c r="D5" s="8"/>
      <c r="E5" s="66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AK5" s="8"/>
      <c r="AL5" s="8"/>
      <c r="BJ5" s="103" t="s">
        <v>3</v>
      </c>
    </row>
    <row r="6" spans="1:73">
      <c r="A6" s="77" t="s">
        <v>696</v>
      </c>
      <c r="B6" s="2"/>
      <c r="C6" s="2"/>
      <c r="D6" s="2"/>
      <c r="E6" s="21"/>
      <c r="G6" s="22" t="s">
        <v>145</v>
      </c>
      <c r="H6" s="22"/>
      <c r="I6" s="22"/>
      <c r="J6" s="22"/>
      <c r="K6" s="22"/>
      <c r="L6" s="22"/>
      <c r="M6" s="22"/>
      <c r="O6" s="105" t="s">
        <v>146</v>
      </c>
      <c r="P6" s="105"/>
      <c r="Q6" s="105"/>
      <c r="R6" s="22"/>
      <c r="S6" s="105" t="s">
        <v>955</v>
      </c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G6" s="22" t="s">
        <v>158</v>
      </c>
      <c r="AH6" s="22"/>
      <c r="AI6" s="22"/>
      <c r="AJ6" s="77" t="s">
        <v>696</v>
      </c>
      <c r="AK6" s="2"/>
      <c r="AL6" s="2"/>
      <c r="AT6" s="22" t="s">
        <v>181</v>
      </c>
      <c r="AU6" s="22"/>
      <c r="AV6" s="22"/>
      <c r="BB6" s="22" t="s">
        <v>182</v>
      </c>
      <c r="BC6" s="22"/>
      <c r="BD6" s="22"/>
      <c r="BE6" s="22"/>
      <c r="BF6" s="22"/>
      <c r="BG6" s="22"/>
      <c r="BH6" s="22"/>
      <c r="BJ6" s="103" t="s">
        <v>74</v>
      </c>
      <c r="BK6" s="103"/>
      <c r="BL6" s="103" t="s">
        <v>186</v>
      </c>
      <c r="BM6" s="103"/>
      <c r="BN6" s="103" t="s">
        <v>91</v>
      </c>
      <c r="BO6" s="103"/>
      <c r="BP6" s="103"/>
      <c r="BQ6" s="103"/>
      <c r="BR6" s="103"/>
      <c r="BS6" s="103" t="s">
        <v>91</v>
      </c>
      <c r="BT6" s="103"/>
    </row>
    <row r="7" spans="1:73">
      <c r="A7" s="84" t="s">
        <v>697</v>
      </c>
      <c r="AA7" s="103" t="s">
        <v>153</v>
      </c>
      <c r="AJ7" s="84" t="s">
        <v>697</v>
      </c>
      <c r="AR7" s="103" t="s">
        <v>1</v>
      </c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 t="s">
        <v>683</v>
      </c>
      <c r="BG7" s="103"/>
      <c r="BH7" s="103" t="s">
        <v>185</v>
      </c>
      <c r="BJ7" s="103" t="s">
        <v>197</v>
      </c>
      <c r="BK7" s="103"/>
      <c r="BL7" s="103" t="s">
        <v>121</v>
      </c>
      <c r="BM7" s="103"/>
      <c r="BN7" s="103" t="s">
        <v>187</v>
      </c>
      <c r="BO7" s="103"/>
      <c r="BP7" s="103" t="s">
        <v>678</v>
      </c>
      <c r="BQ7" s="103"/>
      <c r="BR7" s="103"/>
      <c r="BS7" s="103" t="s">
        <v>187</v>
      </c>
      <c r="BT7" s="103"/>
      <c r="BU7" s="103" t="s">
        <v>135</v>
      </c>
    </row>
    <row r="8" spans="1:73">
      <c r="A8" s="102"/>
      <c r="B8" s="102"/>
      <c r="C8" s="102"/>
      <c r="D8" s="102"/>
      <c r="E8" s="26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 t="s">
        <v>147</v>
      </c>
      <c r="R8" s="102"/>
      <c r="S8" s="102" t="s">
        <v>149</v>
      </c>
      <c r="T8" s="102"/>
      <c r="U8" s="102"/>
      <c r="V8" s="102"/>
      <c r="W8" s="102"/>
      <c r="X8" s="102"/>
      <c r="Y8" s="102"/>
      <c r="Z8" s="102"/>
      <c r="AA8" s="102" t="s">
        <v>154</v>
      </c>
      <c r="AB8" s="102"/>
      <c r="AC8" s="102" t="s">
        <v>156</v>
      </c>
      <c r="AD8" s="102"/>
      <c r="AE8" s="102"/>
      <c r="AF8" s="102"/>
      <c r="AG8" s="103" t="s">
        <v>159</v>
      </c>
      <c r="AH8" s="103"/>
      <c r="AI8" s="103"/>
      <c r="AJ8" s="102"/>
      <c r="AK8" s="102"/>
      <c r="AL8" s="102"/>
      <c r="AM8" s="103"/>
      <c r="AN8" s="103" t="s">
        <v>161</v>
      </c>
      <c r="AO8" s="103"/>
      <c r="AP8" s="103" t="s">
        <v>73</v>
      </c>
      <c r="AQ8" s="103"/>
      <c r="AR8" s="103" t="s">
        <v>7</v>
      </c>
      <c r="AS8" s="103"/>
      <c r="AT8" s="103" t="s">
        <v>76</v>
      </c>
      <c r="AU8" s="103"/>
      <c r="AV8" s="103"/>
      <c r="AW8" s="103"/>
      <c r="AX8" s="103" t="s">
        <v>129</v>
      </c>
      <c r="AY8" s="103"/>
      <c r="AZ8" s="103" t="s">
        <v>3</v>
      </c>
      <c r="BA8" s="103"/>
      <c r="BB8" s="103" t="s">
        <v>164</v>
      </c>
      <c r="BC8" s="103"/>
      <c r="BD8" s="103" t="s">
        <v>183</v>
      </c>
      <c r="BE8" s="103"/>
      <c r="BF8" s="103" t="s">
        <v>682</v>
      </c>
      <c r="BG8" s="103"/>
      <c r="BH8" s="103" t="s">
        <v>82</v>
      </c>
      <c r="BI8" s="103"/>
      <c r="BJ8" s="103" t="s">
        <v>195</v>
      </c>
      <c r="BK8" s="103"/>
      <c r="BL8" s="103" t="s">
        <v>91</v>
      </c>
      <c r="BM8" s="103"/>
      <c r="BN8" s="102" t="s">
        <v>165</v>
      </c>
      <c r="BO8" s="103"/>
      <c r="BP8" s="103" t="s">
        <v>676</v>
      </c>
      <c r="BQ8" s="103" t="s">
        <v>703</v>
      </c>
      <c r="BR8" s="103"/>
      <c r="BS8" s="102" t="s">
        <v>188</v>
      </c>
      <c r="BT8" s="103"/>
      <c r="BU8" s="103" t="s">
        <v>136</v>
      </c>
    </row>
    <row r="9" spans="1:73">
      <c r="A9" s="101" t="s">
        <v>202</v>
      </c>
      <c r="B9" s="103"/>
      <c r="C9" s="101" t="s">
        <v>4</v>
      </c>
      <c r="D9" s="103"/>
      <c r="E9" s="11" t="s">
        <v>201</v>
      </c>
      <c r="G9" s="67" t="s">
        <v>689</v>
      </c>
      <c r="I9" s="67" t="s">
        <v>2</v>
      </c>
      <c r="K9" s="67" t="s">
        <v>144</v>
      </c>
      <c r="M9" s="67" t="s">
        <v>82</v>
      </c>
      <c r="O9" s="67" t="s">
        <v>698</v>
      </c>
      <c r="Q9" s="67" t="s">
        <v>148</v>
      </c>
      <c r="S9" s="67" t="s">
        <v>150</v>
      </c>
      <c r="U9" s="67" t="s">
        <v>151</v>
      </c>
      <c r="W9" s="67" t="s">
        <v>152</v>
      </c>
      <c r="X9" s="102"/>
      <c r="Y9" s="101" t="s">
        <v>654</v>
      </c>
      <c r="AA9" s="67" t="s">
        <v>155</v>
      </c>
      <c r="AB9" s="102"/>
      <c r="AC9" s="101" t="s">
        <v>157</v>
      </c>
      <c r="AD9" s="102"/>
      <c r="AE9" s="101" t="s">
        <v>655</v>
      </c>
      <c r="AG9" s="101" t="s">
        <v>160</v>
      </c>
      <c r="AI9" s="101" t="s">
        <v>82</v>
      </c>
      <c r="AJ9" s="101" t="s">
        <v>202</v>
      </c>
      <c r="AK9" s="103"/>
      <c r="AL9" s="101" t="s">
        <v>4</v>
      </c>
      <c r="AM9" s="102"/>
      <c r="AN9" s="101" t="s">
        <v>162</v>
      </c>
      <c r="AO9" s="102"/>
      <c r="AP9" s="101" t="s">
        <v>75</v>
      </c>
      <c r="AQ9" s="102"/>
      <c r="AR9" s="101" t="s">
        <v>680</v>
      </c>
      <c r="AS9" s="102"/>
      <c r="AT9" s="101" t="s">
        <v>686</v>
      </c>
      <c r="AU9" s="102"/>
      <c r="AV9" s="101" t="s">
        <v>163</v>
      </c>
      <c r="AW9" s="102"/>
      <c r="AX9" s="101" t="s">
        <v>74</v>
      </c>
      <c r="AY9" s="102"/>
      <c r="AZ9" s="101" t="s">
        <v>74</v>
      </c>
      <c r="BA9" s="102"/>
      <c r="BB9" s="101" t="s">
        <v>120</v>
      </c>
      <c r="BC9" s="102"/>
      <c r="BD9" s="101" t="s">
        <v>120</v>
      </c>
      <c r="BE9" s="102"/>
      <c r="BF9" s="102" t="s">
        <v>684</v>
      </c>
      <c r="BG9" s="102"/>
      <c r="BH9" s="101" t="s">
        <v>184</v>
      </c>
      <c r="BI9" s="102"/>
      <c r="BJ9" s="101" t="s">
        <v>184</v>
      </c>
      <c r="BK9" s="102"/>
      <c r="BL9" s="101" t="s">
        <v>187</v>
      </c>
      <c r="BM9" s="103"/>
      <c r="BN9" s="101" t="s">
        <v>166</v>
      </c>
      <c r="BO9" s="103"/>
      <c r="BP9" s="101" t="s">
        <v>677</v>
      </c>
      <c r="BQ9" s="103" t="s">
        <v>704</v>
      </c>
      <c r="BR9" s="103"/>
      <c r="BS9" s="101" t="s">
        <v>166</v>
      </c>
      <c r="BT9" s="103"/>
      <c r="BU9" s="101" t="s">
        <v>137</v>
      </c>
    </row>
    <row r="10" spans="1:73">
      <c r="A10" s="12"/>
      <c r="B10" s="12"/>
      <c r="C10" s="12"/>
      <c r="D10" s="12"/>
      <c r="E10" s="13"/>
      <c r="F10" s="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12"/>
      <c r="AK10" s="12"/>
      <c r="AL10" s="12"/>
      <c r="AM10" s="58"/>
      <c r="AN10" s="58"/>
      <c r="AO10" s="58"/>
      <c r="AP10" s="58"/>
      <c r="AQ10" s="68"/>
      <c r="AR10" s="68"/>
      <c r="AS10" s="68"/>
      <c r="AT10" s="8"/>
    </row>
    <row r="11" spans="1:73" s="16" customFormat="1">
      <c r="A11" s="14" t="s">
        <v>920</v>
      </c>
      <c r="B11" s="14"/>
      <c r="C11" s="14" t="s">
        <v>203</v>
      </c>
      <c r="D11" s="14"/>
      <c r="E11" s="13">
        <v>61903</v>
      </c>
      <c r="F11" s="15"/>
      <c r="G11" s="16">
        <v>16912740</v>
      </c>
      <c r="I11" s="16">
        <v>2658346</v>
      </c>
      <c r="K11" s="16">
        <v>2613717</v>
      </c>
      <c r="M11" s="16">
        <f>392655+520397</f>
        <v>913052</v>
      </c>
      <c r="O11" s="16">
        <v>1644570</v>
      </c>
      <c r="Q11" s="16">
        <v>1217459</v>
      </c>
      <c r="S11" s="16">
        <v>42433</v>
      </c>
      <c r="U11" s="16">
        <v>2768758</v>
      </c>
      <c r="W11" s="16">
        <v>936080</v>
      </c>
      <c r="Y11" s="16">
        <v>408965</v>
      </c>
      <c r="AA11" s="16">
        <v>2957346</v>
      </c>
      <c r="AC11" s="16">
        <v>2190921</v>
      </c>
      <c r="AE11" s="16">
        <v>218528</v>
      </c>
      <c r="AG11" s="16">
        <v>1279</v>
      </c>
      <c r="AI11" s="16">
        <v>0</v>
      </c>
      <c r="AJ11" s="14" t="s">
        <v>920</v>
      </c>
      <c r="AK11" s="14"/>
      <c r="AL11" s="14" t="s">
        <v>203</v>
      </c>
      <c r="AN11" s="16">
        <v>293831</v>
      </c>
      <c r="AP11" s="16">
        <v>11772</v>
      </c>
      <c r="AR11" s="16">
        <v>0</v>
      </c>
      <c r="AT11" s="16">
        <v>0</v>
      </c>
      <c r="AV11" s="16">
        <v>0</v>
      </c>
      <c r="AX11" s="16">
        <v>0</v>
      </c>
      <c r="AZ11" s="16">
        <f>SUM(G11:AX11)</f>
        <v>35789797</v>
      </c>
      <c r="BB11" s="16">
        <v>111465</v>
      </c>
      <c r="BH11" s="16">
        <v>0</v>
      </c>
      <c r="BJ11" s="16">
        <f t="shared" ref="BJ11:BJ43" si="0">+AZ11+BB11+BD11+BH11</f>
        <v>35901262</v>
      </c>
      <c r="BL11" s="16">
        <f>+GenRev!AM11-GenExp!BJ11</f>
        <v>-2850263</v>
      </c>
      <c r="BN11" s="16">
        <v>3003354</v>
      </c>
      <c r="BP11" s="16">
        <v>0</v>
      </c>
      <c r="BQ11" s="16">
        <v>0</v>
      </c>
      <c r="BS11" s="16">
        <f t="shared" ref="BS11:BS43" si="1">+BN11+BL11-BP11</f>
        <v>153091</v>
      </c>
      <c r="BU11" s="72">
        <f>+BS11-'Gen Fd BS'!AA11+BQ11</f>
        <v>0</v>
      </c>
    </row>
    <row r="12" spans="1:73">
      <c r="A12" s="12" t="s">
        <v>549</v>
      </c>
      <c r="B12" s="12"/>
      <c r="C12" s="12" t="s">
        <v>58</v>
      </c>
      <c r="D12" s="12"/>
      <c r="E12" s="13">
        <v>49494</v>
      </c>
      <c r="G12" s="1">
        <v>4507447</v>
      </c>
      <c r="I12" s="1">
        <v>767942</v>
      </c>
      <c r="K12" s="1">
        <v>1279</v>
      </c>
      <c r="M12" s="1">
        <v>680552</v>
      </c>
      <c r="O12" s="1">
        <v>412895</v>
      </c>
      <c r="Q12" s="1">
        <v>407541</v>
      </c>
      <c r="S12" s="1">
        <v>43281</v>
      </c>
      <c r="U12" s="1">
        <v>888597</v>
      </c>
      <c r="W12" s="1">
        <v>322611</v>
      </c>
      <c r="Y12" s="1">
        <v>0</v>
      </c>
      <c r="AA12" s="1">
        <v>618663</v>
      </c>
      <c r="AC12" s="1">
        <v>658896</v>
      </c>
      <c r="AE12" s="1">
        <v>75481</v>
      </c>
      <c r="AG12" s="1">
        <v>2964</v>
      </c>
      <c r="AI12" s="1">
        <v>0</v>
      </c>
      <c r="AJ12" s="12" t="s">
        <v>549</v>
      </c>
      <c r="AK12" s="12"/>
      <c r="AL12" s="12" t="s">
        <v>58</v>
      </c>
      <c r="AN12" s="1">
        <v>167151</v>
      </c>
      <c r="AP12" s="1">
        <v>197976</v>
      </c>
      <c r="AR12" s="1">
        <v>0</v>
      </c>
      <c r="AT12" s="1">
        <v>25244</v>
      </c>
      <c r="AV12" s="1">
        <v>4653</v>
      </c>
      <c r="AX12" s="1">
        <v>0</v>
      </c>
      <c r="AZ12" s="1">
        <f t="shared" ref="AZ12:AZ78" si="2">SUM(G12:AX12)</f>
        <v>9783173</v>
      </c>
      <c r="BB12" s="1">
        <v>128128</v>
      </c>
      <c r="BH12" s="1">
        <v>0</v>
      </c>
      <c r="BJ12" s="1">
        <f t="shared" si="0"/>
        <v>9911301</v>
      </c>
      <c r="BL12" s="1">
        <f>+GenRev!AM12-GenExp!BJ12</f>
        <v>1047287</v>
      </c>
      <c r="BN12" s="1">
        <v>2602982</v>
      </c>
      <c r="BP12" s="1">
        <v>0</v>
      </c>
      <c r="BQ12" s="1">
        <v>0</v>
      </c>
      <c r="BS12" s="1">
        <f t="shared" si="1"/>
        <v>3650269</v>
      </c>
      <c r="BU12" s="20">
        <f>+BS12-'Gen Fd BS'!AA12+BQ12</f>
        <v>0</v>
      </c>
    </row>
    <row r="13" spans="1:73">
      <c r="A13" s="12" t="s">
        <v>586</v>
      </c>
      <c r="B13" s="12"/>
      <c r="C13" s="12" t="s">
        <v>63</v>
      </c>
      <c r="D13" s="12"/>
      <c r="E13" s="13">
        <v>43489</v>
      </c>
      <c r="G13" s="1">
        <v>133423701</v>
      </c>
      <c r="I13" s="1">
        <v>29844791</v>
      </c>
      <c r="K13" s="1">
        <v>11642739</v>
      </c>
      <c r="M13" s="1">
        <f>187755+2892145</f>
        <v>3079900</v>
      </c>
      <c r="O13" s="1">
        <v>16574107</v>
      </c>
      <c r="Q13" s="1">
        <v>13334374</v>
      </c>
      <c r="S13" s="1">
        <v>85942</v>
      </c>
      <c r="U13" s="1">
        <v>18697895</v>
      </c>
      <c r="W13" s="1">
        <v>3788799</v>
      </c>
      <c r="Y13" s="1">
        <v>2467477</v>
      </c>
      <c r="AA13" s="1">
        <v>31561548</v>
      </c>
      <c r="AC13" s="1">
        <v>11090015</v>
      </c>
      <c r="AE13" s="1">
        <v>7219674</v>
      </c>
      <c r="AG13" s="1">
        <v>0</v>
      </c>
      <c r="AI13" s="1">
        <v>219512</v>
      </c>
      <c r="AJ13" s="12" t="s">
        <v>586</v>
      </c>
      <c r="AK13" s="12"/>
      <c r="AL13" s="12" t="s">
        <v>63</v>
      </c>
      <c r="AN13" s="1">
        <v>2805661</v>
      </c>
      <c r="AP13" s="1">
        <v>1149920</v>
      </c>
      <c r="AR13" s="1">
        <v>0</v>
      </c>
      <c r="AT13" s="1">
        <v>0</v>
      </c>
      <c r="AV13" s="1">
        <v>0</v>
      </c>
      <c r="AX13" s="1">
        <v>0</v>
      </c>
      <c r="AZ13" s="1">
        <f t="shared" si="2"/>
        <v>286986055</v>
      </c>
      <c r="BB13" s="1">
        <v>242098</v>
      </c>
      <c r="BH13" s="1">
        <v>0</v>
      </c>
      <c r="BJ13" s="1">
        <f t="shared" si="0"/>
        <v>287228153</v>
      </c>
      <c r="BL13" s="1">
        <f>+GenRev!AM13-GenExp!BJ13</f>
        <v>3140754</v>
      </c>
      <c r="BN13" s="1">
        <v>27233854</v>
      </c>
      <c r="BP13" s="1">
        <v>0</v>
      </c>
      <c r="BQ13" s="1">
        <v>0</v>
      </c>
      <c r="BS13" s="1">
        <f>+BN13+BL13-BP13</f>
        <v>30374608</v>
      </c>
      <c r="BU13" s="20">
        <f>+BS13-'Gen Fd BS'!AA13+BQ13</f>
        <v>0</v>
      </c>
    </row>
    <row r="14" spans="1:73" hidden="1">
      <c r="A14" s="12" t="s">
        <v>738</v>
      </c>
      <c r="B14" s="12"/>
      <c r="C14" s="12" t="s">
        <v>13</v>
      </c>
      <c r="D14" s="12"/>
      <c r="E14" s="13">
        <v>45906</v>
      </c>
      <c r="F14" s="8"/>
      <c r="AJ14" s="12" t="s">
        <v>738</v>
      </c>
      <c r="AK14" s="12"/>
      <c r="AL14" s="12" t="s">
        <v>13</v>
      </c>
      <c r="AZ14" s="1">
        <f t="shared" si="2"/>
        <v>0</v>
      </c>
      <c r="BJ14" s="1">
        <f t="shared" si="0"/>
        <v>0</v>
      </c>
      <c r="BL14" s="1">
        <f>+GenRev!AM14-GenExp!BJ14</f>
        <v>0</v>
      </c>
      <c r="BS14" s="1">
        <f t="shared" si="1"/>
        <v>0</v>
      </c>
      <c r="BU14" s="20">
        <f>+BS14-'Gen Fd BS'!AA14+BQ14</f>
        <v>0</v>
      </c>
    </row>
    <row r="15" spans="1:73">
      <c r="A15" s="12" t="s">
        <v>572</v>
      </c>
      <c r="B15" s="12"/>
      <c r="C15" s="12" t="s">
        <v>62</v>
      </c>
      <c r="D15" s="12"/>
      <c r="E15" s="13">
        <v>43497</v>
      </c>
      <c r="G15" s="1">
        <v>9687355</v>
      </c>
      <c r="I15" s="1">
        <v>3506909</v>
      </c>
      <c r="K15" s="1">
        <v>1091326</v>
      </c>
      <c r="M15" s="1">
        <f>354357+82328</f>
        <v>436685</v>
      </c>
      <c r="O15" s="1">
        <v>1207858</v>
      </c>
      <c r="Q15" s="1">
        <v>459737</v>
      </c>
      <c r="S15" s="1">
        <v>35352</v>
      </c>
      <c r="U15" s="1">
        <v>2393872</v>
      </c>
      <c r="W15" s="1">
        <v>318915</v>
      </c>
      <c r="Y15" s="1">
        <v>358089</v>
      </c>
      <c r="AA15" s="1">
        <v>2624324</v>
      </c>
      <c r="AC15" s="1">
        <v>818407</v>
      </c>
      <c r="AE15" s="1">
        <v>51738</v>
      </c>
      <c r="AG15" s="1">
        <v>0</v>
      </c>
      <c r="AI15" s="1">
        <v>3530</v>
      </c>
      <c r="AJ15" s="12" t="s">
        <v>572</v>
      </c>
      <c r="AK15" s="12"/>
      <c r="AL15" s="12" t="s">
        <v>62</v>
      </c>
      <c r="AN15" s="1">
        <v>391472</v>
      </c>
      <c r="AP15" s="1">
        <v>5502</v>
      </c>
      <c r="AR15" s="1">
        <v>0</v>
      </c>
      <c r="AT15" s="1">
        <v>0</v>
      </c>
      <c r="AV15" s="1">
        <f>1116+13200</f>
        <v>14316</v>
      </c>
      <c r="AX15" s="1">
        <v>0</v>
      </c>
      <c r="AZ15" s="1">
        <f t="shared" si="2"/>
        <v>23405387</v>
      </c>
      <c r="BB15" s="1">
        <v>0</v>
      </c>
      <c r="BH15" s="1">
        <v>0</v>
      </c>
      <c r="BJ15" s="1">
        <f>+AZ15+BB15+BD15+BH15</f>
        <v>23405387</v>
      </c>
      <c r="BL15" s="1">
        <f>+GenRev!AM15-GenExp!BJ15</f>
        <v>596775</v>
      </c>
      <c r="BN15" s="1">
        <v>1346864</v>
      </c>
      <c r="BP15" s="1">
        <v>0</v>
      </c>
      <c r="BQ15" s="1">
        <v>0</v>
      </c>
      <c r="BS15" s="1">
        <f>+BN15+BL15-BP15-BQ15</f>
        <v>1943639</v>
      </c>
      <c r="BU15" s="20">
        <f>+BS15-'Gen Fd BS'!AA15+BQ15</f>
        <v>0</v>
      </c>
    </row>
    <row r="16" spans="1:73">
      <c r="A16" s="12" t="s">
        <v>321</v>
      </c>
      <c r="B16" s="12"/>
      <c r="C16" s="12" t="s">
        <v>25</v>
      </c>
      <c r="D16" s="12"/>
      <c r="E16" s="13">
        <v>46847</v>
      </c>
      <c r="G16" s="1">
        <v>5346796</v>
      </c>
      <c r="I16" s="1">
        <v>1402056</v>
      </c>
      <c r="K16" s="1">
        <v>472611</v>
      </c>
      <c r="M16" s="1">
        <f>130932+21686</f>
        <v>152618</v>
      </c>
      <c r="O16" s="1">
        <v>538876</v>
      </c>
      <c r="Q16" s="1">
        <v>362133</v>
      </c>
      <c r="S16" s="1">
        <v>48863</v>
      </c>
      <c r="U16" s="1">
        <v>1078441</v>
      </c>
      <c r="W16" s="1">
        <v>345010</v>
      </c>
      <c r="Y16" s="1">
        <v>35752</v>
      </c>
      <c r="AA16" s="1">
        <v>1331048</v>
      </c>
      <c r="AC16" s="1">
        <v>1002644</v>
      </c>
      <c r="AE16" s="1">
        <v>0</v>
      </c>
      <c r="AG16" s="1">
        <v>0</v>
      </c>
      <c r="AI16" s="1">
        <v>0</v>
      </c>
      <c r="AJ16" s="12" t="s">
        <v>321</v>
      </c>
      <c r="AK16" s="12"/>
      <c r="AL16" s="12" t="s">
        <v>25</v>
      </c>
      <c r="AN16" s="1">
        <v>241496</v>
      </c>
      <c r="AP16" s="1">
        <v>45762</v>
      </c>
      <c r="AR16" s="1">
        <v>0</v>
      </c>
      <c r="AT16" s="1">
        <v>48060</v>
      </c>
      <c r="AV16" s="1">
        <v>5990</v>
      </c>
      <c r="AX16" s="1">
        <v>0</v>
      </c>
      <c r="AZ16" s="1">
        <f t="shared" si="2"/>
        <v>12458156</v>
      </c>
      <c r="BB16" s="1">
        <v>0</v>
      </c>
      <c r="BH16" s="1">
        <v>0</v>
      </c>
      <c r="BJ16" s="1">
        <f t="shared" si="0"/>
        <v>12458156</v>
      </c>
      <c r="BL16" s="1">
        <f>+GenRev!AM16-GenExp!BJ16</f>
        <v>248501</v>
      </c>
      <c r="BN16" s="1">
        <v>-287705</v>
      </c>
      <c r="BP16" s="1">
        <v>0</v>
      </c>
      <c r="BQ16" s="1">
        <v>0</v>
      </c>
      <c r="BS16" s="1">
        <f t="shared" si="1"/>
        <v>-39204</v>
      </c>
      <c r="BU16" s="20">
        <f>+BS16-'Gen Fd BS'!AA16+BQ16</f>
        <v>0</v>
      </c>
    </row>
    <row r="17" spans="1:73">
      <c r="A17" s="12" t="s">
        <v>685</v>
      </c>
      <c r="B17" s="12"/>
      <c r="C17" s="12" t="s">
        <v>44</v>
      </c>
      <c r="D17" s="12"/>
      <c r="E17" s="13">
        <v>45195</v>
      </c>
      <c r="F17" s="8"/>
      <c r="G17" s="1">
        <v>16637000</v>
      </c>
      <c r="I17" s="1">
        <v>3982531</v>
      </c>
      <c r="K17" s="1">
        <v>360331</v>
      </c>
      <c r="M17" s="1">
        <v>0</v>
      </c>
      <c r="O17" s="1">
        <v>1416448</v>
      </c>
      <c r="Q17" s="1">
        <v>1559691</v>
      </c>
      <c r="S17" s="1">
        <v>156624</v>
      </c>
      <c r="U17" s="1">
        <v>2942460</v>
      </c>
      <c r="W17" s="1">
        <v>721978</v>
      </c>
      <c r="Y17" s="1">
        <v>0</v>
      </c>
      <c r="AA17" s="1">
        <v>3351782</v>
      </c>
      <c r="AC17" s="1">
        <v>1239699</v>
      </c>
      <c r="AE17" s="1">
        <v>17574</v>
      </c>
      <c r="AG17" s="1">
        <v>0</v>
      </c>
      <c r="AI17" s="1">
        <v>0</v>
      </c>
      <c r="AJ17" s="12" t="s">
        <v>685</v>
      </c>
      <c r="AK17" s="12"/>
      <c r="AL17" s="12" t="s">
        <v>44</v>
      </c>
      <c r="AN17" s="1">
        <v>546391</v>
      </c>
      <c r="AP17" s="1">
        <v>158508</v>
      </c>
      <c r="AR17" s="1">
        <v>0</v>
      </c>
      <c r="AT17" s="1">
        <v>100000</v>
      </c>
      <c r="AV17" s="1">
        <v>37300</v>
      </c>
      <c r="AX17" s="1">
        <v>0</v>
      </c>
      <c r="AZ17" s="1">
        <f>SUM(G17:AX17)</f>
        <v>33228317</v>
      </c>
      <c r="BB17" s="1">
        <v>21975</v>
      </c>
      <c r="BH17" s="1">
        <v>0</v>
      </c>
      <c r="BJ17" s="1">
        <f t="shared" si="0"/>
        <v>33250292</v>
      </c>
      <c r="BL17" s="1">
        <f>+GenRev!AM17-GenExp!BJ17</f>
        <v>936614</v>
      </c>
      <c r="BN17" s="1">
        <v>1911465</v>
      </c>
      <c r="BP17" s="1">
        <v>0</v>
      </c>
      <c r="BQ17" s="1">
        <v>0</v>
      </c>
      <c r="BS17" s="1">
        <f t="shared" si="1"/>
        <v>2848079</v>
      </c>
      <c r="BU17" s="20">
        <f>+BS17-'Gen Fd BS'!AA17+BQ17</f>
        <v>0</v>
      </c>
    </row>
    <row r="18" spans="1:73" hidden="1">
      <c r="A18" s="12" t="s">
        <v>921</v>
      </c>
      <c r="B18" s="12"/>
      <c r="C18" s="12" t="s">
        <v>61</v>
      </c>
      <c r="D18" s="12"/>
      <c r="E18" s="13">
        <v>49759</v>
      </c>
      <c r="AJ18" s="12" t="s">
        <v>921</v>
      </c>
      <c r="AK18" s="12"/>
      <c r="AL18" s="12" t="s">
        <v>61</v>
      </c>
      <c r="AZ18" s="1">
        <f t="shared" si="2"/>
        <v>0</v>
      </c>
      <c r="BJ18" s="1">
        <f t="shared" si="0"/>
        <v>0</v>
      </c>
      <c r="BL18" s="1">
        <f>+GenRev!AM18-GenExp!BJ18</f>
        <v>0</v>
      </c>
      <c r="BQ18" s="1">
        <v>0</v>
      </c>
      <c r="BS18" s="1">
        <f t="shared" si="1"/>
        <v>0</v>
      </c>
      <c r="BU18" s="20">
        <f>+BS18-'Gen Fd BS'!AA18+BQ18</f>
        <v>0</v>
      </c>
    </row>
    <row r="19" spans="1:73" hidden="1">
      <c r="A19" s="12" t="s">
        <v>860</v>
      </c>
      <c r="B19" s="12"/>
      <c r="C19" s="12" t="s">
        <v>718</v>
      </c>
      <c r="D19" s="12"/>
      <c r="E19" s="13"/>
      <c r="AJ19" s="12" t="s">
        <v>860</v>
      </c>
      <c r="AK19" s="12"/>
      <c r="AL19" s="12" t="s">
        <v>718</v>
      </c>
      <c r="AZ19" s="1">
        <f t="shared" si="2"/>
        <v>0</v>
      </c>
      <c r="BJ19" s="1">
        <f t="shared" si="0"/>
        <v>0</v>
      </c>
      <c r="BL19" s="1">
        <f>+GenRev!AM19-GenExp!BJ19</f>
        <v>0</v>
      </c>
      <c r="BS19" s="1">
        <f t="shared" si="1"/>
        <v>0</v>
      </c>
      <c r="BU19" s="20">
        <f>+BS19-'Gen Fd BS'!AA19+BQ19</f>
        <v>0</v>
      </c>
    </row>
    <row r="20" spans="1:73">
      <c r="A20" s="12" t="s">
        <v>449</v>
      </c>
      <c r="B20" s="12"/>
      <c r="C20" s="12" t="s">
        <v>117</v>
      </c>
      <c r="D20" s="12"/>
      <c r="E20" s="13">
        <v>48207</v>
      </c>
      <c r="G20" s="1">
        <v>16468611</v>
      </c>
      <c r="I20" s="1">
        <v>2346022</v>
      </c>
      <c r="K20" s="1">
        <v>3159</v>
      </c>
      <c r="M20" s="1">
        <v>0</v>
      </c>
      <c r="O20" s="1">
        <v>1341696</v>
      </c>
      <c r="Q20" s="1">
        <v>798710</v>
      </c>
      <c r="S20" s="1">
        <v>806612</v>
      </c>
      <c r="U20" s="1">
        <v>2741102</v>
      </c>
      <c r="W20" s="1">
        <v>825715</v>
      </c>
      <c r="Y20" s="1">
        <v>7300</v>
      </c>
      <c r="AA20" s="1">
        <v>3462594</v>
      </c>
      <c r="AC20" s="1">
        <v>2242217</v>
      </c>
      <c r="AE20" s="1">
        <v>19907</v>
      </c>
      <c r="AG20" s="1">
        <v>0</v>
      </c>
      <c r="AI20" s="1">
        <v>0</v>
      </c>
      <c r="AJ20" s="12" t="s">
        <v>449</v>
      </c>
      <c r="AK20" s="12"/>
      <c r="AL20" s="12" t="s">
        <v>117</v>
      </c>
      <c r="AN20" s="1">
        <v>543982</v>
      </c>
      <c r="AP20" s="1">
        <v>0</v>
      </c>
      <c r="AR20" s="1">
        <v>0</v>
      </c>
      <c r="AT20" s="1">
        <v>0</v>
      </c>
      <c r="AV20" s="1">
        <v>0</v>
      </c>
      <c r="AX20" s="1">
        <v>0</v>
      </c>
      <c r="AZ20" s="1">
        <f t="shared" si="2"/>
        <v>31607627</v>
      </c>
      <c r="BB20" s="1">
        <v>42581</v>
      </c>
      <c r="BH20" s="1">
        <v>0</v>
      </c>
      <c r="BJ20" s="1">
        <f t="shared" si="0"/>
        <v>31650208</v>
      </c>
      <c r="BL20" s="1">
        <f>+GenRev!AM20-GenExp!BJ20</f>
        <v>1729774</v>
      </c>
      <c r="BN20" s="1">
        <v>1483217</v>
      </c>
      <c r="BP20" s="1">
        <v>-728</v>
      </c>
      <c r="BQ20" s="1">
        <v>0</v>
      </c>
      <c r="BS20" s="1">
        <f t="shared" si="1"/>
        <v>3213719</v>
      </c>
      <c r="BU20" s="20">
        <f>+BS20-'Gen Fd BS'!AA20+BQ20</f>
        <v>0</v>
      </c>
    </row>
    <row r="21" spans="1:73">
      <c r="A21" s="12" t="s">
        <v>378</v>
      </c>
      <c r="B21" s="12"/>
      <c r="C21" s="12" t="s">
        <v>33</v>
      </c>
      <c r="D21" s="12"/>
      <c r="E21" s="13">
        <v>47415</v>
      </c>
      <c r="G21" s="1">
        <v>2690872</v>
      </c>
      <c r="I21" s="1">
        <v>426134</v>
      </c>
      <c r="K21" s="1">
        <v>310198</v>
      </c>
      <c r="M21" s="1">
        <v>0</v>
      </c>
      <c r="O21" s="1">
        <v>105705</v>
      </c>
      <c r="Q21" s="1">
        <v>179523</v>
      </c>
      <c r="S21" s="1">
        <v>29806</v>
      </c>
      <c r="U21" s="1">
        <v>554429</v>
      </c>
      <c r="W21" s="1">
        <v>184219</v>
      </c>
      <c r="Y21" s="1">
        <v>0</v>
      </c>
      <c r="AA21" s="1">
        <v>446919</v>
      </c>
      <c r="AC21" s="1">
        <v>300080</v>
      </c>
      <c r="AE21" s="1">
        <v>2000</v>
      </c>
      <c r="AG21" s="1">
        <v>0</v>
      </c>
      <c r="AI21" s="1">
        <v>0</v>
      </c>
      <c r="AJ21" s="12" t="s">
        <v>378</v>
      </c>
      <c r="AK21" s="12"/>
      <c r="AL21" s="12" t="s">
        <v>33</v>
      </c>
      <c r="AN21" s="1">
        <v>148382</v>
      </c>
      <c r="AP21" s="1">
        <v>3911</v>
      </c>
      <c r="AR21" s="1">
        <v>0</v>
      </c>
      <c r="AT21" s="1">
        <v>0</v>
      </c>
      <c r="AV21" s="1">
        <v>0</v>
      </c>
      <c r="AX21" s="1">
        <v>0</v>
      </c>
      <c r="AZ21" s="1">
        <f t="shared" si="2"/>
        <v>5382178</v>
      </c>
      <c r="BB21" s="1">
        <v>0</v>
      </c>
      <c r="BH21" s="1">
        <v>0</v>
      </c>
      <c r="BJ21" s="1">
        <f t="shared" si="0"/>
        <v>5382178</v>
      </c>
      <c r="BL21" s="1">
        <f>+GenRev!AM21-GenExp!BJ21</f>
        <v>133780</v>
      </c>
      <c r="BN21" s="1">
        <v>2540867</v>
      </c>
      <c r="BP21" s="1">
        <v>0</v>
      </c>
      <c r="BQ21" s="1">
        <v>0</v>
      </c>
      <c r="BS21" s="1">
        <f t="shared" si="1"/>
        <v>2674647</v>
      </c>
      <c r="BU21" s="20">
        <f>+BS21-'Gen Fd BS'!AA21+BQ21</f>
        <v>0</v>
      </c>
    </row>
    <row r="22" spans="1:73" hidden="1">
      <c r="A22" s="12" t="s">
        <v>823</v>
      </c>
      <c r="B22" s="12"/>
      <c r="C22" s="12" t="s">
        <v>21</v>
      </c>
      <c r="D22" s="12"/>
      <c r="E22" s="13">
        <v>46631</v>
      </c>
      <c r="AJ22" s="12" t="s">
        <v>823</v>
      </c>
      <c r="AK22" s="12"/>
      <c r="AL22" s="12" t="s">
        <v>21</v>
      </c>
      <c r="AZ22" s="1">
        <f t="shared" si="2"/>
        <v>0</v>
      </c>
      <c r="BJ22" s="1">
        <f t="shared" si="0"/>
        <v>0</v>
      </c>
      <c r="BL22" s="1">
        <f>+GenRev!AM22-GenExp!BJ22</f>
        <v>0</v>
      </c>
      <c r="BS22" s="1">
        <f t="shared" si="1"/>
        <v>0</v>
      </c>
      <c r="BU22" s="20">
        <f>+BS22-'Gen Fd BS'!AA22+BQ22</f>
        <v>0</v>
      </c>
    </row>
    <row r="23" spans="1:73">
      <c r="A23" s="12" t="s">
        <v>922</v>
      </c>
      <c r="B23" s="12"/>
      <c r="C23" s="12" t="s">
        <v>28</v>
      </c>
      <c r="D23" s="12"/>
      <c r="E23" s="13">
        <v>47043</v>
      </c>
      <c r="G23" s="1">
        <v>6266661</v>
      </c>
      <c r="I23" s="1">
        <v>834405</v>
      </c>
      <c r="K23" s="1">
        <v>179269</v>
      </c>
      <c r="M23" s="1">
        <f>10453+9772</f>
        <v>20225</v>
      </c>
      <c r="O23" s="1">
        <v>656632</v>
      </c>
      <c r="Q23" s="1">
        <v>406515</v>
      </c>
      <c r="S23" s="1">
        <v>87537</v>
      </c>
      <c r="U23" s="1">
        <v>747011</v>
      </c>
      <c r="W23" s="1">
        <v>339172</v>
      </c>
      <c r="Y23" s="1">
        <v>0</v>
      </c>
      <c r="AA23" s="1">
        <v>1002917</v>
      </c>
      <c r="AC23" s="1">
        <v>448804</v>
      </c>
      <c r="AE23" s="1">
        <v>0</v>
      </c>
      <c r="AG23" s="1">
        <v>0</v>
      </c>
      <c r="AI23" s="1">
        <v>0</v>
      </c>
      <c r="AJ23" s="12" t="s">
        <v>922</v>
      </c>
      <c r="AK23" s="12"/>
      <c r="AL23" s="12" t="s">
        <v>28</v>
      </c>
      <c r="AN23" s="1">
        <v>353351</v>
      </c>
      <c r="AP23" s="1">
        <v>11144</v>
      </c>
      <c r="AR23" s="1">
        <v>0</v>
      </c>
      <c r="AT23" s="1">
        <v>0</v>
      </c>
      <c r="AV23" s="1">
        <v>0</v>
      </c>
      <c r="AX23" s="1">
        <v>0</v>
      </c>
      <c r="AZ23" s="1">
        <f t="shared" si="2"/>
        <v>11353643</v>
      </c>
      <c r="BB23" s="1">
        <v>0</v>
      </c>
      <c r="BH23" s="1">
        <v>0</v>
      </c>
      <c r="BJ23" s="1">
        <f t="shared" si="0"/>
        <v>11353643</v>
      </c>
      <c r="BL23" s="1">
        <f>+GenRev!AM23-GenExp!BJ23</f>
        <v>566594</v>
      </c>
      <c r="BN23" s="1">
        <v>3313715</v>
      </c>
      <c r="BP23" s="1">
        <v>0</v>
      </c>
      <c r="BQ23" s="1">
        <v>0</v>
      </c>
      <c r="BS23" s="1">
        <f t="shared" si="1"/>
        <v>3880309</v>
      </c>
      <c r="BU23" s="20">
        <f>+BS23-'Gen Fd BS'!AA23+BQ23</f>
        <v>0</v>
      </c>
    </row>
    <row r="24" spans="1:73">
      <c r="A24" s="12" t="s">
        <v>379</v>
      </c>
      <c r="B24" s="12"/>
      <c r="C24" s="12" t="s">
        <v>33</v>
      </c>
      <c r="D24" s="12"/>
      <c r="E24" s="13">
        <v>47423</v>
      </c>
      <c r="G24" s="1">
        <v>2966353</v>
      </c>
      <c r="I24" s="1">
        <v>694547</v>
      </c>
      <c r="K24" s="1">
        <v>275643</v>
      </c>
      <c r="M24" s="1">
        <v>0</v>
      </c>
      <c r="O24" s="1">
        <v>160291</v>
      </c>
      <c r="Q24" s="1">
        <v>335284</v>
      </c>
      <c r="S24" s="1">
        <v>25208</v>
      </c>
      <c r="U24" s="1">
        <v>493540</v>
      </c>
      <c r="W24" s="1">
        <v>182882</v>
      </c>
      <c r="Y24" s="1">
        <v>0</v>
      </c>
      <c r="AA24" s="1">
        <v>987982</v>
      </c>
      <c r="AC24" s="1">
        <v>178991</v>
      </c>
      <c r="AE24" s="1">
        <v>1428</v>
      </c>
      <c r="AG24" s="1">
        <v>0</v>
      </c>
      <c r="AI24" s="1">
        <v>0</v>
      </c>
      <c r="AJ24" s="12" t="s">
        <v>379</v>
      </c>
      <c r="AK24" s="12"/>
      <c r="AL24" s="12" t="s">
        <v>33</v>
      </c>
      <c r="AN24" s="1">
        <v>168389</v>
      </c>
      <c r="AP24" s="1">
        <v>0</v>
      </c>
      <c r="AR24" s="1">
        <v>0</v>
      </c>
      <c r="AT24" s="1">
        <v>0</v>
      </c>
      <c r="AV24" s="1">
        <v>12810</v>
      </c>
      <c r="AX24" s="1">
        <v>0</v>
      </c>
      <c r="AZ24" s="1">
        <f t="shared" si="2"/>
        <v>6483348</v>
      </c>
      <c r="BB24" s="1">
        <v>95889</v>
      </c>
      <c r="BH24" s="1">
        <v>0</v>
      </c>
      <c r="BJ24" s="1">
        <f t="shared" si="0"/>
        <v>6579237</v>
      </c>
      <c r="BL24" s="1">
        <f>+GenRev!AM24-GenExp!BJ24</f>
        <v>-461432</v>
      </c>
      <c r="BN24" s="1">
        <v>2842541</v>
      </c>
      <c r="BP24" s="1">
        <v>0</v>
      </c>
      <c r="BQ24" s="1">
        <v>0</v>
      </c>
      <c r="BS24" s="1">
        <f t="shared" si="1"/>
        <v>2381109</v>
      </c>
      <c r="BU24" s="20">
        <f>+BS24-'Gen Fd BS'!AA24+BQ24</f>
        <v>0</v>
      </c>
    </row>
    <row r="25" spans="1:73">
      <c r="A25" s="12" t="s">
        <v>206</v>
      </c>
      <c r="B25" s="12"/>
      <c r="C25" s="12" t="s">
        <v>11</v>
      </c>
      <c r="D25" s="12"/>
      <c r="E25" s="13">
        <v>43505</v>
      </c>
      <c r="F25" s="8"/>
      <c r="G25" s="1">
        <v>12976743</v>
      </c>
      <c r="I25" s="1">
        <v>2970757</v>
      </c>
      <c r="K25" s="1">
        <v>908909</v>
      </c>
      <c r="M25" s="1">
        <f>1708251+37955</f>
        <v>1746206</v>
      </c>
      <c r="O25" s="1">
        <v>1548114</v>
      </c>
      <c r="Q25" s="1">
        <v>1393323</v>
      </c>
      <c r="S25" s="1">
        <v>148295</v>
      </c>
      <c r="U25" s="1">
        <v>2289778</v>
      </c>
      <c r="W25" s="1">
        <v>748195</v>
      </c>
      <c r="Y25" s="1">
        <v>299997</v>
      </c>
      <c r="AA25" s="1">
        <v>2444355</v>
      </c>
      <c r="AC25" s="1">
        <v>1043365</v>
      </c>
      <c r="AE25" s="1">
        <v>292702</v>
      </c>
      <c r="AG25" s="1">
        <v>71403</v>
      </c>
      <c r="AI25" s="1">
        <v>0</v>
      </c>
      <c r="AJ25" s="12" t="s">
        <v>206</v>
      </c>
      <c r="AK25" s="12"/>
      <c r="AL25" s="12" t="s">
        <v>11</v>
      </c>
      <c r="AN25" s="1">
        <v>639084</v>
      </c>
      <c r="AP25" s="1">
        <v>39970</v>
      </c>
      <c r="AR25" s="1">
        <v>0</v>
      </c>
      <c r="AT25" s="1">
        <v>243098</v>
      </c>
      <c r="AV25" s="1">
        <v>66500</v>
      </c>
      <c r="AX25" s="1">
        <v>0</v>
      </c>
      <c r="AZ25" s="1">
        <f t="shared" si="2"/>
        <v>29870794</v>
      </c>
      <c r="BB25" s="1">
        <v>0</v>
      </c>
      <c r="BH25" s="1">
        <v>0</v>
      </c>
      <c r="BJ25" s="1">
        <f t="shared" si="0"/>
        <v>29870794</v>
      </c>
      <c r="BL25" s="1">
        <f>+GenRev!AM25-GenExp!BJ25</f>
        <v>118761</v>
      </c>
      <c r="BN25" s="1">
        <v>7812507</v>
      </c>
      <c r="BP25" s="1">
        <v>0</v>
      </c>
      <c r="BQ25" s="1">
        <v>0</v>
      </c>
      <c r="BS25" s="1">
        <f t="shared" si="1"/>
        <v>7931268</v>
      </c>
      <c r="BU25" s="20">
        <f>+BS25-'Gen Fd BS'!AA25+BQ25</f>
        <v>0</v>
      </c>
    </row>
    <row r="26" spans="1:73">
      <c r="A26" s="12" t="s">
        <v>672</v>
      </c>
      <c r="B26" s="12"/>
      <c r="C26" s="12" t="s">
        <v>12</v>
      </c>
      <c r="D26" s="12"/>
      <c r="E26" s="13">
        <v>43513</v>
      </c>
      <c r="F26" s="8"/>
      <c r="G26" s="1">
        <v>16392377</v>
      </c>
      <c r="I26" s="1">
        <v>4979142</v>
      </c>
      <c r="K26" s="1">
        <v>198196</v>
      </c>
      <c r="M26" s="1">
        <v>396656</v>
      </c>
      <c r="O26" s="1">
        <v>1517909</v>
      </c>
      <c r="Q26" s="1">
        <v>1369659</v>
      </c>
      <c r="S26" s="1">
        <v>185946</v>
      </c>
      <c r="U26" s="1">
        <v>2253398</v>
      </c>
      <c r="W26" s="1">
        <v>774240</v>
      </c>
      <c r="Y26" s="1">
        <v>632231</v>
      </c>
      <c r="AA26" s="1">
        <v>3980907</v>
      </c>
      <c r="AC26" s="1">
        <v>1913750</v>
      </c>
      <c r="AE26" s="1">
        <v>22265</v>
      </c>
      <c r="AG26" s="1">
        <v>0</v>
      </c>
      <c r="AI26" s="1">
        <v>0</v>
      </c>
      <c r="AJ26" s="12" t="s">
        <v>672</v>
      </c>
      <c r="AK26" s="12"/>
      <c r="AL26" s="12" t="s">
        <v>12</v>
      </c>
      <c r="AN26" s="1">
        <v>426683</v>
      </c>
      <c r="AP26" s="1">
        <v>172</v>
      </c>
      <c r="AR26" s="1">
        <v>0</v>
      </c>
      <c r="AT26" s="1">
        <v>0</v>
      </c>
      <c r="AV26" s="1">
        <v>0</v>
      </c>
      <c r="AX26" s="1">
        <v>0</v>
      </c>
      <c r="AZ26" s="1">
        <f t="shared" si="2"/>
        <v>35043531</v>
      </c>
      <c r="BB26" s="1">
        <v>35385</v>
      </c>
      <c r="BH26" s="1">
        <v>0</v>
      </c>
      <c r="BJ26" s="1">
        <f t="shared" si="0"/>
        <v>35078916</v>
      </c>
      <c r="BL26" s="1">
        <f>+GenRev!AM26-GenExp!BJ26</f>
        <v>337733</v>
      </c>
      <c r="BN26" s="1">
        <v>1701098</v>
      </c>
      <c r="BP26" s="1">
        <v>0</v>
      </c>
      <c r="BQ26" s="1">
        <v>0</v>
      </c>
      <c r="BS26" s="1">
        <f t="shared" si="1"/>
        <v>2038831</v>
      </c>
      <c r="BU26" s="20">
        <f>+BS26-'Gen Fd BS'!AA26+BQ26</f>
        <v>0</v>
      </c>
    </row>
    <row r="27" spans="1:73">
      <c r="A27" s="12" t="s">
        <v>214</v>
      </c>
      <c r="B27" s="12"/>
      <c r="C27" s="12" t="s">
        <v>13</v>
      </c>
      <c r="D27" s="12"/>
      <c r="E27" s="13">
        <v>43521</v>
      </c>
      <c r="F27" s="8"/>
      <c r="G27" s="1">
        <v>14033037</v>
      </c>
      <c r="I27" s="1">
        <v>2560780</v>
      </c>
      <c r="K27" s="1">
        <v>417827</v>
      </c>
      <c r="M27" s="1">
        <v>144807</v>
      </c>
      <c r="O27" s="1">
        <v>1300830</v>
      </c>
      <c r="Q27" s="1">
        <v>2079673</v>
      </c>
      <c r="S27" s="1">
        <v>164071</v>
      </c>
      <c r="U27" s="1">
        <v>1890565</v>
      </c>
      <c r="W27" s="1">
        <v>583663</v>
      </c>
      <c r="Y27" s="1">
        <v>601228</v>
      </c>
      <c r="AA27" s="1">
        <v>3491463</v>
      </c>
      <c r="AC27" s="1">
        <v>1690379</v>
      </c>
      <c r="AE27" s="1">
        <v>138897</v>
      </c>
      <c r="AG27" s="1">
        <v>304</v>
      </c>
      <c r="AI27" s="1">
        <v>0</v>
      </c>
      <c r="AJ27" s="12" t="s">
        <v>214</v>
      </c>
      <c r="AK27" s="12"/>
      <c r="AL27" s="12" t="s">
        <v>13</v>
      </c>
      <c r="AN27" s="1">
        <v>374933</v>
      </c>
      <c r="AP27" s="1">
        <v>3863</v>
      </c>
      <c r="AR27" s="1">
        <v>0</v>
      </c>
      <c r="AT27" s="1">
        <v>0</v>
      </c>
      <c r="AV27" s="1">
        <v>0</v>
      </c>
      <c r="AX27" s="1">
        <v>0</v>
      </c>
      <c r="AZ27" s="1">
        <f t="shared" si="2"/>
        <v>29476320</v>
      </c>
      <c r="BB27" s="1">
        <v>138097</v>
      </c>
      <c r="BH27" s="1">
        <v>0</v>
      </c>
      <c r="BJ27" s="1">
        <f t="shared" si="0"/>
        <v>29614417</v>
      </c>
      <c r="BL27" s="1">
        <f>+GenRev!AM27-GenExp!BJ27</f>
        <v>252874</v>
      </c>
      <c r="BN27" s="1">
        <v>7083285</v>
      </c>
      <c r="BP27" s="1">
        <v>0</v>
      </c>
      <c r="BQ27" s="1">
        <v>0</v>
      </c>
      <c r="BS27" s="1">
        <f t="shared" si="1"/>
        <v>7336159</v>
      </c>
      <c r="BU27" s="20">
        <f>+BS27-'Gen Fd BS'!AA27+BQ27</f>
        <v>0</v>
      </c>
    </row>
    <row r="28" spans="1:73">
      <c r="A28" s="12" t="s">
        <v>532</v>
      </c>
      <c r="B28" s="12"/>
      <c r="C28" s="12" t="s">
        <v>56</v>
      </c>
      <c r="D28" s="12"/>
      <c r="E28" s="13">
        <v>49171</v>
      </c>
      <c r="G28" s="1">
        <v>13734627</v>
      </c>
      <c r="I28" s="1">
        <v>1983022</v>
      </c>
      <c r="K28" s="1">
        <v>220848</v>
      </c>
      <c r="M28" s="1">
        <v>1270052</v>
      </c>
      <c r="O28" s="1">
        <v>1675301</v>
      </c>
      <c r="Q28" s="1">
        <v>1584238</v>
      </c>
      <c r="S28" s="1">
        <v>175828</v>
      </c>
      <c r="U28" s="1">
        <v>2538902</v>
      </c>
      <c r="W28" s="1">
        <v>790412</v>
      </c>
      <c r="Y28" s="1">
        <v>180408</v>
      </c>
      <c r="AA28" s="1">
        <v>2617082</v>
      </c>
      <c r="AC28" s="1">
        <v>1425942</v>
      </c>
      <c r="AE28" s="1">
        <v>47267</v>
      </c>
      <c r="AG28" s="1">
        <v>0</v>
      </c>
      <c r="AI28" s="1">
        <v>0</v>
      </c>
      <c r="AJ28" s="12" t="s">
        <v>532</v>
      </c>
      <c r="AK28" s="12"/>
      <c r="AL28" s="12" t="s">
        <v>56</v>
      </c>
      <c r="AN28" s="1">
        <v>598878</v>
      </c>
      <c r="AP28" s="1">
        <v>234563</v>
      </c>
      <c r="AR28" s="1">
        <v>0</v>
      </c>
      <c r="AT28" s="1">
        <v>0</v>
      </c>
      <c r="AV28" s="1">
        <v>419000</v>
      </c>
      <c r="AX28" s="1">
        <v>0</v>
      </c>
      <c r="AZ28" s="1">
        <f t="shared" si="2"/>
        <v>29496370</v>
      </c>
      <c r="BB28" s="1">
        <v>0</v>
      </c>
      <c r="BH28" s="1">
        <v>0</v>
      </c>
      <c r="BJ28" s="1">
        <f t="shared" si="0"/>
        <v>29496370</v>
      </c>
      <c r="BL28" s="1">
        <f>+GenRev!AM28-GenExp!BJ28</f>
        <v>-542882</v>
      </c>
      <c r="BN28" s="1">
        <v>3654854</v>
      </c>
      <c r="BP28" s="1">
        <v>0</v>
      </c>
      <c r="BQ28" s="1">
        <v>0</v>
      </c>
      <c r="BS28" s="1">
        <f t="shared" si="1"/>
        <v>3111972</v>
      </c>
      <c r="BU28" s="20">
        <f>+BS28-'Gen Fd BS'!AA28+BQ28</f>
        <v>0</v>
      </c>
    </row>
    <row r="29" spans="1:73">
      <c r="A29" s="12" t="s">
        <v>461</v>
      </c>
      <c r="B29" s="12"/>
      <c r="C29" s="12" t="s">
        <v>45</v>
      </c>
      <c r="D29" s="12"/>
      <c r="E29" s="13">
        <v>48298</v>
      </c>
      <c r="G29" s="1">
        <v>18804129</v>
      </c>
      <c r="I29" s="1">
        <v>3713327</v>
      </c>
      <c r="K29" s="1">
        <v>251216</v>
      </c>
      <c r="M29" s="1">
        <v>1793815</v>
      </c>
      <c r="O29" s="1">
        <v>2626005</v>
      </c>
      <c r="Q29" s="1">
        <v>1048538</v>
      </c>
      <c r="S29" s="1">
        <v>51886</v>
      </c>
      <c r="U29" s="1">
        <v>1935488</v>
      </c>
      <c r="W29" s="1">
        <v>836687</v>
      </c>
      <c r="Y29" s="1">
        <v>3772</v>
      </c>
      <c r="AA29" s="1">
        <v>4091115</v>
      </c>
      <c r="AC29" s="1">
        <v>2280634</v>
      </c>
      <c r="AE29" s="1">
        <v>337</v>
      </c>
      <c r="AG29" s="1">
        <v>0</v>
      </c>
      <c r="AI29" s="1">
        <v>5271</v>
      </c>
      <c r="AJ29" s="12" t="s">
        <v>461</v>
      </c>
      <c r="AK29" s="12"/>
      <c r="AL29" s="12" t="s">
        <v>45</v>
      </c>
      <c r="AN29" s="1">
        <v>589796</v>
      </c>
      <c r="AP29" s="1">
        <v>10740</v>
      </c>
      <c r="AR29" s="1">
        <v>0</v>
      </c>
      <c r="AT29" s="1">
        <v>0</v>
      </c>
      <c r="AV29" s="1">
        <v>0</v>
      </c>
      <c r="AX29" s="1">
        <v>0</v>
      </c>
      <c r="AZ29" s="1">
        <f t="shared" si="2"/>
        <v>38042756</v>
      </c>
      <c r="BB29" s="1">
        <v>216670</v>
      </c>
      <c r="BH29" s="1">
        <v>0</v>
      </c>
      <c r="BJ29" s="1">
        <f t="shared" si="0"/>
        <v>38259426</v>
      </c>
      <c r="BL29" s="1">
        <f>+GenRev!AM29-GenExp!BJ29</f>
        <v>1961643</v>
      </c>
      <c r="BN29" s="1">
        <v>-1559205</v>
      </c>
      <c r="BP29" s="1">
        <v>0</v>
      </c>
      <c r="BQ29" s="1">
        <v>0</v>
      </c>
      <c r="BS29" s="1">
        <f t="shared" si="1"/>
        <v>402438</v>
      </c>
      <c r="BU29" s="20">
        <f>+BS29-'Gen Fd BS'!AA29+BQ29</f>
        <v>0</v>
      </c>
    </row>
    <row r="30" spans="1:73">
      <c r="A30" s="12" t="s">
        <v>436</v>
      </c>
      <c r="B30" s="12"/>
      <c r="C30" s="12" t="s">
        <v>44</v>
      </c>
      <c r="D30" s="12"/>
      <c r="E30" s="13">
        <v>48124</v>
      </c>
      <c r="G30" s="1">
        <v>17553615</v>
      </c>
      <c r="I30" s="1">
        <v>2467414</v>
      </c>
      <c r="K30" s="1">
        <v>210124</v>
      </c>
      <c r="M30" s="1">
        <f>19879+1127770</f>
        <v>1147649</v>
      </c>
      <c r="O30" s="1">
        <v>2691215</v>
      </c>
      <c r="Q30" s="1">
        <v>899113</v>
      </c>
      <c r="S30" s="1">
        <v>23417</v>
      </c>
      <c r="U30" s="1">
        <v>3220686</v>
      </c>
      <c r="W30" s="1">
        <v>1048283</v>
      </c>
      <c r="Y30" s="1">
        <v>117271</v>
      </c>
      <c r="AA30" s="1">
        <v>4729484</v>
      </c>
      <c r="AC30" s="1">
        <v>1375055</v>
      </c>
      <c r="AE30" s="1">
        <v>156945</v>
      </c>
      <c r="AG30" s="1">
        <v>0</v>
      </c>
      <c r="AI30" s="1">
        <v>86</v>
      </c>
      <c r="AJ30" s="12" t="s">
        <v>436</v>
      </c>
      <c r="AK30" s="12"/>
      <c r="AL30" s="12" t="s">
        <v>44</v>
      </c>
      <c r="AN30" s="1">
        <v>814595</v>
      </c>
      <c r="AP30" s="1">
        <v>1225</v>
      </c>
      <c r="AR30" s="1">
        <v>0</v>
      </c>
      <c r="AT30" s="1">
        <v>212354</v>
      </c>
      <c r="AV30" s="1">
        <v>21440</v>
      </c>
      <c r="AX30" s="1">
        <v>0</v>
      </c>
      <c r="AZ30" s="1">
        <f t="shared" si="2"/>
        <v>36689971</v>
      </c>
      <c r="BB30" s="1">
        <v>21850</v>
      </c>
      <c r="BH30" s="1">
        <v>0</v>
      </c>
      <c r="BJ30" s="1">
        <f t="shared" si="0"/>
        <v>36711821</v>
      </c>
      <c r="BL30" s="1">
        <f>+GenRev!AM30-GenExp!BJ30</f>
        <v>-13875</v>
      </c>
      <c r="BN30" s="1">
        <v>14165149</v>
      </c>
      <c r="BP30" s="1">
        <v>0</v>
      </c>
      <c r="BQ30" s="1">
        <v>0</v>
      </c>
      <c r="BS30" s="1">
        <f t="shared" si="1"/>
        <v>14151274</v>
      </c>
      <c r="BU30" s="20">
        <f>+BS30-'Gen Fd BS'!AA30+BQ30</f>
        <v>0</v>
      </c>
    </row>
    <row r="31" spans="1:73">
      <c r="A31" s="12" t="s">
        <v>437</v>
      </c>
      <c r="B31" s="12"/>
      <c r="C31" s="12" t="s">
        <v>44</v>
      </c>
      <c r="D31" s="12"/>
      <c r="E31" s="13">
        <v>48116</v>
      </c>
      <c r="G31" s="1">
        <v>13085463</v>
      </c>
      <c r="I31" s="1">
        <v>3358780</v>
      </c>
      <c r="K31" s="1">
        <v>165683</v>
      </c>
      <c r="M31" s="1">
        <v>560418</v>
      </c>
      <c r="O31" s="1">
        <v>1003725</v>
      </c>
      <c r="Q31" s="1">
        <v>1628935</v>
      </c>
      <c r="S31" s="1">
        <v>228608</v>
      </c>
      <c r="U31" s="1">
        <v>2055659</v>
      </c>
      <c r="W31" s="1">
        <v>730679</v>
      </c>
      <c r="Y31" s="1">
        <v>41761</v>
      </c>
      <c r="AA31" s="1">
        <v>2274393</v>
      </c>
      <c r="AC31" s="1">
        <v>1680621</v>
      </c>
      <c r="AE31" s="1">
        <v>348983</v>
      </c>
      <c r="AG31" s="1">
        <v>0</v>
      </c>
      <c r="AI31" s="1">
        <v>0</v>
      </c>
      <c r="AJ31" s="12" t="s">
        <v>437</v>
      </c>
      <c r="AK31" s="12"/>
      <c r="AL31" s="12" t="s">
        <v>44</v>
      </c>
      <c r="AN31" s="1">
        <v>637401</v>
      </c>
      <c r="AP31" s="1">
        <v>0</v>
      </c>
      <c r="AR31" s="1">
        <v>0</v>
      </c>
      <c r="AT31" s="1">
        <v>50000</v>
      </c>
      <c r="AV31" s="1">
        <v>11025</v>
      </c>
      <c r="AX31" s="1">
        <v>0</v>
      </c>
      <c r="AZ31" s="1">
        <f t="shared" si="2"/>
        <v>27862134</v>
      </c>
      <c r="BB31" s="1">
        <v>0</v>
      </c>
      <c r="BH31" s="1">
        <v>0</v>
      </c>
      <c r="BJ31" s="1">
        <f t="shared" si="0"/>
        <v>27862134</v>
      </c>
      <c r="BL31" s="1">
        <f>+GenRev!AM31-GenExp!BJ31</f>
        <v>-2265182</v>
      </c>
      <c r="BN31" s="1">
        <v>5057266</v>
      </c>
      <c r="BP31" s="1">
        <v>0</v>
      </c>
      <c r="BQ31" s="1">
        <v>0</v>
      </c>
      <c r="BS31" s="1">
        <f t="shared" si="1"/>
        <v>2792084</v>
      </c>
      <c r="BU31" s="20">
        <f>+BS31-'Gen Fd BS'!AA31+BQ31</f>
        <v>0</v>
      </c>
    </row>
    <row r="32" spans="1:73">
      <c r="A32" s="12" t="s">
        <v>310</v>
      </c>
      <c r="B32" s="12"/>
      <c r="C32" s="12" t="s">
        <v>22</v>
      </c>
      <c r="D32" s="12"/>
      <c r="E32" s="13">
        <v>46706</v>
      </c>
      <c r="G32" s="1">
        <v>3593692</v>
      </c>
      <c r="I32" s="1">
        <v>357637</v>
      </c>
      <c r="K32" s="1">
        <v>54888</v>
      </c>
      <c r="M32" s="1">
        <v>376872</v>
      </c>
      <c r="O32" s="1">
        <v>243345</v>
      </c>
      <c r="Q32" s="1">
        <v>272708</v>
      </c>
      <c r="S32" s="1">
        <v>33603</v>
      </c>
      <c r="U32" s="1">
        <v>630207</v>
      </c>
      <c r="W32" s="1">
        <v>285049</v>
      </c>
      <c r="Y32" s="1">
        <v>0</v>
      </c>
      <c r="AA32" s="1">
        <v>507378</v>
      </c>
      <c r="AC32" s="1">
        <v>218272</v>
      </c>
      <c r="AE32" s="1">
        <v>27477</v>
      </c>
      <c r="AG32" s="1">
        <v>0</v>
      </c>
      <c r="AI32" s="1">
        <v>13370</v>
      </c>
      <c r="AJ32" s="12" t="s">
        <v>310</v>
      </c>
      <c r="AK32" s="12"/>
      <c r="AL32" s="12" t="s">
        <v>22</v>
      </c>
      <c r="AN32" s="1">
        <v>271690</v>
      </c>
      <c r="AP32" s="1">
        <v>0</v>
      </c>
      <c r="AR32" s="1">
        <v>0</v>
      </c>
      <c r="AT32" s="1">
        <v>47286</v>
      </c>
      <c r="AV32" s="1">
        <v>6643</v>
      </c>
      <c r="AX32" s="1">
        <v>0</v>
      </c>
      <c r="AZ32" s="1">
        <f t="shared" si="2"/>
        <v>6940117</v>
      </c>
      <c r="BB32" s="1">
        <v>106118</v>
      </c>
      <c r="BH32" s="1">
        <v>0</v>
      </c>
      <c r="BJ32" s="1">
        <f t="shared" si="0"/>
        <v>7046235</v>
      </c>
      <c r="BL32" s="1">
        <f>+GenRev!AM32-GenExp!BJ32</f>
        <v>285161</v>
      </c>
      <c r="BN32" s="1">
        <v>2441609</v>
      </c>
      <c r="BP32" s="1">
        <v>-649</v>
      </c>
      <c r="BQ32" s="1">
        <v>0</v>
      </c>
      <c r="BS32" s="1">
        <f t="shared" si="1"/>
        <v>2727419</v>
      </c>
      <c r="BU32" s="20">
        <f>+BS32-'Gen Fd BS'!AA32+BQ32</f>
        <v>0</v>
      </c>
    </row>
    <row r="33" spans="1:74">
      <c r="A33" s="12" t="s">
        <v>587</v>
      </c>
      <c r="B33" s="12"/>
      <c r="C33" s="12" t="s">
        <v>63</v>
      </c>
      <c r="D33" s="12"/>
      <c r="E33" s="13">
        <v>43539</v>
      </c>
      <c r="G33" s="1">
        <v>15010628</v>
      </c>
      <c r="I33" s="1">
        <v>2800392</v>
      </c>
      <c r="K33" s="1">
        <v>1286834</v>
      </c>
      <c r="M33" s="1">
        <v>4146535</v>
      </c>
      <c r="O33" s="1">
        <v>1811966</v>
      </c>
      <c r="Q33" s="1">
        <v>1257004</v>
      </c>
      <c r="S33" s="1">
        <v>30701</v>
      </c>
      <c r="U33" s="1">
        <v>3068608</v>
      </c>
      <c r="W33" s="1">
        <v>646505</v>
      </c>
      <c r="Y33" s="1">
        <v>273857</v>
      </c>
      <c r="AA33" s="1">
        <v>3976215</v>
      </c>
      <c r="AC33" s="1">
        <v>781619</v>
      </c>
      <c r="AE33" s="1">
        <v>70031</v>
      </c>
      <c r="AG33" s="1">
        <v>0</v>
      </c>
      <c r="AI33" s="1">
        <v>0</v>
      </c>
      <c r="AJ33" s="12" t="s">
        <v>587</v>
      </c>
      <c r="AK33" s="12"/>
      <c r="AL33" s="12" t="s">
        <v>63</v>
      </c>
      <c r="AN33" s="1">
        <v>1007172</v>
      </c>
      <c r="AP33" s="1">
        <v>1736988</v>
      </c>
      <c r="AR33" s="1">
        <v>0</v>
      </c>
      <c r="AT33" s="1">
        <v>0</v>
      </c>
      <c r="AV33" s="1">
        <v>37902</v>
      </c>
      <c r="AX33" s="1">
        <v>0</v>
      </c>
      <c r="AZ33" s="1">
        <f t="shared" si="2"/>
        <v>37942957</v>
      </c>
      <c r="BB33" s="1">
        <v>21638</v>
      </c>
      <c r="BH33" s="1">
        <v>0</v>
      </c>
      <c r="BJ33" s="1">
        <f t="shared" si="0"/>
        <v>37964595</v>
      </c>
      <c r="BL33" s="1">
        <f>+GenRev!AM33-GenExp!BJ33</f>
        <v>-1935985</v>
      </c>
      <c r="BN33" s="1">
        <v>7593787</v>
      </c>
      <c r="BP33" s="1">
        <v>0</v>
      </c>
      <c r="BQ33" s="1">
        <v>0</v>
      </c>
      <c r="BS33" s="1">
        <f t="shared" si="1"/>
        <v>5657802</v>
      </c>
      <c r="BU33" s="20">
        <f>+BS33-'Gen Fd BS'!AA33+BQ33</f>
        <v>0</v>
      </c>
    </row>
    <row r="34" spans="1:74">
      <c r="A34" s="12" t="s">
        <v>719</v>
      </c>
      <c r="B34" s="12"/>
      <c r="C34" s="12" t="s">
        <v>15</v>
      </c>
      <c r="D34" s="12"/>
      <c r="E34" s="13"/>
      <c r="G34" s="1">
        <v>2935170</v>
      </c>
      <c r="I34" s="1">
        <v>442817</v>
      </c>
      <c r="K34" s="1">
        <v>92152</v>
      </c>
      <c r="M34" s="1">
        <v>45829</v>
      </c>
      <c r="O34" s="1">
        <v>198862</v>
      </c>
      <c r="Q34" s="1">
        <v>46746</v>
      </c>
      <c r="S34" s="1">
        <v>166801</v>
      </c>
      <c r="U34" s="1">
        <v>566802</v>
      </c>
      <c r="W34" s="1">
        <v>376991</v>
      </c>
      <c r="Y34" s="1">
        <v>36801</v>
      </c>
      <c r="AA34" s="1">
        <v>1159295</v>
      </c>
      <c r="AC34" s="1">
        <v>434472</v>
      </c>
      <c r="AE34" s="1">
        <v>119241</v>
      </c>
      <c r="AG34" s="1">
        <v>0</v>
      </c>
      <c r="AI34" s="1">
        <v>0</v>
      </c>
      <c r="AJ34" s="12" t="s">
        <v>719</v>
      </c>
      <c r="AK34" s="12"/>
      <c r="AL34" s="12" t="s">
        <v>15</v>
      </c>
      <c r="AN34" s="1">
        <v>96162</v>
      </c>
      <c r="AP34" s="1">
        <v>151298</v>
      </c>
      <c r="AR34" s="1">
        <v>0</v>
      </c>
      <c r="AT34" s="1">
        <v>19225</v>
      </c>
      <c r="AV34" s="1">
        <v>4628</v>
      </c>
      <c r="AX34" s="1">
        <v>0</v>
      </c>
      <c r="AZ34" s="1">
        <f t="shared" si="2"/>
        <v>6893292</v>
      </c>
      <c r="BB34" s="1">
        <v>1668115</v>
      </c>
      <c r="BH34" s="1">
        <v>0</v>
      </c>
      <c r="BJ34" s="1">
        <f t="shared" si="0"/>
        <v>8561407</v>
      </c>
      <c r="BL34" s="1">
        <f>+GenRev!AM34-GenExp!BJ34</f>
        <v>166250</v>
      </c>
      <c r="BN34" s="1">
        <v>1793198</v>
      </c>
      <c r="BP34" s="1">
        <v>0</v>
      </c>
      <c r="BQ34" s="1">
        <v>0</v>
      </c>
      <c r="BS34" s="1">
        <f t="shared" si="1"/>
        <v>1959448</v>
      </c>
      <c r="BU34" s="20">
        <f>+BS34-'Gen Fd BS'!AA34+BQ34</f>
        <v>0</v>
      </c>
    </row>
    <row r="35" spans="1:74">
      <c r="A35" s="12" t="s">
        <v>251</v>
      </c>
      <c r="B35" s="12"/>
      <c r="C35" s="12" t="s">
        <v>115</v>
      </c>
      <c r="D35" s="12"/>
      <c r="E35" s="13">
        <v>46300</v>
      </c>
      <c r="F35" s="8"/>
      <c r="G35" s="1">
        <v>7804676</v>
      </c>
      <c r="I35" s="1">
        <v>2866946</v>
      </c>
      <c r="K35" s="1">
        <v>0</v>
      </c>
      <c r="M35" s="1">
        <v>156543</v>
      </c>
      <c r="O35" s="1">
        <v>539099</v>
      </c>
      <c r="Q35" s="1">
        <v>486863</v>
      </c>
      <c r="S35" s="1">
        <v>125415</v>
      </c>
      <c r="U35" s="1">
        <v>1287305</v>
      </c>
      <c r="W35" s="1">
        <v>453633</v>
      </c>
      <c r="Y35" s="1">
        <v>0</v>
      </c>
      <c r="AA35" s="1">
        <v>1311557</v>
      </c>
      <c r="AC35" s="1">
        <v>1182480</v>
      </c>
      <c r="AE35" s="1">
        <v>3876</v>
      </c>
      <c r="AG35" s="1">
        <v>0</v>
      </c>
      <c r="AI35" s="1">
        <v>0</v>
      </c>
      <c r="AJ35" s="12" t="s">
        <v>251</v>
      </c>
      <c r="AK35" s="12"/>
      <c r="AL35" s="12" t="s">
        <v>115</v>
      </c>
      <c r="AN35" s="1">
        <v>310837</v>
      </c>
      <c r="AP35" s="1">
        <v>68693</v>
      </c>
      <c r="AR35" s="1">
        <v>0</v>
      </c>
      <c r="AT35" s="1">
        <v>64202</v>
      </c>
      <c r="AV35" s="1">
        <v>11464</v>
      </c>
      <c r="AX35" s="1">
        <v>0</v>
      </c>
      <c r="AZ35" s="1">
        <f t="shared" si="2"/>
        <v>16673589</v>
      </c>
      <c r="BB35" s="1">
        <v>150500</v>
      </c>
      <c r="BH35" s="1">
        <v>0</v>
      </c>
      <c r="BJ35" s="1">
        <f t="shared" si="0"/>
        <v>16824089</v>
      </c>
      <c r="BL35" s="1">
        <f>+GenRev!AM35-GenExp!BJ35</f>
        <v>268705</v>
      </c>
      <c r="BN35" s="1">
        <v>-242959</v>
      </c>
      <c r="BP35" s="1">
        <v>0</v>
      </c>
      <c r="BQ35" s="1">
        <v>0</v>
      </c>
      <c r="BS35" s="1">
        <f t="shared" si="1"/>
        <v>25746</v>
      </c>
      <c r="BU35" s="20">
        <f>+BS35-'Gen Fd BS'!AA35+BQ35</f>
        <v>0</v>
      </c>
    </row>
    <row r="36" spans="1:74" hidden="1">
      <c r="A36" s="12" t="s">
        <v>824</v>
      </c>
      <c r="B36" s="12"/>
      <c r="C36" s="12" t="s">
        <v>10</v>
      </c>
      <c r="D36" s="12"/>
      <c r="E36" s="13">
        <v>45765</v>
      </c>
      <c r="F36" s="8"/>
      <c r="AJ36" s="12" t="s">
        <v>824</v>
      </c>
      <c r="AK36" s="12"/>
      <c r="AL36" s="12" t="s">
        <v>10</v>
      </c>
      <c r="AZ36" s="1">
        <f t="shared" si="2"/>
        <v>0</v>
      </c>
      <c r="BJ36" s="1">
        <f t="shared" si="0"/>
        <v>0</v>
      </c>
      <c r="BL36" s="1">
        <f>+GenRev!AM36-GenExp!BJ36</f>
        <v>0</v>
      </c>
      <c r="BS36" s="1">
        <f t="shared" si="1"/>
        <v>0</v>
      </c>
      <c r="BU36" s="20">
        <f>+BS36-'Gen Fd BS'!AA36+BQ36</f>
        <v>0</v>
      </c>
    </row>
    <row r="37" spans="1:74">
      <c r="A37" s="12" t="s">
        <v>280</v>
      </c>
      <c r="B37" s="12"/>
      <c r="C37" s="12" t="s">
        <v>20</v>
      </c>
      <c r="D37" s="12"/>
      <c r="E37" s="13">
        <v>43547</v>
      </c>
      <c r="G37" s="1">
        <v>12548372</v>
      </c>
      <c r="I37" s="1">
        <v>1961480</v>
      </c>
      <c r="K37" s="1">
        <v>308778</v>
      </c>
      <c r="M37" s="1">
        <v>829786</v>
      </c>
      <c r="O37" s="1">
        <v>2108568</v>
      </c>
      <c r="Q37" s="1">
        <v>928737</v>
      </c>
      <c r="S37" s="1">
        <v>27094</v>
      </c>
      <c r="U37" s="1">
        <v>1790970</v>
      </c>
      <c r="W37" s="1">
        <v>599393</v>
      </c>
      <c r="Y37" s="1">
        <v>369883</v>
      </c>
      <c r="AA37" s="1">
        <v>2896420</v>
      </c>
      <c r="AC37" s="1">
        <v>877999</v>
      </c>
      <c r="AE37" s="1">
        <v>406503</v>
      </c>
      <c r="AG37" s="1">
        <v>0</v>
      </c>
      <c r="AI37" s="1">
        <v>28275</v>
      </c>
      <c r="AJ37" s="12" t="s">
        <v>280</v>
      </c>
      <c r="AK37" s="12"/>
      <c r="AL37" s="12" t="s">
        <v>20</v>
      </c>
      <c r="AN37" s="1">
        <f>157421+582751</f>
        <v>740172</v>
      </c>
      <c r="AP37" s="1">
        <v>283539</v>
      </c>
      <c r="AR37" s="1">
        <v>0</v>
      </c>
      <c r="AT37" s="1">
        <v>100000</v>
      </c>
      <c r="AV37" s="1">
        <v>92163</v>
      </c>
      <c r="AX37" s="1">
        <v>0</v>
      </c>
      <c r="AZ37" s="1">
        <f t="shared" si="2"/>
        <v>26898132</v>
      </c>
      <c r="BB37" s="1">
        <v>63896</v>
      </c>
      <c r="BH37" s="1">
        <v>0</v>
      </c>
      <c r="BJ37" s="1">
        <f t="shared" si="0"/>
        <v>26962028</v>
      </c>
      <c r="BL37" s="1">
        <f>+GenRev!AM37-GenExp!BJ37</f>
        <v>-808360</v>
      </c>
      <c r="BN37" s="1">
        <v>5602906</v>
      </c>
      <c r="BP37" s="1">
        <v>0</v>
      </c>
      <c r="BQ37" s="1">
        <v>0</v>
      </c>
      <c r="BS37" s="1">
        <f t="shared" si="1"/>
        <v>4794546</v>
      </c>
      <c r="BU37" s="20">
        <f>+BS37-'Gen Fd BS'!AA37+BQ37</f>
        <v>0</v>
      </c>
    </row>
    <row r="38" spans="1:74">
      <c r="A38" s="12" t="s">
        <v>281</v>
      </c>
      <c r="B38" s="12"/>
      <c r="C38" s="12" t="s">
        <v>20</v>
      </c>
      <c r="D38" s="12"/>
      <c r="E38" s="13">
        <v>43554</v>
      </c>
      <c r="G38" s="1">
        <v>10931930</v>
      </c>
      <c r="I38" s="1">
        <v>5215505</v>
      </c>
      <c r="K38" s="1">
        <v>497530</v>
      </c>
      <c r="M38" s="1">
        <f>1898+225758</f>
        <v>227656</v>
      </c>
      <c r="O38" s="1">
        <v>1611627</v>
      </c>
      <c r="Q38" s="1">
        <v>987442</v>
      </c>
      <c r="S38" s="1">
        <v>502689</v>
      </c>
      <c r="U38" s="1">
        <v>2280384</v>
      </c>
      <c r="W38" s="1">
        <v>981439</v>
      </c>
      <c r="Y38" s="1">
        <v>485105</v>
      </c>
      <c r="AA38" s="1">
        <v>3288748</v>
      </c>
      <c r="AC38" s="1">
        <v>2112455</v>
      </c>
      <c r="AE38" s="1">
        <v>733267</v>
      </c>
      <c r="AG38" s="1">
        <v>0</v>
      </c>
      <c r="AI38" s="1">
        <v>40267</v>
      </c>
      <c r="AJ38" s="12" t="s">
        <v>281</v>
      </c>
      <c r="AK38" s="12"/>
      <c r="AL38" s="12" t="s">
        <v>20</v>
      </c>
      <c r="AN38" s="1">
        <v>826023</v>
      </c>
      <c r="AP38" s="1">
        <v>0</v>
      </c>
      <c r="AR38" s="1">
        <v>0</v>
      </c>
      <c r="AT38" s="1">
        <v>0</v>
      </c>
      <c r="AV38" s="1">
        <v>0</v>
      </c>
      <c r="AX38" s="1">
        <v>0</v>
      </c>
      <c r="AZ38" s="1">
        <f t="shared" si="2"/>
        <v>30722067</v>
      </c>
      <c r="BB38" s="1">
        <v>240000</v>
      </c>
      <c r="BH38" s="1">
        <v>0</v>
      </c>
      <c r="BJ38" s="1">
        <f t="shared" si="0"/>
        <v>30962067</v>
      </c>
      <c r="BL38" s="1">
        <f>+GenRev!AM38-GenExp!BJ38</f>
        <v>-881586</v>
      </c>
      <c r="BN38" s="1">
        <v>18837145</v>
      </c>
      <c r="BP38" s="1">
        <v>0</v>
      </c>
      <c r="BQ38" s="1">
        <v>0</v>
      </c>
      <c r="BS38" s="1">
        <f t="shared" si="1"/>
        <v>17955559</v>
      </c>
      <c r="BU38" s="20">
        <f>+BS38-'Gen Fd BS'!AA38+BQ38</f>
        <v>0</v>
      </c>
    </row>
    <row r="39" spans="1:74">
      <c r="A39" s="12" t="s">
        <v>263</v>
      </c>
      <c r="B39" s="12"/>
      <c r="C39" s="12" t="s">
        <v>114</v>
      </c>
      <c r="D39" s="12"/>
      <c r="E39" s="13">
        <v>46425</v>
      </c>
      <c r="F39" s="8"/>
      <c r="G39" s="1">
        <v>10056226</v>
      </c>
      <c r="I39" s="1">
        <v>1571940</v>
      </c>
      <c r="K39" s="1">
        <v>19560</v>
      </c>
      <c r="M39" s="1">
        <f>12+8506</f>
        <v>8518</v>
      </c>
      <c r="O39" s="1">
        <v>275177</v>
      </c>
      <c r="Q39" s="1">
        <v>279529</v>
      </c>
      <c r="S39" s="1">
        <v>30707</v>
      </c>
      <c r="U39" s="1">
        <v>1636772</v>
      </c>
      <c r="W39" s="1">
        <v>429061</v>
      </c>
      <c r="Y39" s="1">
        <v>0</v>
      </c>
      <c r="AA39" s="1">
        <v>1371434</v>
      </c>
      <c r="AC39" s="1">
        <v>1189301</v>
      </c>
      <c r="AE39" s="1">
        <v>0</v>
      </c>
      <c r="AG39" s="1">
        <v>0</v>
      </c>
      <c r="AI39" s="1">
        <v>0</v>
      </c>
      <c r="AJ39" s="12" t="s">
        <v>263</v>
      </c>
      <c r="AK39" s="12"/>
      <c r="AL39" s="12" t="s">
        <v>114</v>
      </c>
      <c r="AN39" s="1">
        <v>313227</v>
      </c>
      <c r="AP39" s="1">
        <v>0</v>
      </c>
      <c r="AR39" s="1">
        <v>0</v>
      </c>
      <c r="AT39" s="1">
        <v>0</v>
      </c>
      <c r="AV39" s="1">
        <v>0</v>
      </c>
      <c r="AX39" s="1">
        <v>0</v>
      </c>
      <c r="AZ39" s="1">
        <f t="shared" si="2"/>
        <v>17181452</v>
      </c>
      <c r="BB39" s="1">
        <v>227971</v>
      </c>
      <c r="BH39" s="1">
        <v>0</v>
      </c>
      <c r="BJ39" s="1">
        <f t="shared" si="0"/>
        <v>17409423</v>
      </c>
      <c r="BL39" s="1">
        <f>+GenRev!AM39-GenExp!BJ39</f>
        <v>1253242</v>
      </c>
      <c r="BN39" s="1">
        <v>-2317275</v>
      </c>
      <c r="BP39" s="1">
        <v>0</v>
      </c>
      <c r="BQ39" s="1">
        <v>0</v>
      </c>
      <c r="BS39" s="1">
        <f t="shared" si="1"/>
        <v>-1064033</v>
      </c>
      <c r="BU39" s="20">
        <f>+BS39-'Gen Fd BS'!AA39+BQ39</f>
        <v>0</v>
      </c>
    </row>
    <row r="40" spans="1:74">
      <c r="A40" s="12" t="s">
        <v>357</v>
      </c>
      <c r="B40" s="12"/>
      <c r="C40" s="12" t="s">
        <v>116</v>
      </c>
      <c r="D40" s="12"/>
      <c r="E40" s="13">
        <v>47241</v>
      </c>
      <c r="G40" s="1">
        <v>30912055</v>
      </c>
      <c r="I40" s="1">
        <v>8029846</v>
      </c>
      <c r="K40" s="1">
        <v>333840</v>
      </c>
      <c r="M40" s="1">
        <f>591023+916251</f>
        <v>1507274</v>
      </c>
      <c r="O40" s="1">
        <v>4430462</v>
      </c>
      <c r="Q40" s="1">
        <v>4942473</v>
      </c>
      <c r="S40" s="1">
        <v>51360</v>
      </c>
      <c r="U40" s="1">
        <v>4377106</v>
      </c>
      <c r="W40" s="1">
        <v>1758185</v>
      </c>
      <c r="Y40" s="1">
        <v>528026</v>
      </c>
      <c r="AA40" s="1">
        <v>6348565</v>
      </c>
      <c r="AC40" s="1">
        <v>5470508</v>
      </c>
      <c r="AE40" s="1">
        <v>1230772</v>
      </c>
      <c r="AG40" s="1">
        <v>0</v>
      </c>
      <c r="AI40" s="1">
        <v>7744</v>
      </c>
      <c r="AJ40" s="12" t="s">
        <v>357</v>
      </c>
      <c r="AK40" s="12"/>
      <c r="AL40" s="12" t="s">
        <v>116</v>
      </c>
      <c r="AN40" s="1">
        <f>86464+759411+29031</f>
        <v>874906</v>
      </c>
      <c r="AP40" s="1">
        <f>37387+22568+57900</f>
        <v>117855</v>
      </c>
      <c r="AR40" s="1">
        <v>0</v>
      </c>
      <c r="AT40" s="1">
        <v>100000</v>
      </c>
      <c r="AV40" s="1">
        <v>147360</v>
      </c>
      <c r="AX40" s="1">
        <v>0</v>
      </c>
      <c r="AZ40" s="1">
        <f t="shared" si="2"/>
        <v>71168337</v>
      </c>
      <c r="BB40" s="1">
        <v>31038</v>
      </c>
      <c r="BH40" s="1">
        <v>0</v>
      </c>
      <c r="BJ40" s="1">
        <f t="shared" si="0"/>
        <v>71199375</v>
      </c>
      <c r="BL40" s="1">
        <f>+GenRev!AM40-GenExp!BJ40</f>
        <v>-2033114</v>
      </c>
      <c r="BN40" s="1">
        <v>29237958</v>
      </c>
      <c r="BP40" s="1">
        <v>0</v>
      </c>
      <c r="BQ40" s="1">
        <v>0</v>
      </c>
      <c r="BS40" s="1">
        <f t="shared" si="1"/>
        <v>27204844</v>
      </c>
      <c r="BU40" s="20">
        <f>+BS40-'Gen Fd BS'!AA40+BQ40</f>
        <v>0</v>
      </c>
    </row>
    <row r="41" spans="1:74">
      <c r="A41" s="12" t="s">
        <v>282</v>
      </c>
      <c r="B41" s="12"/>
      <c r="C41" s="12" t="s">
        <v>20</v>
      </c>
      <c r="D41" s="12"/>
      <c r="E41" s="13">
        <v>43562</v>
      </c>
      <c r="G41" s="1">
        <v>18523192</v>
      </c>
      <c r="I41" s="1">
        <v>4588784</v>
      </c>
      <c r="K41" s="1">
        <v>1108967</v>
      </c>
      <c r="M41" s="1">
        <v>1011</v>
      </c>
      <c r="O41" s="1">
        <v>2608489</v>
      </c>
      <c r="Q41" s="1">
        <v>1668668</v>
      </c>
      <c r="S41" s="1">
        <v>243585</v>
      </c>
      <c r="U41" s="1">
        <v>2758319</v>
      </c>
      <c r="W41" s="1">
        <v>1358705</v>
      </c>
      <c r="Y41" s="1">
        <v>662110</v>
      </c>
      <c r="AA41" s="1">
        <v>6315635</v>
      </c>
      <c r="AC41" s="1">
        <v>3313997</v>
      </c>
      <c r="AE41" s="1">
        <v>309481</v>
      </c>
      <c r="AG41" s="1">
        <v>0</v>
      </c>
      <c r="AI41" s="1">
        <v>0</v>
      </c>
      <c r="AJ41" s="12" t="s">
        <v>282</v>
      </c>
      <c r="AK41" s="12"/>
      <c r="AL41" s="12" t="s">
        <v>20</v>
      </c>
      <c r="AN41" s="1">
        <v>438762</v>
      </c>
      <c r="AP41" s="1">
        <v>0</v>
      </c>
      <c r="AR41" s="1">
        <v>0</v>
      </c>
      <c r="AT41" s="1">
        <v>260248</v>
      </c>
      <c r="AV41" s="1">
        <v>131680</v>
      </c>
      <c r="AX41" s="1">
        <v>0</v>
      </c>
      <c r="AZ41" s="1">
        <f t="shared" si="2"/>
        <v>44291633</v>
      </c>
      <c r="BB41" s="1">
        <v>395712</v>
      </c>
      <c r="BH41" s="1">
        <v>0</v>
      </c>
      <c r="BJ41" s="1">
        <f t="shared" si="0"/>
        <v>44687345</v>
      </c>
      <c r="BL41" s="1">
        <f>+GenRev!AM41-GenExp!BJ41</f>
        <v>306026</v>
      </c>
      <c r="BN41" s="1">
        <v>13588691</v>
      </c>
      <c r="BP41" s="1">
        <v>0</v>
      </c>
      <c r="BQ41" s="1">
        <v>0</v>
      </c>
      <c r="BS41" s="1">
        <f t="shared" si="1"/>
        <v>13894717</v>
      </c>
      <c r="BU41" s="20">
        <f>+BS41-'Gen Fd BS'!AA41+BQ41</f>
        <v>0</v>
      </c>
    </row>
    <row r="42" spans="1:74">
      <c r="A42" s="12" t="s">
        <v>219</v>
      </c>
      <c r="B42" s="12"/>
      <c r="C42" s="12" t="s">
        <v>15</v>
      </c>
      <c r="D42" s="12"/>
      <c r="E42" s="13">
        <v>43570</v>
      </c>
      <c r="G42" s="1">
        <v>7533642</v>
      </c>
      <c r="I42" s="1">
        <v>1125931</v>
      </c>
      <c r="K42" s="1">
        <v>43580</v>
      </c>
      <c r="M42" s="1">
        <v>9589</v>
      </c>
      <c r="O42" s="1">
        <v>605331</v>
      </c>
      <c r="Q42" s="1">
        <v>0</v>
      </c>
      <c r="S42" s="1">
        <v>22518</v>
      </c>
      <c r="U42" s="1">
        <v>1295392</v>
      </c>
      <c r="W42" s="1">
        <v>386182</v>
      </c>
      <c r="Y42" s="1">
        <v>0</v>
      </c>
      <c r="AA42" s="1">
        <v>1494852</v>
      </c>
      <c r="AC42" s="1">
        <v>979600</v>
      </c>
      <c r="AE42" s="1">
        <v>0</v>
      </c>
      <c r="AG42" s="1">
        <v>0</v>
      </c>
      <c r="AI42" s="1">
        <v>0</v>
      </c>
      <c r="AJ42" s="12" t="s">
        <v>219</v>
      </c>
      <c r="AK42" s="12"/>
      <c r="AL42" s="12" t="s">
        <v>15</v>
      </c>
      <c r="AN42" s="1">
        <v>192129</v>
      </c>
      <c r="AP42" s="1">
        <v>0</v>
      </c>
      <c r="AR42" s="1">
        <v>0</v>
      </c>
      <c r="AT42" s="1">
        <v>0</v>
      </c>
      <c r="AV42" s="1">
        <v>6261</v>
      </c>
      <c r="AX42" s="1">
        <v>0</v>
      </c>
      <c r="AZ42" s="1">
        <f t="shared" si="2"/>
        <v>13695007</v>
      </c>
      <c r="BB42" s="1">
        <v>626705</v>
      </c>
      <c r="BH42" s="1">
        <v>0</v>
      </c>
      <c r="BJ42" s="1">
        <f t="shared" si="0"/>
        <v>14321712</v>
      </c>
      <c r="BL42" s="1">
        <f>+GenRev!AM42-GenExp!BJ42</f>
        <v>-2189713</v>
      </c>
      <c r="BN42" s="1">
        <v>-2938522</v>
      </c>
      <c r="BP42" s="1">
        <v>0</v>
      </c>
      <c r="BQ42" s="1">
        <v>0</v>
      </c>
      <c r="BS42" s="1">
        <f t="shared" si="1"/>
        <v>-5128235</v>
      </c>
      <c r="BU42" s="20">
        <f>+BS42-'Gen Fd BS'!AA42+BQ42</f>
        <v>0</v>
      </c>
    </row>
    <row r="43" spans="1:74">
      <c r="A43" s="17" t="s">
        <v>951</v>
      </c>
      <c r="B43" s="12"/>
      <c r="C43" s="12" t="s">
        <v>116</v>
      </c>
      <c r="D43" s="12"/>
      <c r="E43" s="13">
        <v>47274</v>
      </c>
      <c r="G43" s="1">
        <v>10444776</v>
      </c>
      <c r="I43" s="1">
        <v>1172658</v>
      </c>
      <c r="K43" s="1">
        <v>6203</v>
      </c>
      <c r="M43" s="1">
        <v>0</v>
      </c>
      <c r="O43" s="1">
        <v>1936020</v>
      </c>
      <c r="Q43" s="1">
        <v>805320</v>
      </c>
      <c r="S43" s="1">
        <v>71446</v>
      </c>
      <c r="U43" s="1">
        <v>1764068</v>
      </c>
      <c r="W43" s="1">
        <v>894024</v>
      </c>
      <c r="Y43" s="1">
        <v>100259</v>
      </c>
      <c r="AA43" s="1">
        <v>2324784</v>
      </c>
      <c r="AC43" s="1">
        <v>1229445</v>
      </c>
      <c r="AE43" s="1">
        <v>40300</v>
      </c>
      <c r="AG43" s="1">
        <v>0</v>
      </c>
      <c r="AI43" s="1">
        <v>3312</v>
      </c>
      <c r="AJ43" s="17" t="s">
        <v>951</v>
      </c>
      <c r="AK43" s="12"/>
      <c r="AL43" s="12" t="s">
        <v>116</v>
      </c>
      <c r="AN43" s="1">
        <v>506350</v>
      </c>
      <c r="AP43" s="1">
        <v>79600</v>
      </c>
      <c r="AR43" s="1">
        <v>0</v>
      </c>
      <c r="AT43" s="1">
        <v>0</v>
      </c>
      <c r="AV43" s="1">
        <v>7833</v>
      </c>
      <c r="AX43" s="1">
        <v>0</v>
      </c>
      <c r="AZ43" s="1">
        <f t="shared" si="2"/>
        <v>21386398</v>
      </c>
      <c r="BB43" s="1">
        <v>38800</v>
      </c>
      <c r="BH43" s="1">
        <v>0</v>
      </c>
      <c r="BJ43" s="1">
        <f t="shared" si="0"/>
        <v>21425198</v>
      </c>
      <c r="BL43" s="1">
        <f>+GenRev!AM43-GenExp!BJ43</f>
        <v>1569606</v>
      </c>
      <c r="BN43" s="1">
        <v>-2943752</v>
      </c>
      <c r="BP43" s="1">
        <v>0</v>
      </c>
      <c r="BQ43" s="1">
        <v>0</v>
      </c>
      <c r="BS43" s="1">
        <f t="shared" si="1"/>
        <v>-1374146</v>
      </c>
      <c r="BU43" s="20">
        <f>+BS43-'Gen Fd BS'!AA43+BQ43</f>
        <v>0</v>
      </c>
    </row>
    <row r="44" spans="1:74">
      <c r="A44" s="12" t="s">
        <v>403</v>
      </c>
      <c r="B44" s="12"/>
      <c r="C44" s="12" t="s">
        <v>37</v>
      </c>
      <c r="D44" s="12"/>
      <c r="E44" s="13">
        <v>43596</v>
      </c>
      <c r="G44" s="1">
        <v>6504225</v>
      </c>
      <c r="I44" s="1">
        <v>2217965</v>
      </c>
      <c r="K44" s="1">
        <v>413369</v>
      </c>
      <c r="M44" s="1">
        <f>5308+960074</f>
        <v>965382</v>
      </c>
      <c r="O44" s="1">
        <v>1206382</v>
      </c>
      <c r="Q44" s="1">
        <v>718103</v>
      </c>
      <c r="S44" s="1">
        <v>20924</v>
      </c>
      <c r="U44" s="1">
        <v>1776874</v>
      </c>
      <c r="W44" s="1">
        <v>485013</v>
      </c>
      <c r="Y44" s="1">
        <v>12618</v>
      </c>
      <c r="AA44" s="1">
        <v>1784986</v>
      </c>
      <c r="AC44" s="1">
        <v>958420</v>
      </c>
      <c r="AE44" s="1">
        <v>70602</v>
      </c>
      <c r="AG44" s="1">
        <v>0</v>
      </c>
      <c r="AI44" s="1">
        <v>13407</v>
      </c>
      <c r="AJ44" s="12" t="s">
        <v>403</v>
      </c>
      <c r="AK44" s="12"/>
      <c r="AL44" s="12" t="s">
        <v>37</v>
      </c>
      <c r="AN44" s="1">
        <v>436314</v>
      </c>
      <c r="AP44" s="1">
        <f>39539+13664</f>
        <v>53203</v>
      </c>
      <c r="AR44" s="1">
        <v>0</v>
      </c>
      <c r="AT44" s="1">
        <v>81290</v>
      </c>
      <c r="AV44" s="1">
        <v>18243</v>
      </c>
      <c r="AX44" s="1">
        <v>0</v>
      </c>
      <c r="AZ44" s="1">
        <f t="shared" si="2"/>
        <v>17737320</v>
      </c>
      <c r="BB44" s="1">
        <v>14732</v>
      </c>
      <c r="BH44" s="1">
        <v>0</v>
      </c>
      <c r="BJ44" s="1">
        <f t="shared" ref="BJ44:BJ75" si="3">+AZ44+BB44+BD44+BH44</f>
        <v>17752052</v>
      </c>
      <c r="BL44" s="1">
        <f>+GenRev!AM44-GenExp!BJ44</f>
        <v>983077</v>
      </c>
      <c r="BN44" s="1">
        <v>2381747</v>
      </c>
      <c r="BP44" s="1">
        <v>-21212</v>
      </c>
      <c r="BQ44" s="1">
        <v>0</v>
      </c>
      <c r="BS44" s="1">
        <f t="shared" ref="BS44:BS75" si="4">+BN44+BL44-BP44</f>
        <v>3386036</v>
      </c>
      <c r="BU44" s="20">
        <f>+BS44-'Gen Fd BS'!AA44+BQ44</f>
        <v>0</v>
      </c>
      <c r="BV44" s="92"/>
    </row>
    <row r="45" spans="1:74">
      <c r="A45" s="12" t="s">
        <v>636</v>
      </c>
      <c r="B45" s="12"/>
      <c r="C45" s="12" t="s">
        <v>70</v>
      </c>
      <c r="D45" s="12"/>
      <c r="E45" s="13">
        <v>43604</v>
      </c>
      <c r="G45" s="1">
        <v>4157788</v>
      </c>
      <c r="I45" s="1">
        <v>924021</v>
      </c>
      <c r="K45" s="1">
        <v>0</v>
      </c>
      <c r="M45" s="1">
        <v>15527</v>
      </c>
      <c r="O45" s="1">
        <v>910556</v>
      </c>
      <c r="Q45" s="1">
        <v>194897</v>
      </c>
      <c r="S45" s="1">
        <v>57876</v>
      </c>
      <c r="U45" s="1">
        <v>877761</v>
      </c>
      <c r="W45" s="1">
        <v>374239</v>
      </c>
      <c r="Y45" s="1">
        <v>790</v>
      </c>
      <c r="AA45" s="1">
        <v>1089421</v>
      </c>
      <c r="AC45" s="1">
        <v>348566</v>
      </c>
      <c r="AE45" s="1">
        <v>0</v>
      </c>
      <c r="AG45" s="1">
        <v>0</v>
      </c>
      <c r="AI45" s="1">
        <v>0</v>
      </c>
      <c r="AJ45" s="12" t="s">
        <v>636</v>
      </c>
      <c r="AK45" s="12"/>
      <c r="AL45" s="12" t="s">
        <v>70</v>
      </c>
      <c r="AN45" s="1">
        <v>172972</v>
      </c>
      <c r="AP45" s="1">
        <v>111698</v>
      </c>
      <c r="AR45" s="1">
        <v>0</v>
      </c>
      <c r="AT45" s="1">
        <v>0</v>
      </c>
      <c r="AV45" s="1">
        <v>0</v>
      </c>
      <c r="AX45" s="1">
        <v>0</v>
      </c>
      <c r="AZ45" s="1">
        <f t="shared" si="2"/>
        <v>9236112</v>
      </c>
      <c r="BB45" s="1">
        <v>41448</v>
      </c>
      <c r="BH45" s="1">
        <v>0</v>
      </c>
      <c r="BJ45" s="1">
        <f t="shared" si="3"/>
        <v>9277560</v>
      </c>
      <c r="BL45" s="1">
        <f>+GenRev!AM45-GenExp!BJ45</f>
        <v>84514</v>
      </c>
      <c r="BN45" s="1">
        <v>454376</v>
      </c>
      <c r="BP45" s="1">
        <v>0</v>
      </c>
      <c r="BQ45" s="1">
        <v>0</v>
      </c>
      <c r="BS45" s="1">
        <f t="shared" si="4"/>
        <v>538890</v>
      </c>
      <c r="BU45" s="20">
        <f>+BS45-'Gen Fd BS'!AA45+BQ45</f>
        <v>0</v>
      </c>
      <c r="BV45" s="92"/>
    </row>
    <row r="46" spans="1:74">
      <c r="A46" s="12" t="s">
        <v>519</v>
      </c>
      <c r="B46" s="12"/>
      <c r="C46" s="12" t="s">
        <v>53</v>
      </c>
      <c r="D46" s="12"/>
      <c r="E46" s="13">
        <v>48926</v>
      </c>
      <c r="G46" s="1">
        <v>8872465</v>
      </c>
      <c r="I46" s="1">
        <v>1578491</v>
      </c>
      <c r="K46" s="1">
        <v>23091</v>
      </c>
      <c r="M46" s="1">
        <v>194628</v>
      </c>
      <c r="O46" s="1">
        <v>927814</v>
      </c>
      <c r="Q46" s="1">
        <v>1141227</v>
      </c>
      <c r="S46" s="1">
        <v>83409</v>
      </c>
      <c r="U46" s="1">
        <v>1675259</v>
      </c>
      <c r="W46" s="1">
        <v>443537</v>
      </c>
      <c r="Y46" s="1">
        <v>0</v>
      </c>
      <c r="AA46" s="1">
        <v>2637878</v>
      </c>
      <c r="AC46" s="1">
        <v>1099019</v>
      </c>
      <c r="AE46" s="1">
        <v>236974</v>
      </c>
      <c r="AG46" s="1">
        <v>0</v>
      </c>
      <c r="AI46" s="1">
        <v>18904</v>
      </c>
      <c r="AJ46" s="12" t="s">
        <v>519</v>
      </c>
      <c r="AK46" s="12"/>
      <c r="AL46" s="12" t="s">
        <v>53</v>
      </c>
      <c r="AN46" s="1">
        <v>438791</v>
      </c>
      <c r="AP46" s="1">
        <v>11070</v>
      </c>
      <c r="AR46" s="1">
        <v>0</v>
      </c>
      <c r="AT46" s="1">
        <v>0</v>
      </c>
      <c r="AV46" s="1">
        <v>0</v>
      </c>
      <c r="AX46" s="1">
        <v>0</v>
      </c>
      <c r="AZ46" s="1">
        <f t="shared" si="2"/>
        <v>19382557</v>
      </c>
      <c r="BB46" s="1">
        <v>0</v>
      </c>
      <c r="BH46" s="1">
        <v>0</v>
      </c>
      <c r="BJ46" s="1">
        <f t="shared" si="3"/>
        <v>19382557</v>
      </c>
      <c r="BL46" s="1">
        <f>+GenRev!AM46-GenExp!BJ46</f>
        <v>-1049417</v>
      </c>
      <c r="BN46" s="1">
        <v>3626326</v>
      </c>
      <c r="BP46" s="1">
        <v>0</v>
      </c>
      <c r="BQ46" s="1">
        <v>0</v>
      </c>
      <c r="BS46" s="1">
        <f t="shared" si="4"/>
        <v>2576909</v>
      </c>
      <c r="BU46" s="20">
        <f>+BS46-'Gen Fd BS'!AA46+BQ46</f>
        <v>0</v>
      </c>
    </row>
    <row r="47" spans="1:74">
      <c r="A47" s="12" t="s">
        <v>283</v>
      </c>
      <c r="B47" s="12"/>
      <c r="C47" s="12" t="s">
        <v>20</v>
      </c>
      <c r="D47" s="12"/>
      <c r="E47" s="13">
        <v>43612</v>
      </c>
      <c r="G47" s="1">
        <v>37585003</v>
      </c>
      <c r="I47" s="1">
        <v>8549490</v>
      </c>
      <c r="K47" s="1">
        <v>843469</v>
      </c>
      <c r="M47" s="1">
        <v>0</v>
      </c>
      <c r="O47" s="1">
        <v>4437711</v>
      </c>
      <c r="Q47" s="1">
        <v>6960436</v>
      </c>
      <c r="S47" s="1">
        <v>40655</v>
      </c>
      <c r="U47" s="1">
        <v>4764887</v>
      </c>
      <c r="W47" s="1">
        <v>1693464</v>
      </c>
      <c r="Y47" s="1">
        <v>739843</v>
      </c>
      <c r="AA47" s="1">
        <v>8081667</v>
      </c>
      <c r="AC47" s="1">
        <v>3852825</v>
      </c>
      <c r="AE47" s="1">
        <v>2736219</v>
      </c>
      <c r="AG47" s="1">
        <v>29061</v>
      </c>
      <c r="AI47" s="1">
        <v>0</v>
      </c>
      <c r="AJ47" s="12" t="s">
        <v>283</v>
      </c>
      <c r="AK47" s="12"/>
      <c r="AL47" s="12" t="s">
        <v>20</v>
      </c>
      <c r="AN47" s="1">
        <v>1341133</v>
      </c>
      <c r="AP47" s="1">
        <v>0</v>
      </c>
      <c r="AR47" s="1">
        <v>0</v>
      </c>
      <c r="AT47" s="1">
        <v>0</v>
      </c>
      <c r="AV47" s="1">
        <v>0</v>
      </c>
      <c r="AX47" s="1">
        <v>0</v>
      </c>
      <c r="AZ47" s="1">
        <f t="shared" si="2"/>
        <v>81655863</v>
      </c>
      <c r="BB47" s="1">
        <v>572338</v>
      </c>
      <c r="BH47" s="1">
        <v>0</v>
      </c>
      <c r="BJ47" s="1">
        <f t="shared" si="3"/>
        <v>82228201</v>
      </c>
      <c r="BL47" s="1">
        <f>+GenRev!AM47-GenExp!BJ47</f>
        <v>-2613385</v>
      </c>
      <c r="BN47" s="1">
        <v>31799648</v>
      </c>
      <c r="BP47" s="1">
        <v>0</v>
      </c>
      <c r="BQ47" s="1">
        <v>0</v>
      </c>
      <c r="BS47" s="1">
        <f t="shared" si="4"/>
        <v>29186263</v>
      </c>
      <c r="BU47" s="20">
        <f>+BS47-'Gen Fd BS'!AA47+BQ47</f>
        <v>0</v>
      </c>
    </row>
    <row r="48" spans="1:74">
      <c r="A48" s="12" t="s">
        <v>351</v>
      </c>
      <c r="B48" s="12"/>
      <c r="C48" s="12" t="s">
        <v>30</v>
      </c>
      <c r="D48" s="12"/>
      <c r="E48" s="13">
        <v>47167</v>
      </c>
      <c r="G48" s="1">
        <v>4300924</v>
      </c>
      <c r="I48" s="1">
        <v>1021454</v>
      </c>
      <c r="K48" s="1">
        <v>70925</v>
      </c>
      <c r="M48" s="1">
        <v>339048</v>
      </c>
      <c r="O48" s="1">
        <v>553832</v>
      </c>
      <c r="Q48" s="1">
        <v>440194</v>
      </c>
      <c r="S48" s="1">
        <v>41679</v>
      </c>
      <c r="U48" s="1">
        <v>1051280</v>
      </c>
      <c r="W48" s="1">
        <v>371632</v>
      </c>
      <c r="Y48" s="1">
        <v>28687</v>
      </c>
      <c r="AA48" s="1">
        <v>805339</v>
      </c>
      <c r="AC48" s="1">
        <v>849423</v>
      </c>
      <c r="AE48" s="1">
        <v>0</v>
      </c>
      <c r="AG48" s="1">
        <v>0</v>
      </c>
      <c r="AI48" s="1">
        <v>0</v>
      </c>
      <c r="AJ48" s="12" t="s">
        <v>351</v>
      </c>
      <c r="AK48" s="12"/>
      <c r="AL48" s="12" t="s">
        <v>30</v>
      </c>
      <c r="AN48" s="1">
        <v>282697</v>
      </c>
      <c r="AP48" s="1">
        <v>366098</v>
      </c>
      <c r="AR48" s="1">
        <v>0</v>
      </c>
      <c r="AT48" s="1">
        <v>0</v>
      </c>
      <c r="AV48" s="1">
        <v>0</v>
      </c>
      <c r="AX48" s="1">
        <v>0</v>
      </c>
      <c r="AZ48" s="1">
        <f t="shared" si="2"/>
        <v>10523212</v>
      </c>
      <c r="BB48" s="1">
        <v>416600</v>
      </c>
      <c r="BH48" s="1">
        <v>0</v>
      </c>
      <c r="BJ48" s="1">
        <f t="shared" si="3"/>
        <v>10939812</v>
      </c>
      <c r="BL48" s="1">
        <f>+GenRev!AM48-GenExp!BJ48</f>
        <v>-596116</v>
      </c>
      <c r="BN48" s="1">
        <v>3050366</v>
      </c>
      <c r="BP48" s="1">
        <v>0</v>
      </c>
      <c r="BQ48" s="1">
        <v>0</v>
      </c>
      <c r="BS48" s="1">
        <f t="shared" si="4"/>
        <v>2454250</v>
      </c>
      <c r="BU48" s="20">
        <f>+BS48-'Gen Fd BS'!AA48+BQ48</f>
        <v>0</v>
      </c>
    </row>
    <row r="49" spans="1:73">
      <c r="A49" s="12" t="s">
        <v>314</v>
      </c>
      <c r="B49" s="12"/>
      <c r="C49" s="12" t="s">
        <v>24</v>
      </c>
      <c r="D49" s="12"/>
      <c r="E49" s="13">
        <v>46789</v>
      </c>
      <c r="G49" s="1">
        <v>6839284</v>
      </c>
      <c r="I49" s="1">
        <v>2164505</v>
      </c>
      <c r="K49" s="1">
        <v>69046</v>
      </c>
      <c r="M49" s="1">
        <v>514698</v>
      </c>
      <c r="O49" s="1">
        <v>564747</v>
      </c>
      <c r="Q49" s="1">
        <v>303926</v>
      </c>
      <c r="S49" s="1">
        <v>34622</v>
      </c>
      <c r="U49" s="1">
        <v>1215285</v>
      </c>
      <c r="W49" s="1">
        <v>280254</v>
      </c>
      <c r="Y49" s="1">
        <v>0</v>
      </c>
      <c r="AA49" s="1">
        <v>631827</v>
      </c>
      <c r="AC49" s="1">
        <v>631781</v>
      </c>
      <c r="AE49" s="1">
        <v>150693</v>
      </c>
      <c r="AG49" s="1">
        <v>0</v>
      </c>
      <c r="AI49" s="1">
        <v>72513</v>
      </c>
      <c r="AJ49" s="12" t="s">
        <v>314</v>
      </c>
      <c r="AK49" s="12"/>
      <c r="AL49" s="12" t="s">
        <v>24</v>
      </c>
      <c r="AN49" s="1">
        <v>398294</v>
      </c>
      <c r="AP49" s="1">
        <v>0</v>
      </c>
      <c r="AR49" s="1">
        <v>0</v>
      </c>
      <c r="AT49" s="1">
        <v>0</v>
      </c>
      <c r="AV49" s="1">
        <v>0</v>
      </c>
      <c r="AX49" s="1">
        <v>0</v>
      </c>
      <c r="AZ49" s="1">
        <f t="shared" si="2"/>
        <v>13871475</v>
      </c>
      <c r="BB49" s="1">
        <v>0</v>
      </c>
      <c r="BH49" s="1">
        <v>0</v>
      </c>
      <c r="BJ49" s="1">
        <f t="shared" si="3"/>
        <v>13871475</v>
      </c>
      <c r="BL49" s="1">
        <f>+GenRev!AM49-GenExp!BJ49</f>
        <v>38355</v>
      </c>
      <c r="BN49" s="1">
        <v>3437262</v>
      </c>
      <c r="BP49" s="1">
        <v>-8571</v>
      </c>
      <c r="BQ49" s="1">
        <v>0</v>
      </c>
      <c r="BS49" s="1">
        <f t="shared" si="4"/>
        <v>3484188</v>
      </c>
      <c r="BU49" s="20">
        <f>+BS49-'Gen Fd BS'!AA49+BQ49</f>
        <v>0</v>
      </c>
    </row>
    <row r="50" spans="1:73">
      <c r="A50" s="12" t="s">
        <v>322</v>
      </c>
      <c r="B50" s="12"/>
      <c r="C50" s="12" t="s">
        <v>25</v>
      </c>
      <c r="D50" s="12"/>
      <c r="E50" s="13">
        <v>46854</v>
      </c>
      <c r="G50" s="1">
        <v>4037948</v>
      </c>
      <c r="I50" s="1">
        <v>852445</v>
      </c>
      <c r="K50" s="1">
        <v>134310</v>
      </c>
      <c r="M50" s="1">
        <v>496</v>
      </c>
      <c r="O50" s="1">
        <v>238162</v>
      </c>
      <c r="Q50" s="1">
        <v>403308</v>
      </c>
      <c r="S50" s="1">
        <v>15317</v>
      </c>
      <c r="U50" s="1">
        <v>824557</v>
      </c>
      <c r="W50" s="1">
        <v>282523</v>
      </c>
      <c r="Y50" s="1">
        <v>13162</v>
      </c>
      <c r="AA50" s="1">
        <v>586081</v>
      </c>
      <c r="AC50" s="1">
        <v>602442</v>
      </c>
      <c r="AE50" s="1">
        <v>31732</v>
      </c>
      <c r="AG50" s="1">
        <v>0</v>
      </c>
      <c r="AI50" s="1">
        <v>0</v>
      </c>
      <c r="AJ50" s="12" t="s">
        <v>322</v>
      </c>
      <c r="AK50" s="12"/>
      <c r="AL50" s="12" t="s">
        <v>25</v>
      </c>
      <c r="AN50" s="1">
        <v>216533</v>
      </c>
      <c r="AP50" s="1">
        <v>0</v>
      </c>
      <c r="AR50" s="1">
        <v>0</v>
      </c>
      <c r="AT50" s="1">
        <v>30015</v>
      </c>
      <c r="AV50" s="1">
        <v>10946</v>
      </c>
      <c r="AX50" s="1">
        <v>0</v>
      </c>
      <c r="AZ50" s="1">
        <f t="shared" si="2"/>
        <v>8279977</v>
      </c>
      <c r="BB50" s="1">
        <v>133126</v>
      </c>
      <c r="BH50" s="1">
        <v>0</v>
      </c>
      <c r="BJ50" s="1">
        <f t="shared" si="3"/>
        <v>8413103</v>
      </c>
      <c r="BL50" s="1">
        <f>+GenRev!AM50-GenExp!BJ50</f>
        <v>-114408</v>
      </c>
      <c r="BN50" s="1">
        <v>1611251</v>
      </c>
      <c r="BP50" s="1">
        <v>0</v>
      </c>
      <c r="BQ50" s="1">
        <v>0</v>
      </c>
      <c r="BS50" s="1">
        <f t="shared" si="4"/>
        <v>1496843</v>
      </c>
      <c r="BU50" s="20">
        <f>+BS50-'Gen Fd BS'!AA50+BQ50</f>
        <v>0</v>
      </c>
    </row>
    <row r="51" spans="1:73">
      <c r="A51" s="12" t="s">
        <v>487</v>
      </c>
      <c r="B51" s="12"/>
      <c r="C51" s="12" t="s">
        <v>48</v>
      </c>
      <c r="D51" s="12"/>
      <c r="E51" s="13">
        <v>48611</v>
      </c>
      <c r="G51" s="1">
        <v>3164617</v>
      </c>
      <c r="I51" s="1">
        <v>884383</v>
      </c>
      <c r="K51" s="1">
        <v>0</v>
      </c>
      <c r="M51" s="1">
        <v>459316</v>
      </c>
      <c r="O51" s="1">
        <v>170481</v>
      </c>
      <c r="Q51" s="1">
        <v>240571</v>
      </c>
      <c r="S51" s="1">
        <v>31903</v>
      </c>
      <c r="U51" s="1">
        <v>705931</v>
      </c>
      <c r="W51" s="1">
        <v>304121</v>
      </c>
      <c r="Y51" s="1">
        <v>65344</v>
      </c>
      <c r="AA51" s="1">
        <v>619389</v>
      </c>
      <c r="AC51" s="1">
        <v>638446</v>
      </c>
      <c r="AE51" s="1">
        <v>150375</v>
      </c>
      <c r="AG51" s="1">
        <v>9450</v>
      </c>
      <c r="AI51" s="1">
        <v>0</v>
      </c>
      <c r="AJ51" s="12" t="s">
        <v>487</v>
      </c>
      <c r="AK51" s="12"/>
      <c r="AL51" s="12" t="s">
        <v>48</v>
      </c>
      <c r="AN51" s="1">
        <v>148396</v>
      </c>
      <c r="AP51" s="1">
        <v>0</v>
      </c>
      <c r="AR51" s="1">
        <v>0</v>
      </c>
      <c r="AT51" s="1">
        <v>22000</v>
      </c>
      <c r="AV51" s="1">
        <v>44866</v>
      </c>
      <c r="AX51" s="1">
        <v>0</v>
      </c>
      <c r="AZ51" s="1">
        <f t="shared" si="2"/>
        <v>7659589</v>
      </c>
      <c r="BB51" s="1">
        <v>0</v>
      </c>
      <c r="BH51" s="1">
        <v>0</v>
      </c>
      <c r="BJ51" s="1">
        <f t="shared" si="3"/>
        <v>7659589</v>
      </c>
      <c r="BL51" s="1">
        <f>+GenRev!AM51-GenExp!BJ51</f>
        <v>-663516</v>
      </c>
      <c r="BN51" s="1">
        <v>1313379</v>
      </c>
      <c r="BP51" s="1">
        <v>0</v>
      </c>
      <c r="BQ51" s="1">
        <v>0</v>
      </c>
      <c r="BS51" s="1">
        <f t="shared" si="4"/>
        <v>649863</v>
      </c>
      <c r="BU51" s="20">
        <f>+BS51-'Gen Fd BS'!AA51+BQ51</f>
        <v>0</v>
      </c>
    </row>
    <row r="52" spans="1:73">
      <c r="A52" s="12" t="s">
        <v>252</v>
      </c>
      <c r="B52" s="12"/>
      <c r="C52" s="12" t="s">
        <v>115</v>
      </c>
      <c r="D52" s="12"/>
      <c r="E52" s="13">
        <v>46318</v>
      </c>
      <c r="F52" s="8"/>
      <c r="G52" s="1">
        <v>7304421</v>
      </c>
      <c r="I52" s="1">
        <v>1540113</v>
      </c>
      <c r="K52" s="1">
        <v>147512</v>
      </c>
      <c r="M52" s="1">
        <v>32347</v>
      </c>
      <c r="O52" s="1">
        <v>384937</v>
      </c>
      <c r="Q52" s="1">
        <v>512119</v>
      </c>
      <c r="S52" s="1">
        <v>9764</v>
      </c>
      <c r="U52" s="1">
        <v>1036328</v>
      </c>
      <c r="W52" s="1">
        <v>367696</v>
      </c>
      <c r="Y52" s="1">
        <v>0</v>
      </c>
      <c r="AA52" s="1">
        <v>712029</v>
      </c>
      <c r="AC52" s="1">
        <v>661665</v>
      </c>
      <c r="AE52" s="1">
        <v>2470</v>
      </c>
      <c r="AG52" s="1">
        <v>393</v>
      </c>
      <c r="AI52" s="1">
        <v>0</v>
      </c>
      <c r="AJ52" s="12" t="s">
        <v>252</v>
      </c>
      <c r="AK52" s="12"/>
      <c r="AL52" s="12" t="s">
        <v>115</v>
      </c>
      <c r="AN52" s="1">
        <v>29872</v>
      </c>
      <c r="AP52" s="1">
        <v>247849</v>
      </c>
      <c r="AR52" s="1">
        <v>0</v>
      </c>
      <c r="AT52" s="1">
        <v>98198</v>
      </c>
      <c r="AV52" s="1">
        <v>150031</v>
      </c>
      <c r="AX52" s="1">
        <v>0</v>
      </c>
      <c r="AZ52" s="1">
        <f t="shared" si="2"/>
        <v>13237744</v>
      </c>
      <c r="BB52" s="1">
        <v>333000</v>
      </c>
      <c r="BH52" s="1">
        <v>0</v>
      </c>
      <c r="BJ52" s="1">
        <f t="shared" si="3"/>
        <v>13570744</v>
      </c>
      <c r="BL52" s="1">
        <f>+GenRev!AM52-GenExp!BJ52</f>
        <v>893689</v>
      </c>
      <c r="BN52" s="1">
        <v>66726</v>
      </c>
      <c r="BP52" s="1">
        <v>0</v>
      </c>
      <c r="BQ52" s="1">
        <v>0</v>
      </c>
      <c r="BS52" s="1">
        <f t="shared" si="4"/>
        <v>960415</v>
      </c>
      <c r="BU52" s="20">
        <f>+BS52-'Gen Fd BS'!AA52+BQ52</f>
        <v>0</v>
      </c>
    </row>
    <row r="53" spans="1:73" hidden="1">
      <c r="A53" s="12" t="s">
        <v>825</v>
      </c>
      <c r="B53" s="12"/>
      <c r="C53" s="12" t="s">
        <v>60</v>
      </c>
      <c r="D53" s="12"/>
      <c r="E53" s="13">
        <v>49692</v>
      </c>
      <c r="AJ53" s="12" t="s">
        <v>825</v>
      </c>
      <c r="AK53" s="12"/>
      <c r="AL53" s="12" t="s">
        <v>60</v>
      </c>
      <c r="AZ53" s="1">
        <f t="shared" si="2"/>
        <v>0</v>
      </c>
      <c r="BJ53" s="1">
        <f t="shared" si="3"/>
        <v>0</v>
      </c>
      <c r="BL53" s="1">
        <f>+GenRev!AM53-GenExp!BJ53</f>
        <v>0</v>
      </c>
      <c r="BS53" s="1">
        <f t="shared" si="4"/>
        <v>0</v>
      </c>
      <c r="BU53" s="20">
        <f>+BS53-'Gen Fd BS'!AA53+BQ53</f>
        <v>0</v>
      </c>
    </row>
    <row r="54" spans="1:73">
      <c r="A54" s="12" t="s">
        <v>329</v>
      </c>
      <c r="B54" s="12"/>
      <c r="C54" s="12" t="s">
        <v>27</v>
      </c>
      <c r="D54" s="12"/>
      <c r="E54" s="13">
        <v>43620</v>
      </c>
      <c r="G54" s="1">
        <v>14863556</v>
      </c>
      <c r="I54" s="1">
        <v>2898211</v>
      </c>
      <c r="K54" s="1">
        <v>301985</v>
      </c>
      <c r="M54" s="1">
        <v>0</v>
      </c>
      <c r="O54" s="1">
        <v>1339280</v>
      </c>
      <c r="Q54" s="1">
        <v>1912465</v>
      </c>
      <c r="S54" s="1">
        <v>55370</v>
      </c>
      <c r="U54" s="1">
        <v>2011681</v>
      </c>
      <c r="W54" s="1">
        <v>0</v>
      </c>
      <c r="Y54" s="1">
        <v>1133848</v>
      </c>
      <c r="AA54" s="1">
        <v>2893395</v>
      </c>
      <c r="AC54" s="1">
        <v>458661</v>
      </c>
      <c r="AE54" s="1">
        <v>130061</v>
      </c>
      <c r="AG54" s="1">
        <v>0</v>
      </c>
      <c r="AI54" s="1">
        <v>36948</v>
      </c>
      <c r="AJ54" s="12" t="s">
        <v>329</v>
      </c>
      <c r="AK54" s="12"/>
      <c r="AL54" s="12" t="s">
        <v>27</v>
      </c>
      <c r="AN54" s="1">
        <v>734977</v>
      </c>
      <c r="AP54" s="1">
        <v>178483</v>
      </c>
      <c r="AR54" s="1">
        <v>0</v>
      </c>
      <c r="AT54" s="1">
        <v>0</v>
      </c>
      <c r="AV54" s="1">
        <v>0</v>
      </c>
      <c r="AX54" s="1">
        <v>0</v>
      </c>
      <c r="AZ54" s="1">
        <f t="shared" si="2"/>
        <v>28948921</v>
      </c>
      <c r="BB54" s="1">
        <v>152283</v>
      </c>
      <c r="BH54" s="1">
        <v>0</v>
      </c>
      <c r="BJ54" s="1">
        <f t="shared" si="3"/>
        <v>29101204</v>
      </c>
      <c r="BL54" s="1">
        <f>+GenRev!AM54-GenExp!BJ54</f>
        <v>-55354</v>
      </c>
      <c r="BN54" s="1">
        <v>20945114</v>
      </c>
      <c r="BP54" s="1">
        <v>0</v>
      </c>
      <c r="BQ54" s="1">
        <v>0</v>
      </c>
      <c r="BS54" s="1">
        <f t="shared" si="4"/>
        <v>20889760</v>
      </c>
      <c r="BU54" s="20">
        <f>+BS54-'Gen Fd BS'!AA54+BQ54</f>
        <v>0</v>
      </c>
    </row>
    <row r="55" spans="1:73">
      <c r="A55" s="12" t="s">
        <v>311</v>
      </c>
      <c r="B55" s="12"/>
      <c r="C55" s="12" t="s">
        <v>23</v>
      </c>
      <c r="D55" s="12"/>
      <c r="E55" s="13">
        <v>46748</v>
      </c>
      <c r="G55" s="1">
        <v>12587328</v>
      </c>
      <c r="I55" s="1">
        <v>1674794</v>
      </c>
      <c r="K55" s="1">
        <v>299416</v>
      </c>
      <c r="M55" s="1">
        <v>0</v>
      </c>
      <c r="O55" s="1">
        <v>1165522</v>
      </c>
      <c r="Q55" s="1">
        <v>1738232</v>
      </c>
      <c r="S55" s="1">
        <v>132398</v>
      </c>
      <c r="U55" s="1">
        <v>2289336</v>
      </c>
      <c r="W55" s="1">
        <v>692433</v>
      </c>
      <c r="Y55" s="1">
        <v>186373</v>
      </c>
      <c r="AA55" s="1">
        <v>1871185</v>
      </c>
      <c r="AC55" s="1">
        <v>1870223</v>
      </c>
      <c r="AE55" s="1">
        <v>0</v>
      </c>
      <c r="AG55" s="1">
        <v>6202</v>
      </c>
      <c r="AI55" s="1">
        <v>0</v>
      </c>
      <c r="AJ55" s="12" t="s">
        <v>311</v>
      </c>
      <c r="AK55" s="12"/>
      <c r="AL55" s="12" t="s">
        <v>23</v>
      </c>
      <c r="AN55" s="1">
        <v>494397</v>
      </c>
      <c r="AP55" s="1">
        <v>2484</v>
      </c>
      <c r="AR55" s="1">
        <v>0</v>
      </c>
      <c r="AT55" s="1">
        <v>25685</v>
      </c>
      <c r="AV55" s="1">
        <v>3894</v>
      </c>
      <c r="AX55" s="1">
        <v>0</v>
      </c>
      <c r="AZ55" s="1">
        <f t="shared" si="2"/>
        <v>25039902</v>
      </c>
      <c r="BB55" s="1">
        <v>74835</v>
      </c>
      <c r="BH55" s="1">
        <v>0</v>
      </c>
      <c r="BJ55" s="1">
        <f t="shared" si="3"/>
        <v>25114737</v>
      </c>
      <c r="BL55" s="1">
        <f>+GenRev!AM55-GenExp!BJ55</f>
        <v>-285018</v>
      </c>
      <c r="BN55" s="1">
        <v>-364909</v>
      </c>
      <c r="BP55" s="1">
        <v>0</v>
      </c>
      <c r="BQ55" s="1">
        <v>0</v>
      </c>
      <c r="BS55" s="1">
        <f t="shared" si="4"/>
        <v>-649927</v>
      </c>
      <c r="BU55" s="20">
        <f>+BS55-'Gen Fd BS'!AA55+BQ55</f>
        <v>0</v>
      </c>
    </row>
    <row r="56" spans="1:73">
      <c r="A56" s="12" t="s">
        <v>478</v>
      </c>
      <c r="B56" s="12"/>
      <c r="C56" s="12" t="s">
        <v>47</v>
      </c>
      <c r="D56" s="12"/>
      <c r="E56" s="13">
        <v>48462</v>
      </c>
      <c r="G56" s="1">
        <v>7046397</v>
      </c>
      <c r="I56" s="1">
        <v>1042467</v>
      </c>
      <c r="K56" s="1">
        <v>83694</v>
      </c>
      <c r="M56" s="1">
        <v>0</v>
      </c>
      <c r="O56" s="1">
        <v>608049</v>
      </c>
      <c r="Q56" s="1">
        <v>427881</v>
      </c>
      <c r="S56" s="1">
        <v>29503</v>
      </c>
      <c r="U56" s="1">
        <v>1039555</v>
      </c>
      <c r="W56" s="1">
        <v>367095</v>
      </c>
      <c r="Y56" s="1">
        <v>26901</v>
      </c>
      <c r="AA56" s="1">
        <v>971431</v>
      </c>
      <c r="AC56" s="1">
        <v>915219</v>
      </c>
      <c r="AE56" s="1">
        <v>54238</v>
      </c>
      <c r="AG56" s="1">
        <v>0</v>
      </c>
      <c r="AI56" s="1">
        <v>1835</v>
      </c>
      <c r="AJ56" s="12" t="s">
        <v>478</v>
      </c>
      <c r="AK56" s="12"/>
      <c r="AL56" s="12" t="s">
        <v>47</v>
      </c>
      <c r="AN56" s="1">
        <v>213896</v>
      </c>
      <c r="AP56" s="1">
        <v>0</v>
      </c>
      <c r="AR56" s="1">
        <v>0</v>
      </c>
      <c r="AT56" s="1">
        <v>56126</v>
      </c>
      <c r="AV56" s="1">
        <v>7048</v>
      </c>
      <c r="AX56" s="1">
        <v>0</v>
      </c>
      <c r="AZ56" s="1">
        <f t="shared" si="2"/>
        <v>12891335</v>
      </c>
      <c r="BB56" s="1">
        <v>199424</v>
      </c>
      <c r="BH56" s="1">
        <v>0</v>
      </c>
      <c r="BJ56" s="1">
        <f t="shared" si="3"/>
        <v>13090759</v>
      </c>
      <c r="BL56" s="1">
        <f>+GenRev!AM56-GenExp!BJ56</f>
        <v>-814686</v>
      </c>
      <c r="BN56" s="1">
        <v>-409690</v>
      </c>
      <c r="BP56" s="1">
        <v>0</v>
      </c>
      <c r="BQ56" s="1">
        <v>0</v>
      </c>
      <c r="BS56" s="1">
        <f t="shared" si="4"/>
        <v>-1224376</v>
      </c>
      <c r="BU56" s="20">
        <f>+BS56-'Gen Fd BS'!AA56+BQ56</f>
        <v>0</v>
      </c>
    </row>
    <row r="57" spans="1:73">
      <c r="A57" s="12" t="s">
        <v>259</v>
      </c>
      <c r="B57" s="12"/>
      <c r="C57" s="12" t="s">
        <v>18</v>
      </c>
      <c r="D57" s="12"/>
      <c r="E57" s="13">
        <v>46383</v>
      </c>
      <c r="F57" s="8"/>
      <c r="G57" s="1">
        <v>5628130</v>
      </c>
      <c r="I57" s="1">
        <v>1089951</v>
      </c>
      <c r="K57" s="1">
        <v>373645</v>
      </c>
      <c r="M57" s="1">
        <v>650148</v>
      </c>
      <c r="O57" s="1">
        <v>569316</v>
      </c>
      <c r="Q57" s="1">
        <v>1442815</v>
      </c>
      <c r="S57" s="1">
        <v>30287</v>
      </c>
      <c r="U57" s="1">
        <v>1165988</v>
      </c>
      <c r="W57" s="1">
        <v>370295</v>
      </c>
      <c r="Y57" s="1">
        <v>7499</v>
      </c>
      <c r="AA57" s="1">
        <v>784543</v>
      </c>
      <c r="AC57" s="1">
        <v>857788</v>
      </c>
      <c r="AE57" s="1">
        <v>12687</v>
      </c>
      <c r="AG57" s="1">
        <v>8587</v>
      </c>
      <c r="AI57" s="1">
        <v>0</v>
      </c>
      <c r="AJ57" s="12" t="s">
        <v>259</v>
      </c>
      <c r="AK57" s="12"/>
      <c r="AL57" s="12" t="s">
        <v>18</v>
      </c>
      <c r="AN57" s="1">
        <v>269964</v>
      </c>
      <c r="AP57" s="1">
        <v>0</v>
      </c>
      <c r="AR57" s="1">
        <v>0</v>
      </c>
      <c r="AT57" s="1">
        <v>0</v>
      </c>
      <c r="AV57" s="1">
        <v>0</v>
      </c>
      <c r="AX57" s="1">
        <v>0</v>
      </c>
      <c r="AZ57" s="1">
        <f t="shared" si="2"/>
        <v>13261643</v>
      </c>
      <c r="BB57" s="1">
        <v>0</v>
      </c>
      <c r="BH57" s="1">
        <v>0</v>
      </c>
      <c r="BJ57" s="1">
        <f t="shared" si="3"/>
        <v>13261643</v>
      </c>
      <c r="BL57" s="1">
        <f>+GenRev!AM57-GenExp!BJ57</f>
        <v>-126319</v>
      </c>
      <c r="BN57" s="1">
        <v>842956</v>
      </c>
      <c r="BP57" s="1">
        <v>0</v>
      </c>
      <c r="BQ57" s="1">
        <v>0</v>
      </c>
      <c r="BS57" s="1">
        <f t="shared" si="4"/>
        <v>716637</v>
      </c>
      <c r="BU57" s="20">
        <f>+BS57-'Gen Fd BS'!AA57+BQ57</f>
        <v>0</v>
      </c>
    </row>
    <row r="58" spans="1:73">
      <c r="A58" s="12" t="s">
        <v>323</v>
      </c>
      <c r="B58" s="12"/>
      <c r="C58" s="12" t="s">
        <v>25</v>
      </c>
      <c r="D58" s="12"/>
      <c r="E58" s="13">
        <v>46862</v>
      </c>
      <c r="G58" s="1">
        <v>5230790</v>
      </c>
      <c r="I58" s="1">
        <v>1269312</v>
      </c>
      <c r="K58" s="1">
        <v>242891</v>
      </c>
      <c r="M58" s="1">
        <f>90963+521562</f>
        <v>612525</v>
      </c>
      <c r="O58" s="1">
        <v>749384</v>
      </c>
      <c r="Q58" s="1">
        <v>775535</v>
      </c>
      <c r="S58" s="1">
        <v>145778</v>
      </c>
      <c r="U58" s="1">
        <v>1684159</v>
      </c>
      <c r="W58" s="1">
        <v>259307</v>
      </c>
      <c r="Y58" s="1">
        <v>0</v>
      </c>
      <c r="AA58" s="1">
        <v>1368575</v>
      </c>
      <c r="AC58" s="1">
        <v>1083254</v>
      </c>
      <c r="AE58" s="1">
        <v>51437</v>
      </c>
      <c r="AG58" s="1">
        <v>0</v>
      </c>
      <c r="AI58" s="1">
        <v>0</v>
      </c>
      <c r="AJ58" s="12" t="s">
        <v>323</v>
      </c>
      <c r="AK58" s="12"/>
      <c r="AL58" s="12" t="s">
        <v>25</v>
      </c>
      <c r="AN58" s="1">
        <v>433652</v>
      </c>
      <c r="AP58" s="1">
        <v>30000</v>
      </c>
      <c r="AR58" s="1">
        <v>0</v>
      </c>
      <c r="AT58" s="1">
        <v>0</v>
      </c>
      <c r="AV58" s="1">
        <v>0</v>
      </c>
      <c r="AX58" s="1">
        <v>0</v>
      </c>
      <c r="AZ58" s="1">
        <f t="shared" si="2"/>
        <v>13936599</v>
      </c>
      <c r="BB58" s="1">
        <v>65000</v>
      </c>
      <c r="BH58" s="1">
        <v>0</v>
      </c>
      <c r="BJ58" s="1">
        <f t="shared" si="3"/>
        <v>14001599</v>
      </c>
      <c r="BL58" s="1">
        <f>+GenRev!AM58-GenExp!BJ58</f>
        <v>-539056</v>
      </c>
      <c r="BN58" s="1">
        <v>2671417</v>
      </c>
      <c r="BP58" s="1">
        <v>0</v>
      </c>
      <c r="BQ58" s="1">
        <v>0</v>
      </c>
      <c r="BS58" s="1">
        <f t="shared" si="4"/>
        <v>2132361</v>
      </c>
      <c r="BU58" s="20">
        <f>+BS58-'Gen Fd BS'!AA58+BQ58</f>
        <v>0</v>
      </c>
    </row>
    <row r="59" spans="1:73">
      <c r="A59" s="12" t="s">
        <v>599</v>
      </c>
      <c r="B59" s="12"/>
      <c r="C59" s="12" t="s">
        <v>64</v>
      </c>
      <c r="D59" s="12"/>
      <c r="E59" s="13">
        <v>50096</v>
      </c>
      <c r="G59" s="1">
        <v>1299847</v>
      </c>
      <c r="I59" s="1">
        <v>87702</v>
      </c>
      <c r="K59" s="1">
        <v>67183</v>
      </c>
      <c r="M59" s="1">
        <v>0</v>
      </c>
      <c r="O59" s="1">
        <v>67633</v>
      </c>
      <c r="Q59" s="1">
        <v>52330</v>
      </c>
      <c r="S59" s="1">
        <v>12950</v>
      </c>
      <c r="U59" s="1">
        <v>416415</v>
      </c>
      <c r="W59" s="1">
        <v>224711</v>
      </c>
      <c r="Y59" s="1">
        <v>0</v>
      </c>
      <c r="AA59" s="1">
        <v>303067</v>
      </c>
      <c r="AC59" s="1">
        <v>199645</v>
      </c>
      <c r="AE59" s="1">
        <v>0</v>
      </c>
      <c r="AG59" s="1">
        <v>0</v>
      </c>
      <c r="AI59" s="1">
        <v>3426</v>
      </c>
      <c r="AJ59" s="12" t="s">
        <v>599</v>
      </c>
      <c r="AK59" s="12"/>
      <c r="AL59" s="12" t="s">
        <v>64</v>
      </c>
      <c r="AN59" s="1">
        <v>55478</v>
      </c>
      <c r="AP59" s="1">
        <v>0</v>
      </c>
      <c r="AR59" s="1">
        <v>0</v>
      </c>
      <c r="AT59" s="1">
        <v>13596</v>
      </c>
      <c r="AV59" s="1">
        <v>2613</v>
      </c>
      <c r="AX59" s="1">
        <v>0</v>
      </c>
      <c r="AZ59" s="1">
        <f t="shared" si="2"/>
        <v>2806596</v>
      </c>
      <c r="BB59" s="1">
        <v>0</v>
      </c>
      <c r="BH59" s="1">
        <v>0</v>
      </c>
      <c r="BJ59" s="1">
        <f t="shared" si="3"/>
        <v>2806596</v>
      </c>
      <c r="BL59" s="1">
        <f>+GenRev!AM59-GenExp!BJ59</f>
        <v>-21554</v>
      </c>
      <c r="BN59" s="1">
        <v>370026</v>
      </c>
      <c r="BP59" s="1">
        <v>0</v>
      </c>
      <c r="BQ59" s="1">
        <v>0</v>
      </c>
      <c r="BS59" s="1">
        <f t="shared" si="4"/>
        <v>348472</v>
      </c>
      <c r="BU59" s="20">
        <f>+BS59-'Gen Fd BS'!AA59+BQ59</f>
        <v>0</v>
      </c>
    </row>
    <row r="60" spans="1:73">
      <c r="A60" s="12" t="s">
        <v>559</v>
      </c>
      <c r="B60" s="12"/>
      <c r="C60" s="12" t="s">
        <v>59</v>
      </c>
      <c r="D60" s="12"/>
      <c r="E60" s="13">
        <v>49593</v>
      </c>
      <c r="G60" s="1">
        <v>3805460</v>
      </c>
      <c r="I60" s="1">
        <v>601278</v>
      </c>
      <c r="K60" s="1">
        <v>15000</v>
      </c>
      <c r="M60" s="1">
        <v>136484</v>
      </c>
      <c r="O60" s="1">
        <v>273163</v>
      </c>
      <c r="Q60" s="1">
        <v>292444</v>
      </c>
      <c r="S60" s="1">
        <v>32996</v>
      </c>
      <c r="U60" s="1">
        <v>765892</v>
      </c>
      <c r="W60" s="1">
        <v>194961</v>
      </c>
      <c r="Y60" s="1">
        <v>19581</v>
      </c>
      <c r="AA60" s="1">
        <v>596462</v>
      </c>
      <c r="AC60" s="1">
        <v>731474</v>
      </c>
      <c r="AE60" s="1">
        <v>4255</v>
      </c>
      <c r="AG60" s="1">
        <v>0</v>
      </c>
      <c r="AI60" s="1">
        <v>130</v>
      </c>
      <c r="AJ60" s="12" t="s">
        <v>559</v>
      </c>
      <c r="AK60" s="12"/>
      <c r="AL60" s="12" t="s">
        <v>59</v>
      </c>
      <c r="AN60" s="1">
        <v>124839</v>
      </c>
      <c r="AP60" s="1">
        <v>1605</v>
      </c>
      <c r="AR60" s="1">
        <v>0</v>
      </c>
      <c r="AT60" s="1">
        <v>0</v>
      </c>
      <c r="AV60" s="1">
        <v>0</v>
      </c>
      <c r="AX60" s="1">
        <v>29000</v>
      </c>
      <c r="AZ60" s="1">
        <f>SUM(G60:AX60)</f>
        <v>7625024</v>
      </c>
      <c r="BB60" s="1">
        <v>303</v>
      </c>
      <c r="BH60" s="1">
        <v>0</v>
      </c>
      <c r="BJ60" s="1">
        <f>+AZ60+BB60+BD60+BH60</f>
        <v>7625327</v>
      </c>
      <c r="BL60" s="1">
        <f>+GenRev!AM60-GenExp!BJ60</f>
        <v>369521</v>
      </c>
      <c r="BN60" s="1">
        <v>57108</v>
      </c>
      <c r="BP60" s="1">
        <v>0</v>
      </c>
      <c r="BQ60" s="1">
        <v>0</v>
      </c>
      <c r="BS60" s="1">
        <f>+BN60+BL60-BP60</f>
        <v>426629</v>
      </c>
      <c r="BU60" s="20">
        <f>+BS60-'Gen Fd BS'!AA60+BQ60</f>
        <v>0</v>
      </c>
    </row>
    <row r="61" spans="1:73" hidden="1">
      <c r="A61" s="12" t="s">
        <v>791</v>
      </c>
      <c r="B61" s="17"/>
      <c r="C61" s="17" t="s">
        <v>10</v>
      </c>
      <c r="D61" s="12"/>
      <c r="E61" s="13">
        <v>49593</v>
      </c>
      <c r="AJ61" s="12" t="s">
        <v>791</v>
      </c>
      <c r="AK61" s="17"/>
      <c r="AL61" s="17" t="s">
        <v>10</v>
      </c>
      <c r="AZ61" s="1">
        <f>SUM(G61:AX61)</f>
        <v>0</v>
      </c>
      <c r="BJ61" s="1">
        <f t="shared" si="3"/>
        <v>0</v>
      </c>
      <c r="BL61" s="1">
        <f>+GenRev!AM61-GenExp!BJ61</f>
        <v>0</v>
      </c>
      <c r="BS61" s="1">
        <f t="shared" si="4"/>
        <v>0</v>
      </c>
      <c r="BU61" s="20">
        <f>+BS61-'Gen Fd BS'!AA61+BQ61</f>
        <v>0</v>
      </c>
    </row>
    <row r="62" spans="1:73">
      <c r="A62" s="12" t="s">
        <v>462</v>
      </c>
      <c r="B62" s="12"/>
      <c r="C62" s="12" t="s">
        <v>45</v>
      </c>
      <c r="D62" s="12"/>
      <c r="E62" s="13">
        <v>48306</v>
      </c>
      <c r="G62" s="1">
        <v>21557708</v>
      </c>
      <c r="I62" s="1">
        <v>3618998</v>
      </c>
      <c r="K62" s="1">
        <v>0</v>
      </c>
      <c r="M62" s="1">
        <v>202608</v>
      </c>
      <c r="O62" s="1">
        <v>1545447</v>
      </c>
      <c r="Q62" s="1">
        <v>2605799</v>
      </c>
      <c r="S62" s="1">
        <v>113062</v>
      </c>
      <c r="U62" s="1">
        <v>2471930</v>
      </c>
      <c r="W62" s="1">
        <v>981951</v>
      </c>
      <c r="Y62" s="1">
        <v>147158</v>
      </c>
      <c r="AA62" s="1">
        <v>4248163</v>
      </c>
      <c r="AC62" s="1">
        <v>2874018</v>
      </c>
      <c r="AE62" s="1">
        <v>52250</v>
      </c>
      <c r="AG62" s="1">
        <v>0</v>
      </c>
      <c r="AI62" s="1">
        <v>0</v>
      </c>
      <c r="AJ62" s="12" t="s">
        <v>462</v>
      </c>
      <c r="AK62" s="12"/>
      <c r="AL62" s="12" t="s">
        <v>45</v>
      </c>
      <c r="AN62" s="1">
        <v>762089</v>
      </c>
      <c r="AP62" s="1">
        <v>0</v>
      </c>
      <c r="AR62" s="1">
        <v>0</v>
      </c>
      <c r="AT62" s="1">
        <v>0</v>
      </c>
      <c r="AV62" s="1">
        <v>0</v>
      </c>
      <c r="AX62" s="1">
        <v>0</v>
      </c>
      <c r="AZ62" s="1">
        <f t="shared" si="2"/>
        <v>41181181</v>
      </c>
      <c r="BB62" s="1">
        <v>254520</v>
      </c>
      <c r="BH62" s="1">
        <v>0</v>
      </c>
      <c r="BJ62" s="1">
        <f t="shared" si="3"/>
        <v>41435701</v>
      </c>
      <c r="BL62" s="1">
        <f>+GenRev!AM62-GenExp!BJ62</f>
        <v>-1847774</v>
      </c>
      <c r="BN62" s="1">
        <v>7289529</v>
      </c>
      <c r="BP62" s="1">
        <v>0</v>
      </c>
      <c r="BQ62" s="1">
        <v>0</v>
      </c>
      <c r="BS62" s="1">
        <f t="shared" si="4"/>
        <v>5441755</v>
      </c>
      <c r="BU62" s="20">
        <f>+BS62-'Gen Fd BS'!AA62+BQ62</f>
        <v>0</v>
      </c>
    </row>
    <row r="63" spans="1:73" hidden="1">
      <c r="A63" s="12" t="s">
        <v>923</v>
      </c>
      <c r="B63" s="12"/>
      <c r="C63" s="12" t="s">
        <v>61</v>
      </c>
      <c r="D63" s="12"/>
      <c r="E63" s="13">
        <v>49767</v>
      </c>
      <c r="AJ63" s="12" t="s">
        <v>923</v>
      </c>
      <c r="AK63" s="12"/>
      <c r="AL63" s="12" t="s">
        <v>61</v>
      </c>
      <c r="AZ63" s="1">
        <f t="shared" si="2"/>
        <v>0</v>
      </c>
      <c r="BJ63" s="1">
        <f t="shared" si="3"/>
        <v>0</v>
      </c>
      <c r="BL63" s="1">
        <f>+GenRev!AM63-GenExp!BJ63</f>
        <v>0</v>
      </c>
      <c r="BS63" s="1">
        <f t="shared" si="4"/>
        <v>0</v>
      </c>
      <c r="BU63" s="20">
        <f>+BS63-'Gen Fd BS'!AA63+BQ63</f>
        <v>0</v>
      </c>
    </row>
    <row r="64" spans="1:73">
      <c r="A64" s="12" t="s">
        <v>646</v>
      </c>
      <c r="B64" s="12"/>
      <c r="C64" s="12" t="s">
        <v>72</v>
      </c>
      <c r="D64" s="12"/>
      <c r="E64" s="13">
        <v>43638</v>
      </c>
      <c r="G64" s="1">
        <v>17863296</v>
      </c>
      <c r="I64" s="1">
        <v>0</v>
      </c>
      <c r="K64" s="1">
        <v>0</v>
      </c>
      <c r="M64" s="1">
        <v>0</v>
      </c>
      <c r="O64" s="1">
        <v>10300358</v>
      </c>
      <c r="Q64" s="1">
        <v>0</v>
      </c>
      <c r="S64" s="1">
        <v>0</v>
      </c>
      <c r="U64" s="1">
        <v>0</v>
      </c>
      <c r="W64" s="1">
        <v>0</v>
      </c>
      <c r="Y64" s="1">
        <v>0</v>
      </c>
      <c r="AA64" s="1">
        <v>0</v>
      </c>
      <c r="AC64" s="1">
        <v>0</v>
      </c>
      <c r="AE64" s="1">
        <v>0</v>
      </c>
      <c r="AG64" s="1">
        <v>2038</v>
      </c>
      <c r="AI64" s="1">
        <v>0</v>
      </c>
      <c r="AJ64" s="12" t="s">
        <v>646</v>
      </c>
      <c r="AK64" s="12"/>
      <c r="AL64" s="12" t="s">
        <v>72</v>
      </c>
      <c r="AN64" s="1">
        <v>557935</v>
      </c>
      <c r="AP64" s="1">
        <v>0</v>
      </c>
      <c r="AR64" s="1">
        <v>0</v>
      </c>
      <c r="AT64" s="1">
        <v>0</v>
      </c>
      <c r="AV64" s="1">
        <v>0</v>
      </c>
      <c r="AX64" s="1">
        <v>0</v>
      </c>
      <c r="AZ64" s="1">
        <f t="shared" si="2"/>
        <v>28723627</v>
      </c>
      <c r="BB64" s="1">
        <v>436000</v>
      </c>
      <c r="BH64" s="1">
        <v>9259</v>
      </c>
      <c r="BJ64" s="1">
        <f t="shared" si="3"/>
        <v>29168886</v>
      </c>
      <c r="BL64" s="1">
        <f>+GenRev!AM64-GenExp!BJ64</f>
        <v>-363220</v>
      </c>
      <c r="BN64" s="1">
        <v>8221483</v>
      </c>
      <c r="BP64" s="1">
        <v>0</v>
      </c>
      <c r="BQ64" s="1">
        <v>0</v>
      </c>
      <c r="BS64" s="1">
        <f t="shared" si="4"/>
        <v>7858263</v>
      </c>
      <c r="BU64" s="20">
        <f>+BS64-'Gen Fd BS'!AA64+BQ64</f>
        <v>0</v>
      </c>
    </row>
    <row r="65" spans="1:73" hidden="1">
      <c r="A65" s="12" t="s">
        <v>832</v>
      </c>
      <c r="B65" s="12"/>
      <c r="C65" s="12" t="s">
        <v>48</v>
      </c>
      <c r="D65" s="12"/>
      <c r="E65" s="13">
        <v>43646</v>
      </c>
      <c r="AJ65" s="12" t="s">
        <v>832</v>
      </c>
      <c r="AK65" s="12"/>
      <c r="AL65" s="12" t="s">
        <v>48</v>
      </c>
      <c r="AZ65" s="1">
        <f>SUM(G65:AX65)</f>
        <v>0</v>
      </c>
      <c r="BJ65" s="1">
        <f t="shared" si="3"/>
        <v>0</v>
      </c>
      <c r="BL65" s="1">
        <f>+GenRev!AM65-GenExp!BJ65</f>
        <v>0</v>
      </c>
      <c r="BS65" s="1">
        <f t="shared" si="4"/>
        <v>0</v>
      </c>
      <c r="BU65" s="20">
        <f>+BS65-'Gen Fd BS'!AA65+BQ65</f>
        <v>0</v>
      </c>
    </row>
    <row r="66" spans="1:73">
      <c r="A66" s="12" t="s">
        <v>772</v>
      </c>
      <c r="B66" s="12"/>
      <c r="C66" s="12" t="s">
        <v>20</v>
      </c>
      <c r="D66" s="12"/>
      <c r="E66" s="13">
        <v>43646</v>
      </c>
      <c r="G66" s="1">
        <v>22128166</v>
      </c>
      <c r="I66" s="1">
        <v>6199143</v>
      </c>
      <c r="K66" s="1">
        <v>195862</v>
      </c>
      <c r="M66" s="1">
        <v>47725</v>
      </c>
      <c r="O66" s="1">
        <v>3585734</v>
      </c>
      <c r="Q66" s="1">
        <v>2477670</v>
      </c>
      <c r="S66" s="1">
        <v>84986</v>
      </c>
      <c r="U66" s="1">
        <v>3361776</v>
      </c>
      <c r="W66" s="1">
        <v>1253545</v>
      </c>
      <c r="Y66" s="1">
        <v>536463</v>
      </c>
      <c r="AA66" s="1">
        <v>4440501</v>
      </c>
      <c r="AC66" s="1">
        <v>3374621</v>
      </c>
      <c r="AE66" s="1">
        <v>237034</v>
      </c>
      <c r="AG66" s="1">
        <v>0</v>
      </c>
      <c r="AI66" s="1">
        <v>18150</v>
      </c>
      <c r="AJ66" s="12" t="s">
        <v>772</v>
      </c>
      <c r="AK66" s="12"/>
      <c r="AL66" s="12" t="s">
        <v>20</v>
      </c>
      <c r="AN66" s="1">
        <v>883842</v>
      </c>
      <c r="AP66" s="1">
        <v>0</v>
      </c>
      <c r="AR66" s="1">
        <v>0</v>
      </c>
      <c r="AT66" s="1">
        <v>0</v>
      </c>
      <c r="AV66" s="1">
        <v>0</v>
      </c>
      <c r="AX66" s="1">
        <v>0</v>
      </c>
      <c r="AZ66" s="1">
        <f t="shared" si="2"/>
        <v>48825218</v>
      </c>
      <c r="BB66" s="1">
        <v>269230</v>
      </c>
      <c r="BH66" s="1">
        <v>0</v>
      </c>
      <c r="BJ66" s="1">
        <f t="shared" si="3"/>
        <v>49094448</v>
      </c>
      <c r="BL66" s="1">
        <f>+GenRev!AM66-GenExp!BJ66</f>
        <v>-3137837</v>
      </c>
      <c r="BN66" s="1">
        <v>12913949</v>
      </c>
      <c r="BP66" s="1">
        <v>0</v>
      </c>
      <c r="BQ66" s="1">
        <v>0</v>
      </c>
      <c r="BS66" s="1">
        <f t="shared" si="4"/>
        <v>9776112</v>
      </c>
      <c r="BU66" s="20">
        <f>+BS66-'Gen Fd BS'!AA66+BQ66</f>
        <v>0</v>
      </c>
    </row>
    <row r="67" spans="1:73">
      <c r="A67" s="17" t="s">
        <v>826</v>
      </c>
      <c r="B67" s="12"/>
      <c r="C67" s="12" t="s">
        <v>15</v>
      </c>
      <c r="D67" s="12"/>
      <c r="E67" s="13">
        <v>45237</v>
      </c>
      <c r="F67" s="8"/>
      <c r="G67" s="1">
        <v>3170451</v>
      </c>
      <c r="I67" s="1">
        <v>404600</v>
      </c>
      <c r="K67" s="1">
        <v>43772</v>
      </c>
      <c r="M67" s="1">
        <v>62726</v>
      </c>
      <c r="O67" s="1">
        <v>181256</v>
      </c>
      <c r="Q67" s="1">
        <v>296774</v>
      </c>
      <c r="S67" s="1">
        <v>22561</v>
      </c>
      <c r="U67" s="1">
        <v>591379</v>
      </c>
      <c r="W67" s="1">
        <v>260426</v>
      </c>
      <c r="Y67" s="1">
        <v>0</v>
      </c>
      <c r="AA67" s="1">
        <v>712429</v>
      </c>
      <c r="AC67" s="1">
        <v>271758</v>
      </c>
      <c r="AE67" s="1">
        <v>7360</v>
      </c>
      <c r="AG67" s="1">
        <v>0</v>
      </c>
      <c r="AI67" s="1">
        <v>2887</v>
      </c>
      <c r="AJ67" s="17" t="s">
        <v>826</v>
      </c>
      <c r="AK67" s="12"/>
      <c r="AL67" s="12" t="s">
        <v>15</v>
      </c>
      <c r="AN67" s="1">
        <v>86311</v>
      </c>
      <c r="AP67" s="1">
        <v>0</v>
      </c>
      <c r="AR67" s="1">
        <v>0</v>
      </c>
      <c r="AT67" s="1">
        <v>14569</v>
      </c>
      <c r="AV67" s="1">
        <v>1379</v>
      </c>
      <c r="AX67" s="1">
        <v>0</v>
      </c>
      <c r="AZ67" s="1">
        <f t="shared" si="2"/>
        <v>6130638</v>
      </c>
      <c r="BB67" s="1">
        <v>40000</v>
      </c>
      <c r="BH67" s="1">
        <v>0</v>
      </c>
      <c r="BJ67" s="1">
        <f t="shared" si="3"/>
        <v>6170638</v>
      </c>
      <c r="BL67" s="1">
        <f>+GenRev!AM67-GenExp!BJ67</f>
        <v>432053</v>
      </c>
      <c r="BN67" s="1">
        <v>-382535</v>
      </c>
      <c r="BP67" s="1">
        <v>0</v>
      </c>
      <c r="BQ67" s="1">
        <v>0</v>
      </c>
      <c r="BS67" s="1">
        <f t="shared" si="4"/>
        <v>49518</v>
      </c>
      <c r="BU67" s="20">
        <f>+BS67-'Gen Fd BS'!AA67+BQ67</f>
        <v>0</v>
      </c>
    </row>
    <row r="68" spans="1:73">
      <c r="A68" s="12" t="s">
        <v>394</v>
      </c>
      <c r="B68" s="12"/>
      <c r="C68" s="12" t="s">
        <v>395</v>
      </c>
      <c r="D68" s="12"/>
      <c r="E68" s="13">
        <v>47613</v>
      </c>
      <c r="G68" s="1">
        <v>3457449</v>
      </c>
      <c r="I68" s="1">
        <v>581494</v>
      </c>
      <c r="K68" s="1">
        <v>182399</v>
      </c>
      <c r="M68" s="1">
        <v>61061</v>
      </c>
      <c r="O68" s="1">
        <v>350582</v>
      </c>
      <c r="Q68" s="1">
        <v>236929</v>
      </c>
      <c r="S68" s="1">
        <v>32340</v>
      </c>
      <c r="U68" s="1">
        <v>425136</v>
      </c>
      <c r="W68" s="1">
        <v>284759</v>
      </c>
      <c r="Y68" s="1">
        <v>4280</v>
      </c>
      <c r="AA68" s="1">
        <v>533276</v>
      </c>
      <c r="AC68" s="1">
        <v>603955</v>
      </c>
      <c r="AE68" s="1">
        <v>0</v>
      </c>
      <c r="AG68" s="1">
        <v>0</v>
      </c>
      <c r="AI68" s="1">
        <v>406</v>
      </c>
      <c r="AJ68" s="12" t="s">
        <v>394</v>
      </c>
      <c r="AK68" s="12"/>
      <c r="AL68" s="12" t="s">
        <v>395</v>
      </c>
      <c r="AN68" s="1">
        <v>89951</v>
      </c>
      <c r="AP68" s="1">
        <v>0</v>
      </c>
      <c r="AR68" s="1">
        <v>0</v>
      </c>
      <c r="AT68" s="1">
        <v>0</v>
      </c>
      <c r="AV68" s="1">
        <v>0</v>
      </c>
      <c r="AX68" s="1">
        <v>0</v>
      </c>
      <c r="AZ68" s="1">
        <f t="shared" si="2"/>
        <v>6844017</v>
      </c>
      <c r="BB68" s="1">
        <v>0</v>
      </c>
      <c r="BH68" s="1">
        <v>0</v>
      </c>
      <c r="BJ68" s="1">
        <f t="shared" si="3"/>
        <v>6844017</v>
      </c>
      <c r="BL68" s="1">
        <f>+GenRev!AM68-GenExp!BJ68</f>
        <v>-36490</v>
      </c>
      <c r="BN68" s="1">
        <v>927099</v>
      </c>
      <c r="BP68" s="1">
        <v>0</v>
      </c>
      <c r="BQ68" s="1">
        <v>0</v>
      </c>
      <c r="BS68" s="1">
        <f t="shared" si="4"/>
        <v>890609</v>
      </c>
      <c r="BU68" s="20">
        <f>+BS68-'Gen Fd BS'!AA68+BQ68</f>
        <v>0</v>
      </c>
    </row>
    <row r="69" spans="1:73">
      <c r="A69" s="12" t="s">
        <v>600</v>
      </c>
      <c r="B69" s="12"/>
      <c r="C69" s="12" t="s">
        <v>64</v>
      </c>
      <c r="D69" s="12"/>
      <c r="E69" s="13">
        <v>50112</v>
      </c>
      <c r="G69" s="1">
        <v>3042913</v>
      </c>
      <c r="I69" s="1">
        <v>292053</v>
      </c>
      <c r="K69" s="1">
        <v>68181</v>
      </c>
      <c r="M69" s="1">
        <v>2640</v>
      </c>
      <c r="O69" s="1">
        <v>213131</v>
      </c>
      <c r="Q69" s="1">
        <v>181886</v>
      </c>
      <c r="S69" s="1">
        <v>26820</v>
      </c>
      <c r="U69" s="1">
        <v>543704</v>
      </c>
      <c r="W69" s="1">
        <v>196883</v>
      </c>
      <c r="Y69" s="1">
        <v>26209</v>
      </c>
      <c r="AA69" s="1">
        <v>301058</v>
      </c>
      <c r="AC69" s="1">
        <v>233619</v>
      </c>
      <c r="AE69" s="1">
        <v>3085</v>
      </c>
      <c r="AG69" s="1">
        <v>0</v>
      </c>
      <c r="AI69" s="1">
        <v>0</v>
      </c>
      <c r="AJ69" s="12" t="s">
        <v>600</v>
      </c>
      <c r="AK69" s="12"/>
      <c r="AL69" s="12" t="s">
        <v>64</v>
      </c>
      <c r="AN69" s="1">
        <v>17662</v>
      </c>
      <c r="AP69" s="1">
        <v>0</v>
      </c>
      <c r="AR69" s="1">
        <v>0</v>
      </c>
      <c r="AT69" s="1">
        <v>0</v>
      </c>
      <c r="AV69" s="1">
        <v>0</v>
      </c>
      <c r="AX69" s="1">
        <v>0</v>
      </c>
      <c r="AZ69" s="1">
        <f t="shared" si="2"/>
        <v>5149844</v>
      </c>
      <c r="BB69" s="1">
        <v>98604</v>
      </c>
      <c r="BH69" s="1">
        <v>0</v>
      </c>
      <c r="BJ69" s="1">
        <f t="shared" si="3"/>
        <v>5248448</v>
      </c>
      <c r="BL69" s="1">
        <f>+GenRev!AM69-GenExp!BJ69</f>
        <v>347786</v>
      </c>
      <c r="BN69" s="1">
        <v>1175080</v>
      </c>
      <c r="BP69" s="1">
        <v>0</v>
      </c>
      <c r="BQ69" s="1">
        <v>0</v>
      </c>
      <c r="BS69" s="1">
        <f t="shared" si="4"/>
        <v>1522866</v>
      </c>
      <c r="BU69" s="20">
        <f>+BS69-'Gen Fd BS'!AA69+BQ69</f>
        <v>0</v>
      </c>
    </row>
    <row r="70" spans="1:73">
      <c r="A70" s="12" t="s">
        <v>827</v>
      </c>
      <c r="B70" s="12"/>
      <c r="C70" s="12" t="s">
        <v>64</v>
      </c>
      <c r="D70" s="12"/>
      <c r="E70" s="13">
        <v>50120</v>
      </c>
      <c r="G70" s="1">
        <v>4810204</v>
      </c>
      <c r="I70" s="1">
        <v>918653</v>
      </c>
      <c r="K70" s="1">
        <v>140200</v>
      </c>
      <c r="M70" s="1">
        <v>0</v>
      </c>
      <c r="O70" s="1">
        <v>489837</v>
      </c>
      <c r="Q70" s="1">
        <v>242824</v>
      </c>
      <c r="S70" s="1">
        <v>8108</v>
      </c>
      <c r="U70" s="1">
        <v>529142</v>
      </c>
      <c r="W70" s="1">
        <v>247421</v>
      </c>
      <c r="Y70" s="1">
        <v>38307</v>
      </c>
      <c r="AA70" s="1">
        <v>1048198</v>
      </c>
      <c r="AC70" s="1">
        <v>598360</v>
      </c>
      <c r="AE70" s="1">
        <v>3175</v>
      </c>
      <c r="AG70" s="1">
        <v>0</v>
      </c>
      <c r="AI70" s="1">
        <v>0</v>
      </c>
      <c r="AJ70" s="12" t="s">
        <v>827</v>
      </c>
      <c r="AK70" s="12"/>
      <c r="AL70" s="12" t="s">
        <v>64</v>
      </c>
      <c r="AN70" s="1">
        <v>229237</v>
      </c>
      <c r="AP70" s="1">
        <v>0</v>
      </c>
      <c r="AR70" s="1">
        <v>0</v>
      </c>
      <c r="AT70" s="1">
        <v>17511</v>
      </c>
      <c r="AV70" s="1">
        <v>6492</v>
      </c>
      <c r="AX70" s="1">
        <v>0</v>
      </c>
      <c r="AZ70" s="1">
        <f t="shared" si="2"/>
        <v>9327669</v>
      </c>
      <c r="BB70" s="1">
        <v>0</v>
      </c>
      <c r="BH70" s="1">
        <v>0</v>
      </c>
      <c r="BJ70" s="1">
        <f t="shared" si="3"/>
        <v>9327669</v>
      </c>
      <c r="BL70" s="1">
        <f>+GenRev!AM70-GenExp!BJ70</f>
        <v>6888</v>
      </c>
      <c r="BN70" s="1">
        <v>-1047616</v>
      </c>
      <c r="BP70" s="1">
        <v>0</v>
      </c>
      <c r="BQ70" s="1">
        <v>0</v>
      </c>
      <c r="BS70" s="1">
        <f t="shared" si="4"/>
        <v>-1040728</v>
      </c>
      <c r="BU70" s="20">
        <f>+BS70-'Gen Fd BS'!AA70+BQ70</f>
        <v>0</v>
      </c>
    </row>
    <row r="71" spans="1:73">
      <c r="A71" s="12" t="s">
        <v>284</v>
      </c>
      <c r="B71" s="12"/>
      <c r="C71" s="12" t="s">
        <v>20</v>
      </c>
      <c r="D71" s="12"/>
      <c r="E71" s="13">
        <v>43653</v>
      </c>
      <c r="G71" s="1">
        <v>6802755</v>
      </c>
      <c r="I71" s="1">
        <v>1901771</v>
      </c>
      <c r="K71" s="1">
        <v>110579</v>
      </c>
      <c r="M71" s="1">
        <v>0</v>
      </c>
      <c r="O71" s="1">
        <v>1056097</v>
      </c>
      <c r="Q71" s="1">
        <v>90507</v>
      </c>
      <c r="S71" s="1">
        <v>33659</v>
      </c>
      <c r="U71" s="1">
        <v>1535346</v>
      </c>
      <c r="W71" s="1">
        <v>653480</v>
      </c>
      <c r="Y71" s="1">
        <v>98712</v>
      </c>
      <c r="AA71" s="1">
        <v>1170309</v>
      </c>
      <c r="AC71" s="1">
        <v>283705</v>
      </c>
      <c r="AE71" s="1">
        <v>121211</v>
      </c>
      <c r="AG71" s="1">
        <v>0</v>
      </c>
      <c r="AI71" s="1">
        <v>0</v>
      </c>
      <c r="AJ71" s="12" t="s">
        <v>284</v>
      </c>
      <c r="AK71" s="12"/>
      <c r="AL71" s="12" t="s">
        <v>20</v>
      </c>
      <c r="AN71" s="1">
        <v>267482</v>
      </c>
      <c r="AP71" s="1">
        <v>42788</v>
      </c>
      <c r="AR71" s="1">
        <v>0</v>
      </c>
      <c r="AT71" s="1">
        <v>0</v>
      </c>
      <c r="AV71" s="1">
        <v>0</v>
      </c>
      <c r="AX71" s="1">
        <v>0</v>
      </c>
      <c r="AZ71" s="1">
        <f t="shared" si="2"/>
        <v>14168401</v>
      </c>
      <c r="BB71" s="1">
        <v>0</v>
      </c>
      <c r="BH71" s="1">
        <v>0</v>
      </c>
      <c r="BJ71" s="1">
        <f t="shared" si="3"/>
        <v>14168401</v>
      </c>
      <c r="BL71" s="1">
        <f>+GenRev!AM71-GenExp!BJ71</f>
        <v>212140</v>
      </c>
      <c r="BN71" s="1">
        <v>2975399</v>
      </c>
      <c r="BP71" s="1">
        <v>0</v>
      </c>
      <c r="BQ71" s="1">
        <v>0</v>
      </c>
      <c r="BS71" s="1">
        <f t="shared" si="4"/>
        <v>3187539</v>
      </c>
      <c r="BU71" s="20">
        <f>+BS71-'Gen Fd BS'!AA71+BQ71</f>
        <v>0</v>
      </c>
    </row>
    <row r="72" spans="1:73">
      <c r="A72" s="12" t="s">
        <v>494</v>
      </c>
      <c r="B72" s="12"/>
      <c r="C72" s="12" t="s">
        <v>50</v>
      </c>
      <c r="D72" s="12"/>
      <c r="E72" s="13">
        <v>48678</v>
      </c>
      <c r="G72" s="1">
        <v>5388877</v>
      </c>
      <c r="I72" s="1">
        <v>960260</v>
      </c>
      <c r="K72" s="1">
        <v>185153</v>
      </c>
      <c r="M72" s="1">
        <v>33921</v>
      </c>
      <c r="O72" s="1">
        <v>763900</v>
      </c>
      <c r="Q72" s="1">
        <v>590871</v>
      </c>
      <c r="S72" s="1">
        <v>28122</v>
      </c>
      <c r="U72" s="1">
        <v>1334686</v>
      </c>
      <c r="W72" s="1">
        <v>297295</v>
      </c>
      <c r="Y72" s="1">
        <v>4835</v>
      </c>
      <c r="AA72" s="1">
        <v>863104</v>
      </c>
      <c r="AC72" s="1">
        <v>609613</v>
      </c>
      <c r="AE72" s="1">
        <v>17306</v>
      </c>
      <c r="AG72" s="1">
        <v>0</v>
      </c>
      <c r="AI72" s="1">
        <v>0</v>
      </c>
      <c r="AJ72" s="12" t="s">
        <v>494</v>
      </c>
      <c r="AK72" s="12"/>
      <c r="AL72" s="12" t="s">
        <v>50</v>
      </c>
      <c r="AN72" s="1">
        <v>357051</v>
      </c>
      <c r="AP72" s="1">
        <v>0</v>
      </c>
      <c r="AR72" s="1">
        <v>0</v>
      </c>
      <c r="AT72" s="1">
        <v>0</v>
      </c>
      <c r="AV72" s="1">
        <v>0</v>
      </c>
      <c r="AX72" s="1">
        <v>0</v>
      </c>
      <c r="AZ72" s="1">
        <f t="shared" si="2"/>
        <v>11434994</v>
      </c>
      <c r="BB72" s="1">
        <v>117814</v>
      </c>
      <c r="BH72" s="1">
        <v>0</v>
      </c>
      <c r="BJ72" s="1">
        <f t="shared" si="3"/>
        <v>11552808</v>
      </c>
      <c r="BL72" s="1">
        <f>+GenRev!AM72-GenExp!BJ72</f>
        <v>429610</v>
      </c>
      <c r="BN72" s="1">
        <v>3128723</v>
      </c>
      <c r="BP72" s="1">
        <v>0</v>
      </c>
      <c r="BQ72" s="1">
        <v>0</v>
      </c>
      <c r="BS72" s="1">
        <f t="shared" si="4"/>
        <v>3558333</v>
      </c>
      <c r="BU72" s="20">
        <f>+BS72-'Gen Fd BS'!AA72+BQ72</f>
        <v>0</v>
      </c>
    </row>
    <row r="73" spans="1:73">
      <c r="A73" s="12" t="s">
        <v>237</v>
      </c>
      <c r="B73" s="12"/>
      <c r="C73" s="12" t="s">
        <v>16</v>
      </c>
      <c r="D73" s="12"/>
      <c r="E73" s="13">
        <v>46177</v>
      </c>
      <c r="F73" s="8"/>
      <c r="G73" s="1">
        <v>3563068</v>
      </c>
      <c r="I73" s="1">
        <v>423146</v>
      </c>
      <c r="K73" s="1">
        <v>53883</v>
      </c>
      <c r="M73" s="1">
        <v>0</v>
      </c>
      <c r="O73" s="1">
        <v>114532</v>
      </c>
      <c r="Q73" s="1">
        <v>318162</v>
      </c>
      <c r="S73" s="1">
        <v>197633</v>
      </c>
      <c r="U73" s="1">
        <v>624870</v>
      </c>
      <c r="W73" s="1">
        <v>156045</v>
      </c>
      <c r="Y73" s="1">
        <v>5234</v>
      </c>
      <c r="AA73" s="1">
        <v>478241</v>
      </c>
      <c r="AC73" s="1">
        <v>323488</v>
      </c>
      <c r="AE73" s="1">
        <v>10430</v>
      </c>
      <c r="AG73" s="1">
        <v>0</v>
      </c>
      <c r="AI73" s="1">
        <v>0</v>
      </c>
      <c r="AJ73" s="12" t="s">
        <v>237</v>
      </c>
      <c r="AK73" s="12"/>
      <c r="AL73" s="12" t="s">
        <v>16</v>
      </c>
      <c r="AN73" s="1">
        <v>193463</v>
      </c>
      <c r="AP73" s="1">
        <v>0</v>
      </c>
      <c r="AR73" s="1">
        <v>0</v>
      </c>
      <c r="AT73" s="1">
        <v>15825</v>
      </c>
      <c r="AV73" s="1">
        <v>3422</v>
      </c>
      <c r="AX73" s="1">
        <v>0</v>
      </c>
      <c r="AZ73" s="1">
        <f t="shared" si="2"/>
        <v>6481442</v>
      </c>
      <c r="BB73" s="1">
        <v>0</v>
      </c>
      <c r="BH73" s="1">
        <v>0</v>
      </c>
      <c r="BJ73" s="1">
        <f t="shared" si="3"/>
        <v>6481442</v>
      </c>
      <c r="BL73" s="1">
        <f>+GenRev!AM73-GenExp!BJ73</f>
        <v>-357005</v>
      </c>
      <c r="BN73" s="1">
        <v>2319446</v>
      </c>
      <c r="BP73" s="1">
        <v>0</v>
      </c>
      <c r="BQ73" s="1">
        <v>0</v>
      </c>
      <c r="BS73" s="1">
        <f t="shared" si="4"/>
        <v>1962441</v>
      </c>
      <c r="BU73" s="20">
        <f>+BS73-'Gen Fd BS'!AA73+BQ73</f>
        <v>0</v>
      </c>
    </row>
    <row r="74" spans="1:73">
      <c r="A74" s="12" t="s">
        <v>479</v>
      </c>
      <c r="B74" s="12"/>
      <c r="C74" s="12" t="s">
        <v>47</v>
      </c>
      <c r="D74" s="12"/>
      <c r="E74" s="13">
        <v>43661</v>
      </c>
      <c r="G74" s="1">
        <v>28284164</v>
      </c>
      <c r="I74" s="1">
        <v>6697045</v>
      </c>
      <c r="K74" s="1">
        <v>162724</v>
      </c>
      <c r="M74" s="1">
        <v>1717004</v>
      </c>
      <c r="O74" s="1">
        <v>4407663</v>
      </c>
      <c r="Q74" s="1">
        <v>2422001</v>
      </c>
      <c r="S74" s="1">
        <v>254610</v>
      </c>
      <c r="U74" s="1">
        <v>4307716</v>
      </c>
      <c r="W74" s="1">
        <v>494286</v>
      </c>
      <c r="Y74" s="1">
        <v>346702</v>
      </c>
      <c r="AA74" s="1">
        <v>5692335</v>
      </c>
      <c r="AC74" s="1">
        <v>3771389</v>
      </c>
      <c r="AE74" s="1">
        <v>211331</v>
      </c>
      <c r="AG74" s="1">
        <v>2630</v>
      </c>
      <c r="AI74" s="1">
        <v>12152</v>
      </c>
      <c r="AJ74" s="12" t="s">
        <v>479</v>
      </c>
      <c r="AK74" s="12"/>
      <c r="AL74" s="12" t="s">
        <v>47</v>
      </c>
      <c r="AN74" s="1">
        <v>1417482</v>
      </c>
      <c r="AP74" s="1">
        <v>0</v>
      </c>
      <c r="AR74" s="1">
        <v>0</v>
      </c>
      <c r="AT74" s="1">
        <v>1156000</v>
      </c>
      <c r="AV74" s="1">
        <v>100537</v>
      </c>
      <c r="AX74" s="1">
        <v>0</v>
      </c>
      <c r="AZ74" s="1">
        <f t="shared" si="2"/>
        <v>61457771</v>
      </c>
      <c r="BB74" s="1">
        <v>10000</v>
      </c>
      <c r="BH74" s="1">
        <v>0</v>
      </c>
      <c r="BJ74" s="1">
        <f t="shared" si="3"/>
        <v>61467771</v>
      </c>
      <c r="BL74" s="1">
        <f>+GenRev!AM74-GenExp!BJ74</f>
        <v>3077254</v>
      </c>
      <c r="BN74" s="1">
        <v>6734881</v>
      </c>
      <c r="BP74" s="1">
        <v>0</v>
      </c>
      <c r="BQ74" s="1">
        <v>0</v>
      </c>
      <c r="BS74" s="1">
        <f t="shared" si="4"/>
        <v>9812135</v>
      </c>
      <c r="BU74" s="20">
        <f>+BS74-'Gen Fd BS'!AA74+BQ74</f>
        <v>0</v>
      </c>
    </row>
    <row r="75" spans="1:73" hidden="1">
      <c r="A75" s="12" t="s">
        <v>829</v>
      </c>
      <c r="B75" s="12"/>
      <c r="C75" s="12" t="s">
        <v>643</v>
      </c>
      <c r="D75" s="12"/>
      <c r="E75" s="13">
        <v>43679</v>
      </c>
      <c r="AJ75" s="12" t="s">
        <v>829</v>
      </c>
      <c r="AK75" s="12"/>
      <c r="AL75" s="12" t="s">
        <v>643</v>
      </c>
      <c r="AZ75" s="1">
        <f t="shared" si="2"/>
        <v>0</v>
      </c>
      <c r="BJ75" s="1">
        <f t="shared" si="3"/>
        <v>0</v>
      </c>
      <c r="BL75" s="1">
        <f>+GenRev!AM75-GenExp!BJ75</f>
        <v>0</v>
      </c>
      <c r="BS75" s="1">
        <f t="shared" si="4"/>
        <v>0</v>
      </c>
      <c r="BU75" s="20">
        <f>+BS75-'Gen Fd BS'!AA75+BQ75</f>
        <v>0</v>
      </c>
    </row>
    <row r="76" spans="1:73">
      <c r="A76" s="12" t="s">
        <v>275</v>
      </c>
      <c r="B76" s="12"/>
      <c r="C76" s="12" t="s">
        <v>113</v>
      </c>
      <c r="D76" s="12"/>
      <c r="E76" s="13">
        <v>46508</v>
      </c>
      <c r="F76" s="8"/>
      <c r="G76" s="1">
        <v>4245435</v>
      </c>
      <c r="I76" s="1">
        <v>508958</v>
      </c>
      <c r="K76" s="1">
        <v>99368</v>
      </c>
      <c r="M76" s="1">
        <v>5280</v>
      </c>
      <c r="O76" s="1">
        <v>109639</v>
      </c>
      <c r="Q76" s="1">
        <v>141557</v>
      </c>
      <c r="S76" s="1">
        <v>16639</v>
      </c>
      <c r="U76" s="1">
        <v>777620</v>
      </c>
      <c r="W76" s="1">
        <v>239297</v>
      </c>
      <c r="Y76" s="1">
        <v>2707</v>
      </c>
      <c r="AA76" s="1">
        <v>560403</v>
      </c>
      <c r="AC76" s="1">
        <v>525733</v>
      </c>
      <c r="AE76" s="1">
        <v>46214</v>
      </c>
      <c r="AG76" s="1">
        <v>0</v>
      </c>
      <c r="AI76" s="1">
        <v>37084</v>
      </c>
      <c r="AJ76" s="12" t="s">
        <v>275</v>
      </c>
      <c r="AK76" s="12"/>
      <c r="AL76" s="12" t="s">
        <v>113</v>
      </c>
      <c r="AN76" s="1">
        <v>284749</v>
      </c>
      <c r="AP76" s="1">
        <f>17472+111488</f>
        <v>128960</v>
      </c>
      <c r="AR76" s="1">
        <v>0</v>
      </c>
      <c r="AT76" s="1">
        <v>36816</v>
      </c>
      <c r="AV76" s="1">
        <v>29999</v>
      </c>
      <c r="AX76" s="1">
        <v>0</v>
      </c>
      <c r="AZ76" s="1">
        <f t="shared" si="2"/>
        <v>7796458</v>
      </c>
      <c r="BB76" s="1">
        <v>32500</v>
      </c>
      <c r="BH76" s="1">
        <v>0</v>
      </c>
      <c r="BJ76" s="1">
        <f t="shared" ref="BJ76:BJ82" si="5">+AZ76+BB76+BD76+BH76</f>
        <v>7828958</v>
      </c>
      <c r="BL76" s="1">
        <f>+GenRev!AM76-GenExp!BJ76</f>
        <v>265954</v>
      </c>
      <c r="BN76" s="1">
        <v>2265405</v>
      </c>
      <c r="BP76" s="1">
        <v>0</v>
      </c>
      <c r="BQ76" s="1">
        <v>0</v>
      </c>
      <c r="BS76" s="1">
        <f t="shared" ref="BS76:BS103" si="6">+BN76+BL76-BP76</f>
        <v>2531359</v>
      </c>
      <c r="BU76" s="20">
        <f>+BS76-'Gen Fd BS'!AA76+BQ76</f>
        <v>0</v>
      </c>
    </row>
    <row r="77" spans="1:73">
      <c r="A77" s="12" t="s">
        <v>209</v>
      </c>
      <c r="B77" s="12"/>
      <c r="C77" s="12" t="s">
        <v>12</v>
      </c>
      <c r="D77" s="12"/>
      <c r="E77" s="13">
        <v>45856</v>
      </c>
      <c r="F77" s="8"/>
      <c r="G77" s="1">
        <v>9604317</v>
      </c>
      <c r="I77" s="1">
        <v>1626519</v>
      </c>
      <c r="K77" s="1">
        <v>241901</v>
      </c>
      <c r="M77" s="1">
        <v>11</v>
      </c>
      <c r="O77" s="1">
        <v>561165</v>
      </c>
      <c r="Q77" s="1">
        <v>170137</v>
      </c>
      <c r="S77" s="1">
        <v>27370</v>
      </c>
      <c r="U77" s="1">
        <v>1326365</v>
      </c>
      <c r="W77" s="1">
        <v>504720</v>
      </c>
      <c r="Y77" s="1">
        <v>87299</v>
      </c>
      <c r="AA77" s="1">
        <v>2027392</v>
      </c>
      <c r="AC77" s="1">
        <v>1061741</v>
      </c>
      <c r="AE77" s="1">
        <v>38506</v>
      </c>
      <c r="AG77" s="1">
        <v>0</v>
      </c>
      <c r="AI77" s="1">
        <v>552</v>
      </c>
      <c r="AJ77" s="12" t="s">
        <v>209</v>
      </c>
      <c r="AK77" s="12"/>
      <c r="AL77" s="12" t="s">
        <v>12</v>
      </c>
      <c r="AN77" s="1">
        <v>315536</v>
      </c>
      <c r="AP77" s="1">
        <v>91744</v>
      </c>
      <c r="AR77" s="1">
        <v>0</v>
      </c>
      <c r="AT77" s="1">
        <v>0</v>
      </c>
      <c r="AV77" s="1">
        <v>0</v>
      </c>
      <c r="AX77" s="1">
        <v>0</v>
      </c>
      <c r="AZ77" s="1">
        <f t="shared" si="2"/>
        <v>17685275</v>
      </c>
      <c r="BB77" s="1">
        <v>0</v>
      </c>
      <c r="BH77" s="1">
        <v>0</v>
      </c>
      <c r="BJ77" s="1">
        <f t="shared" si="5"/>
        <v>17685275</v>
      </c>
      <c r="BL77" s="1">
        <f>+GenRev!AM77-GenExp!BJ77</f>
        <v>129358</v>
      </c>
      <c r="BN77" s="1">
        <v>5240453</v>
      </c>
      <c r="BP77" s="1">
        <v>0</v>
      </c>
      <c r="BQ77" s="1">
        <v>0</v>
      </c>
      <c r="BS77" s="1">
        <f t="shared" si="6"/>
        <v>5369811</v>
      </c>
      <c r="BU77" s="20">
        <f>+BS77-'Gen Fd BS'!AA77+BQ77</f>
        <v>0</v>
      </c>
    </row>
    <row r="78" spans="1:73">
      <c r="A78" s="12" t="s">
        <v>209</v>
      </c>
      <c r="B78" s="12"/>
      <c r="C78" s="12" t="s">
        <v>39</v>
      </c>
      <c r="D78" s="12"/>
      <c r="E78" s="13">
        <v>47787</v>
      </c>
      <c r="G78" s="1">
        <v>8065587</v>
      </c>
      <c r="I78" s="1">
        <v>1424962</v>
      </c>
      <c r="K78" s="1">
        <v>750348</v>
      </c>
      <c r="M78" s="1">
        <v>72308</v>
      </c>
      <c r="O78" s="1">
        <v>479802</v>
      </c>
      <c r="Q78" s="1">
        <v>501653</v>
      </c>
      <c r="S78" s="1">
        <v>75329</v>
      </c>
      <c r="U78" s="1">
        <v>1621065</v>
      </c>
      <c r="W78" s="1">
        <v>397353</v>
      </c>
      <c r="Y78" s="1">
        <v>0</v>
      </c>
      <c r="AA78" s="1">
        <v>2002346</v>
      </c>
      <c r="AC78" s="1">
        <v>1711020</v>
      </c>
      <c r="AE78" s="1">
        <v>0</v>
      </c>
      <c r="AG78" s="1">
        <v>0</v>
      </c>
      <c r="AI78" s="1">
        <v>0</v>
      </c>
      <c r="AJ78" s="12" t="s">
        <v>209</v>
      </c>
      <c r="AK78" s="12"/>
      <c r="AL78" s="12" t="s">
        <v>39</v>
      </c>
      <c r="AN78" s="1">
        <v>290331</v>
      </c>
      <c r="AP78" s="1">
        <v>0</v>
      </c>
      <c r="AR78" s="1">
        <v>0</v>
      </c>
      <c r="AT78" s="1">
        <v>0</v>
      </c>
      <c r="AV78" s="1">
        <v>0</v>
      </c>
      <c r="AX78" s="1">
        <v>0</v>
      </c>
      <c r="AZ78" s="1">
        <f t="shared" si="2"/>
        <v>17392104</v>
      </c>
      <c r="BB78" s="1">
        <v>158623</v>
      </c>
      <c r="BH78" s="1">
        <v>0</v>
      </c>
      <c r="BJ78" s="1">
        <f t="shared" si="5"/>
        <v>17550727</v>
      </c>
      <c r="BL78" s="1">
        <f>+GenRev!AM78-GenExp!BJ78</f>
        <v>110815</v>
      </c>
      <c r="BN78" s="1">
        <v>-1121472</v>
      </c>
      <c r="BP78" s="1">
        <v>0</v>
      </c>
      <c r="BQ78" s="1">
        <v>0</v>
      </c>
      <c r="BS78" s="1">
        <f t="shared" si="6"/>
        <v>-1010657</v>
      </c>
      <c r="BU78" s="20">
        <f>+BS78-'Gen Fd BS'!AA78+BQ78</f>
        <v>0</v>
      </c>
    </row>
    <row r="79" spans="1:73">
      <c r="A79" s="12" t="s">
        <v>209</v>
      </c>
      <c r="B79" s="12"/>
      <c r="C79" s="12" t="s">
        <v>47</v>
      </c>
      <c r="D79" s="12"/>
      <c r="E79" s="13">
        <v>48470</v>
      </c>
      <c r="G79" s="1">
        <v>8818785</v>
      </c>
      <c r="I79" s="1">
        <v>1796836</v>
      </c>
      <c r="K79" s="1">
        <v>212281</v>
      </c>
      <c r="M79" s="1">
        <v>547575</v>
      </c>
      <c r="O79" s="1">
        <v>836635</v>
      </c>
      <c r="Q79" s="1">
        <v>1027710</v>
      </c>
      <c r="S79" s="1">
        <v>26638</v>
      </c>
      <c r="U79" s="1">
        <v>1622535</v>
      </c>
      <c r="W79" s="1">
        <v>632041</v>
      </c>
      <c r="Y79" s="1">
        <v>35787</v>
      </c>
      <c r="AA79" s="1">
        <v>1247380</v>
      </c>
      <c r="AC79" s="1">
        <v>1020965</v>
      </c>
      <c r="AE79" s="1">
        <v>14292</v>
      </c>
      <c r="AG79" s="1">
        <v>0</v>
      </c>
      <c r="AI79" s="1">
        <v>0</v>
      </c>
      <c r="AJ79" s="12" t="s">
        <v>209</v>
      </c>
      <c r="AK79" s="12"/>
      <c r="AL79" s="12" t="s">
        <v>47</v>
      </c>
      <c r="AN79" s="1">
        <v>80946</v>
      </c>
      <c r="AP79" s="1">
        <v>3650</v>
      </c>
      <c r="AR79" s="1">
        <v>0</v>
      </c>
      <c r="AT79" s="1">
        <v>0</v>
      </c>
      <c r="AV79" s="1">
        <v>0</v>
      </c>
      <c r="AX79" s="1">
        <v>0</v>
      </c>
      <c r="AZ79" s="1">
        <f t="shared" ref="AZ79:AZ82" si="7">SUM(G79:AX79)</f>
        <v>17924056</v>
      </c>
      <c r="BB79" s="1">
        <v>229488</v>
      </c>
      <c r="BH79" s="1">
        <v>0</v>
      </c>
      <c r="BJ79" s="1">
        <f t="shared" si="5"/>
        <v>18153544</v>
      </c>
      <c r="BL79" s="1">
        <f>+GenRev!AM79-GenExp!BJ79</f>
        <v>166917</v>
      </c>
      <c r="BN79" s="1">
        <v>-71884</v>
      </c>
      <c r="BP79" s="1">
        <v>0</v>
      </c>
      <c r="BQ79" s="1">
        <v>0</v>
      </c>
      <c r="BS79" s="1">
        <f t="shared" si="6"/>
        <v>95033</v>
      </c>
      <c r="BU79" s="20">
        <f>+BS79-'Gen Fd BS'!AA79+BQ79</f>
        <v>0</v>
      </c>
    </row>
    <row r="80" spans="1:73">
      <c r="A80" s="1" t="s">
        <v>775</v>
      </c>
      <c r="B80" s="12"/>
      <c r="C80" s="12" t="s">
        <v>114</v>
      </c>
      <c r="D80" s="12"/>
      <c r="E80" s="13">
        <v>46755</v>
      </c>
      <c r="G80" s="1">
        <f>3860230+1358401</f>
        <v>5218631</v>
      </c>
      <c r="I80" s="1">
        <v>0</v>
      </c>
      <c r="K80" s="1">
        <v>0</v>
      </c>
      <c r="M80" s="1">
        <v>0</v>
      </c>
      <c r="O80" s="1">
        <v>2233005</v>
      </c>
      <c r="Q80" s="1">
        <v>0</v>
      </c>
      <c r="S80" s="1">
        <v>0</v>
      </c>
      <c r="U80" s="1">
        <v>0</v>
      </c>
      <c r="W80" s="1">
        <v>0</v>
      </c>
      <c r="Y80" s="1">
        <v>0</v>
      </c>
      <c r="AA80" s="1">
        <v>0</v>
      </c>
      <c r="AC80" s="1">
        <v>0</v>
      </c>
      <c r="AE80" s="1">
        <v>0</v>
      </c>
      <c r="AG80" s="1">
        <v>0</v>
      </c>
      <c r="AI80" s="1">
        <v>2589745</v>
      </c>
      <c r="AJ80" s="12" t="s">
        <v>775</v>
      </c>
      <c r="AK80" s="12"/>
      <c r="AL80" s="12" t="s">
        <v>114</v>
      </c>
      <c r="AN80" s="1">
        <v>0</v>
      </c>
      <c r="AP80" s="1">
        <v>0</v>
      </c>
      <c r="AR80" s="1">
        <v>0</v>
      </c>
      <c r="AT80" s="1">
        <v>0</v>
      </c>
      <c r="AV80" s="1">
        <f>970935+86564</f>
        <v>1057499</v>
      </c>
      <c r="AX80" s="1">
        <f>50098+88</f>
        <v>50186</v>
      </c>
      <c r="AZ80" s="1">
        <f t="shared" si="7"/>
        <v>11149066</v>
      </c>
      <c r="BB80" s="1">
        <v>0</v>
      </c>
      <c r="BH80" s="1">
        <v>0</v>
      </c>
      <c r="BJ80" s="1">
        <f t="shared" si="5"/>
        <v>11149066</v>
      </c>
      <c r="BL80" s="1">
        <f>+GenRev!AM80-GenExp!BJ80</f>
        <v>298144</v>
      </c>
      <c r="BN80" s="1">
        <v>3169819</v>
      </c>
      <c r="BP80" s="1">
        <v>0</v>
      </c>
      <c r="BQ80" s="1">
        <v>0</v>
      </c>
      <c r="BS80" s="1">
        <f t="shared" si="6"/>
        <v>3467963</v>
      </c>
      <c r="BU80" s="20">
        <f>+BS80-'Gen Fd BS'!AA80+BQ80</f>
        <v>0</v>
      </c>
    </row>
    <row r="81" spans="1:73">
      <c r="A81" s="12" t="s">
        <v>312</v>
      </c>
      <c r="B81" s="12"/>
      <c r="C81" s="12" t="s">
        <v>23</v>
      </c>
      <c r="D81" s="12"/>
      <c r="E81" s="13">
        <v>46755</v>
      </c>
      <c r="G81" s="1">
        <v>10469395</v>
      </c>
      <c r="I81" s="1">
        <v>1709772</v>
      </c>
      <c r="K81" s="1">
        <v>178170</v>
      </c>
      <c r="M81" s="1">
        <v>16562</v>
      </c>
      <c r="O81" s="1">
        <v>1613345</v>
      </c>
      <c r="Q81" s="1">
        <v>403775</v>
      </c>
      <c r="S81" s="1">
        <v>169459</v>
      </c>
      <c r="U81" s="1">
        <v>1837407</v>
      </c>
      <c r="W81" s="1">
        <v>545970</v>
      </c>
      <c r="Y81" s="1">
        <v>0</v>
      </c>
      <c r="AA81" s="1">
        <v>2306657</v>
      </c>
      <c r="AC81" s="1">
        <v>1488693</v>
      </c>
      <c r="AE81" s="1">
        <v>33832</v>
      </c>
      <c r="AG81" s="1">
        <v>0</v>
      </c>
      <c r="AI81" s="1">
        <v>765</v>
      </c>
      <c r="AJ81" s="12" t="s">
        <v>312</v>
      </c>
      <c r="AK81" s="12"/>
      <c r="AL81" s="12" t="s">
        <v>23</v>
      </c>
      <c r="AN81" s="1">
        <v>294442</v>
      </c>
      <c r="AP81" s="1">
        <v>0</v>
      </c>
      <c r="AR81" s="1">
        <v>0</v>
      </c>
      <c r="AT81" s="1">
        <v>62484</v>
      </c>
      <c r="AV81" s="1">
        <v>9934</v>
      </c>
      <c r="AX81" s="1">
        <v>0</v>
      </c>
      <c r="AZ81" s="1">
        <f t="shared" si="7"/>
        <v>21140662</v>
      </c>
      <c r="BB81" s="1">
        <v>0</v>
      </c>
      <c r="BH81" s="1">
        <v>0</v>
      </c>
      <c r="BJ81" s="1">
        <f t="shared" si="5"/>
        <v>21140662</v>
      </c>
      <c r="BL81" s="1">
        <f>+GenRev!AM81-GenExp!BJ81</f>
        <v>-736080</v>
      </c>
      <c r="BN81" s="1">
        <v>4166820</v>
      </c>
      <c r="BP81" s="1">
        <v>0</v>
      </c>
      <c r="BQ81" s="1">
        <v>0</v>
      </c>
      <c r="BS81" s="1">
        <f t="shared" si="6"/>
        <v>3430740</v>
      </c>
      <c r="BU81" s="20">
        <f>+BS81-'Gen Fd BS'!AA81+BQ81</f>
        <v>0</v>
      </c>
    </row>
    <row r="82" spans="1:73">
      <c r="A82" s="12" t="s">
        <v>276</v>
      </c>
      <c r="B82" s="12"/>
      <c r="C82" s="12" t="s">
        <v>113</v>
      </c>
      <c r="D82" s="12"/>
      <c r="E82" s="13">
        <v>43687</v>
      </c>
      <c r="G82" s="1">
        <v>6396306</v>
      </c>
      <c r="I82" s="1">
        <v>1555466</v>
      </c>
      <c r="K82" s="1">
        <v>318774</v>
      </c>
      <c r="M82" s="1">
        <v>0</v>
      </c>
      <c r="O82" s="1">
        <v>735915</v>
      </c>
      <c r="Q82" s="1">
        <v>1087132</v>
      </c>
      <c r="S82" s="1">
        <v>94409</v>
      </c>
      <c r="U82" s="1">
        <v>1357888</v>
      </c>
      <c r="W82" s="1">
        <v>530170</v>
      </c>
      <c r="Y82" s="1">
        <v>303062</v>
      </c>
      <c r="AA82" s="1">
        <v>996599</v>
      </c>
      <c r="AC82" s="1">
        <v>324388</v>
      </c>
      <c r="AE82" s="1">
        <v>154727</v>
      </c>
      <c r="AG82" s="1">
        <v>1160</v>
      </c>
      <c r="AI82" s="1">
        <v>0</v>
      </c>
      <c r="AJ82" s="12" t="s">
        <v>276</v>
      </c>
      <c r="AK82" s="12"/>
      <c r="AL82" s="12" t="s">
        <v>113</v>
      </c>
      <c r="AN82" s="1">
        <v>326709</v>
      </c>
      <c r="AP82" s="1">
        <v>0</v>
      </c>
      <c r="AR82" s="1">
        <v>0</v>
      </c>
      <c r="AT82" s="1">
        <v>536</v>
      </c>
      <c r="AV82" s="1">
        <v>73</v>
      </c>
      <c r="AX82" s="1">
        <v>0</v>
      </c>
      <c r="AZ82" s="1">
        <f t="shared" si="7"/>
        <v>14183314</v>
      </c>
      <c r="BB82" s="1">
        <v>0</v>
      </c>
      <c r="BH82" s="1">
        <v>0</v>
      </c>
      <c r="BJ82" s="1">
        <f t="shared" si="5"/>
        <v>14183314</v>
      </c>
      <c r="BL82" s="1">
        <f>+GenRev!AM82-GenExp!BJ82</f>
        <v>132089</v>
      </c>
      <c r="BN82" s="1">
        <v>6378645</v>
      </c>
      <c r="BP82" s="1">
        <v>0</v>
      </c>
      <c r="BQ82" s="1">
        <v>0</v>
      </c>
      <c r="BS82" s="1">
        <f t="shared" si="6"/>
        <v>6510734</v>
      </c>
      <c r="BU82" s="20">
        <f>+BS82-'Gen Fd BS'!AA82+BQ82</f>
        <v>0</v>
      </c>
    </row>
    <row r="83" spans="1:73">
      <c r="A83" s="12" t="s">
        <v>517</v>
      </c>
      <c r="B83" s="12"/>
      <c r="C83" s="12" t="s">
        <v>52</v>
      </c>
      <c r="D83" s="12"/>
      <c r="E83" s="13">
        <v>45252</v>
      </c>
      <c r="G83" s="1">
        <v>3412495</v>
      </c>
      <c r="I83" s="1">
        <v>547533</v>
      </c>
      <c r="K83" s="1">
        <v>83308</v>
      </c>
      <c r="M83" s="1">
        <f>4977+2071</f>
        <v>7048</v>
      </c>
      <c r="O83" s="1">
        <v>503112</v>
      </c>
      <c r="Q83" s="1">
        <v>304312</v>
      </c>
      <c r="S83" s="1">
        <v>44086</v>
      </c>
      <c r="U83" s="1">
        <v>662202</v>
      </c>
      <c r="W83" s="1">
        <v>345204</v>
      </c>
      <c r="Y83" s="1">
        <v>0</v>
      </c>
      <c r="AA83" s="1">
        <v>478430</v>
      </c>
      <c r="AC83" s="1">
        <v>588350</v>
      </c>
      <c r="AE83" s="1">
        <v>0</v>
      </c>
      <c r="AG83" s="1">
        <v>0</v>
      </c>
      <c r="AI83" s="1">
        <v>0</v>
      </c>
      <c r="AJ83" s="12" t="s">
        <v>517</v>
      </c>
      <c r="AK83" s="12"/>
      <c r="AL83" s="12" t="s">
        <v>52</v>
      </c>
      <c r="AN83" s="1">
        <v>145175</v>
      </c>
      <c r="AP83" s="1">
        <v>0</v>
      </c>
      <c r="AR83" s="1">
        <v>0</v>
      </c>
      <c r="AT83" s="1">
        <v>0</v>
      </c>
      <c r="AV83" s="1">
        <v>0</v>
      </c>
      <c r="AX83" s="1">
        <v>0</v>
      </c>
      <c r="AZ83" s="1">
        <f t="shared" ref="AZ83:AZ102" si="8">SUM(G83:AX83)</f>
        <v>7121255</v>
      </c>
      <c r="BB83" s="1">
        <v>50000</v>
      </c>
      <c r="BH83" s="1">
        <v>0</v>
      </c>
      <c r="BJ83" s="1">
        <f t="shared" ref="BJ83:BJ84" si="9">+AZ83+BB83+BD83+BH83</f>
        <v>7171255</v>
      </c>
      <c r="BL83" s="1">
        <f>+GenRev!AM83-GenExp!BJ83</f>
        <v>194206</v>
      </c>
      <c r="BN83" s="1">
        <v>604598</v>
      </c>
      <c r="BP83" s="1">
        <v>0</v>
      </c>
      <c r="BQ83" s="1">
        <v>0</v>
      </c>
      <c r="BS83" s="1">
        <f t="shared" si="6"/>
        <v>798804</v>
      </c>
      <c r="BU83" s="20">
        <f>+BS83-'Gen Fd BS'!AA83+BQ83</f>
        <v>0</v>
      </c>
    </row>
    <row r="84" spans="1:73">
      <c r="A84" s="12" t="s">
        <v>360</v>
      </c>
      <c r="B84" s="12"/>
      <c r="C84" s="12" t="s">
        <v>31</v>
      </c>
      <c r="D84" s="12"/>
      <c r="E84" s="13">
        <v>43695</v>
      </c>
      <c r="G84" s="1">
        <v>9453825</v>
      </c>
      <c r="I84" s="1">
        <v>2155602</v>
      </c>
      <c r="K84" s="1">
        <v>137161</v>
      </c>
      <c r="M84" s="1">
        <f>13493+283063</f>
        <v>296556</v>
      </c>
      <c r="O84" s="1">
        <v>834378</v>
      </c>
      <c r="Q84" s="1">
        <v>299742</v>
      </c>
      <c r="S84" s="1">
        <v>69554</v>
      </c>
      <c r="U84" s="1">
        <v>1359594</v>
      </c>
      <c r="W84" s="1">
        <v>486557</v>
      </c>
      <c r="Y84" s="1">
        <v>84596</v>
      </c>
      <c r="AA84" s="1">
        <v>2130426</v>
      </c>
      <c r="AC84" s="1">
        <v>1184784</v>
      </c>
      <c r="AE84" s="1">
        <v>254137</v>
      </c>
      <c r="AG84" s="1">
        <v>0</v>
      </c>
      <c r="AI84" s="1">
        <f>231+580</f>
        <v>811</v>
      </c>
      <c r="AJ84" s="12" t="s">
        <v>360</v>
      </c>
      <c r="AK84" s="12"/>
      <c r="AL84" s="12" t="s">
        <v>31</v>
      </c>
      <c r="AN84" s="1">
        <v>277820</v>
      </c>
      <c r="AP84" s="1">
        <v>12951</v>
      </c>
      <c r="AR84" s="1">
        <v>0</v>
      </c>
      <c r="AT84" s="1">
        <v>9351</v>
      </c>
      <c r="AV84" s="1">
        <v>3731</v>
      </c>
      <c r="AX84" s="1">
        <v>0</v>
      </c>
      <c r="AZ84" s="1">
        <f t="shared" si="8"/>
        <v>19051576</v>
      </c>
      <c r="BB84" s="1">
        <v>0</v>
      </c>
      <c r="BH84" s="1">
        <v>0</v>
      </c>
      <c r="BJ84" s="1">
        <f t="shared" si="9"/>
        <v>19051576</v>
      </c>
      <c r="BL84" s="1">
        <f>+GenRev!AM84-GenExp!BJ84</f>
        <v>-1036037</v>
      </c>
      <c r="BN84" s="1">
        <v>1204569</v>
      </c>
      <c r="BP84" s="1">
        <v>0</v>
      </c>
      <c r="BQ84" s="1">
        <v>0</v>
      </c>
      <c r="BS84" s="1">
        <f t="shared" si="6"/>
        <v>168532</v>
      </c>
      <c r="BU84" s="20">
        <f>+BS84-'Gen Fd BS'!AA84+BQ84</f>
        <v>0</v>
      </c>
    </row>
    <row r="85" spans="1:73">
      <c r="A85" s="12" t="s">
        <v>463</v>
      </c>
      <c r="B85" s="12"/>
      <c r="C85" s="12" t="s">
        <v>45</v>
      </c>
      <c r="D85" s="12"/>
      <c r="E85" s="13">
        <v>43703</v>
      </c>
      <c r="G85" s="1">
        <v>6397446</v>
      </c>
      <c r="I85" s="1">
        <v>1248832</v>
      </c>
      <c r="K85" s="1">
        <v>210469</v>
      </c>
      <c r="M85" s="1">
        <v>135323</v>
      </c>
      <c r="O85" s="1">
        <v>360315</v>
      </c>
      <c r="Q85" s="1">
        <v>478310</v>
      </c>
      <c r="S85" s="1">
        <v>15590</v>
      </c>
      <c r="U85" s="1">
        <v>876858</v>
      </c>
      <c r="W85" s="1">
        <v>311497</v>
      </c>
      <c r="Y85" s="1">
        <v>61845</v>
      </c>
      <c r="AA85" s="1">
        <v>1508474</v>
      </c>
      <c r="AC85" s="1">
        <v>376874</v>
      </c>
      <c r="AE85" s="1">
        <v>0</v>
      </c>
      <c r="AG85" s="1">
        <v>0</v>
      </c>
      <c r="AI85" s="1">
        <v>0</v>
      </c>
      <c r="AJ85" s="12" t="s">
        <v>463</v>
      </c>
      <c r="AK85" s="12"/>
      <c r="AL85" s="12" t="s">
        <v>45</v>
      </c>
      <c r="AN85" s="1">
        <v>237859</v>
      </c>
      <c r="AP85" s="1">
        <v>548582</v>
      </c>
      <c r="AR85" s="1">
        <v>0</v>
      </c>
      <c r="AT85" s="1">
        <v>161534</v>
      </c>
      <c r="AV85" s="1">
        <v>176415</v>
      </c>
      <c r="AX85" s="1">
        <v>0</v>
      </c>
      <c r="AZ85" s="1">
        <f t="shared" si="8"/>
        <v>13106223</v>
      </c>
      <c r="BB85" s="1">
        <v>0</v>
      </c>
      <c r="BH85" s="1">
        <v>0</v>
      </c>
      <c r="BJ85" s="1">
        <f t="shared" ref="BJ85:BJ119" si="10">+AZ85+BB85+BD85+BH85</f>
        <v>13106223</v>
      </c>
      <c r="BL85" s="1">
        <f>+GenRev!AM85-GenExp!BJ85</f>
        <v>-1257</v>
      </c>
      <c r="BN85" s="1">
        <v>-167381</v>
      </c>
      <c r="BP85" s="1">
        <v>0</v>
      </c>
      <c r="BQ85" s="1">
        <v>0</v>
      </c>
      <c r="BS85" s="1">
        <f t="shared" si="6"/>
        <v>-168638</v>
      </c>
      <c r="BU85" s="20">
        <f>+BS85-'Gen Fd BS'!AA85+BQ85</f>
        <v>0</v>
      </c>
    </row>
    <row r="86" spans="1:73">
      <c r="A86" s="12" t="s">
        <v>330</v>
      </c>
      <c r="B86" s="12"/>
      <c r="C86" s="12" t="s">
        <v>27</v>
      </c>
      <c r="D86" s="12"/>
      <c r="E86" s="13">
        <v>46946</v>
      </c>
      <c r="G86" s="1">
        <v>14362107</v>
      </c>
      <c r="I86" s="1">
        <v>3023068</v>
      </c>
      <c r="K86" s="1">
        <v>607980</v>
      </c>
      <c r="M86" s="1">
        <v>0</v>
      </c>
      <c r="O86" s="1">
        <v>1822213</v>
      </c>
      <c r="Q86" s="1">
        <v>1447785</v>
      </c>
      <c r="S86" s="1">
        <v>364391</v>
      </c>
      <c r="U86" s="1">
        <v>2110515</v>
      </c>
      <c r="W86" s="1">
        <v>732086</v>
      </c>
      <c r="Y86" s="1">
        <v>0</v>
      </c>
      <c r="AA86" s="1">
        <v>3598036</v>
      </c>
      <c r="AC86" s="1">
        <v>2286401</v>
      </c>
      <c r="AE86" s="1">
        <v>216624</v>
      </c>
      <c r="AG86" s="1">
        <v>0</v>
      </c>
      <c r="AI86" s="1">
        <v>0</v>
      </c>
      <c r="AJ86" s="12" t="s">
        <v>330</v>
      </c>
      <c r="AK86" s="12"/>
      <c r="AL86" s="12" t="s">
        <v>27</v>
      </c>
      <c r="AN86" s="1">
        <v>514072</v>
      </c>
      <c r="AP86" s="1">
        <v>0</v>
      </c>
      <c r="AR86" s="1">
        <v>0</v>
      </c>
      <c r="AT86" s="1">
        <v>93332</v>
      </c>
      <c r="AV86" s="1">
        <v>67185</v>
      </c>
      <c r="AX86" s="1">
        <v>0</v>
      </c>
      <c r="AZ86" s="1">
        <f t="shared" si="8"/>
        <v>31245795</v>
      </c>
      <c r="BB86" s="1">
        <v>0</v>
      </c>
      <c r="BH86" s="1">
        <v>0</v>
      </c>
      <c r="BJ86" s="1">
        <f t="shared" si="10"/>
        <v>31245795</v>
      </c>
      <c r="BL86" s="1">
        <f>+GenRev!AM86-GenExp!BJ86</f>
        <v>2235114</v>
      </c>
      <c r="BN86" s="1">
        <v>3511698</v>
      </c>
      <c r="BP86" s="1">
        <v>0</v>
      </c>
      <c r="BQ86" s="1">
        <v>0</v>
      </c>
      <c r="BS86" s="1">
        <f t="shared" si="6"/>
        <v>5746812</v>
      </c>
      <c r="BU86" s="20">
        <f>+BS86-'Gen Fd BS'!AA86+BQ86</f>
        <v>0</v>
      </c>
    </row>
    <row r="87" spans="1:73">
      <c r="A87" s="12"/>
      <c r="B87" s="12"/>
      <c r="C87" s="12"/>
      <c r="D87" s="12"/>
      <c r="E87" s="13"/>
      <c r="AJ87" s="12"/>
      <c r="AK87" s="12"/>
      <c r="AL87" s="12"/>
    </row>
    <row r="88" spans="1:73">
      <c r="A88" s="12"/>
      <c r="B88" s="12"/>
      <c r="C88" s="12"/>
      <c r="D88" s="12"/>
      <c r="E88" s="13"/>
      <c r="AI88" s="41" t="s">
        <v>709</v>
      </c>
      <c r="AJ88" s="12"/>
      <c r="AK88" s="12"/>
      <c r="AL88" s="12"/>
      <c r="BS88" s="41" t="s">
        <v>709</v>
      </c>
    </row>
    <row r="89" spans="1:73">
      <c r="A89" s="12"/>
      <c r="B89" s="12"/>
      <c r="C89" s="12"/>
      <c r="D89" s="12"/>
      <c r="E89" s="13"/>
      <c r="AJ89" s="12"/>
      <c r="AK89" s="12"/>
      <c r="AL89" s="12"/>
    </row>
    <row r="90" spans="1:73">
      <c r="A90" s="12" t="s">
        <v>464</v>
      </c>
      <c r="B90" s="12"/>
      <c r="C90" s="12" t="s">
        <v>45</v>
      </c>
      <c r="D90" s="12"/>
      <c r="E90" s="13">
        <v>48314</v>
      </c>
      <c r="G90" s="16">
        <v>13051890</v>
      </c>
      <c r="H90" s="16"/>
      <c r="I90" s="16">
        <v>1268482</v>
      </c>
      <c r="J90" s="16"/>
      <c r="K90" s="16">
        <v>275772</v>
      </c>
      <c r="L90" s="16"/>
      <c r="M90" s="16">
        <v>0</v>
      </c>
      <c r="N90" s="16"/>
      <c r="O90" s="16">
        <v>996544</v>
      </c>
      <c r="P90" s="16"/>
      <c r="Q90" s="16">
        <v>1327574</v>
      </c>
      <c r="R90" s="16"/>
      <c r="S90" s="16">
        <v>36114</v>
      </c>
      <c r="T90" s="16"/>
      <c r="U90" s="16">
        <v>1425711</v>
      </c>
      <c r="V90" s="16"/>
      <c r="W90" s="16">
        <v>495359</v>
      </c>
      <c r="X90" s="16"/>
      <c r="Y90" s="16">
        <v>268084</v>
      </c>
      <c r="Z90" s="16"/>
      <c r="AA90" s="16">
        <v>2093322</v>
      </c>
      <c r="AB90" s="16"/>
      <c r="AC90" s="16">
        <v>1641196</v>
      </c>
      <c r="AD90" s="16"/>
      <c r="AE90" s="16">
        <v>128350</v>
      </c>
      <c r="AF90" s="16"/>
      <c r="AG90" s="16">
        <v>0</v>
      </c>
      <c r="AH90" s="16"/>
      <c r="AI90" s="16">
        <v>0</v>
      </c>
      <c r="AJ90" s="12" t="s">
        <v>464</v>
      </c>
      <c r="AK90" s="12"/>
      <c r="AL90" s="12" t="s">
        <v>45</v>
      </c>
      <c r="AN90" s="16">
        <v>628034</v>
      </c>
      <c r="AO90" s="16"/>
      <c r="AP90" s="16">
        <v>0</v>
      </c>
      <c r="AQ90" s="16"/>
      <c r="AR90" s="16">
        <v>0</v>
      </c>
      <c r="AS90" s="16"/>
      <c r="AT90" s="16">
        <v>0</v>
      </c>
      <c r="AU90" s="16"/>
      <c r="AV90" s="16">
        <v>0</v>
      </c>
      <c r="AW90" s="16"/>
      <c r="AX90" s="16">
        <v>0</v>
      </c>
      <c r="AY90" s="16"/>
      <c r="AZ90" s="16">
        <f t="shared" si="8"/>
        <v>23636432</v>
      </c>
      <c r="BA90" s="16"/>
      <c r="BB90" s="16">
        <v>85000</v>
      </c>
      <c r="BC90" s="16"/>
      <c r="BD90" s="16"/>
      <c r="BE90" s="16"/>
      <c r="BF90" s="16"/>
      <c r="BG90" s="16"/>
      <c r="BH90" s="16">
        <v>0</v>
      </c>
      <c r="BI90" s="16"/>
      <c r="BJ90" s="16">
        <f t="shared" si="10"/>
        <v>23721432</v>
      </c>
      <c r="BK90" s="16"/>
      <c r="BL90" s="16">
        <f>+GenRev!AM90-GenExp!BJ90</f>
        <v>-155243</v>
      </c>
      <c r="BM90" s="16"/>
      <c r="BN90" s="16">
        <v>4891888</v>
      </c>
      <c r="BO90" s="16"/>
      <c r="BP90" s="16">
        <v>0</v>
      </c>
      <c r="BQ90" s="16">
        <v>0</v>
      </c>
      <c r="BR90" s="16"/>
      <c r="BS90" s="16">
        <f t="shared" si="6"/>
        <v>4736645</v>
      </c>
      <c r="BT90" s="16"/>
      <c r="BU90" s="72">
        <f>+BS90-'Gen Fd BS'!AA90+BQ90</f>
        <v>0</v>
      </c>
    </row>
    <row r="91" spans="1:73">
      <c r="A91" s="12" t="s">
        <v>573</v>
      </c>
      <c r="B91" s="12"/>
      <c r="C91" s="12" t="s">
        <v>62</v>
      </c>
      <c r="D91" s="12"/>
      <c r="E91" s="13">
        <v>43711</v>
      </c>
      <c r="G91" s="1">
        <v>9200294</v>
      </c>
      <c r="I91" s="1">
        <v>1736352</v>
      </c>
      <c r="K91" s="1">
        <v>1644104</v>
      </c>
      <c r="M91" s="1">
        <v>725253</v>
      </c>
      <c r="O91" s="1">
        <v>1240320</v>
      </c>
      <c r="Q91" s="1">
        <v>856580</v>
      </c>
      <c r="S91" s="1">
        <v>21646</v>
      </c>
      <c r="U91" s="1">
        <v>1518242</v>
      </c>
      <c r="W91" s="1">
        <v>305690</v>
      </c>
      <c r="Y91" s="1">
        <v>286731</v>
      </c>
      <c r="AA91" s="1">
        <v>2104444</v>
      </c>
      <c r="AC91" s="1">
        <v>962936</v>
      </c>
      <c r="AE91" s="1">
        <v>331446</v>
      </c>
      <c r="AG91" s="1">
        <v>0</v>
      </c>
      <c r="AI91" s="1">
        <v>3546</v>
      </c>
      <c r="AJ91" s="12" t="s">
        <v>573</v>
      </c>
      <c r="AK91" s="12"/>
      <c r="AL91" s="12" t="s">
        <v>62</v>
      </c>
      <c r="AN91" s="1">
        <v>661544</v>
      </c>
      <c r="AP91" s="1">
        <v>0</v>
      </c>
      <c r="AR91" s="1">
        <v>0</v>
      </c>
      <c r="AT91" s="1">
        <v>0</v>
      </c>
      <c r="AV91" s="1">
        <v>0</v>
      </c>
      <c r="AX91" s="1">
        <v>0</v>
      </c>
      <c r="AZ91" s="1">
        <f t="shared" si="8"/>
        <v>21599128</v>
      </c>
      <c r="BB91" s="1">
        <v>0</v>
      </c>
      <c r="BH91" s="1">
        <v>0</v>
      </c>
      <c r="BJ91" s="1">
        <f t="shared" si="10"/>
        <v>21599128</v>
      </c>
      <c r="BL91" s="1">
        <f>+GenRev!AM91-GenExp!BJ91</f>
        <v>58898</v>
      </c>
      <c r="BN91" s="1">
        <v>-3203254</v>
      </c>
      <c r="BP91" s="1">
        <v>0</v>
      </c>
      <c r="BQ91" s="1">
        <v>0</v>
      </c>
      <c r="BS91" s="1">
        <f t="shared" si="6"/>
        <v>-3144356</v>
      </c>
      <c r="BU91" s="20">
        <f>+BS91-'Gen Fd BS'!AA91+BQ91</f>
        <v>0</v>
      </c>
    </row>
    <row r="92" spans="1:73">
      <c r="A92" s="12" t="s">
        <v>574</v>
      </c>
      <c r="B92" s="12"/>
      <c r="C92" s="12" t="s">
        <v>62</v>
      </c>
      <c r="D92" s="12"/>
      <c r="E92" s="13">
        <v>49833</v>
      </c>
      <c r="G92" s="1">
        <v>39955000</v>
      </c>
      <c r="I92" s="1">
        <v>10949000</v>
      </c>
      <c r="K92" s="1">
        <v>2148000</v>
      </c>
      <c r="M92" s="1">
        <v>10552000</v>
      </c>
      <c r="O92" s="1">
        <v>6078000</v>
      </c>
      <c r="Q92" s="1">
        <v>2209000</v>
      </c>
      <c r="S92" s="1">
        <v>31000</v>
      </c>
      <c r="U92" s="1">
        <v>7740000</v>
      </c>
      <c r="W92" s="1">
        <v>1385000</v>
      </c>
      <c r="Y92" s="1">
        <v>569000</v>
      </c>
      <c r="AA92" s="1">
        <v>10523000</v>
      </c>
      <c r="AC92" s="1">
        <v>3014000</v>
      </c>
      <c r="AE92" s="1">
        <v>3842000</v>
      </c>
      <c r="AG92" s="1">
        <v>0</v>
      </c>
      <c r="AI92" s="1">
        <v>986000</v>
      </c>
      <c r="AJ92" s="12" t="s">
        <v>574</v>
      </c>
      <c r="AK92" s="12"/>
      <c r="AL92" s="12" t="s">
        <v>62</v>
      </c>
      <c r="AN92" s="1">
        <v>1454000</v>
      </c>
      <c r="AP92" s="1">
        <v>39000</v>
      </c>
      <c r="AR92" s="1">
        <v>0</v>
      </c>
      <c r="AT92" s="1">
        <v>128000</v>
      </c>
      <c r="AV92" s="1">
        <v>22000</v>
      </c>
      <c r="AX92" s="1">
        <v>0</v>
      </c>
      <c r="AZ92" s="1">
        <f t="shared" si="8"/>
        <v>101624000</v>
      </c>
      <c r="BB92" s="1">
        <v>925000</v>
      </c>
      <c r="BH92" s="1">
        <v>0</v>
      </c>
      <c r="BJ92" s="1">
        <f t="shared" si="10"/>
        <v>102549000</v>
      </c>
      <c r="BL92" s="1">
        <f>+GenRev!AM92-GenExp!BJ92</f>
        <v>-2487000</v>
      </c>
      <c r="BN92" s="1">
        <v>1858000</v>
      </c>
      <c r="BP92" s="1">
        <v>-14000</v>
      </c>
      <c r="BQ92" s="1">
        <v>0</v>
      </c>
      <c r="BS92" s="1">
        <f t="shared" si="6"/>
        <v>-615000</v>
      </c>
      <c r="BU92" s="20">
        <f>+BS92-'Gen Fd BS'!AA92+BQ92</f>
        <v>0</v>
      </c>
    </row>
    <row r="93" spans="1:73">
      <c r="A93" s="12" t="s">
        <v>352</v>
      </c>
      <c r="B93" s="12"/>
      <c r="C93" s="12" t="s">
        <v>30</v>
      </c>
      <c r="D93" s="12"/>
      <c r="E93" s="13">
        <v>47175</v>
      </c>
      <c r="G93" s="1">
        <v>5687544</v>
      </c>
      <c r="I93" s="1">
        <v>1924704</v>
      </c>
      <c r="K93" s="1">
        <v>0</v>
      </c>
      <c r="M93" s="1">
        <v>0</v>
      </c>
      <c r="O93" s="1">
        <v>553055</v>
      </c>
      <c r="Q93" s="1">
        <v>220548</v>
      </c>
      <c r="S93" s="1">
        <v>18878</v>
      </c>
      <c r="U93" s="1">
        <v>1063416</v>
      </c>
      <c r="W93" s="1">
        <v>424203</v>
      </c>
      <c r="Y93" s="1">
        <v>58167</v>
      </c>
      <c r="AA93" s="1">
        <v>1307415</v>
      </c>
      <c r="AC93" s="1">
        <v>1513865</v>
      </c>
      <c r="AE93" s="1">
        <v>194315</v>
      </c>
      <c r="AG93" s="1">
        <v>4099</v>
      </c>
      <c r="AI93" s="1">
        <v>0</v>
      </c>
      <c r="AJ93" s="12" t="s">
        <v>352</v>
      </c>
      <c r="AK93" s="12"/>
      <c r="AL93" s="12" t="s">
        <v>30</v>
      </c>
      <c r="AN93" s="1">
        <v>220584</v>
      </c>
      <c r="AP93" s="1">
        <v>0</v>
      </c>
      <c r="AR93" s="1">
        <v>0</v>
      </c>
      <c r="AT93" s="1">
        <v>0</v>
      </c>
      <c r="AV93" s="1">
        <v>4748</v>
      </c>
      <c r="AX93" s="1">
        <v>0</v>
      </c>
      <c r="AZ93" s="1">
        <f t="shared" si="8"/>
        <v>13195541</v>
      </c>
      <c r="BB93" s="1">
        <v>115000</v>
      </c>
      <c r="BH93" s="1">
        <v>0</v>
      </c>
      <c r="BJ93" s="1">
        <f t="shared" si="10"/>
        <v>13310541</v>
      </c>
      <c r="BL93" s="1">
        <f>+GenRev!AM93-GenExp!BJ93</f>
        <v>-832854</v>
      </c>
      <c r="BN93" s="1">
        <v>905709</v>
      </c>
      <c r="BP93" s="1">
        <v>0</v>
      </c>
      <c r="BQ93" s="1">
        <v>0</v>
      </c>
      <c r="BS93" s="1">
        <f t="shared" si="6"/>
        <v>72855</v>
      </c>
      <c r="BU93" s="20">
        <f>+BS93-'Gen Fd BS'!AA93+BQ93</f>
        <v>0</v>
      </c>
    </row>
    <row r="94" spans="1:73">
      <c r="A94" s="12" t="s">
        <v>924</v>
      </c>
      <c r="B94" s="12"/>
      <c r="C94" s="12" t="s">
        <v>78</v>
      </c>
      <c r="D94" s="12"/>
      <c r="E94" s="13">
        <v>48793</v>
      </c>
      <c r="G94" s="1">
        <v>4593790</v>
      </c>
      <c r="I94" s="1">
        <v>708220</v>
      </c>
      <c r="K94" s="1">
        <v>298252</v>
      </c>
      <c r="M94" s="1">
        <v>1424103</v>
      </c>
      <c r="O94" s="1">
        <v>403261</v>
      </c>
      <c r="Q94" s="1">
        <v>419627</v>
      </c>
      <c r="S94" s="1">
        <v>38070</v>
      </c>
      <c r="U94" s="1">
        <v>577708</v>
      </c>
      <c r="W94" s="1">
        <v>225409</v>
      </c>
      <c r="Y94" s="1">
        <v>0</v>
      </c>
      <c r="AA94" s="1">
        <v>1270297</v>
      </c>
      <c r="AC94" s="1">
        <v>530179</v>
      </c>
      <c r="AE94" s="1">
        <v>0</v>
      </c>
      <c r="AG94" s="1">
        <v>0</v>
      </c>
      <c r="AI94" s="1">
        <v>3670</v>
      </c>
      <c r="AJ94" s="12" t="s">
        <v>924</v>
      </c>
      <c r="AK94" s="12"/>
      <c r="AL94" s="12" t="s">
        <v>78</v>
      </c>
      <c r="AN94" s="1">
        <v>190574</v>
      </c>
      <c r="AP94" s="1">
        <v>0</v>
      </c>
      <c r="AR94" s="1">
        <v>0</v>
      </c>
      <c r="AT94" s="1">
        <v>0</v>
      </c>
      <c r="AV94" s="1">
        <v>0</v>
      </c>
      <c r="AX94" s="1">
        <v>0</v>
      </c>
      <c r="AZ94" s="1">
        <f t="shared" si="8"/>
        <v>10683160</v>
      </c>
      <c r="BB94" s="1">
        <v>0</v>
      </c>
      <c r="BH94" s="1">
        <v>0</v>
      </c>
      <c r="BJ94" s="1">
        <f t="shared" si="10"/>
        <v>10683160</v>
      </c>
      <c r="BL94" s="1">
        <f>+GenRev!AM94-GenExp!BJ94</f>
        <v>-224940</v>
      </c>
      <c r="BN94" s="1">
        <v>631939</v>
      </c>
      <c r="BP94" s="1">
        <v>0</v>
      </c>
      <c r="BQ94" s="1">
        <v>0</v>
      </c>
      <c r="BS94" s="1">
        <f t="shared" si="6"/>
        <v>406999</v>
      </c>
      <c r="BU94" s="20">
        <f>+BS94-'Gen Fd BS'!AA94+BQ94</f>
        <v>0</v>
      </c>
    </row>
    <row r="95" spans="1:73" hidden="1">
      <c r="A95" s="12" t="s">
        <v>739</v>
      </c>
      <c r="B95" s="12"/>
      <c r="C95" s="12" t="s">
        <v>653</v>
      </c>
      <c r="D95" s="12"/>
      <c r="E95" s="13">
        <v>45260</v>
      </c>
      <c r="AJ95" s="12" t="s">
        <v>739</v>
      </c>
      <c r="AK95" s="12"/>
      <c r="AL95" s="12" t="s">
        <v>653</v>
      </c>
      <c r="AZ95" s="1">
        <f t="shared" si="8"/>
        <v>0</v>
      </c>
      <c r="BJ95" s="1">
        <f t="shared" si="10"/>
        <v>0</v>
      </c>
      <c r="BL95" s="1">
        <f>+GenRev!AM95-GenExp!BJ95</f>
        <v>0</v>
      </c>
      <c r="BS95" s="1">
        <f t="shared" si="6"/>
        <v>0</v>
      </c>
      <c r="BU95" s="20">
        <f>+BS95-'Gen Fd BS'!AA95+BQ95</f>
        <v>0</v>
      </c>
    </row>
    <row r="96" spans="1:73">
      <c r="A96" s="12" t="s">
        <v>631</v>
      </c>
      <c r="B96" s="12"/>
      <c r="C96" s="12" t="s">
        <v>69</v>
      </c>
      <c r="D96" s="12"/>
      <c r="E96" s="13">
        <v>50419</v>
      </c>
      <c r="G96" s="1">
        <v>6829771</v>
      </c>
      <c r="I96" s="1">
        <v>1035274</v>
      </c>
      <c r="K96" s="1">
        <v>220399</v>
      </c>
      <c r="M96" s="1">
        <v>68305</v>
      </c>
      <c r="O96" s="1">
        <v>730579</v>
      </c>
      <c r="Q96" s="1">
        <v>911366</v>
      </c>
      <c r="S96" s="1">
        <v>37317</v>
      </c>
      <c r="U96" s="1">
        <v>980993</v>
      </c>
      <c r="W96" s="1">
        <v>421278</v>
      </c>
      <c r="Y96" s="1">
        <v>10343</v>
      </c>
      <c r="AA96" s="1">
        <v>1273168</v>
      </c>
      <c r="AC96" s="1">
        <v>701241</v>
      </c>
      <c r="AE96" s="1">
        <v>49139</v>
      </c>
      <c r="AG96" s="1">
        <v>0</v>
      </c>
      <c r="AI96" s="1">
        <v>185</v>
      </c>
      <c r="AJ96" s="12" t="s">
        <v>631</v>
      </c>
      <c r="AK96" s="12"/>
      <c r="AL96" s="12" t="s">
        <v>69</v>
      </c>
      <c r="AN96" s="1">
        <v>417901</v>
      </c>
      <c r="AP96" s="1">
        <v>0</v>
      </c>
      <c r="AR96" s="1">
        <v>0</v>
      </c>
      <c r="AT96" s="1">
        <v>0</v>
      </c>
      <c r="AV96" s="1">
        <v>0</v>
      </c>
      <c r="AX96" s="1">
        <v>0</v>
      </c>
      <c r="AZ96" s="1">
        <f t="shared" si="8"/>
        <v>13687259</v>
      </c>
      <c r="BB96" s="1">
        <v>0</v>
      </c>
      <c r="BH96" s="1">
        <v>0</v>
      </c>
      <c r="BJ96" s="1">
        <f t="shared" si="10"/>
        <v>13687259</v>
      </c>
      <c r="BL96" s="1">
        <f>+GenRev!AM96-GenExp!BJ96</f>
        <v>898701</v>
      </c>
      <c r="BN96" s="1">
        <v>-145470</v>
      </c>
      <c r="BP96" s="1">
        <v>0</v>
      </c>
      <c r="BQ96" s="1">
        <v>0</v>
      </c>
      <c r="BS96" s="1">
        <f t="shared" si="6"/>
        <v>753231</v>
      </c>
      <c r="BU96" s="20">
        <f>+BS96-'Gen Fd BS'!AA96+BQ96</f>
        <v>0</v>
      </c>
    </row>
    <row r="97" spans="1:73">
      <c r="A97" s="12" t="s">
        <v>238</v>
      </c>
      <c r="B97" s="12"/>
      <c r="C97" s="12" t="s">
        <v>16</v>
      </c>
      <c r="D97" s="12"/>
      <c r="E97" s="13">
        <v>45278</v>
      </c>
      <c r="G97" s="1">
        <v>8496657</v>
      </c>
      <c r="I97" s="1">
        <v>1406282</v>
      </c>
      <c r="K97" s="1">
        <v>279334</v>
      </c>
      <c r="M97" s="1">
        <f>16757+176081</f>
        <v>192838</v>
      </c>
      <c r="O97" s="1">
        <v>879730</v>
      </c>
      <c r="Q97" s="1">
        <v>325628</v>
      </c>
      <c r="S97" s="1">
        <v>40048</v>
      </c>
      <c r="U97" s="1">
        <v>1333844</v>
      </c>
      <c r="W97" s="1">
        <v>525651</v>
      </c>
      <c r="Y97" s="1">
        <v>54767</v>
      </c>
      <c r="AA97" s="1">
        <v>1683586</v>
      </c>
      <c r="AC97" s="1">
        <v>1438020</v>
      </c>
      <c r="AE97" s="1">
        <v>33910</v>
      </c>
      <c r="AG97" s="1">
        <v>0</v>
      </c>
      <c r="AI97" s="1">
        <v>13045</v>
      </c>
      <c r="AJ97" s="12" t="s">
        <v>238</v>
      </c>
      <c r="AK97" s="12"/>
      <c r="AL97" s="12" t="s">
        <v>16</v>
      </c>
      <c r="AN97" s="1">
        <v>400278</v>
      </c>
      <c r="AP97" s="1">
        <v>31600</v>
      </c>
      <c r="AR97" s="1">
        <v>0</v>
      </c>
      <c r="AT97" s="1">
        <v>36352</v>
      </c>
      <c r="AV97" s="1">
        <v>1796</v>
      </c>
      <c r="AX97" s="1">
        <v>0</v>
      </c>
      <c r="AZ97" s="1">
        <f t="shared" si="8"/>
        <v>17173366</v>
      </c>
      <c r="BB97" s="1">
        <v>89324</v>
      </c>
      <c r="BH97" s="1">
        <v>0</v>
      </c>
      <c r="BJ97" s="1">
        <f t="shared" si="10"/>
        <v>17262690</v>
      </c>
      <c r="BL97" s="1">
        <f>+GenRev!AM97-GenExp!BJ97</f>
        <v>1470975</v>
      </c>
      <c r="BN97" s="1">
        <v>1889600</v>
      </c>
      <c r="BP97" s="1">
        <v>0</v>
      </c>
      <c r="BQ97" s="1">
        <v>0</v>
      </c>
      <c r="BS97" s="1">
        <f t="shared" si="6"/>
        <v>3360575</v>
      </c>
      <c r="BU97" s="20">
        <f>+BS97-'Gen Fd BS'!AA97+BQ97</f>
        <v>0</v>
      </c>
    </row>
    <row r="98" spans="1:73" hidden="1">
      <c r="A98" s="12" t="s">
        <v>925</v>
      </c>
      <c r="B98" s="12"/>
      <c r="C98" s="12" t="s">
        <v>116</v>
      </c>
      <c r="D98" s="12"/>
      <c r="E98" s="13">
        <v>47258</v>
      </c>
      <c r="AJ98" s="12" t="s">
        <v>925</v>
      </c>
      <c r="AK98" s="12"/>
      <c r="AL98" s="12" t="s">
        <v>116</v>
      </c>
      <c r="AZ98" s="1">
        <f t="shared" si="8"/>
        <v>0</v>
      </c>
      <c r="BJ98" s="1">
        <f t="shared" si="10"/>
        <v>0</v>
      </c>
      <c r="BL98" s="1">
        <f>+GenRev!AM98-GenExp!BJ98</f>
        <v>0</v>
      </c>
      <c r="BS98" s="1">
        <f t="shared" si="6"/>
        <v>0</v>
      </c>
      <c r="BU98" s="20">
        <f>+BS98-'Gen Fd BS'!AA98+BQ98</f>
        <v>0</v>
      </c>
    </row>
    <row r="99" spans="1:73" hidden="1">
      <c r="A99" s="12" t="s">
        <v>740</v>
      </c>
      <c r="B99" s="12"/>
      <c r="C99" s="12" t="s">
        <v>486</v>
      </c>
      <c r="D99" s="12"/>
      <c r="E99" s="13">
        <v>43729</v>
      </c>
      <c r="AJ99" s="12" t="s">
        <v>740</v>
      </c>
      <c r="AK99" s="12"/>
      <c r="AL99" s="12" t="s">
        <v>486</v>
      </c>
      <c r="AZ99" s="1">
        <f t="shared" si="8"/>
        <v>0</v>
      </c>
      <c r="BJ99" s="1">
        <f t="shared" si="10"/>
        <v>0</v>
      </c>
      <c r="BL99" s="1">
        <f>+GenRev!AM99-GenExp!BJ99</f>
        <v>0</v>
      </c>
      <c r="BS99" s="1">
        <f t="shared" si="6"/>
        <v>0</v>
      </c>
      <c r="BU99" s="20">
        <f>+BS99-'Gen Fd BS'!AA99+BQ99</f>
        <v>0</v>
      </c>
    </row>
    <row r="100" spans="1:73">
      <c r="A100" s="12" t="s">
        <v>414</v>
      </c>
      <c r="B100" s="12"/>
      <c r="C100" s="12" t="s">
        <v>40</v>
      </c>
      <c r="D100" s="12"/>
      <c r="E100" s="13">
        <v>47829</v>
      </c>
      <c r="G100" s="1">
        <v>3689144</v>
      </c>
      <c r="I100" s="1">
        <v>1263792</v>
      </c>
      <c r="K100" s="1">
        <v>188117</v>
      </c>
      <c r="M100" s="1">
        <v>3403</v>
      </c>
      <c r="O100" s="1">
        <v>244224</v>
      </c>
      <c r="Q100" s="1">
        <v>145624</v>
      </c>
      <c r="S100" s="1">
        <v>8617</v>
      </c>
      <c r="U100" s="1">
        <v>998480</v>
      </c>
      <c r="W100" s="1">
        <v>334113</v>
      </c>
      <c r="Y100" s="1">
        <v>0</v>
      </c>
      <c r="AA100" s="1">
        <v>920828</v>
      </c>
      <c r="AC100" s="1">
        <v>710617</v>
      </c>
      <c r="AE100" s="1">
        <v>0</v>
      </c>
      <c r="AG100" s="1">
        <v>0</v>
      </c>
      <c r="AI100" s="1">
        <v>0</v>
      </c>
      <c r="AJ100" s="12" t="s">
        <v>414</v>
      </c>
      <c r="AK100" s="12"/>
      <c r="AL100" s="12" t="s">
        <v>40</v>
      </c>
      <c r="AN100" s="1">
        <v>233965</v>
      </c>
      <c r="AP100" s="1">
        <v>0</v>
      </c>
      <c r="AR100" s="1">
        <v>0</v>
      </c>
      <c r="AT100" s="1">
        <v>0</v>
      </c>
      <c r="AV100" s="1">
        <v>0</v>
      </c>
      <c r="AX100" s="1">
        <v>0</v>
      </c>
      <c r="AZ100" s="1">
        <f t="shared" si="8"/>
        <v>8740924</v>
      </c>
      <c r="BB100" s="1">
        <v>30000</v>
      </c>
      <c r="BH100" s="1">
        <v>0</v>
      </c>
      <c r="BJ100" s="1">
        <f t="shared" si="10"/>
        <v>8770924</v>
      </c>
      <c r="BL100" s="1">
        <f>+GenRev!AM100-GenExp!BJ100</f>
        <v>130449</v>
      </c>
      <c r="BN100" s="1">
        <v>3903293</v>
      </c>
      <c r="BP100" s="1">
        <v>0</v>
      </c>
      <c r="BQ100" s="1">
        <v>0</v>
      </c>
      <c r="BS100" s="1">
        <f t="shared" si="6"/>
        <v>4033742</v>
      </c>
      <c r="BU100" s="20">
        <f>+BS100-'Gen Fd BS'!AA100+BQ100</f>
        <v>0</v>
      </c>
    </row>
    <row r="101" spans="1:73" s="16" customFormat="1">
      <c r="A101" s="14" t="s">
        <v>795</v>
      </c>
      <c r="B101" s="14"/>
      <c r="C101" s="14" t="s">
        <v>50</v>
      </c>
      <c r="D101" s="14"/>
      <c r="E101" s="13">
        <v>43737</v>
      </c>
      <c r="G101" s="1">
        <v>36633766</v>
      </c>
      <c r="H101" s="1"/>
      <c r="I101" s="1">
        <v>7281966</v>
      </c>
      <c r="J101" s="1"/>
      <c r="K101" s="1">
        <v>2550843</v>
      </c>
      <c r="L101" s="1"/>
      <c r="M101" s="1">
        <v>888635</v>
      </c>
      <c r="N101" s="1"/>
      <c r="O101" s="1">
        <v>4295444</v>
      </c>
      <c r="P101" s="1"/>
      <c r="Q101" s="1">
        <v>6042311</v>
      </c>
      <c r="R101" s="1"/>
      <c r="S101" s="1">
        <v>30057</v>
      </c>
      <c r="T101" s="1"/>
      <c r="U101" s="1">
        <v>4595062</v>
      </c>
      <c r="V101" s="1"/>
      <c r="W101" s="1">
        <v>1462930</v>
      </c>
      <c r="X101" s="1"/>
      <c r="Y101" s="1">
        <v>542435</v>
      </c>
      <c r="Z101" s="1"/>
      <c r="AA101" s="1">
        <v>5229290</v>
      </c>
      <c r="AB101" s="1"/>
      <c r="AC101" s="1">
        <v>5509229</v>
      </c>
      <c r="AD101" s="1"/>
      <c r="AE101" s="1">
        <v>69029</v>
      </c>
      <c r="AF101" s="1"/>
      <c r="AG101" s="1">
        <v>0</v>
      </c>
      <c r="AH101" s="1"/>
      <c r="AI101" s="1">
        <v>0</v>
      </c>
      <c r="AJ101" s="14" t="s">
        <v>795</v>
      </c>
      <c r="AK101" s="12"/>
      <c r="AL101" s="12" t="s">
        <v>50</v>
      </c>
      <c r="AM101" s="1"/>
      <c r="AN101" s="1">
        <v>0</v>
      </c>
      <c r="AO101" s="1"/>
      <c r="AP101" s="1">
        <v>0</v>
      </c>
      <c r="AQ101" s="1"/>
      <c r="AR101" s="1">
        <v>0</v>
      </c>
      <c r="AS101" s="1"/>
      <c r="AT101" s="1">
        <v>0</v>
      </c>
      <c r="AU101" s="1"/>
      <c r="AV101" s="1">
        <v>0</v>
      </c>
      <c r="AW101" s="1"/>
      <c r="AX101" s="1">
        <v>0</v>
      </c>
      <c r="AY101" s="1"/>
      <c r="AZ101" s="1">
        <f t="shared" si="8"/>
        <v>75130997</v>
      </c>
      <c r="BA101" s="1"/>
      <c r="BB101" s="1">
        <v>0</v>
      </c>
      <c r="BC101" s="1"/>
      <c r="BD101" s="1"/>
      <c r="BE101" s="1"/>
      <c r="BF101" s="1"/>
      <c r="BG101" s="1"/>
      <c r="BH101" s="1">
        <v>0</v>
      </c>
      <c r="BI101" s="1"/>
      <c r="BJ101" s="1">
        <f t="shared" si="10"/>
        <v>75130997</v>
      </c>
      <c r="BK101" s="1"/>
      <c r="BL101" s="1">
        <f>+GenRev!AM101-GenExp!BJ101</f>
        <v>472555</v>
      </c>
      <c r="BM101" s="1"/>
      <c r="BN101" s="1">
        <v>12317939</v>
      </c>
      <c r="BO101" s="1"/>
      <c r="BP101" s="1">
        <v>0</v>
      </c>
      <c r="BQ101" s="1">
        <v>0</v>
      </c>
      <c r="BR101" s="1"/>
      <c r="BS101" s="1">
        <f t="shared" si="6"/>
        <v>12790494</v>
      </c>
      <c r="BT101" s="1"/>
      <c r="BU101" s="20">
        <f>+BS101-'Gen Fd BS'!AA101+BQ101</f>
        <v>0</v>
      </c>
    </row>
    <row r="102" spans="1:73" hidden="1">
      <c r="A102" s="12" t="s">
        <v>926</v>
      </c>
      <c r="B102" s="12"/>
      <c r="C102" s="12" t="s">
        <v>22</v>
      </c>
      <c r="D102" s="12"/>
      <c r="E102" s="13">
        <v>46714</v>
      </c>
      <c r="AJ102" s="12" t="s">
        <v>926</v>
      </c>
      <c r="AK102" s="12"/>
      <c r="AL102" s="12" t="s">
        <v>22</v>
      </c>
      <c r="AZ102" s="1">
        <f t="shared" si="8"/>
        <v>0</v>
      </c>
      <c r="BJ102" s="1">
        <f t="shared" si="10"/>
        <v>0</v>
      </c>
      <c r="BL102" s="1">
        <f>+GenRev!AM102-GenExp!BJ102</f>
        <v>0</v>
      </c>
      <c r="BS102" s="1">
        <f t="shared" si="6"/>
        <v>0</v>
      </c>
      <c r="BU102" s="20">
        <f>+BS102-'Gen Fd BS'!AA102+BQ102</f>
        <v>0</v>
      </c>
    </row>
    <row r="103" spans="1:73">
      <c r="A103" s="12" t="s">
        <v>285</v>
      </c>
      <c r="B103" s="12"/>
      <c r="C103" s="12" t="s">
        <v>20</v>
      </c>
      <c r="D103" s="12"/>
      <c r="E103" s="13">
        <v>45286</v>
      </c>
      <c r="G103" s="1">
        <v>11201296</v>
      </c>
      <c r="I103" s="1">
        <v>1737957</v>
      </c>
      <c r="K103" s="1">
        <v>80732</v>
      </c>
      <c r="M103" s="1">
        <v>23103</v>
      </c>
      <c r="O103" s="1">
        <v>1022773</v>
      </c>
      <c r="Q103" s="1">
        <v>910982</v>
      </c>
      <c r="S103" s="1">
        <v>75274</v>
      </c>
      <c r="U103" s="1">
        <v>2031124</v>
      </c>
      <c r="W103" s="1">
        <v>853879</v>
      </c>
      <c r="Y103" s="1">
        <v>300</v>
      </c>
      <c r="AA103" s="1">
        <v>2236090</v>
      </c>
      <c r="AC103" s="1">
        <v>1304983</v>
      </c>
      <c r="AE103" s="1">
        <v>12933</v>
      </c>
      <c r="AG103" s="1">
        <v>0</v>
      </c>
      <c r="AI103" s="1">
        <v>8314</v>
      </c>
      <c r="AJ103" s="12" t="s">
        <v>285</v>
      </c>
      <c r="AK103" s="12"/>
      <c r="AL103" s="12" t="s">
        <v>20</v>
      </c>
      <c r="AN103" s="1">
        <v>536629</v>
      </c>
      <c r="AP103" s="1">
        <v>0</v>
      </c>
      <c r="AR103" s="1">
        <v>0</v>
      </c>
      <c r="AT103" s="1">
        <v>0</v>
      </c>
      <c r="AV103" s="1">
        <v>0</v>
      </c>
      <c r="AX103" s="1">
        <v>0</v>
      </c>
      <c r="AZ103" s="1">
        <f t="shared" ref="AZ103:AZ134" si="11">SUM(G103:AX103)</f>
        <v>22036369</v>
      </c>
      <c r="BB103" s="1">
        <v>417600</v>
      </c>
      <c r="BH103" s="1">
        <v>0</v>
      </c>
      <c r="BJ103" s="1">
        <f t="shared" si="10"/>
        <v>22453969</v>
      </c>
      <c r="BL103" s="1">
        <f>+GenRev!AM103-GenExp!BJ103</f>
        <v>1141186</v>
      </c>
      <c r="BN103" s="1">
        <v>4478031</v>
      </c>
      <c r="BP103" s="1">
        <v>0</v>
      </c>
      <c r="BQ103" s="1">
        <v>0</v>
      </c>
      <c r="BS103" s="1">
        <f t="shared" si="6"/>
        <v>5619217</v>
      </c>
      <c r="BU103" s="20">
        <f>+BS103-'Gen Fd BS'!AA103+BQ103</f>
        <v>0</v>
      </c>
    </row>
    <row r="104" spans="1:73">
      <c r="A104" s="12" t="s">
        <v>602</v>
      </c>
      <c r="B104" s="12"/>
      <c r="C104" s="12" t="s">
        <v>64</v>
      </c>
      <c r="D104" s="12"/>
      <c r="E104" s="13">
        <v>50138</v>
      </c>
      <c r="G104" s="1">
        <v>3733458</v>
      </c>
      <c r="I104" s="1">
        <v>1135300</v>
      </c>
      <c r="K104" s="1">
        <v>172817</v>
      </c>
      <c r="M104" s="1">
        <v>291430</v>
      </c>
      <c r="O104" s="1">
        <v>631415</v>
      </c>
      <c r="Q104" s="1">
        <v>364072</v>
      </c>
      <c r="S104" s="1">
        <v>37080</v>
      </c>
      <c r="U104" s="1">
        <v>1720710</v>
      </c>
      <c r="W104" s="1">
        <v>345435</v>
      </c>
      <c r="Y104" s="1">
        <v>0</v>
      </c>
      <c r="AA104" s="1">
        <v>1065008</v>
      </c>
      <c r="AC104" s="1">
        <v>731005</v>
      </c>
      <c r="AE104" s="1">
        <v>5161</v>
      </c>
      <c r="AG104" s="1">
        <v>0</v>
      </c>
      <c r="AI104" s="1">
        <v>0</v>
      </c>
      <c r="AJ104" s="12" t="s">
        <v>602</v>
      </c>
      <c r="AK104" s="12"/>
      <c r="AL104" s="12" t="s">
        <v>64</v>
      </c>
      <c r="AN104" s="1">
        <v>286046</v>
      </c>
      <c r="AP104" s="1">
        <v>0</v>
      </c>
      <c r="AR104" s="1">
        <v>0</v>
      </c>
      <c r="AT104" s="1">
        <v>103841</v>
      </c>
      <c r="AV104" s="1">
        <v>81738</v>
      </c>
      <c r="AX104" s="1">
        <v>0</v>
      </c>
      <c r="AZ104" s="1">
        <f t="shared" si="11"/>
        <v>10704516</v>
      </c>
      <c r="BB104" s="1">
        <v>78224</v>
      </c>
      <c r="BH104" s="1">
        <v>0</v>
      </c>
      <c r="BJ104" s="1">
        <f t="shared" si="10"/>
        <v>10782740</v>
      </c>
      <c r="BL104" s="1">
        <f>+GenRev!AM104-GenExp!BJ104</f>
        <v>520552</v>
      </c>
      <c r="BN104" s="1">
        <v>-1283303</v>
      </c>
      <c r="BP104" s="1">
        <v>-471</v>
      </c>
      <c r="BQ104" s="1">
        <v>0</v>
      </c>
      <c r="BS104" s="1">
        <f t="shared" ref="BS104:BS153" si="12">+BN104+BL104-BP104</f>
        <v>-762280</v>
      </c>
      <c r="BU104" s="20">
        <f>+BS104-'Gen Fd BS'!AA104+BQ104</f>
        <v>0</v>
      </c>
    </row>
    <row r="105" spans="1:73" hidden="1">
      <c r="A105" s="12" t="s">
        <v>927</v>
      </c>
      <c r="B105" s="12"/>
      <c r="C105" s="12" t="s">
        <v>30</v>
      </c>
      <c r="D105" s="12"/>
      <c r="E105" s="13">
        <v>47183</v>
      </c>
      <c r="AJ105" s="12" t="s">
        <v>927</v>
      </c>
      <c r="AK105" s="12"/>
      <c r="AL105" s="12" t="s">
        <v>30</v>
      </c>
      <c r="AZ105" s="1">
        <f t="shared" si="11"/>
        <v>0</v>
      </c>
      <c r="BJ105" s="1">
        <f t="shared" si="10"/>
        <v>0</v>
      </c>
      <c r="BL105" s="1">
        <f>+GenRev!AM105-GenExp!BJ105</f>
        <v>0</v>
      </c>
      <c r="BS105" s="1">
        <f t="shared" si="12"/>
        <v>0</v>
      </c>
      <c r="BU105" s="20">
        <f>+BS105-'Gen Fd BS'!AA105+BQ105</f>
        <v>0</v>
      </c>
    </row>
    <row r="106" spans="1:73">
      <c r="A106" s="12" t="s">
        <v>419</v>
      </c>
      <c r="B106" s="12"/>
      <c r="C106" s="12" t="s">
        <v>420</v>
      </c>
      <c r="D106" s="12"/>
      <c r="E106" s="13">
        <v>45294</v>
      </c>
      <c r="G106" s="1">
        <v>6436587</v>
      </c>
      <c r="I106" s="1">
        <v>615255</v>
      </c>
      <c r="K106" s="1">
        <v>0</v>
      </c>
      <c r="M106" s="1">
        <v>472631</v>
      </c>
      <c r="O106" s="1">
        <v>472204</v>
      </c>
      <c r="Q106" s="1">
        <v>331479</v>
      </c>
      <c r="S106" s="1">
        <v>141610</v>
      </c>
      <c r="U106" s="1">
        <v>1065036</v>
      </c>
      <c r="W106" s="1">
        <v>300366</v>
      </c>
      <c r="Y106" s="1">
        <v>0</v>
      </c>
      <c r="AA106" s="1">
        <v>736505</v>
      </c>
      <c r="AC106" s="1">
        <v>666345</v>
      </c>
      <c r="AE106" s="1">
        <v>117957</v>
      </c>
      <c r="AG106" s="1">
        <v>0</v>
      </c>
      <c r="AI106" s="1">
        <v>0</v>
      </c>
      <c r="AJ106" s="12" t="s">
        <v>419</v>
      </c>
      <c r="AK106" s="12"/>
      <c r="AL106" s="12" t="s">
        <v>420</v>
      </c>
      <c r="AN106" s="1">
        <v>266948</v>
      </c>
      <c r="AP106" s="1">
        <v>35343</v>
      </c>
      <c r="AR106" s="1">
        <v>0</v>
      </c>
      <c r="AT106" s="1">
        <v>18986</v>
      </c>
      <c r="AV106" s="1">
        <v>984</v>
      </c>
      <c r="AX106" s="1">
        <v>0</v>
      </c>
      <c r="AZ106" s="1">
        <f t="shared" si="11"/>
        <v>11678236</v>
      </c>
      <c r="BB106" s="1">
        <v>16730</v>
      </c>
      <c r="BH106" s="1">
        <v>0</v>
      </c>
      <c r="BJ106" s="1">
        <f t="shared" si="10"/>
        <v>11694966</v>
      </c>
      <c r="BL106" s="1">
        <f>+GenRev!AM106-GenExp!BJ106</f>
        <v>-408640</v>
      </c>
      <c r="BN106" s="1">
        <v>615489</v>
      </c>
      <c r="BP106" s="1">
        <v>0</v>
      </c>
      <c r="BQ106" s="1">
        <v>0</v>
      </c>
      <c r="BS106" s="1">
        <f t="shared" si="12"/>
        <v>206849</v>
      </c>
      <c r="BU106" s="20">
        <f>+BS106-'Gen Fd BS'!AA106+BQ106</f>
        <v>0</v>
      </c>
    </row>
    <row r="107" spans="1:73">
      <c r="A107" s="12" t="s">
        <v>550</v>
      </c>
      <c r="B107" s="12"/>
      <c r="C107" s="12" t="s">
        <v>58</v>
      </c>
      <c r="D107" s="12"/>
      <c r="E107" s="13">
        <v>43745</v>
      </c>
      <c r="G107" s="1">
        <v>15076889</v>
      </c>
      <c r="I107" s="1">
        <v>1980125</v>
      </c>
      <c r="K107" s="1">
        <v>9450</v>
      </c>
      <c r="M107" s="1">
        <v>471050</v>
      </c>
      <c r="O107" s="1">
        <v>1286181</v>
      </c>
      <c r="Q107" s="1">
        <v>913707</v>
      </c>
      <c r="S107" s="1">
        <v>87083</v>
      </c>
      <c r="U107" s="1">
        <v>1801029</v>
      </c>
      <c r="W107" s="1">
        <v>655578</v>
      </c>
      <c r="Y107" s="1">
        <v>100103</v>
      </c>
      <c r="AA107" s="1">
        <v>2400673</v>
      </c>
      <c r="AC107" s="1">
        <v>762615</v>
      </c>
      <c r="AE107" s="1">
        <v>168394</v>
      </c>
      <c r="AG107" s="1">
        <v>7329</v>
      </c>
      <c r="AI107" s="1">
        <v>0</v>
      </c>
      <c r="AJ107" s="12" t="s">
        <v>550</v>
      </c>
      <c r="AK107" s="12"/>
      <c r="AL107" s="12" t="s">
        <v>58</v>
      </c>
      <c r="AN107" s="1">
        <v>427797</v>
      </c>
      <c r="AP107" s="1">
        <v>0</v>
      </c>
      <c r="AR107" s="1">
        <v>0</v>
      </c>
      <c r="AT107" s="1">
        <v>190000</v>
      </c>
      <c r="AV107" s="1">
        <v>8234</v>
      </c>
      <c r="AX107" s="1">
        <v>0</v>
      </c>
      <c r="AZ107" s="1">
        <f t="shared" si="11"/>
        <v>26346237</v>
      </c>
      <c r="BB107" s="1">
        <v>0</v>
      </c>
      <c r="BH107" s="1">
        <v>0</v>
      </c>
      <c r="BJ107" s="1">
        <f t="shared" si="10"/>
        <v>26346237</v>
      </c>
      <c r="BL107" s="1">
        <f>+GenRev!AM107-GenExp!BJ107</f>
        <v>403398</v>
      </c>
      <c r="BN107" s="1">
        <v>2797024</v>
      </c>
      <c r="BP107" s="1">
        <v>0</v>
      </c>
      <c r="BQ107" s="1">
        <v>0</v>
      </c>
      <c r="BS107" s="1">
        <f t="shared" si="12"/>
        <v>3200422</v>
      </c>
      <c r="BU107" s="20">
        <f>+BS107-'Gen Fd BS'!AA107+BQ107</f>
        <v>0</v>
      </c>
    </row>
    <row r="108" spans="1:73">
      <c r="A108" s="12" t="s">
        <v>640</v>
      </c>
      <c r="B108" s="12"/>
      <c r="C108" s="12" t="s">
        <v>71</v>
      </c>
      <c r="D108" s="12"/>
      <c r="E108" s="13">
        <v>50534</v>
      </c>
      <c r="G108" s="1">
        <v>5069800</v>
      </c>
      <c r="I108" s="1">
        <v>306577</v>
      </c>
      <c r="K108" s="1">
        <v>31927</v>
      </c>
      <c r="M108" s="1">
        <v>339229</v>
      </c>
      <c r="O108" s="1">
        <v>164904</v>
      </c>
      <c r="Q108" s="1">
        <v>510769</v>
      </c>
      <c r="S108" s="1">
        <v>52726</v>
      </c>
      <c r="U108" s="1">
        <v>1076743</v>
      </c>
      <c r="W108" s="1">
        <v>363335</v>
      </c>
      <c r="Y108" s="1">
        <v>0</v>
      </c>
      <c r="AA108" s="1">
        <v>991914</v>
      </c>
      <c r="AC108" s="1">
        <v>609482</v>
      </c>
      <c r="AE108" s="1">
        <v>169120</v>
      </c>
      <c r="AG108" s="1">
        <v>0</v>
      </c>
      <c r="AI108" s="1">
        <v>0</v>
      </c>
      <c r="AJ108" s="12" t="s">
        <v>640</v>
      </c>
      <c r="AK108" s="12"/>
      <c r="AL108" s="12" t="s">
        <v>71</v>
      </c>
      <c r="AN108" s="1">
        <v>280066</v>
      </c>
      <c r="AP108" s="1">
        <v>0</v>
      </c>
      <c r="AR108" s="1">
        <v>0</v>
      </c>
      <c r="AT108" s="1">
        <v>0</v>
      </c>
      <c r="AV108" s="1">
        <v>0</v>
      </c>
      <c r="AX108" s="1">
        <v>0</v>
      </c>
      <c r="AZ108" s="1">
        <f t="shared" si="11"/>
        <v>9966592</v>
      </c>
      <c r="BB108" s="1">
        <v>47031</v>
      </c>
      <c r="BH108" s="1">
        <v>0</v>
      </c>
      <c r="BJ108" s="1">
        <f t="shared" si="10"/>
        <v>10013623</v>
      </c>
      <c r="BL108" s="1">
        <f>+GenRev!AM108-GenExp!BJ108</f>
        <v>561558</v>
      </c>
      <c r="BN108" s="1">
        <v>3734622</v>
      </c>
      <c r="BP108" s="1">
        <v>0</v>
      </c>
      <c r="BQ108" s="1">
        <v>0</v>
      </c>
      <c r="BS108" s="1">
        <f t="shared" si="12"/>
        <v>4296180</v>
      </c>
      <c r="BU108" s="20">
        <f>+BS108-'Gen Fd BS'!AA108+BQ108</f>
        <v>0</v>
      </c>
    </row>
    <row r="109" spans="1:73">
      <c r="A109" s="12" t="s">
        <v>928</v>
      </c>
      <c r="B109" s="12"/>
      <c r="C109" s="12" t="s">
        <v>32</v>
      </c>
      <c r="D109" s="12"/>
      <c r="E109" s="13">
        <v>43752</v>
      </c>
      <c r="G109" s="1">
        <v>129631758</v>
      </c>
      <c r="I109" s="1">
        <v>32510098</v>
      </c>
      <c r="K109" s="1">
        <v>5526041</v>
      </c>
      <c r="M109" s="1">
        <v>0</v>
      </c>
      <c r="O109" s="1">
        <v>21753894</v>
      </c>
      <c r="Q109" s="1">
        <v>14862437</v>
      </c>
      <c r="S109" s="1">
        <v>341454</v>
      </c>
      <c r="U109" s="1">
        <v>19032089</v>
      </c>
      <c r="W109" s="1">
        <v>2946496</v>
      </c>
      <c r="Y109" s="1">
        <v>862456</v>
      </c>
      <c r="AA109" s="1">
        <v>26223482</v>
      </c>
      <c r="AC109" s="1">
        <v>31031749</v>
      </c>
      <c r="AE109" s="1">
        <v>9559416</v>
      </c>
      <c r="AG109" s="1">
        <v>0</v>
      </c>
      <c r="AI109" s="1">
        <v>0</v>
      </c>
      <c r="AJ109" s="12" t="s">
        <v>928</v>
      </c>
      <c r="AK109" s="12"/>
      <c r="AL109" s="12" t="s">
        <v>32</v>
      </c>
      <c r="AN109" s="1">
        <v>4491657</v>
      </c>
      <c r="AP109" s="1">
        <v>136861</v>
      </c>
      <c r="AR109" s="1">
        <v>0</v>
      </c>
      <c r="AT109" s="1">
        <v>0</v>
      </c>
      <c r="AV109" s="1">
        <v>705595</v>
      </c>
      <c r="AX109" s="1">
        <v>0</v>
      </c>
      <c r="AZ109" s="1">
        <f t="shared" si="11"/>
        <v>299615483</v>
      </c>
      <c r="BB109" s="1">
        <v>132167734</v>
      </c>
      <c r="BH109" s="1">
        <v>0</v>
      </c>
      <c r="BJ109" s="1">
        <f t="shared" si="10"/>
        <v>431783217</v>
      </c>
      <c r="BL109" s="1">
        <f>+GenRev!AM109-GenExp!BJ109</f>
        <v>44591048</v>
      </c>
      <c r="BN109" s="1">
        <v>74092307</v>
      </c>
      <c r="BP109" s="1">
        <v>0</v>
      </c>
      <c r="BQ109" s="1">
        <v>0</v>
      </c>
      <c r="BS109" s="1">
        <f t="shared" si="12"/>
        <v>118683355</v>
      </c>
      <c r="BU109" s="20">
        <f>+BS109-'Gen Fd BS'!AA109+BQ109</f>
        <v>0</v>
      </c>
    </row>
    <row r="110" spans="1:73">
      <c r="A110" s="12" t="s">
        <v>525</v>
      </c>
      <c r="B110" s="12"/>
      <c r="C110" s="12" t="s">
        <v>54</v>
      </c>
      <c r="D110" s="12"/>
      <c r="E110" s="13">
        <v>43760</v>
      </c>
      <c r="G110" s="1">
        <v>9961539</v>
      </c>
      <c r="I110" s="1">
        <v>2089892</v>
      </c>
      <c r="K110" s="1">
        <v>42150</v>
      </c>
      <c r="M110" s="1">
        <v>106691</v>
      </c>
      <c r="O110" s="1">
        <v>1084558</v>
      </c>
      <c r="Q110" s="1">
        <v>2141682</v>
      </c>
      <c r="S110" s="1">
        <v>237329</v>
      </c>
      <c r="U110" s="1">
        <v>1733705</v>
      </c>
      <c r="W110" s="1">
        <v>580858</v>
      </c>
      <c r="Y110" s="1">
        <v>0</v>
      </c>
      <c r="AA110" s="1">
        <v>1889685</v>
      </c>
      <c r="AC110" s="1">
        <v>744078</v>
      </c>
      <c r="AE110" s="1">
        <v>0</v>
      </c>
      <c r="AG110" s="1">
        <v>0</v>
      </c>
      <c r="AI110" s="1">
        <v>522</v>
      </c>
      <c r="AJ110" s="12" t="s">
        <v>525</v>
      </c>
      <c r="AK110" s="12"/>
      <c r="AL110" s="12" t="s">
        <v>54</v>
      </c>
      <c r="AN110" s="1">
        <v>380784</v>
      </c>
      <c r="AP110" s="1">
        <v>1177754</v>
      </c>
      <c r="AR110" s="1">
        <v>0</v>
      </c>
      <c r="AT110" s="1">
        <v>18000</v>
      </c>
      <c r="AV110" s="1">
        <v>13463</v>
      </c>
      <c r="AX110" s="1">
        <v>0</v>
      </c>
      <c r="AZ110" s="1">
        <f t="shared" si="11"/>
        <v>22202690</v>
      </c>
      <c r="BB110" s="1">
        <v>30000</v>
      </c>
      <c r="BH110" s="1">
        <v>0</v>
      </c>
      <c r="BJ110" s="1">
        <f t="shared" si="10"/>
        <v>22232690</v>
      </c>
      <c r="BL110" s="1">
        <f>+GenRev!AM110-GenExp!BJ110</f>
        <v>625590</v>
      </c>
      <c r="BN110" s="1">
        <v>12237732</v>
      </c>
      <c r="BP110" s="1">
        <v>0</v>
      </c>
      <c r="BQ110" s="1">
        <v>0</v>
      </c>
      <c r="BS110" s="1">
        <f t="shared" si="12"/>
        <v>12863322</v>
      </c>
      <c r="BU110" s="20">
        <f>+BS110-'Gen Fd BS'!AA110+BQ110</f>
        <v>0</v>
      </c>
    </row>
    <row r="111" spans="1:73">
      <c r="A111" s="12" t="s">
        <v>245</v>
      </c>
      <c r="B111" s="12"/>
      <c r="C111" s="12" t="s">
        <v>17</v>
      </c>
      <c r="D111" s="12"/>
      <c r="E111" s="13">
        <v>46284</v>
      </c>
      <c r="G111" s="1">
        <v>10048494</v>
      </c>
      <c r="I111" s="1">
        <v>1411707</v>
      </c>
      <c r="K111" s="1">
        <v>204233</v>
      </c>
      <c r="M111" s="1">
        <f>17481+323061</f>
        <v>340542</v>
      </c>
      <c r="O111" s="1">
        <v>731031</v>
      </c>
      <c r="Q111" s="1">
        <v>539548</v>
      </c>
      <c r="S111" s="1">
        <v>126754</v>
      </c>
      <c r="U111" s="1">
        <v>1636026</v>
      </c>
      <c r="W111" s="1">
        <v>456938</v>
      </c>
      <c r="Y111" s="1">
        <v>15463</v>
      </c>
      <c r="AA111" s="1">
        <v>1495409</v>
      </c>
      <c r="AC111" s="1">
        <v>960382</v>
      </c>
      <c r="AE111" s="1">
        <v>43073</v>
      </c>
      <c r="AG111" s="1">
        <v>0</v>
      </c>
      <c r="AI111" s="1">
        <v>0</v>
      </c>
      <c r="AJ111" s="12" t="s">
        <v>245</v>
      </c>
      <c r="AK111" s="12"/>
      <c r="AL111" s="12" t="s">
        <v>17</v>
      </c>
      <c r="AN111" s="1">
        <v>509396</v>
      </c>
      <c r="AP111" s="1">
        <v>643</v>
      </c>
      <c r="AR111" s="1">
        <v>0</v>
      </c>
      <c r="AT111" s="1">
        <v>42884</v>
      </c>
      <c r="AV111" s="1">
        <v>3628</v>
      </c>
      <c r="AX111" s="1">
        <v>0</v>
      </c>
      <c r="AZ111" s="1">
        <f t="shared" si="11"/>
        <v>18566151</v>
      </c>
      <c r="BB111" s="1">
        <v>0</v>
      </c>
      <c r="BH111" s="1">
        <v>0</v>
      </c>
      <c r="BJ111" s="1">
        <f t="shared" si="10"/>
        <v>18566151</v>
      </c>
      <c r="BL111" s="1">
        <f>+GenRev!AM111-GenExp!BJ111</f>
        <v>871989</v>
      </c>
      <c r="BN111" s="1">
        <v>1653770</v>
      </c>
      <c r="BP111" s="1">
        <v>0</v>
      </c>
      <c r="BQ111" s="1">
        <v>0</v>
      </c>
      <c r="BS111" s="1">
        <f t="shared" si="12"/>
        <v>2525759</v>
      </c>
      <c r="BU111" s="20">
        <f>+BS111-'Gen Fd BS'!AA111+BQ111</f>
        <v>0</v>
      </c>
    </row>
    <row r="112" spans="1:73">
      <c r="A112" s="12" t="s">
        <v>560</v>
      </c>
      <c r="B112" s="12"/>
      <c r="C112" s="12" t="s">
        <v>59</v>
      </c>
      <c r="D112" s="12"/>
      <c r="E112" s="13">
        <v>49601</v>
      </c>
      <c r="G112" s="1">
        <v>2967846</v>
      </c>
      <c r="I112" s="1">
        <v>248647</v>
      </c>
      <c r="K112" s="1">
        <v>16284</v>
      </c>
      <c r="M112" s="1">
        <v>25779</v>
      </c>
      <c r="O112" s="1">
        <v>273748</v>
      </c>
      <c r="Q112" s="1">
        <v>221235</v>
      </c>
      <c r="S112" s="1">
        <v>23377</v>
      </c>
      <c r="U112" s="1">
        <v>526815</v>
      </c>
      <c r="W112" s="1">
        <v>214681</v>
      </c>
      <c r="Y112" s="1">
        <v>0</v>
      </c>
      <c r="AA112" s="1">
        <v>432317</v>
      </c>
      <c r="AC112" s="1">
        <v>258067</v>
      </c>
      <c r="AE112" s="1">
        <v>6745</v>
      </c>
      <c r="AG112" s="1">
        <v>0</v>
      </c>
      <c r="AI112" s="1">
        <v>0</v>
      </c>
      <c r="AJ112" s="12" t="s">
        <v>560</v>
      </c>
      <c r="AK112" s="12"/>
      <c r="AL112" s="12" t="s">
        <v>59</v>
      </c>
      <c r="AN112" s="1">
        <v>71707</v>
      </c>
      <c r="AP112" s="1">
        <v>0</v>
      </c>
      <c r="AR112" s="1">
        <v>0</v>
      </c>
      <c r="AT112" s="1">
        <v>0</v>
      </c>
      <c r="AV112" s="1">
        <v>0</v>
      </c>
      <c r="AX112" s="1">
        <v>0</v>
      </c>
      <c r="AZ112" s="1">
        <f t="shared" si="11"/>
        <v>5287248</v>
      </c>
      <c r="BB112" s="1">
        <v>37457</v>
      </c>
      <c r="BH112" s="1">
        <v>0</v>
      </c>
      <c r="BJ112" s="1">
        <f t="shared" si="10"/>
        <v>5324705</v>
      </c>
      <c r="BL112" s="1">
        <f>+GenRev!AM112-GenExp!BJ112</f>
        <v>-283382</v>
      </c>
      <c r="BN112" s="1">
        <v>347352</v>
      </c>
      <c r="BP112" s="1">
        <v>0</v>
      </c>
      <c r="BQ112" s="1">
        <v>0</v>
      </c>
      <c r="BS112" s="1">
        <f t="shared" si="12"/>
        <v>63970</v>
      </c>
      <c r="BU112" s="20">
        <f>+BS112-'Gen Fd BS'!AA112+BQ112</f>
        <v>0</v>
      </c>
    </row>
    <row r="113" spans="1:73">
      <c r="A113" s="12" t="s">
        <v>618</v>
      </c>
      <c r="B113" s="12"/>
      <c r="C113" s="12" t="s">
        <v>65</v>
      </c>
      <c r="D113" s="12"/>
      <c r="E113" s="13">
        <v>43778</v>
      </c>
      <c r="G113" s="1">
        <v>8189413</v>
      </c>
      <c r="I113" s="1">
        <v>1794452</v>
      </c>
      <c r="K113" s="1">
        <v>191702</v>
      </c>
      <c r="M113" s="1">
        <v>0</v>
      </c>
      <c r="O113" s="1">
        <v>831951</v>
      </c>
      <c r="Q113" s="1">
        <v>944148</v>
      </c>
      <c r="S113" s="1">
        <v>34532</v>
      </c>
      <c r="U113" s="1">
        <v>1406845</v>
      </c>
      <c r="W113" s="1">
        <v>375390</v>
      </c>
      <c r="Y113" s="1">
        <v>11796</v>
      </c>
      <c r="AA113" s="1">
        <v>1869804</v>
      </c>
      <c r="AC113" s="1">
        <v>717438</v>
      </c>
      <c r="AE113" s="1">
        <v>382859</v>
      </c>
      <c r="AG113" s="1">
        <v>0</v>
      </c>
      <c r="AI113" s="1">
        <v>0</v>
      </c>
      <c r="AJ113" s="12" t="s">
        <v>618</v>
      </c>
      <c r="AK113" s="12"/>
      <c r="AL113" s="12" t="s">
        <v>65</v>
      </c>
      <c r="AN113" s="1">
        <v>349193</v>
      </c>
      <c r="AP113" s="1">
        <v>0</v>
      </c>
      <c r="AR113" s="1">
        <v>0</v>
      </c>
      <c r="AT113" s="1">
        <v>40109</v>
      </c>
      <c r="AV113" s="1">
        <v>6113</v>
      </c>
      <c r="AX113" s="1">
        <v>0</v>
      </c>
      <c r="AZ113" s="1">
        <f t="shared" si="11"/>
        <v>17145745</v>
      </c>
      <c r="BB113" s="1">
        <v>45000</v>
      </c>
      <c r="BH113" s="1">
        <v>0</v>
      </c>
      <c r="BJ113" s="1">
        <f t="shared" si="10"/>
        <v>17190745</v>
      </c>
      <c r="BL113" s="1">
        <f>+GenRev!AM113-GenExp!BJ113</f>
        <v>-168103</v>
      </c>
      <c r="BN113" s="1">
        <v>1699095</v>
      </c>
      <c r="BP113" s="1">
        <v>0</v>
      </c>
      <c r="BQ113" s="1">
        <v>0</v>
      </c>
      <c r="BS113" s="1">
        <f t="shared" si="12"/>
        <v>1530992</v>
      </c>
      <c r="BU113" s="20">
        <f>+BS113-'Gen Fd BS'!AA113+BQ113</f>
        <v>0</v>
      </c>
    </row>
    <row r="114" spans="1:73" s="16" customFormat="1">
      <c r="A114" s="14" t="s">
        <v>543</v>
      </c>
      <c r="B114" s="14"/>
      <c r="C114" s="14" t="s">
        <v>112</v>
      </c>
      <c r="D114" s="14"/>
      <c r="E114" s="13">
        <v>49411</v>
      </c>
      <c r="G114" s="1">
        <v>6176331</v>
      </c>
      <c r="H114" s="1"/>
      <c r="I114" s="1">
        <v>1155700</v>
      </c>
      <c r="J114" s="1"/>
      <c r="K114" s="1">
        <v>156534</v>
      </c>
      <c r="L114" s="1"/>
      <c r="M114" s="1">
        <v>572779</v>
      </c>
      <c r="N114" s="1"/>
      <c r="O114" s="1">
        <v>384466</v>
      </c>
      <c r="P114" s="1"/>
      <c r="Q114" s="1">
        <v>540467</v>
      </c>
      <c r="R114" s="1"/>
      <c r="S114" s="1">
        <v>48302</v>
      </c>
      <c r="T114" s="1"/>
      <c r="U114" s="1">
        <v>877649</v>
      </c>
      <c r="V114" s="1"/>
      <c r="W114" s="1">
        <v>305359</v>
      </c>
      <c r="X114" s="1"/>
      <c r="Y114" s="1">
        <v>0</v>
      </c>
      <c r="Z114" s="1"/>
      <c r="AA114" s="1">
        <v>1047509</v>
      </c>
      <c r="AB114" s="1"/>
      <c r="AC114" s="1">
        <v>1250434</v>
      </c>
      <c r="AD114" s="1"/>
      <c r="AE114" s="1">
        <v>11687</v>
      </c>
      <c r="AF114" s="1"/>
      <c r="AG114" s="1">
        <v>0</v>
      </c>
      <c r="AH114" s="1"/>
      <c r="AI114" s="1">
        <v>30554</v>
      </c>
      <c r="AJ114" s="14" t="s">
        <v>543</v>
      </c>
      <c r="AK114" s="14"/>
      <c r="AL114" s="14" t="s">
        <v>112</v>
      </c>
      <c r="AN114" s="1">
        <v>343487</v>
      </c>
      <c r="AO114" s="1"/>
      <c r="AP114" s="1">
        <v>0</v>
      </c>
      <c r="AQ114" s="1"/>
      <c r="AR114" s="1">
        <v>0</v>
      </c>
      <c r="AS114" s="1"/>
      <c r="AT114" s="1">
        <v>0</v>
      </c>
      <c r="AU114" s="1"/>
      <c r="AV114" s="1">
        <v>0</v>
      </c>
      <c r="AW114" s="1"/>
      <c r="AX114" s="1">
        <v>0</v>
      </c>
      <c r="AY114" s="1"/>
      <c r="AZ114" s="1">
        <f t="shared" si="11"/>
        <v>12901258</v>
      </c>
      <c r="BA114" s="1"/>
      <c r="BB114" s="1">
        <v>25000</v>
      </c>
      <c r="BC114" s="1"/>
      <c r="BD114" s="1"/>
      <c r="BE114" s="1"/>
      <c r="BF114" s="1"/>
      <c r="BG114" s="1"/>
      <c r="BH114" s="1">
        <v>0</v>
      </c>
      <c r="BI114" s="1"/>
      <c r="BJ114" s="1">
        <f t="shared" si="10"/>
        <v>12926258</v>
      </c>
      <c r="BK114" s="1"/>
      <c r="BL114" s="1">
        <f>+GenRev!AM114-GenExp!BJ114</f>
        <v>177430</v>
      </c>
      <c r="BM114" s="1"/>
      <c r="BN114" s="1">
        <v>5714652</v>
      </c>
      <c r="BO114" s="1"/>
      <c r="BP114" s="1">
        <v>6873</v>
      </c>
      <c r="BQ114" s="1">
        <v>0</v>
      </c>
      <c r="BR114" s="1"/>
      <c r="BS114" s="1">
        <f t="shared" si="12"/>
        <v>5885209</v>
      </c>
      <c r="BT114" s="1"/>
      <c r="BU114" s="20">
        <f>+BS114-'Gen Fd BS'!AA114+BQ114</f>
        <v>0</v>
      </c>
    </row>
    <row r="115" spans="1:73">
      <c r="A115" s="12" t="s">
        <v>438</v>
      </c>
      <c r="B115" s="12"/>
      <c r="C115" s="12" t="s">
        <v>44</v>
      </c>
      <c r="D115" s="12"/>
      <c r="E115" s="13">
        <v>48132</v>
      </c>
      <c r="G115" s="1">
        <v>6582612</v>
      </c>
      <c r="I115" s="1">
        <v>872406</v>
      </c>
      <c r="K115" s="1">
        <v>178135</v>
      </c>
      <c r="M115" s="1">
        <v>0</v>
      </c>
      <c r="O115" s="1">
        <v>874612</v>
      </c>
      <c r="Q115" s="1">
        <v>495838</v>
      </c>
      <c r="S115" s="1">
        <v>50227</v>
      </c>
      <c r="U115" s="1">
        <v>1107544</v>
      </c>
      <c r="W115" s="1">
        <v>358435</v>
      </c>
      <c r="Y115" s="1">
        <v>237786</v>
      </c>
      <c r="AA115" s="1">
        <v>1419356</v>
      </c>
      <c r="AC115" s="1">
        <v>337790</v>
      </c>
      <c r="AE115" s="1">
        <v>79540</v>
      </c>
      <c r="AG115" s="1">
        <v>0</v>
      </c>
      <c r="AI115" s="1">
        <v>0</v>
      </c>
      <c r="AJ115" s="12" t="s">
        <v>438</v>
      </c>
      <c r="AK115" s="12"/>
      <c r="AL115" s="12" t="s">
        <v>44</v>
      </c>
      <c r="AN115" s="1">
        <v>287723</v>
      </c>
      <c r="AP115" s="1">
        <v>0</v>
      </c>
      <c r="AR115" s="1">
        <v>0</v>
      </c>
      <c r="AT115" s="1">
        <v>63447</v>
      </c>
      <c r="AV115" s="1">
        <v>7679</v>
      </c>
      <c r="AX115" s="1">
        <v>0</v>
      </c>
      <c r="AZ115" s="1">
        <f t="shared" si="11"/>
        <v>12953130</v>
      </c>
      <c r="BB115" s="1">
        <v>93853</v>
      </c>
      <c r="BH115" s="1">
        <v>0</v>
      </c>
      <c r="BJ115" s="1">
        <f t="shared" si="10"/>
        <v>13046983</v>
      </c>
      <c r="BL115" s="1">
        <f>+GenRev!AM115-GenExp!BJ115</f>
        <v>114500</v>
      </c>
      <c r="BN115" s="1">
        <v>-387089</v>
      </c>
      <c r="BP115" s="1">
        <v>0</v>
      </c>
      <c r="BQ115" s="1">
        <v>0</v>
      </c>
      <c r="BS115" s="1">
        <f t="shared" si="12"/>
        <v>-272589</v>
      </c>
      <c r="BU115" s="20">
        <f>+BS115-'Gen Fd BS'!AA115+BQ115</f>
        <v>0</v>
      </c>
    </row>
    <row r="116" spans="1:73">
      <c r="A116" s="12" t="s">
        <v>797</v>
      </c>
      <c r="B116" s="12"/>
      <c r="C116" s="12" t="s">
        <v>115</v>
      </c>
      <c r="D116" s="12"/>
      <c r="E116" s="13"/>
      <c r="G116" s="1">
        <v>7240150</v>
      </c>
      <c r="I116" s="1">
        <v>1418063</v>
      </c>
      <c r="K116" s="1">
        <v>0</v>
      </c>
      <c r="M116" s="1">
        <v>248781</v>
      </c>
      <c r="O116" s="1">
        <v>738438</v>
      </c>
      <c r="Q116" s="1">
        <v>662428</v>
      </c>
      <c r="S116" s="1">
        <v>52888</v>
      </c>
      <c r="U116" s="1">
        <v>1459487</v>
      </c>
      <c r="W116" s="1">
        <v>441393</v>
      </c>
      <c r="Y116" s="1">
        <v>22556</v>
      </c>
      <c r="AA116" s="1">
        <v>1741792</v>
      </c>
      <c r="AC116" s="1">
        <v>1675249</v>
      </c>
      <c r="AE116" s="1">
        <v>129970</v>
      </c>
      <c r="AG116" s="1">
        <v>0</v>
      </c>
      <c r="AI116" s="1">
        <v>0</v>
      </c>
      <c r="AJ116" s="12" t="s">
        <v>797</v>
      </c>
      <c r="AK116" s="12"/>
      <c r="AL116" s="12" t="s">
        <v>115</v>
      </c>
      <c r="AN116" s="1">
        <v>12384</v>
      </c>
      <c r="AP116" s="1">
        <v>12379</v>
      </c>
      <c r="AR116" s="1">
        <v>0</v>
      </c>
      <c r="AT116" s="1">
        <v>0</v>
      </c>
      <c r="AV116" s="1">
        <v>0</v>
      </c>
      <c r="AX116" s="1">
        <v>0</v>
      </c>
      <c r="AZ116" s="1">
        <f t="shared" si="11"/>
        <v>15855958</v>
      </c>
      <c r="BB116" s="1">
        <v>383504</v>
      </c>
      <c r="BH116" s="1">
        <v>0</v>
      </c>
      <c r="BJ116" s="1">
        <f t="shared" si="10"/>
        <v>16239462</v>
      </c>
      <c r="BL116" s="1">
        <f>+GenRev!AM116-GenExp!BJ116</f>
        <v>-417661</v>
      </c>
      <c r="BN116" s="1">
        <v>852643</v>
      </c>
      <c r="BP116" s="1">
        <v>0</v>
      </c>
      <c r="BQ116" s="1">
        <v>0</v>
      </c>
      <c r="BS116" s="1">
        <f t="shared" si="12"/>
        <v>434982</v>
      </c>
      <c r="BU116" s="20">
        <f>+BS116-'Gen Fd BS'!AA116+BQ116</f>
        <v>0</v>
      </c>
    </row>
    <row r="117" spans="1:73">
      <c r="A117" s="12" t="s">
        <v>796</v>
      </c>
      <c r="B117" s="12"/>
      <c r="C117" s="12" t="s">
        <v>20</v>
      </c>
      <c r="D117" s="12"/>
      <c r="E117" s="13">
        <v>43794</v>
      </c>
      <c r="G117" s="1">
        <v>36752661</v>
      </c>
      <c r="I117" s="1">
        <v>9598567</v>
      </c>
      <c r="K117" s="1">
        <v>1710661</v>
      </c>
      <c r="M117" s="1">
        <f>75267+4424310</f>
        <v>4499577</v>
      </c>
      <c r="O117" s="1">
        <v>8165892</v>
      </c>
      <c r="Q117" s="1">
        <v>3030371</v>
      </c>
      <c r="S117" s="1">
        <v>482582</v>
      </c>
      <c r="U117" s="1">
        <v>5660924</v>
      </c>
      <c r="W117" s="1">
        <v>2918483</v>
      </c>
      <c r="Y117" s="1">
        <v>1367110</v>
      </c>
      <c r="AA117" s="1">
        <v>10503513</v>
      </c>
      <c r="AC117" s="1">
        <v>4334502</v>
      </c>
      <c r="AE117" s="1">
        <v>3408651</v>
      </c>
      <c r="AG117" s="1">
        <v>5776</v>
      </c>
      <c r="AI117" s="1">
        <f>516+120946</f>
        <v>121462</v>
      </c>
      <c r="AJ117" s="12" t="s">
        <v>796</v>
      </c>
      <c r="AK117" s="12"/>
      <c r="AL117" s="12" t="s">
        <v>20</v>
      </c>
      <c r="AN117" s="1">
        <v>1171438</v>
      </c>
      <c r="AP117" s="1">
        <v>0</v>
      </c>
      <c r="AR117" s="1">
        <v>0</v>
      </c>
      <c r="AT117" s="1">
        <v>362375</v>
      </c>
      <c r="AV117" s="1">
        <v>8542</v>
      </c>
      <c r="AX117" s="1">
        <v>0</v>
      </c>
      <c r="AZ117" s="1">
        <f t="shared" si="11"/>
        <v>94103087</v>
      </c>
      <c r="BB117" s="1">
        <v>220000</v>
      </c>
      <c r="BH117" s="1">
        <v>0</v>
      </c>
      <c r="BJ117" s="1">
        <f t="shared" si="10"/>
        <v>94323087</v>
      </c>
      <c r="BL117" s="1">
        <f>+GenRev!AM117-GenExp!BJ117</f>
        <v>-5046245</v>
      </c>
      <c r="BN117" s="1">
        <v>66327168</v>
      </c>
      <c r="BP117" s="1">
        <v>0</v>
      </c>
      <c r="BQ117" s="1">
        <v>0</v>
      </c>
      <c r="BS117" s="1">
        <f t="shared" si="12"/>
        <v>61280923</v>
      </c>
      <c r="BU117" s="20">
        <f>+BS117-'Gen Fd BS'!AA117+BQ117</f>
        <v>0</v>
      </c>
    </row>
    <row r="118" spans="1:73">
      <c r="A118" s="12" t="s">
        <v>286</v>
      </c>
      <c r="B118" s="12"/>
      <c r="C118" s="12" t="s">
        <v>20</v>
      </c>
      <c r="D118" s="12"/>
      <c r="E118" s="13">
        <v>43786</v>
      </c>
      <c r="G118" s="1">
        <v>285814143</v>
      </c>
      <c r="I118" s="1">
        <v>130475269</v>
      </c>
      <c r="K118" s="1">
        <v>10699323</v>
      </c>
      <c r="M118" s="1">
        <f>2119986+6354290</f>
        <v>8474276</v>
      </c>
      <c r="O118" s="1">
        <v>33737343</v>
      </c>
      <c r="Q118" s="1">
        <v>23797872</v>
      </c>
      <c r="S118" s="1">
        <v>237500</v>
      </c>
      <c r="U118" s="1">
        <v>38662488</v>
      </c>
      <c r="W118" s="1">
        <v>9355316</v>
      </c>
      <c r="Y118" s="1">
        <v>2230778</v>
      </c>
      <c r="AA118" s="1">
        <v>60135825</v>
      </c>
      <c r="AC118" s="1">
        <v>26940693</v>
      </c>
      <c r="AE118" s="1">
        <v>14209084</v>
      </c>
      <c r="AG118" s="1">
        <v>2823600</v>
      </c>
      <c r="AI118" s="1">
        <v>0</v>
      </c>
      <c r="AJ118" s="12" t="s">
        <v>286</v>
      </c>
      <c r="AK118" s="12"/>
      <c r="AL118" s="12" t="s">
        <v>20</v>
      </c>
      <c r="AN118" s="1">
        <v>5724087</v>
      </c>
      <c r="AP118" s="1">
        <v>0</v>
      </c>
      <c r="AR118" s="1">
        <v>0</v>
      </c>
      <c r="AT118" s="1">
        <v>1948245</v>
      </c>
      <c r="AV118" s="1">
        <v>510897</v>
      </c>
      <c r="AX118" s="1">
        <v>0</v>
      </c>
      <c r="AZ118" s="1">
        <f t="shared" si="11"/>
        <v>655776739</v>
      </c>
      <c r="BB118" s="1">
        <v>5944394</v>
      </c>
      <c r="BH118" s="1">
        <v>0</v>
      </c>
      <c r="BJ118" s="1">
        <f t="shared" si="10"/>
        <v>661721133</v>
      </c>
      <c r="BL118" s="1">
        <f>+GenRev!AM118-GenExp!BJ118</f>
        <v>-37800504</v>
      </c>
      <c r="BN118" s="1">
        <v>16746501</v>
      </c>
      <c r="BP118" s="1">
        <v>0</v>
      </c>
      <c r="BQ118" s="1">
        <v>0</v>
      </c>
      <c r="BS118" s="1">
        <f t="shared" si="12"/>
        <v>-21054003</v>
      </c>
      <c r="BU118" s="20">
        <f>+BS118-'Gen Fd BS'!AA118+BQ118</f>
        <v>0</v>
      </c>
    </row>
    <row r="119" spans="1:73">
      <c r="A119" s="12" t="s">
        <v>260</v>
      </c>
      <c r="B119" s="12"/>
      <c r="C119" s="12" t="s">
        <v>18</v>
      </c>
      <c r="D119" s="12"/>
      <c r="E119" s="13">
        <v>46391</v>
      </c>
      <c r="F119" s="8"/>
      <c r="G119" s="1">
        <v>6357922</v>
      </c>
      <c r="I119" s="1">
        <v>879411</v>
      </c>
      <c r="K119" s="1">
        <v>0</v>
      </c>
      <c r="M119" s="1">
        <v>930100</v>
      </c>
      <c r="O119" s="1">
        <v>950357</v>
      </c>
      <c r="Q119" s="1">
        <v>878638</v>
      </c>
      <c r="S119" s="1">
        <v>17775</v>
      </c>
      <c r="U119" s="1">
        <v>978889</v>
      </c>
      <c r="W119" s="1">
        <v>446529</v>
      </c>
      <c r="Y119" s="1">
        <v>6249</v>
      </c>
      <c r="AA119" s="1">
        <v>1009964</v>
      </c>
      <c r="AC119" s="1">
        <v>929337</v>
      </c>
      <c r="AE119" s="1">
        <v>23</v>
      </c>
      <c r="AG119" s="1">
        <v>0</v>
      </c>
      <c r="AI119" s="1">
        <v>0</v>
      </c>
      <c r="AJ119" s="12" t="s">
        <v>260</v>
      </c>
      <c r="AK119" s="12"/>
      <c r="AL119" s="12" t="s">
        <v>18</v>
      </c>
      <c r="AN119" s="1">
        <v>369469</v>
      </c>
      <c r="AP119" s="1">
        <f>589011+42520</f>
        <v>631531</v>
      </c>
      <c r="AR119" s="1">
        <v>0</v>
      </c>
      <c r="AT119" s="1">
        <v>73439</v>
      </c>
      <c r="AV119" s="1">
        <v>10290</v>
      </c>
      <c r="AX119" s="1">
        <v>0</v>
      </c>
      <c r="AZ119" s="1">
        <f t="shared" si="11"/>
        <v>14469923</v>
      </c>
      <c r="BB119" s="1">
        <v>0</v>
      </c>
      <c r="BH119" s="1">
        <v>0</v>
      </c>
      <c r="BJ119" s="1">
        <f t="shared" si="10"/>
        <v>14469923</v>
      </c>
      <c r="BL119" s="1">
        <f>+GenRev!AM119-GenExp!BJ119</f>
        <v>26720</v>
      </c>
      <c r="BN119" s="1">
        <v>2342712</v>
      </c>
      <c r="BP119" s="1">
        <v>0</v>
      </c>
      <c r="BQ119" s="1">
        <v>0</v>
      </c>
      <c r="BS119" s="1">
        <f t="shared" si="12"/>
        <v>2369432</v>
      </c>
      <c r="BU119" s="20">
        <f>+BS119-'Gen Fd BS'!AA119+BQ119</f>
        <v>0</v>
      </c>
    </row>
    <row r="120" spans="1:73">
      <c r="A120" s="12" t="s">
        <v>480</v>
      </c>
      <c r="B120" s="12"/>
      <c r="C120" s="12" t="s">
        <v>47</v>
      </c>
      <c r="D120" s="12"/>
      <c r="E120" s="13">
        <v>48488</v>
      </c>
      <c r="G120" s="1">
        <v>15841255</v>
      </c>
      <c r="I120" s="1">
        <v>0</v>
      </c>
      <c r="K120" s="1">
        <v>0</v>
      </c>
      <c r="M120" s="1">
        <v>0</v>
      </c>
      <c r="O120" s="1">
        <v>1110176</v>
      </c>
      <c r="Q120" s="1">
        <v>1633192</v>
      </c>
      <c r="S120" s="1">
        <v>31238</v>
      </c>
      <c r="U120" s="1">
        <v>1752022</v>
      </c>
      <c r="W120" s="1">
        <v>552358</v>
      </c>
      <c r="Y120" s="1">
        <v>368974</v>
      </c>
      <c r="AA120" s="1">
        <v>2175411</v>
      </c>
      <c r="AC120" s="1">
        <v>2173763</v>
      </c>
      <c r="AE120" s="1">
        <v>352038</v>
      </c>
      <c r="AG120" s="1">
        <v>0</v>
      </c>
      <c r="AI120" s="1">
        <v>60117</v>
      </c>
      <c r="AJ120" s="12" t="s">
        <v>480</v>
      </c>
      <c r="AK120" s="12"/>
      <c r="AL120" s="12" t="s">
        <v>47</v>
      </c>
      <c r="AN120" s="1">
        <v>525222</v>
      </c>
      <c r="AP120" s="1">
        <v>0</v>
      </c>
      <c r="AR120" s="1">
        <v>0</v>
      </c>
      <c r="AT120" s="1">
        <v>0</v>
      </c>
      <c r="AV120" s="1">
        <v>5706</v>
      </c>
      <c r="AX120" s="1">
        <v>0</v>
      </c>
      <c r="AZ120" s="1">
        <f t="shared" si="11"/>
        <v>26581472</v>
      </c>
      <c r="BB120" s="1">
        <v>106792</v>
      </c>
      <c r="BH120" s="1">
        <v>0</v>
      </c>
      <c r="BJ120" s="1">
        <f t="shared" ref="BJ120:BJ151" si="13">+AZ120+BB120+BD120+BH120</f>
        <v>26688264</v>
      </c>
      <c r="BL120" s="1">
        <f>+GenRev!AM120-GenExp!BJ120</f>
        <v>372938</v>
      </c>
      <c r="BN120" s="1">
        <v>-1167552</v>
      </c>
      <c r="BP120" s="1">
        <v>0</v>
      </c>
      <c r="BQ120" s="1">
        <v>0</v>
      </c>
      <c r="BS120" s="1">
        <f t="shared" si="12"/>
        <v>-794614</v>
      </c>
      <c r="BU120" s="20">
        <f>+BS120-'Gen Fd BS'!AA120+BQ120</f>
        <v>0</v>
      </c>
    </row>
    <row r="121" spans="1:73">
      <c r="A121" s="12" t="s">
        <v>555</v>
      </c>
      <c r="B121" s="12"/>
      <c r="C121" s="12" t="s">
        <v>79</v>
      </c>
      <c r="D121" s="12"/>
      <c r="E121" s="13">
        <v>45302</v>
      </c>
      <c r="G121" s="1">
        <v>9076682</v>
      </c>
      <c r="I121" s="1">
        <v>1835561</v>
      </c>
      <c r="K121" s="1">
        <v>89710</v>
      </c>
      <c r="M121" s="1">
        <v>689668</v>
      </c>
      <c r="O121" s="1">
        <v>1046699</v>
      </c>
      <c r="Q121" s="1">
        <v>566463</v>
      </c>
      <c r="S121" s="1">
        <v>29432</v>
      </c>
      <c r="U121" s="1">
        <v>1600748</v>
      </c>
      <c r="W121" s="1">
        <v>502987</v>
      </c>
      <c r="Y121" s="1">
        <v>8945</v>
      </c>
      <c r="AA121" s="1">
        <v>1616378</v>
      </c>
      <c r="AC121" s="1">
        <v>903722</v>
      </c>
      <c r="AE121" s="1">
        <v>20040</v>
      </c>
      <c r="AG121" s="1">
        <v>0</v>
      </c>
      <c r="AI121" s="1">
        <v>0</v>
      </c>
      <c r="AJ121" s="12" t="s">
        <v>555</v>
      </c>
      <c r="AK121" s="12"/>
      <c r="AL121" s="12" t="s">
        <v>79</v>
      </c>
      <c r="AN121" s="1">
        <v>428169</v>
      </c>
      <c r="AP121" s="1">
        <v>0</v>
      </c>
      <c r="AR121" s="1">
        <v>0</v>
      </c>
      <c r="AT121" s="1">
        <v>54007</v>
      </c>
      <c r="AV121" s="1">
        <v>5858</v>
      </c>
      <c r="AX121" s="1">
        <v>0</v>
      </c>
      <c r="AZ121" s="1">
        <f t="shared" si="11"/>
        <v>18475069</v>
      </c>
      <c r="BB121" s="1">
        <v>1022563</v>
      </c>
      <c r="BH121" s="1">
        <v>0</v>
      </c>
      <c r="BJ121" s="1">
        <f t="shared" si="13"/>
        <v>19497632</v>
      </c>
      <c r="BL121" s="1">
        <f>+GenRev!AM121-GenExp!BJ121</f>
        <v>144275</v>
      </c>
      <c r="BN121" s="1">
        <v>2048879</v>
      </c>
      <c r="BP121" s="1">
        <v>9201</v>
      </c>
      <c r="BQ121" s="1">
        <v>0</v>
      </c>
      <c r="BS121" s="1">
        <f t="shared" si="12"/>
        <v>2183953</v>
      </c>
      <c r="BU121" s="20">
        <f>+BS121-'Gen Fd BS'!AA121+BQ121</f>
        <v>0</v>
      </c>
    </row>
    <row r="122" spans="1:73" hidden="1">
      <c r="A122" s="12" t="s">
        <v>798</v>
      </c>
      <c r="B122" s="12"/>
      <c r="C122" s="12" t="s">
        <v>486</v>
      </c>
      <c r="D122" s="12"/>
      <c r="E122" s="13"/>
      <c r="AJ122" s="12" t="s">
        <v>798</v>
      </c>
      <c r="AK122" s="12"/>
      <c r="AL122" s="12" t="s">
        <v>486</v>
      </c>
      <c r="AZ122" s="1">
        <f t="shared" si="11"/>
        <v>0</v>
      </c>
      <c r="BH122" s="1">
        <v>0</v>
      </c>
      <c r="BJ122" s="1">
        <f t="shared" si="13"/>
        <v>0</v>
      </c>
      <c r="BL122" s="1">
        <f>+GenRev!AM122-GenExp!BJ122</f>
        <v>0</v>
      </c>
      <c r="BS122" s="1">
        <f t="shared" si="12"/>
        <v>0</v>
      </c>
      <c r="BU122" s="20">
        <f>+BS122-'Gen Fd BS'!AA122+BQ122</f>
        <v>0</v>
      </c>
    </row>
    <row r="123" spans="1:73" hidden="1">
      <c r="A123" s="12" t="s">
        <v>929</v>
      </c>
      <c r="B123" s="12"/>
      <c r="C123" s="12" t="s">
        <v>57</v>
      </c>
      <c r="D123" s="12"/>
      <c r="E123" s="13">
        <v>64964</v>
      </c>
      <c r="AJ123" s="12" t="s">
        <v>929</v>
      </c>
      <c r="AK123" s="12"/>
      <c r="AL123" s="12" t="s">
        <v>57</v>
      </c>
      <c r="AZ123" s="1">
        <f t="shared" si="11"/>
        <v>0</v>
      </c>
      <c r="BJ123" s="1">
        <f t="shared" si="13"/>
        <v>0</v>
      </c>
      <c r="BL123" s="1">
        <f>+GenRev!AM123-GenExp!BJ123</f>
        <v>0</v>
      </c>
      <c r="BS123" s="1">
        <f t="shared" si="12"/>
        <v>0</v>
      </c>
      <c r="BU123" s="20">
        <f>+BS123-'Gen Fd BS'!AA123+BQ123</f>
        <v>0</v>
      </c>
    </row>
    <row r="124" spans="1:73">
      <c r="A124" s="12" t="s">
        <v>277</v>
      </c>
      <c r="B124" s="12"/>
      <c r="C124" s="12" t="s">
        <v>113</v>
      </c>
      <c r="D124" s="12"/>
      <c r="E124" s="13">
        <v>46516</v>
      </c>
      <c r="G124" s="1">
        <v>3667770</v>
      </c>
      <c r="I124" s="1">
        <v>783957</v>
      </c>
      <c r="K124" s="1">
        <v>18634</v>
      </c>
      <c r="M124" s="1">
        <v>0</v>
      </c>
      <c r="O124" s="1">
        <v>515857</v>
      </c>
      <c r="Q124" s="1">
        <v>226385</v>
      </c>
      <c r="S124" s="1">
        <v>28118</v>
      </c>
      <c r="U124" s="1">
        <v>630445</v>
      </c>
      <c r="W124" s="1">
        <v>282336</v>
      </c>
      <c r="Y124" s="1">
        <v>8347</v>
      </c>
      <c r="AA124" s="1">
        <v>850220</v>
      </c>
      <c r="AC124" s="1">
        <v>510568</v>
      </c>
      <c r="AE124" s="1">
        <v>50495</v>
      </c>
      <c r="AG124" s="1">
        <v>0</v>
      </c>
      <c r="AI124" s="1">
        <v>45252</v>
      </c>
      <c r="AJ124" s="12" t="s">
        <v>277</v>
      </c>
      <c r="AK124" s="12"/>
      <c r="AL124" s="12" t="s">
        <v>113</v>
      </c>
      <c r="AN124" s="1">
        <v>293246</v>
      </c>
      <c r="AP124" s="1">
        <v>20770</v>
      </c>
      <c r="AR124" s="1">
        <v>0</v>
      </c>
      <c r="AT124" s="1">
        <v>10044</v>
      </c>
      <c r="AV124" s="1">
        <v>6725</v>
      </c>
      <c r="AX124" s="1">
        <v>0</v>
      </c>
      <c r="AZ124" s="1">
        <f t="shared" si="11"/>
        <v>7949169</v>
      </c>
      <c r="BB124" s="1">
        <v>229070</v>
      </c>
      <c r="BH124" s="1">
        <v>0</v>
      </c>
      <c r="BJ124" s="1">
        <f t="shared" si="13"/>
        <v>8178239</v>
      </c>
      <c r="BL124" s="1">
        <f>+GenRev!AM124-GenExp!BJ124</f>
        <v>315365</v>
      </c>
      <c r="BN124" s="1">
        <v>1209708</v>
      </c>
      <c r="BP124" s="1">
        <v>0</v>
      </c>
      <c r="BQ124" s="1">
        <v>0</v>
      </c>
      <c r="BS124" s="1">
        <f t="shared" si="12"/>
        <v>1525073</v>
      </c>
      <c r="BU124" s="20">
        <f>+BS124-'Gen Fd BS'!AA124+BQ124</f>
        <v>0</v>
      </c>
    </row>
    <row r="125" spans="1:73">
      <c r="A125" s="12" t="s">
        <v>439</v>
      </c>
      <c r="B125" s="12"/>
      <c r="C125" s="12" t="s">
        <v>44</v>
      </c>
      <c r="D125" s="12"/>
      <c r="E125" s="13">
        <v>48140</v>
      </c>
      <c r="G125" s="1">
        <v>4762266</v>
      </c>
      <c r="I125" s="1">
        <v>710378</v>
      </c>
      <c r="K125" s="1">
        <v>83772</v>
      </c>
      <c r="M125" s="1">
        <v>231614</v>
      </c>
      <c r="O125" s="1">
        <v>412975</v>
      </c>
      <c r="Q125" s="1">
        <v>295245</v>
      </c>
      <c r="S125" s="1">
        <v>41026</v>
      </c>
      <c r="U125" s="1">
        <v>1024717</v>
      </c>
      <c r="W125" s="1">
        <v>359903</v>
      </c>
      <c r="Y125" s="1">
        <v>0</v>
      </c>
      <c r="AA125" s="1">
        <v>990199</v>
      </c>
      <c r="AC125" s="1">
        <v>751880</v>
      </c>
      <c r="AE125" s="1">
        <v>840</v>
      </c>
      <c r="AG125" s="1">
        <v>0</v>
      </c>
      <c r="AI125" s="1">
        <v>0</v>
      </c>
      <c r="AJ125" s="12" t="s">
        <v>439</v>
      </c>
      <c r="AK125" s="12"/>
      <c r="AL125" s="12" t="s">
        <v>44</v>
      </c>
      <c r="AN125" s="1">
        <v>310322</v>
      </c>
      <c r="AP125" s="1">
        <v>0</v>
      </c>
      <c r="AR125" s="1">
        <v>0</v>
      </c>
      <c r="AT125" s="1">
        <v>18702</v>
      </c>
      <c r="AV125" s="1">
        <v>4685</v>
      </c>
      <c r="AX125" s="1">
        <v>0</v>
      </c>
      <c r="AZ125" s="1">
        <f t="shared" si="11"/>
        <v>9998524</v>
      </c>
      <c r="BB125" s="1">
        <v>32600</v>
      </c>
      <c r="BH125" s="1">
        <v>0</v>
      </c>
      <c r="BJ125" s="1">
        <f t="shared" si="13"/>
        <v>10031124</v>
      </c>
      <c r="BL125" s="1">
        <f>+GenRev!AM125-GenExp!BJ125</f>
        <v>-249726</v>
      </c>
      <c r="BN125" s="1">
        <v>1042446</v>
      </c>
      <c r="BP125" s="1">
        <v>0</v>
      </c>
      <c r="BQ125" s="1">
        <v>0</v>
      </c>
      <c r="BS125" s="1">
        <f t="shared" si="12"/>
        <v>792720</v>
      </c>
      <c r="BU125" s="20">
        <f>+BS125-'Gen Fd BS'!AA125+BQ125</f>
        <v>0</v>
      </c>
    </row>
    <row r="126" spans="1:73">
      <c r="A126" s="12" t="s">
        <v>264</v>
      </c>
      <c r="B126" s="12"/>
      <c r="C126" s="12" t="s">
        <v>114</v>
      </c>
      <c r="D126" s="12"/>
      <c r="E126" s="13">
        <v>45328</v>
      </c>
      <c r="F126" s="8"/>
      <c r="G126" s="1">
        <v>5650884</v>
      </c>
      <c r="I126" s="1">
        <v>1004653</v>
      </c>
      <c r="K126" s="1">
        <v>0</v>
      </c>
      <c r="M126" s="1">
        <v>96386</v>
      </c>
      <c r="O126" s="1">
        <v>204033</v>
      </c>
      <c r="Q126" s="1">
        <v>174510</v>
      </c>
      <c r="S126" s="1">
        <v>18874</v>
      </c>
      <c r="U126" s="1">
        <v>718978</v>
      </c>
      <c r="W126" s="1">
        <v>338456</v>
      </c>
      <c r="Y126" s="1">
        <v>0</v>
      </c>
      <c r="AA126" s="1">
        <v>729731</v>
      </c>
      <c r="AC126" s="1">
        <v>282876</v>
      </c>
      <c r="AE126" s="1">
        <v>0</v>
      </c>
      <c r="AG126" s="1">
        <v>0</v>
      </c>
      <c r="AI126" s="1">
        <v>0</v>
      </c>
      <c r="AJ126" s="12" t="s">
        <v>264</v>
      </c>
      <c r="AK126" s="12"/>
      <c r="AL126" s="12" t="s">
        <v>114</v>
      </c>
      <c r="AN126" s="1">
        <v>184780</v>
      </c>
      <c r="AP126" s="1">
        <v>62375</v>
      </c>
      <c r="AR126" s="1">
        <v>0</v>
      </c>
      <c r="AT126" s="1">
        <v>0</v>
      </c>
      <c r="AV126" s="1">
        <v>207</v>
      </c>
      <c r="AX126" s="1">
        <v>0</v>
      </c>
      <c r="AZ126" s="1">
        <f t="shared" si="11"/>
        <v>9466743</v>
      </c>
      <c r="BB126" s="1">
        <v>0</v>
      </c>
      <c r="BH126" s="1">
        <v>0</v>
      </c>
      <c r="BJ126" s="1">
        <f t="shared" si="13"/>
        <v>9466743</v>
      </c>
      <c r="BL126" s="1">
        <f>+GenRev!AM126-GenExp!BJ126</f>
        <v>-614073</v>
      </c>
      <c r="BN126" s="1">
        <v>2017791</v>
      </c>
      <c r="BP126" s="1">
        <v>0</v>
      </c>
      <c r="BQ126" s="1">
        <v>0</v>
      </c>
      <c r="BS126" s="1">
        <f t="shared" si="12"/>
        <v>1403718</v>
      </c>
      <c r="BU126" s="20">
        <f>+BS126-'Gen Fd BS'!AA126+BQ126</f>
        <v>0</v>
      </c>
    </row>
    <row r="127" spans="1:73">
      <c r="A127" s="12" t="s">
        <v>331</v>
      </c>
      <c r="B127" s="12"/>
      <c r="C127" s="12" t="s">
        <v>27</v>
      </c>
      <c r="D127" s="12"/>
      <c r="E127" s="13">
        <v>43802</v>
      </c>
      <c r="G127" s="1">
        <v>328306132</v>
      </c>
      <c r="I127" s="1">
        <v>75731374</v>
      </c>
      <c r="K127" s="1">
        <v>8378995</v>
      </c>
      <c r="M127" s="1">
        <f>742+2124643</f>
        <v>2125385</v>
      </c>
      <c r="O127" s="1">
        <v>44774282</v>
      </c>
      <c r="Q127" s="1">
        <v>38689022</v>
      </c>
      <c r="S127" s="1">
        <v>121508</v>
      </c>
      <c r="U127" s="1">
        <v>36775204</v>
      </c>
      <c r="W127" s="1">
        <v>11506143</v>
      </c>
      <c r="Y127" s="1">
        <v>4955098</v>
      </c>
      <c r="AA127" s="1">
        <v>66005323</v>
      </c>
      <c r="AC127" s="1">
        <v>57146929</v>
      </c>
      <c r="AE127" s="1">
        <v>10537958</v>
      </c>
      <c r="AG127" s="1">
        <v>0</v>
      </c>
      <c r="AI127" s="1">
        <v>0</v>
      </c>
      <c r="AJ127" s="12" t="s">
        <v>331</v>
      </c>
      <c r="AK127" s="12"/>
      <c r="AL127" s="12" t="s">
        <v>27</v>
      </c>
      <c r="AN127" s="1">
        <v>5944193</v>
      </c>
      <c r="AP127" s="1">
        <v>10179</v>
      </c>
      <c r="AR127" s="1">
        <v>0</v>
      </c>
      <c r="AT127" s="1">
        <v>98975</v>
      </c>
      <c r="AV127" s="1">
        <v>2994</v>
      </c>
      <c r="AX127" s="1">
        <v>0</v>
      </c>
      <c r="AZ127" s="1">
        <f t="shared" si="11"/>
        <v>691109694</v>
      </c>
      <c r="BB127" s="1">
        <v>4441458</v>
      </c>
      <c r="BH127" s="1">
        <v>0</v>
      </c>
      <c r="BJ127" s="1">
        <f t="shared" si="13"/>
        <v>695551152</v>
      </c>
      <c r="BL127" s="1">
        <f>+GenRev!AM127-GenExp!BJ127</f>
        <v>38509186</v>
      </c>
      <c r="BN127" s="1">
        <v>156590963</v>
      </c>
      <c r="BP127" s="1">
        <v>0</v>
      </c>
      <c r="BQ127" s="1">
        <v>0</v>
      </c>
      <c r="BS127" s="1">
        <f t="shared" si="12"/>
        <v>195100149</v>
      </c>
      <c r="BU127" s="20">
        <f>+BS127-'Gen Fd BS'!AA127+BQ127</f>
        <v>0</v>
      </c>
    </row>
    <row r="128" spans="1:73" hidden="1">
      <c r="A128" s="12" t="s">
        <v>731</v>
      </c>
      <c r="B128" s="12"/>
      <c r="C128" s="12" t="s">
        <v>542</v>
      </c>
      <c r="D128" s="12"/>
      <c r="E128" s="13">
        <v>49312</v>
      </c>
      <c r="AJ128" s="12" t="s">
        <v>731</v>
      </c>
      <c r="AK128" s="12"/>
      <c r="AL128" s="12" t="s">
        <v>542</v>
      </c>
      <c r="AZ128" s="1">
        <f t="shared" si="11"/>
        <v>0</v>
      </c>
      <c r="BJ128" s="1">
        <f t="shared" si="13"/>
        <v>0</v>
      </c>
      <c r="BL128" s="1">
        <f>+GenRev!AM128-GenExp!BJ128</f>
        <v>0</v>
      </c>
      <c r="BS128" s="1">
        <f t="shared" si="12"/>
        <v>0</v>
      </c>
      <c r="BU128" s="20">
        <f>+BS128-'Gen Fd BS'!AA128+BQ128</f>
        <v>0</v>
      </c>
    </row>
    <row r="129" spans="1:73">
      <c r="A129" s="12" t="s">
        <v>210</v>
      </c>
      <c r="B129" s="12"/>
      <c r="C129" s="12" t="s">
        <v>12</v>
      </c>
      <c r="D129" s="12"/>
      <c r="E129" s="13">
        <v>43810</v>
      </c>
      <c r="F129" s="8"/>
      <c r="G129" s="1">
        <v>8350622</v>
      </c>
      <c r="I129" s="1">
        <v>1495428</v>
      </c>
      <c r="K129" s="1">
        <v>81643</v>
      </c>
      <c r="M129" s="1">
        <v>7502</v>
      </c>
      <c r="O129" s="1">
        <v>563673</v>
      </c>
      <c r="Q129" s="1">
        <v>698507</v>
      </c>
      <c r="S129" s="1">
        <v>30618</v>
      </c>
      <c r="U129" s="1">
        <v>1536472</v>
      </c>
      <c r="W129" s="1">
        <v>437937</v>
      </c>
      <c r="Y129" s="1">
        <v>0</v>
      </c>
      <c r="AA129" s="1">
        <v>1800960</v>
      </c>
      <c r="AC129" s="1">
        <v>734572</v>
      </c>
      <c r="AE129" s="1">
        <v>52949</v>
      </c>
      <c r="AG129" s="1">
        <v>0</v>
      </c>
      <c r="AI129" s="1">
        <v>0</v>
      </c>
      <c r="AJ129" s="12" t="s">
        <v>210</v>
      </c>
      <c r="AK129" s="12"/>
      <c r="AL129" s="12" t="s">
        <v>12</v>
      </c>
      <c r="AN129" s="1">
        <v>207634</v>
      </c>
      <c r="AP129" s="1">
        <v>0</v>
      </c>
      <c r="AR129" s="1">
        <v>0</v>
      </c>
      <c r="AT129" s="1">
        <v>0</v>
      </c>
      <c r="AV129" s="1">
        <v>0</v>
      </c>
      <c r="AX129" s="1">
        <v>0</v>
      </c>
      <c r="AZ129" s="1">
        <f t="shared" si="11"/>
        <v>15998517</v>
      </c>
      <c r="BB129" s="1">
        <v>40292</v>
      </c>
      <c r="BH129" s="1">
        <v>0</v>
      </c>
      <c r="BJ129" s="1">
        <f t="shared" si="13"/>
        <v>16038809</v>
      </c>
      <c r="BL129" s="1">
        <f>+GenRev!AM129-GenExp!BJ129</f>
        <v>321459</v>
      </c>
      <c r="BN129" s="1">
        <v>3168982</v>
      </c>
      <c r="BP129" s="1">
        <v>0</v>
      </c>
      <c r="BQ129" s="1">
        <v>0</v>
      </c>
      <c r="BS129" s="1">
        <f t="shared" si="12"/>
        <v>3490441</v>
      </c>
      <c r="BU129" s="20">
        <f>+BS129-'Gen Fd BS'!AA129+BQ129</f>
        <v>0</v>
      </c>
    </row>
    <row r="130" spans="1:73">
      <c r="A130" s="12" t="s">
        <v>387</v>
      </c>
      <c r="B130" s="12"/>
      <c r="C130" s="12" t="s">
        <v>388</v>
      </c>
      <c r="D130" s="12"/>
      <c r="E130" s="13">
        <v>47548</v>
      </c>
      <c r="G130" s="1">
        <v>2577335</v>
      </c>
      <c r="I130" s="1">
        <v>320716</v>
      </c>
      <c r="K130" s="1">
        <v>69729</v>
      </c>
      <c r="M130" s="1">
        <v>18979</v>
      </c>
      <c r="O130" s="1">
        <v>227510</v>
      </c>
      <c r="Q130" s="1">
        <v>237862</v>
      </c>
      <c r="S130" s="1">
        <v>17454</v>
      </c>
      <c r="U130" s="1">
        <v>519438</v>
      </c>
      <c r="W130" s="1">
        <v>223480</v>
      </c>
      <c r="Y130" s="1">
        <v>0</v>
      </c>
      <c r="AA130" s="1">
        <v>463146</v>
      </c>
      <c r="AC130" s="1">
        <v>435567</v>
      </c>
      <c r="AE130" s="1">
        <v>4470</v>
      </c>
      <c r="AG130" s="1">
        <v>0</v>
      </c>
      <c r="AI130" s="1">
        <v>0</v>
      </c>
      <c r="AJ130" s="12" t="s">
        <v>387</v>
      </c>
      <c r="AK130" s="12"/>
      <c r="AL130" s="12" t="s">
        <v>388</v>
      </c>
      <c r="AN130" s="1">
        <v>100247</v>
      </c>
      <c r="AP130" s="1">
        <v>0</v>
      </c>
      <c r="AR130" s="1">
        <v>0</v>
      </c>
      <c r="AT130" s="1">
        <v>14808</v>
      </c>
      <c r="AV130" s="1">
        <v>1932</v>
      </c>
      <c r="AX130" s="1">
        <v>0</v>
      </c>
      <c r="AZ130" s="1">
        <f t="shared" si="11"/>
        <v>5232673</v>
      </c>
      <c r="BB130" s="1">
        <v>65000</v>
      </c>
      <c r="BH130" s="1">
        <v>0</v>
      </c>
      <c r="BJ130" s="1">
        <f t="shared" si="13"/>
        <v>5297673</v>
      </c>
      <c r="BL130" s="1">
        <f>+GenRev!AM130-GenExp!BJ130</f>
        <v>-390892</v>
      </c>
      <c r="BN130" s="1">
        <v>990104</v>
      </c>
      <c r="BP130" s="1">
        <v>0</v>
      </c>
      <c r="BQ130" s="1">
        <v>0</v>
      </c>
      <c r="BS130" s="1">
        <f t="shared" si="12"/>
        <v>599212</v>
      </c>
      <c r="BU130" s="20">
        <f>+BS130-'Gen Fd BS'!AA130+BQ130</f>
        <v>0</v>
      </c>
    </row>
    <row r="131" spans="1:73" hidden="1">
      <c r="A131" s="12" t="s">
        <v>831</v>
      </c>
      <c r="B131" s="12"/>
      <c r="C131" s="12" t="s">
        <v>542</v>
      </c>
      <c r="D131" s="12"/>
      <c r="E131" s="13">
        <v>49320</v>
      </c>
      <c r="AJ131" s="12" t="s">
        <v>831</v>
      </c>
      <c r="AK131" s="12"/>
      <c r="AL131" s="12" t="s">
        <v>542</v>
      </c>
      <c r="AZ131" s="1">
        <f t="shared" si="11"/>
        <v>0</v>
      </c>
      <c r="BJ131" s="1">
        <f t="shared" si="13"/>
        <v>0</v>
      </c>
      <c r="BL131" s="1">
        <f>+GenRev!AM131-GenExp!BJ131</f>
        <v>0</v>
      </c>
      <c r="BS131" s="1">
        <f t="shared" si="12"/>
        <v>0</v>
      </c>
      <c r="BU131" s="20">
        <f>+BS131-'Gen Fd BS'!AA131+BQ131</f>
        <v>0</v>
      </c>
    </row>
    <row r="132" spans="1:73">
      <c r="A132" s="12" t="s">
        <v>588</v>
      </c>
      <c r="B132" s="12"/>
      <c r="C132" s="12" t="s">
        <v>63</v>
      </c>
      <c r="D132" s="12"/>
      <c r="E132" s="13">
        <v>49981</v>
      </c>
      <c r="G132" s="1">
        <v>16884366</v>
      </c>
      <c r="I132" s="1">
        <v>1578115</v>
      </c>
      <c r="K132" s="1">
        <v>573655</v>
      </c>
      <c r="M132" s="1">
        <v>0</v>
      </c>
      <c r="O132" s="1">
        <v>1754236</v>
      </c>
      <c r="Q132" s="1">
        <v>1496132</v>
      </c>
      <c r="S132" s="1">
        <v>202262</v>
      </c>
      <c r="U132" s="1">
        <v>1794267</v>
      </c>
      <c r="W132" s="1">
        <v>929506</v>
      </c>
      <c r="Y132" s="1">
        <v>135796</v>
      </c>
      <c r="AA132" s="1">
        <v>2754433</v>
      </c>
      <c r="AC132" s="1">
        <v>1476036</v>
      </c>
      <c r="AE132" s="1">
        <v>225159</v>
      </c>
      <c r="AG132" s="1">
        <v>0</v>
      </c>
      <c r="AI132" s="1">
        <v>75258</v>
      </c>
      <c r="AJ132" s="12" t="s">
        <v>588</v>
      </c>
      <c r="AK132" s="12"/>
      <c r="AL132" s="12" t="s">
        <v>63</v>
      </c>
      <c r="AN132" s="1">
        <v>724397</v>
      </c>
      <c r="AP132" s="1">
        <v>62174</v>
      </c>
      <c r="AR132" s="1">
        <v>0</v>
      </c>
      <c r="AT132" s="1">
        <v>0</v>
      </c>
      <c r="AV132" s="1">
        <v>0</v>
      </c>
      <c r="AX132" s="1">
        <v>0</v>
      </c>
      <c r="AZ132" s="1">
        <f t="shared" si="11"/>
        <v>30665792</v>
      </c>
      <c r="BB132" s="1">
        <v>66000</v>
      </c>
      <c r="BH132" s="1">
        <v>0</v>
      </c>
      <c r="BJ132" s="1">
        <f t="shared" si="13"/>
        <v>30731792</v>
      </c>
      <c r="BL132" s="1">
        <f>+GenRev!AM132-GenExp!BJ132</f>
        <v>-1039847</v>
      </c>
      <c r="BN132" s="1">
        <v>6948746</v>
      </c>
      <c r="BP132" s="1">
        <v>0</v>
      </c>
      <c r="BQ132" s="1">
        <v>0</v>
      </c>
      <c r="BS132" s="1">
        <f t="shared" si="12"/>
        <v>5908899</v>
      </c>
      <c r="BU132" s="20">
        <f>+BS132-'Gen Fd BS'!AA132+BQ132</f>
        <v>0</v>
      </c>
    </row>
    <row r="133" spans="1:73">
      <c r="A133" s="12" t="s">
        <v>930</v>
      </c>
      <c r="B133" s="12"/>
      <c r="C133" s="12" t="s">
        <v>33</v>
      </c>
      <c r="D133" s="12"/>
      <c r="E133" s="13">
        <v>47431</v>
      </c>
      <c r="G133" s="1">
        <v>3121687</v>
      </c>
      <c r="I133" s="1">
        <v>444297</v>
      </c>
      <c r="K133" s="1">
        <v>343330</v>
      </c>
      <c r="M133" s="1">
        <v>0</v>
      </c>
      <c r="O133" s="1">
        <v>150355</v>
      </c>
      <c r="Q133" s="1">
        <v>396791</v>
      </c>
      <c r="S133" s="1">
        <v>38101</v>
      </c>
      <c r="U133" s="1">
        <v>860864</v>
      </c>
      <c r="W133" s="1">
        <v>225826</v>
      </c>
      <c r="Y133" s="1">
        <v>0</v>
      </c>
      <c r="AA133" s="1">
        <v>489412</v>
      </c>
      <c r="AC133" s="1">
        <v>246814</v>
      </c>
      <c r="AE133" s="1">
        <v>6534</v>
      </c>
      <c r="AG133" s="1">
        <v>0</v>
      </c>
      <c r="AI133" s="1">
        <v>0</v>
      </c>
      <c r="AJ133" s="12" t="s">
        <v>930</v>
      </c>
      <c r="AK133" s="12"/>
      <c r="AL133" s="12" t="s">
        <v>33</v>
      </c>
      <c r="AN133" s="1">
        <v>176621</v>
      </c>
      <c r="AP133" s="1">
        <v>0</v>
      </c>
      <c r="AR133" s="1">
        <v>0</v>
      </c>
      <c r="AT133" s="1">
        <v>4047</v>
      </c>
      <c r="AV133" s="1">
        <v>176</v>
      </c>
      <c r="AX133" s="1">
        <v>0</v>
      </c>
      <c r="AZ133" s="1">
        <f t="shared" si="11"/>
        <v>6504855</v>
      </c>
      <c r="BB133" s="1">
        <v>46513</v>
      </c>
      <c r="BH133" s="1">
        <v>0</v>
      </c>
      <c r="BJ133" s="1">
        <f t="shared" si="13"/>
        <v>6551368</v>
      </c>
      <c r="BL133" s="1">
        <f>+GenRev!AM133-GenExp!BJ133</f>
        <v>-242554</v>
      </c>
      <c r="BN133" s="1">
        <v>-8963</v>
      </c>
      <c r="BP133" s="1">
        <v>0</v>
      </c>
      <c r="BQ133" s="1">
        <v>0</v>
      </c>
      <c r="BS133" s="1">
        <f t="shared" si="12"/>
        <v>-251517</v>
      </c>
      <c r="BU133" s="20">
        <f>+BS133-'Gen Fd BS'!AA133+BQ133</f>
        <v>0</v>
      </c>
    </row>
    <row r="134" spans="1:73">
      <c r="A134" s="12" t="s">
        <v>272</v>
      </c>
      <c r="B134" s="12"/>
      <c r="C134" s="12" t="s">
        <v>19</v>
      </c>
      <c r="D134" s="12"/>
      <c r="E134" s="13">
        <v>43828</v>
      </c>
      <c r="F134" s="8"/>
      <c r="G134" s="1">
        <v>9646219</v>
      </c>
      <c r="I134" s="1">
        <v>0</v>
      </c>
      <c r="K134" s="1">
        <v>0</v>
      </c>
      <c r="M134" s="1">
        <v>0</v>
      </c>
      <c r="O134" s="1">
        <v>423633</v>
      </c>
      <c r="Q134" s="1">
        <v>471226</v>
      </c>
      <c r="S134" s="1">
        <v>0</v>
      </c>
      <c r="U134" s="1">
        <v>1354047</v>
      </c>
      <c r="W134" s="1">
        <v>422223</v>
      </c>
      <c r="Y134" s="1">
        <v>229128</v>
      </c>
      <c r="AA134" s="1">
        <v>1551942</v>
      </c>
      <c r="AC134" s="1">
        <v>426089</v>
      </c>
      <c r="AE134" s="1">
        <v>0</v>
      </c>
      <c r="AG134" s="1">
        <v>0</v>
      </c>
      <c r="AI134" s="1">
        <v>9141</v>
      </c>
      <c r="AJ134" s="12" t="s">
        <v>272</v>
      </c>
      <c r="AK134" s="12"/>
      <c r="AL134" s="12" t="s">
        <v>19</v>
      </c>
      <c r="AN134" s="1">
        <v>195880</v>
      </c>
      <c r="AP134" s="1">
        <v>0</v>
      </c>
      <c r="AR134" s="1">
        <v>0</v>
      </c>
      <c r="AT134" s="1">
        <v>0</v>
      </c>
      <c r="AV134" s="1">
        <v>0</v>
      </c>
      <c r="AX134" s="1">
        <v>0</v>
      </c>
      <c r="AZ134" s="1">
        <f t="shared" si="11"/>
        <v>14729528</v>
      </c>
      <c r="BB134" s="1">
        <v>118591</v>
      </c>
      <c r="BH134" s="1">
        <v>0</v>
      </c>
      <c r="BJ134" s="1">
        <f t="shared" si="13"/>
        <v>14848119</v>
      </c>
      <c r="BL134" s="1">
        <f>+GenRev!AM134-GenExp!BJ134</f>
        <v>766556</v>
      </c>
      <c r="BN134" s="1">
        <v>-237876</v>
      </c>
      <c r="BP134" s="1">
        <v>0</v>
      </c>
      <c r="BQ134" s="1">
        <v>0</v>
      </c>
      <c r="BS134" s="1">
        <f>+BN134+BL134-BP134</f>
        <v>528680</v>
      </c>
      <c r="BU134" s="20">
        <f>+BS134-'Gen Fd BS'!AA134+BQ134</f>
        <v>0</v>
      </c>
    </row>
    <row r="135" spans="1:73">
      <c r="A135" s="12" t="s">
        <v>720</v>
      </c>
      <c r="B135" s="12"/>
      <c r="C135" s="12" t="s">
        <v>63</v>
      </c>
      <c r="D135" s="12"/>
      <c r="E135" s="13"/>
      <c r="F135" s="8"/>
      <c r="G135" s="1">
        <v>8892526</v>
      </c>
      <c r="I135" s="1">
        <v>1869785</v>
      </c>
      <c r="K135" s="1">
        <v>85561</v>
      </c>
      <c r="M135" s="1">
        <f>6346+604185</f>
        <v>610531</v>
      </c>
      <c r="O135" s="1">
        <v>1025534</v>
      </c>
      <c r="Q135" s="1">
        <v>760559</v>
      </c>
      <c r="S135" s="1">
        <v>61770</v>
      </c>
      <c r="U135" s="1">
        <v>1832395</v>
      </c>
      <c r="W135" s="1">
        <v>571702</v>
      </c>
      <c r="Y135" s="1">
        <v>44373</v>
      </c>
      <c r="AA135" s="1">
        <v>1859671</v>
      </c>
      <c r="AC135" s="1">
        <v>908719</v>
      </c>
      <c r="AE135" s="1">
        <v>140880</v>
      </c>
      <c r="AG135" s="1">
        <v>0</v>
      </c>
      <c r="AI135" s="1">
        <v>6251</v>
      </c>
      <c r="AJ135" s="12" t="s">
        <v>720</v>
      </c>
      <c r="AK135" s="12"/>
      <c r="AL135" s="12" t="s">
        <v>63</v>
      </c>
      <c r="AN135" s="1">
        <v>338095</v>
      </c>
      <c r="AP135" s="1">
        <v>810</v>
      </c>
      <c r="AR135" s="1">
        <v>0</v>
      </c>
      <c r="AT135" s="1">
        <v>207693</v>
      </c>
      <c r="AV135" s="1">
        <v>172089</v>
      </c>
      <c r="AX135" s="1">
        <v>0</v>
      </c>
      <c r="AZ135" s="1">
        <f t="shared" ref="AZ135:AZ157" si="14">SUM(G135:AX135)</f>
        <v>19388944</v>
      </c>
      <c r="BB135" s="1">
        <v>35000</v>
      </c>
      <c r="BH135" s="1">
        <v>0</v>
      </c>
      <c r="BJ135" s="1">
        <f t="shared" si="13"/>
        <v>19423944</v>
      </c>
      <c r="BL135" s="1">
        <f>+GenRev!AM135-GenExp!BJ135</f>
        <v>-560971</v>
      </c>
      <c r="BN135" s="1">
        <v>-2075873</v>
      </c>
      <c r="BP135" s="1">
        <v>0</v>
      </c>
      <c r="BQ135" s="1">
        <v>0</v>
      </c>
      <c r="BS135" s="1">
        <f t="shared" si="12"/>
        <v>-2636844</v>
      </c>
      <c r="BU135" s="20">
        <f>+BS135-'Gen Fd BS'!AA135+BQ135</f>
        <v>0</v>
      </c>
    </row>
    <row r="136" spans="1:73">
      <c r="A136" s="12" t="s">
        <v>799</v>
      </c>
      <c r="B136" s="12"/>
      <c r="C136" s="12" t="s">
        <v>48</v>
      </c>
      <c r="D136" s="12"/>
      <c r="E136" s="13">
        <v>45336</v>
      </c>
      <c r="G136" s="1">
        <v>3613097</v>
      </c>
      <c r="I136" s="1">
        <v>760476</v>
      </c>
      <c r="K136" s="1">
        <v>0</v>
      </c>
      <c r="M136" s="1">
        <v>7026</v>
      </c>
      <c r="O136" s="1">
        <v>314713</v>
      </c>
      <c r="Q136" s="1">
        <v>305789</v>
      </c>
      <c r="S136" s="1">
        <v>10196</v>
      </c>
      <c r="U136" s="1">
        <v>676459</v>
      </c>
      <c r="W136" s="1">
        <v>244135</v>
      </c>
      <c r="Y136" s="1">
        <v>0</v>
      </c>
      <c r="AA136" s="1">
        <v>538552</v>
      </c>
      <c r="AC136" s="1">
        <v>498674</v>
      </c>
      <c r="AE136" s="1">
        <v>84552</v>
      </c>
      <c r="AG136" s="1">
        <v>0</v>
      </c>
      <c r="AI136" s="1">
        <v>56666</v>
      </c>
      <c r="AJ136" s="12" t="s">
        <v>799</v>
      </c>
      <c r="AK136" s="12"/>
      <c r="AL136" s="12" t="s">
        <v>48</v>
      </c>
      <c r="AN136" s="1">
        <v>245437</v>
      </c>
      <c r="AP136" s="1">
        <v>502</v>
      </c>
      <c r="AR136" s="1">
        <v>0</v>
      </c>
      <c r="AT136" s="1">
        <v>38717</v>
      </c>
      <c r="AV136" s="1">
        <v>10446</v>
      </c>
      <c r="AX136" s="1">
        <v>0</v>
      </c>
      <c r="AZ136" s="1">
        <f t="shared" si="14"/>
        <v>7405437</v>
      </c>
      <c r="BB136" s="1">
        <v>0</v>
      </c>
      <c r="BH136" s="1">
        <v>0</v>
      </c>
      <c r="BJ136" s="1">
        <f t="shared" si="13"/>
        <v>7405437</v>
      </c>
      <c r="BL136" s="1">
        <f>+GenRev!AM136-GenExp!BJ136</f>
        <v>-310792</v>
      </c>
      <c r="BN136" s="1">
        <v>1773654</v>
      </c>
      <c r="BP136" s="1">
        <v>0</v>
      </c>
      <c r="BQ136" s="1">
        <v>0</v>
      </c>
      <c r="BS136" s="1">
        <f t="shared" si="12"/>
        <v>1462862</v>
      </c>
      <c r="BU136" s="20">
        <f>+BS136-'Gen Fd BS'!AA136+BQ136</f>
        <v>0</v>
      </c>
    </row>
    <row r="137" spans="1:73">
      <c r="A137" s="12" t="s">
        <v>800</v>
      </c>
      <c r="B137" s="12"/>
      <c r="C137" s="12" t="s">
        <v>113</v>
      </c>
      <c r="D137" s="12"/>
      <c r="E137" s="13">
        <v>45344</v>
      </c>
      <c r="G137" s="1">
        <v>2972707</v>
      </c>
      <c r="I137" s="1">
        <v>542690</v>
      </c>
      <c r="K137" s="1">
        <v>16649</v>
      </c>
      <c r="M137" s="1">
        <v>432354</v>
      </c>
      <c r="O137" s="1">
        <v>306290</v>
      </c>
      <c r="Q137" s="1">
        <v>341059</v>
      </c>
      <c r="S137" s="1">
        <v>45929</v>
      </c>
      <c r="U137" s="1">
        <v>319996</v>
      </c>
      <c r="W137" s="1">
        <v>248890</v>
      </c>
      <c r="Y137" s="1">
        <v>0</v>
      </c>
      <c r="AA137" s="1">
        <v>603948</v>
      </c>
      <c r="AC137" s="1">
        <v>306768</v>
      </c>
      <c r="AE137" s="1">
        <v>17196</v>
      </c>
      <c r="AG137" s="1">
        <v>0</v>
      </c>
      <c r="AI137" s="1">
        <v>0</v>
      </c>
      <c r="AJ137" s="12" t="s">
        <v>800</v>
      </c>
      <c r="AK137" s="12"/>
      <c r="AL137" s="12" t="s">
        <v>113</v>
      </c>
      <c r="AN137" s="1">
        <v>272506</v>
      </c>
      <c r="AP137" s="1">
        <v>11156</v>
      </c>
      <c r="AR137" s="1">
        <v>0</v>
      </c>
      <c r="AT137" s="1">
        <v>0</v>
      </c>
      <c r="AV137" s="1">
        <f>92182+196574</f>
        <v>288756</v>
      </c>
      <c r="AX137" s="1">
        <v>0</v>
      </c>
      <c r="AZ137" s="1">
        <f t="shared" si="14"/>
        <v>6726894</v>
      </c>
      <c r="BB137" s="1">
        <v>0</v>
      </c>
      <c r="BH137" s="1">
        <v>0</v>
      </c>
      <c r="BJ137" s="1">
        <f t="shared" si="13"/>
        <v>6726894</v>
      </c>
      <c r="BL137" s="1">
        <f>+GenRev!AM137-GenExp!BJ137</f>
        <v>195446</v>
      </c>
      <c r="BN137" s="1">
        <v>2242108</v>
      </c>
      <c r="BP137" s="1">
        <v>0</v>
      </c>
      <c r="BQ137" s="1">
        <v>0</v>
      </c>
      <c r="BS137" s="1">
        <f t="shared" si="12"/>
        <v>2437554</v>
      </c>
      <c r="BU137" s="20">
        <f>+BS137-'Gen Fd BS'!AA137+BQ137</f>
        <v>0</v>
      </c>
    </row>
    <row r="138" spans="1:73">
      <c r="A138" s="12" t="s">
        <v>265</v>
      </c>
      <c r="B138" s="12"/>
      <c r="C138" s="12" t="s">
        <v>114</v>
      </c>
      <c r="D138" s="12"/>
      <c r="E138" s="13">
        <v>46433</v>
      </c>
      <c r="F138" s="8"/>
      <c r="G138" s="1">
        <v>5200481</v>
      </c>
      <c r="I138" s="1">
        <v>786207</v>
      </c>
      <c r="K138" s="1">
        <v>133443</v>
      </c>
      <c r="M138" s="1">
        <v>53185</v>
      </c>
      <c r="O138" s="1">
        <v>427124</v>
      </c>
      <c r="Q138" s="1">
        <v>353011</v>
      </c>
      <c r="S138" s="1">
        <v>26950</v>
      </c>
      <c r="U138" s="1">
        <v>610818</v>
      </c>
      <c r="W138" s="1">
        <v>316957</v>
      </c>
      <c r="Y138" s="1">
        <v>0</v>
      </c>
      <c r="AA138" s="1">
        <v>1054292</v>
      </c>
      <c r="AC138" s="1">
        <v>546236</v>
      </c>
      <c r="AE138" s="1">
        <v>17585</v>
      </c>
      <c r="AG138" s="1">
        <v>0</v>
      </c>
      <c r="AI138" s="1">
        <v>0</v>
      </c>
      <c r="AJ138" s="12" t="s">
        <v>265</v>
      </c>
      <c r="AK138" s="12"/>
      <c r="AL138" s="12" t="s">
        <v>114</v>
      </c>
      <c r="AN138" s="1">
        <v>203002</v>
      </c>
      <c r="AP138" s="1">
        <v>90690</v>
      </c>
      <c r="AR138" s="1">
        <v>0</v>
      </c>
      <c r="AT138" s="1">
        <v>0</v>
      </c>
      <c r="AV138" s="1">
        <v>0</v>
      </c>
      <c r="AX138" s="1">
        <v>0</v>
      </c>
      <c r="AZ138" s="1">
        <f t="shared" si="14"/>
        <v>9819981</v>
      </c>
      <c r="BB138" s="1">
        <v>0</v>
      </c>
      <c r="BH138" s="1">
        <v>0</v>
      </c>
      <c r="BJ138" s="1">
        <f t="shared" si="13"/>
        <v>9819981</v>
      </c>
      <c r="BL138" s="1">
        <f>+GenRev!AM138-GenExp!BJ138</f>
        <v>20700</v>
      </c>
      <c r="BN138" s="1">
        <v>318681</v>
      </c>
      <c r="BP138" s="1">
        <v>0</v>
      </c>
      <c r="BQ138" s="1">
        <v>0</v>
      </c>
      <c r="BS138" s="1">
        <f t="shared" si="12"/>
        <v>339381</v>
      </c>
      <c r="BU138" s="20">
        <f>+BS138-'Gen Fd BS'!AA138+BQ138</f>
        <v>0</v>
      </c>
    </row>
    <row r="139" spans="1:73">
      <c r="A139" s="12" t="s">
        <v>265</v>
      </c>
      <c r="B139" s="12"/>
      <c r="C139" s="12" t="s">
        <v>112</v>
      </c>
      <c r="D139" s="12"/>
      <c r="E139" s="13">
        <v>49429</v>
      </c>
      <c r="G139" s="1">
        <v>4617866</v>
      </c>
      <c r="I139" s="1">
        <v>722099</v>
      </c>
      <c r="K139" s="1">
        <v>246372</v>
      </c>
      <c r="M139" s="1">
        <v>20715</v>
      </c>
      <c r="O139" s="1">
        <v>396043</v>
      </c>
      <c r="Q139" s="1">
        <v>368674</v>
      </c>
      <c r="S139" s="1">
        <v>58953</v>
      </c>
      <c r="U139" s="1">
        <v>716419</v>
      </c>
      <c r="W139" s="1">
        <v>223147</v>
      </c>
      <c r="Y139" s="1">
        <v>0</v>
      </c>
      <c r="AA139" s="1">
        <v>648955</v>
      </c>
      <c r="AC139" s="1">
        <v>700787</v>
      </c>
      <c r="AE139" s="1">
        <v>13760</v>
      </c>
      <c r="AG139" s="1">
        <v>0</v>
      </c>
      <c r="AI139" s="1">
        <v>42698</v>
      </c>
      <c r="AJ139" s="12" t="s">
        <v>265</v>
      </c>
      <c r="AK139" s="12"/>
      <c r="AL139" s="12" t="s">
        <v>112</v>
      </c>
      <c r="AN139" s="1">
        <v>309115</v>
      </c>
      <c r="AP139" s="1">
        <v>3326</v>
      </c>
      <c r="AR139" s="1">
        <v>0</v>
      </c>
      <c r="AT139" s="1">
        <v>0</v>
      </c>
      <c r="AV139" s="1">
        <v>0</v>
      </c>
      <c r="AX139" s="1">
        <v>0</v>
      </c>
      <c r="AZ139" s="1">
        <f t="shared" si="14"/>
        <v>9088929</v>
      </c>
      <c r="BB139" s="1">
        <v>2000</v>
      </c>
      <c r="BH139" s="1">
        <v>0</v>
      </c>
      <c r="BJ139" s="1">
        <f t="shared" si="13"/>
        <v>9090929</v>
      </c>
      <c r="BL139" s="1">
        <f>+GenRev!AM139-GenExp!BJ139</f>
        <v>528602</v>
      </c>
      <c r="BN139" s="1">
        <v>4901129</v>
      </c>
      <c r="BP139" s="1">
        <v>0</v>
      </c>
      <c r="BQ139" s="1">
        <v>0</v>
      </c>
      <c r="BS139" s="1">
        <f t="shared" si="12"/>
        <v>5429731</v>
      </c>
      <c r="BU139" s="20">
        <f>+BS139-'Gen Fd BS'!AA139+BQ139</f>
        <v>0</v>
      </c>
    </row>
    <row r="140" spans="1:73" hidden="1">
      <c r="A140" s="12" t="s">
        <v>801</v>
      </c>
      <c r="B140" s="12"/>
      <c r="C140" s="12" t="s">
        <v>67</v>
      </c>
      <c r="D140" s="12"/>
      <c r="E140" s="13"/>
      <c r="AJ140" s="12" t="s">
        <v>801</v>
      </c>
      <c r="AK140" s="12"/>
      <c r="AL140" s="12" t="s">
        <v>67</v>
      </c>
      <c r="AZ140" s="1">
        <f t="shared" si="14"/>
        <v>0</v>
      </c>
      <c r="BJ140" s="1">
        <f t="shared" si="13"/>
        <v>0</v>
      </c>
      <c r="BL140" s="1">
        <f>+GenRev!AM140-GenExp!BJ140</f>
        <v>0</v>
      </c>
      <c r="BS140" s="1">
        <f t="shared" si="12"/>
        <v>0</v>
      </c>
      <c r="BU140" s="20">
        <f>+BS140-'Gen Fd BS'!AA140+BQ140</f>
        <v>0</v>
      </c>
    </row>
    <row r="141" spans="1:73">
      <c r="A141" s="12" t="s">
        <v>533</v>
      </c>
      <c r="B141" s="12"/>
      <c r="C141" s="12" t="s">
        <v>56</v>
      </c>
      <c r="D141" s="12"/>
      <c r="E141" s="13">
        <v>49189</v>
      </c>
      <c r="G141" s="1">
        <v>7375323</v>
      </c>
      <c r="I141" s="1">
        <v>1414111</v>
      </c>
      <c r="K141" s="1">
        <v>175839</v>
      </c>
      <c r="M141" s="1">
        <f>432+205369+960892</f>
        <v>1166693</v>
      </c>
      <c r="O141" s="1">
        <v>955184</v>
      </c>
      <c r="Q141" s="1">
        <v>875431</v>
      </c>
      <c r="S141" s="1">
        <v>18482</v>
      </c>
      <c r="U141" s="1">
        <v>2106398</v>
      </c>
      <c r="W141" s="1">
        <v>470430</v>
      </c>
      <c r="Y141" s="1">
        <v>22397</v>
      </c>
      <c r="AA141" s="1">
        <v>2140883</v>
      </c>
      <c r="AC141" s="1">
        <v>1527300</v>
      </c>
      <c r="AE141" s="1">
        <v>597194</v>
      </c>
      <c r="AG141" s="1">
        <v>0</v>
      </c>
      <c r="AI141" s="1">
        <v>0</v>
      </c>
      <c r="AJ141" s="12" t="s">
        <v>533</v>
      </c>
      <c r="AK141" s="12"/>
      <c r="AL141" s="12" t="s">
        <v>56</v>
      </c>
      <c r="AN141" s="1">
        <v>375843</v>
      </c>
      <c r="AP141" s="1">
        <v>0</v>
      </c>
      <c r="AR141" s="1">
        <v>0</v>
      </c>
      <c r="AT141" s="1">
        <v>0</v>
      </c>
      <c r="AV141" s="1">
        <v>0</v>
      </c>
      <c r="AX141" s="1">
        <v>0</v>
      </c>
      <c r="AZ141" s="1">
        <f t="shared" si="14"/>
        <v>19221508</v>
      </c>
      <c r="BB141" s="1">
        <v>6901</v>
      </c>
      <c r="BH141" s="1">
        <v>0</v>
      </c>
      <c r="BJ141" s="1">
        <f t="shared" si="13"/>
        <v>19228409</v>
      </c>
      <c r="BL141" s="1">
        <f>+GenRev!AM141-GenExp!BJ141</f>
        <v>734735</v>
      </c>
      <c r="BN141" s="1">
        <v>2237856</v>
      </c>
      <c r="BP141" s="1">
        <v>0</v>
      </c>
      <c r="BQ141" s="1">
        <v>0</v>
      </c>
      <c r="BS141" s="1">
        <f t="shared" si="12"/>
        <v>2972591</v>
      </c>
      <c r="BU141" s="20">
        <f>+BS141-'Gen Fd BS'!AA141+BQ141</f>
        <v>0</v>
      </c>
    </row>
    <row r="142" spans="1:73">
      <c r="A142" s="12" t="s">
        <v>721</v>
      </c>
      <c r="B142" s="12"/>
      <c r="C142" s="12" t="s">
        <v>524</v>
      </c>
      <c r="D142" s="12"/>
      <c r="E142" s="13"/>
      <c r="G142" s="1">
        <v>5137146</v>
      </c>
      <c r="I142" s="1">
        <v>0</v>
      </c>
      <c r="K142" s="1">
        <v>0</v>
      </c>
      <c r="M142" s="1">
        <v>0</v>
      </c>
      <c r="O142" s="1">
        <v>426944</v>
      </c>
      <c r="Q142" s="1">
        <v>265176</v>
      </c>
      <c r="S142" s="1">
        <v>41580</v>
      </c>
      <c r="U142" s="1">
        <v>900158</v>
      </c>
      <c r="W142" s="1">
        <v>249495</v>
      </c>
      <c r="Y142" s="1">
        <v>0</v>
      </c>
      <c r="AA142" s="1">
        <v>1065863</v>
      </c>
      <c r="AC142" s="1">
        <v>635881</v>
      </c>
      <c r="AE142" s="1">
        <v>0</v>
      </c>
      <c r="AG142" s="1">
        <v>0</v>
      </c>
      <c r="AI142" s="1">
        <v>0</v>
      </c>
      <c r="AJ142" s="12" t="s">
        <v>721</v>
      </c>
      <c r="AK142" s="12"/>
      <c r="AL142" s="12" t="s">
        <v>524</v>
      </c>
      <c r="AN142" s="1">
        <v>258594</v>
      </c>
      <c r="AP142" s="1">
        <v>30251</v>
      </c>
      <c r="AR142" s="1">
        <v>0</v>
      </c>
      <c r="AT142" s="1">
        <v>25000</v>
      </c>
      <c r="AV142" s="1">
        <v>13068</v>
      </c>
      <c r="AX142" s="1">
        <v>0</v>
      </c>
      <c r="AZ142" s="1">
        <f t="shared" si="14"/>
        <v>9049156</v>
      </c>
      <c r="BB142" s="1">
        <v>0</v>
      </c>
      <c r="BH142" s="1">
        <v>0</v>
      </c>
      <c r="BJ142" s="1">
        <f t="shared" si="13"/>
        <v>9049156</v>
      </c>
      <c r="BL142" s="1">
        <f>+GenRev!AM142-GenExp!BJ142</f>
        <v>217511</v>
      </c>
      <c r="BN142" s="1">
        <v>435955</v>
      </c>
      <c r="BP142" s="1">
        <v>0</v>
      </c>
      <c r="BQ142" s="1">
        <v>0</v>
      </c>
      <c r="BS142" s="1">
        <f t="shared" si="12"/>
        <v>653466</v>
      </c>
      <c r="BU142" s="20">
        <f>+BS142-'Gen Fd BS'!AA142+BQ142</f>
        <v>0</v>
      </c>
    </row>
    <row r="143" spans="1:73">
      <c r="A143" s="12" t="s">
        <v>589</v>
      </c>
      <c r="B143" s="12"/>
      <c r="C143" s="12" t="s">
        <v>63</v>
      </c>
      <c r="D143" s="12"/>
      <c r="E143" s="13">
        <v>43836</v>
      </c>
      <c r="G143" s="1">
        <v>20536679</v>
      </c>
      <c r="I143" s="1">
        <v>4272803</v>
      </c>
      <c r="K143" s="1">
        <v>1171795</v>
      </c>
      <c r="M143" s="1">
        <v>4068911</v>
      </c>
      <c r="O143" s="1">
        <v>2638763</v>
      </c>
      <c r="Q143" s="1">
        <v>921285</v>
      </c>
      <c r="S143" s="1">
        <v>48909</v>
      </c>
      <c r="U143" s="1">
        <v>2502065</v>
      </c>
      <c r="W143" s="1">
        <v>892823</v>
      </c>
      <c r="Y143" s="1">
        <v>384905</v>
      </c>
      <c r="AA143" s="1">
        <v>4847337</v>
      </c>
      <c r="AC143" s="1">
        <v>1206692</v>
      </c>
      <c r="AE143" s="1">
        <v>447068</v>
      </c>
      <c r="AG143" s="1">
        <v>0</v>
      </c>
      <c r="AI143" s="1">
        <v>197867</v>
      </c>
      <c r="AJ143" s="12" t="s">
        <v>589</v>
      </c>
      <c r="AK143" s="12"/>
      <c r="AL143" s="12" t="s">
        <v>63</v>
      </c>
      <c r="AN143" s="1">
        <v>810493</v>
      </c>
      <c r="AP143" s="1">
        <v>36142</v>
      </c>
      <c r="AR143" s="1">
        <v>0</v>
      </c>
      <c r="AT143" s="1">
        <v>95929</v>
      </c>
      <c r="AV143" s="1">
        <v>14187</v>
      </c>
      <c r="AX143" s="1">
        <v>0</v>
      </c>
      <c r="AZ143" s="1">
        <f t="shared" si="14"/>
        <v>45094653</v>
      </c>
      <c r="BB143" s="1">
        <v>26364</v>
      </c>
      <c r="BH143" s="1">
        <v>0</v>
      </c>
      <c r="BJ143" s="1">
        <f t="shared" si="13"/>
        <v>45121017</v>
      </c>
      <c r="BL143" s="1">
        <f>+GenRev!AM143-GenExp!BJ143</f>
        <v>847344</v>
      </c>
      <c r="BN143" s="1">
        <v>2174662</v>
      </c>
      <c r="BP143" s="1">
        <v>0</v>
      </c>
      <c r="BQ143" s="1">
        <v>0</v>
      </c>
      <c r="BS143" s="1">
        <f t="shared" si="12"/>
        <v>3022006</v>
      </c>
      <c r="BU143" s="20">
        <f>+BS143-'Gen Fd BS'!AA143+BQ143</f>
        <v>0</v>
      </c>
    </row>
    <row r="144" spans="1:73">
      <c r="A144" s="12" t="s">
        <v>904</v>
      </c>
      <c r="B144" s="12"/>
      <c r="C144" s="12" t="s">
        <v>20</v>
      </c>
      <c r="D144" s="12"/>
      <c r="E144" s="13">
        <v>46557</v>
      </c>
      <c r="G144" s="1">
        <v>6035402</v>
      </c>
      <c r="I144" s="1">
        <v>1242592</v>
      </c>
      <c r="K144" s="1">
        <v>0</v>
      </c>
      <c r="M144" s="1">
        <v>42708</v>
      </c>
      <c r="O144" s="1">
        <v>790107</v>
      </c>
      <c r="Q144" s="1">
        <v>802275</v>
      </c>
      <c r="S144" s="1">
        <v>67133</v>
      </c>
      <c r="U144" s="1">
        <v>1508647</v>
      </c>
      <c r="W144" s="1">
        <v>660995</v>
      </c>
      <c r="Y144" s="1">
        <v>139877</v>
      </c>
      <c r="AA144" s="1">
        <v>1551717</v>
      </c>
      <c r="AC144" s="1">
        <v>720261</v>
      </c>
      <c r="AE144" s="1">
        <v>967069</v>
      </c>
      <c r="AG144" s="1">
        <v>0</v>
      </c>
      <c r="AI144" s="1">
        <v>83157</v>
      </c>
      <c r="AJ144" s="12" t="s">
        <v>904</v>
      </c>
      <c r="AK144" s="12"/>
      <c r="AL144" s="12" t="s">
        <v>20</v>
      </c>
      <c r="AN144" s="1">
        <v>829342</v>
      </c>
      <c r="AP144" s="1">
        <v>0</v>
      </c>
      <c r="AR144" s="1">
        <v>0</v>
      </c>
      <c r="AT144" s="1">
        <v>0</v>
      </c>
      <c r="AV144" s="1">
        <v>0</v>
      </c>
      <c r="AX144" s="1">
        <v>0</v>
      </c>
      <c r="AZ144" s="1">
        <f t="shared" si="14"/>
        <v>15441282</v>
      </c>
      <c r="BB144" s="1">
        <v>992000</v>
      </c>
      <c r="BH144" s="1">
        <v>0</v>
      </c>
      <c r="BJ144" s="1">
        <f t="shared" si="13"/>
        <v>16433282</v>
      </c>
      <c r="BL144" s="1">
        <f>+GenRev!AM144-GenExp!BJ144</f>
        <v>-3385340</v>
      </c>
      <c r="BN144" s="1">
        <v>6784941</v>
      </c>
      <c r="BP144" s="1">
        <v>0</v>
      </c>
      <c r="BQ144" s="1">
        <v>0</v>
      </c>
      <c r="BS144" s="1">
        <f t="shared" si="12"/>
        <v>3399601</v>
      </c>
      <c r="BU144" s="20">
        <f>+BS144-'Gen Fd BS'!AA144+BQ144</f>
        <v>0</v>
      </c>
    </row>
    <row r="145" spans="1:73">
      <c r="A145" s="12" t="s">
        <v>730</v>
      </c>
      <c r="B145" s="12"/>
      <c r="C145" s="12" t="s">
        <v>71</v>
      </c>
      <c r="D145" s="12"/>
      <c r="E145" s="13">
        <v>48934</v>
      </c>
      <c r="G145" s="1">
        <v>3704720</v>
      </c>
      <c r="I145" s="1">
        <v>339506</v>
      </c>
      <c r="K145" s="1">
        <v>208412</v>
      </c>
      <c r="M145" s="1">
        <v>219263</v>
      </c>
      <c r="O145" s="1">
        <v>233566</v>
      </c>
      <c r="Q145" s="1">
        <v>484323</v>
      </c>
      <c r="S145" s="1">
        <v>25667</v>
      </c>
      <c r="U145" s="1">
        <v>657923</v>
      </c>
      <c r="W145" s="1">
        <v>301686</v>
      </c>
      <c r="Y145" s="1">
        <v>5397</v>
      </c>
      <c r="AA145" s="1">
        <v>800644</v>
      </c>
      <c r="AC145" s="1">
        <v>408621</v>
      </c>
      <c r="AE145" s="1">
        <v>13700</v>
      </c>
      <c r="AG145" s="1">
        <v>0</v>
      </c>
      <c r="AI145" s="1">
        <v>2558</v>
      </c>
      <c r="AJ145" s="12" t="s">
        <v>730</v>
      </c>
      <c r="AK145" s="12"/>
      <c r="AL145" s="12" t="s">
        <v>71</v>
      </c>
      <c r="AN145" s="1">
        <v>244223</v>
      </c>
      <c r="AP145" s="1">
        <v>10982</v>
      </c>
      <c r="AR145" s="1">
        <v>0</v>
      </c>
      <c r="AT145" s="1">
        <v>15820</v>
      </c>
      <c r="AV145" s="1">
        <v>3939</v>
      </c>
      <c r="AX145" s="1">
        <v>0</v>
      </c>
      <c r="AZ145" s="1">
        <f t="shared" si="14"/>
        <v>7680950</v>
      </c>
      <c r="BB145" s="1">
        <v>122565</v>
      </c>
      <c r="BH145" s="1">
        <v>0</v>
      </c>
      <c r="BJ145" s="1">
        <f t="shared" si="13"/>
        <v>7803515</v>
      </c>
      <c r="BL145" s="1">
        <f>+GenRev!AM145-GenExp!BJ145</f>
        <v>-68369</v>
      </c>
      <c r="BN145" s="1">
        <v>125937</v>
      </c>
      <c r="BP145" s="1">
        <v>0</v>
      </c>
      <c r="BQ145" s="1">
        <v>0</v>
      </c>
      <c r="BS145" s="1">
        <f t="shared" si="12"/>
        <v>57568</v>
      </c>
      <c r="BU145" s="20">
        <f>+BS145-'Gen Fd BS'!AA145+BQ145</f>
        <v>0</v>
      </c>
    </row>
    <row r="146" spans="1:73">
      <c r="A146" s="12" t="s">
        <v>520</v>
      </c>
      <c r="B146" s="12"/>
      <c r="C146" s="12" t="s">
        <v>53</v>
      </c>
      <c r="D146" s="12"/>
      <c r="E146" s="13">
        <v>48934</v>
      </c>
      <c r="G146" s="1">
        <v>3962826</v>
      </c>
      <c r="I146" s="1">
        <v>607571</v>
      </c>
      <c r="K146" s="1">
        <v>0</v>
      </c>
      <c r="M146" s="1">
        <v>33974</v>
      </c>
      <c r="O146" s="1">
        <v>346204</v>
      </c>
      <c r="Q146" s="1">
        <v>766337</v>
      </c>
      <c r="S146" s="1">
        <v>88777</v>
      </c>
      <c r="U146" s="1">
        <v>807715</v>
      </c>
      <c r="W146" s="1">
        <v>407522</v>
      </c>
      <c r="Y146" s="1">
        <v>0</v>
      </c>
      <c r="AA146" s="1">
        <v>967094</v>
      </c>
      <c r="AC146" s="1">
        <v>516062</v>
      </c>
      <c r="AE146" s="1">
        <v>1789</v>
      </c>
      <c r="AG146" s="1">
        <v>0</v>
      </c>
      <c r="AI146" s="1">
        <v>42068</v>
      </c>
      <c r="AJ146" s="12" t="s">
        <v>520</v>
      </c>
      <c r="AK146" s="12"/>
      <c r="AL146" s="12" t="s">
        <v>53</v>
      </c>
      <c r="AN146" s="1">
        <v>282860</v>
      </c>
      <c r="AP146" s="1">
        <v>445361</v>
      </c>
      <c r="AR146" s="1">
        <v>0</v>
      </c>
      <c r="AT146" s="1">
        <v>0</v>
      </c>
      <c r="AV146" s="1">
        <v>12488</v>
      </c>
      <c r="AX146" s="1">
        <v>0</v>
      </c>
      <c r="AZ146" s="1">
        <f t="shared" si="14"/>
        <v>9288648</v>
      </c>
      <c r="BB146" s="1">
        <v>114000</v>
      </c>
      <c r="BH146" s="1">
        <v>0</v>
      </c>
      <c r="BJ146" s="1">
        <f t="shared" si="13"/>
        <v>9402648</v>
      </c>
      <c r="BL146" s="1">
        <f>+GenRev!AM146-GenExp!BJ146</f>
        <v>402299</v>
      </c>
      <c r="BN146" s="1">
        <v>3602679</v>
      </c>
      <c r="BP146" s="1">
        <v>0</v>
      </c>
      <c r="BQ146" s="1">
        <v>0</v>
      </c>
      <c r="BS146" s="1">
        <f t="shared" si="12"/>
        <v>4004978</v>
      </c>
      <c r="BU146" s="20">
        <f>+BS146-'Gen Fd BS'!AA146+BQ146</f>
        <v>0</v>
      </c>
    </row>
    <row r="147" spans="1:73" hidden="1">
      <c r="A147" s="12" t="s">
        <v>803</v>
      </c>
      <c r="B147" s="12"/>
      <c r="C147" s="12" t="s">
        <v>40</v>
      </c>
      <c r="D147" s="12"/>
      <c r="E147" s="13">
        <v>47837</v>
      </c>
      <c r="AJ147" s="12" t="s">
        <v>803</v>
      </c>
      <c r="AK147" s="12"/>
      <c r="AL147" s="12" t="s">
        <v>40</v>
      </c>
      <c r="AZ147" s="1">
        <f t="shared" si="14"/>
        <v>0</v>
      </c>
      <c r="BJ147" s="1">
        <f t="shared" si="13"/>
        <v>0</v>
      </c>
      <c r="BL147" s="1">
        <f>+GenRev!AM147-GenExp!BJ147</f>
        <v>0</v>
      </c>
      <c r="BS147" s="1">
        <f t="shared" si="12"/>
        <v>0</v>
      </c>
      <c r="BU147" s="20">
        <f>+BS147-'Gen Fd BS'!AA147+BQ147</f>
        <v>0</v>
      </c>
    </row>
    <row r="148" spans="1:73">
      <c r="A148" s="12" t="s">
        <v>421</v>
      </c>
      <c r="B148" s="12"/>
      <c r="C148" s="12" t="s">
        <v>420</v>
      </c>
      <c r="D148" s="12"/>
      <c r="E148" s="13">
        <v>47928</v>
      </c>
      <c r="G148" s="1">
        <v>3914086</v>
      </c>
      <c r="I148" s="1">
        <v>506648</v>
      </c>
      <c r="K148" s="1">
        <v>116123</v>
      </c>
      <c r="M148" s="1">
        <v>987251</v>
      </c>
      <c r="O148" s="1">
        <v>527212</v>
      </c>
      <c r="Q148" s="1">
        <v>181157</v>
      </c>
      <c r="S148" s="1">
        <v>38331</v>
      </c>
      <c r="U148" s="1">
        <v>731101</v>
      </c>
      <c r="W148" s="1">
        <v>403107</v>
      </c>
      <c r="Y148" s="1">
        <v>34658</v>
      </c>
      <c r="AA148" s="1">
        <v>1195463</v>
      </c>
      <c r="AC148" s="1">
        <v>644879</v>
      </c>
      <c r="AE148" s="1">
        <v>169446</v>
      </c>
      <c r="AG148" s="1">
        <v>0</v>
      </c>
      <c r="AI148" s="1">
        <v>0</v>
      </c>
      <c r="AJ148" s="12" t="s">
        <v>421</v>
      </c>
      <c r="AK148" s="12"/>
      <c r="AL148" s="12" t="s">
        <v>420</v>
      </c>
      <c r="AN148" s="1">
        <v>315972</v>
      </c>
      <c r="AP148" s="1">
        <v>0</v>
      </c>
      <c r="AR148" s="1">
        <v>0</v>
      </c>
      <c r="AT148" s="1">
        <v>0</v>
      </c>
      <c r="AV148" s="1">
        <v>0</v>
      </c>
      <c r="AX148" s="1">
        <v>0</v>
      </c>
      <c r="AZ148" s="1">
        <f t="shared" si="14"/>
        <v>9765434</v>
      </c>
      <c r="BB148" s="1">
        <v>235458</v>
      </c>
      <c r="BH148" s="1">
        <v>0</v>
      </c>
      <c r="BJ148" s="1">
        <f t="shared" si="13"/>
        <v>10000892</v>
      </c>
      <c r="BL148" s="1">
        <f>+GenRev!AM148-GenExp!BJ148</f>
        <v>404516</v>
      </c>
      <c r="BN148" s="1">
        <v>2806584</v>
      </c>
      <c r="BP148" s="1">
        <v>0</v>
      </c>
      <c r="BQ148" s="1">
        <v>0</v>
      </c>
      <c r="BS148" s="1">
        <f t="shared" si="12"/>
        <v>3211100</v>
      </c>
      <c r="BU148" s="20">
        <f>+BS148-'Gen Fd BS'!AA148+BQ148</f>
        <v>0</v>
      </c>
    </row>
    <row r="149" spans="1:73">
      <c r="A149" s="12" t="s">
        <v>496</v>
      </c>
      <c r="B149" s="12"/>
      <c r="C149" s="12" t="s">
        <v>50</v>
      </c>
      <c r="D149" s="12"/>
      <c r="E149" s="13">
        <v>43844</v>
      </c>
      <c r="G149" s="1">
        <v>57848656</v>
      </c>
      <c r="I149" s="1">
        <v>20508587</v>
      </c>
      <c r="K149" s="1">
        <v>2580911</v>
      </c>
      <c r="M149" s="1">
        <f>26853+188495</f>
        <v>215348</v>
      </c>
      <c r="O149" s="1">
        <v>6329939</v>
      </c>
      <c r="Q149" s="1">
        <v>6828530</v>
      </c>
      <c r="S149" s="1">
        <v>1041782</v>
      </c>
      <c r="U149" s="1">
        <v>9079746</v>
      </c>
      <c r="W149" s="1">
        <v>2951751</v>
      </c>
      <c r="Y149" s="1">
        <v>1473918</v>
      </c>
      <c r="AA149" s="1">
        <v>21143978</v>
      </c>
      <c r="AC149" s="1">
        <v>15400522</v>
      </c>
      <c r="AE149" s="1">
        <v>5836847</v>
      </c>
      <c r="AG149" s="1">
        <v>0</v>
      </c>
      <c r="AI149" s="1">
        <v>59584893</v>
      </c>
      <c r="AJ149" s="12" t="s">
        <v>496</v>
      </c>
      <c r="AK149" s="12"/>
      <c r="AL149" s="12" t="s">
        <v>50</v>
      </c>
      <c r="AN149" s="1">
        <v>1062216</v>
      </c>
      <c r="AP149" s="1">
        <v>45000</v>
      </c>
      <c r="AR149" s="1">
        <v>0</v>
      </c>
      <c r="AT149" s="1">
        <v>886334</v>
      </c>
      <c r="AV149" s="1">
        <v>928440</v>
      </c>
      <c r="AX149" s="1">
        <v>0</v>
      </c>
      <c r="AZ149" s="1">
        <f t="shared" si="14"/>
        <v>213747398</v>
      </c>
      <c r="BB149" s="1">
        <v>3940658</v>
      </c>
      <c r="BH149" s="1">
        <v>0</v>
      </c>
      <c r="BJ149" s="1">
        <f t="shared" si="13"/>
        <v>217688056</v>
      </c>
      <c r="BL149" s="1">
        <f>+GenRev!AM149-GenExp!BJ149</f>
        <v>-1807497</v>
      </c>
      <c r="BN149" s="1">
        <v>6568459</v>
      </c>
      <c r="BP149" s="1">
        <v>0</v>
      </c>
      <c r="BQ149" s="1">
        <v>0</v>
      </c>
      <c r="BS149" s="1">
        <f t="shared" si="12"/>
        <v>4760962</v>
      </c>
      <c r="BU149" s="20">
        <f>+BS149-'Gen Fd BS'!AA149+BQ149</f>
        <v>0</v>
      </c>
    </row>
    <row r="150" spans="1:73">
      <c r="A150" s="12" t="s">
        <v>804</v>
      </c>
      <c r="B150" s="12"/>
      <c r="C150" s="12" t="s">
        <v>32</v>
      </c>
      <c r="D150" s="12"/>
      <c r="E150" s="13">
        <v>43851</v>
      </c>
      <c r="G150" s="1">
        <v>5934206</v>
      </c>
      <c r="I150" s="1">
        <v>1223961</v>
      </c>
      <c r="K150" s="1">
        <v>190086</v>
      </c>
      <c r="M150" s="1">
        <v>0</v>
      </c>
      <c r="O150" s="1">
        <v>829667</v>
      </c>
      <c r="Q150" s="1">
        <v>473790</v>
      </c>
      <c r="S150" s="1">
        <v>67845</v>
      </c>
      <c r="U150" s="1">
        <v>1117524</v>
      </c>
      <c r="W150" s="1">
        <v>540873</v>
      </c>
      <c r="Y150" s="1">
        <v>154718</v>
      </c>
      <c r="AA150" s="1">
        <v>1141152</v>
      </c>
      <c r="AC150" s="1">
        <v>296053</v>
      </c>
      <c r="AE150" s="1">
        <v>137058</v>
      </c>
      <c r="AG150" s="1">
        <v>0</v>
      </c>
      <c r="AI150" s="1">
        <v>2623</v>
      </c>
      <c r="AJ150" s="12" t="s">
        <v>804</v>
      </c>
      <c r="AK150" s="12"/>
      <c r="AL150" s="12" t="s">
        <v>32</v>
      </c>
      <c r="AN150" s="1">
        <v>354517</v>
      </c>
      <c r="AP150" s="1">
        <v>0</v>
      </c>
      <c r="AR150" s="1">
        <v>0</v>
      </c>
      <c r="AT150" s="1">
        <v>121665</v>
      </c>
      <c r="AV150" s="1">
        <v>26548</v>
      </c>
      <c r="AX150" s="1">
        <v>0</v>
      </c>
      <c r="AZ150" s="1">
        <f t="shared" si="14"/>
        <v>12612286</v>
      </c>
      <c r="BB150" s="1">
        <v>25780</v>
      </c>
      <c r="BH150" s="1">
        <v>0</v>
      </c>
      <c r="BJ150" s="1">
        <f t="shared" si="13"/>
        <v>12638066</v>
      </c>
      <c r="BL150" s="1">
        <f>+GenRev!AM150-GenExp!BJ150</f>
        <v>1690676</v>
      </c>
      <c r="BN150" s="1">
        <v>5160130</v>
      </c>
      <c r="BP150" s="1">
        <v>0</v>
      </c>
      <c r="BQ150" s="1">
        <v>0</v>
      </c>
      <c r="BS150" s="1">
        <f t="shared" si="12"/>
        <v>6850806</v>
      </c>
      <c r="BU150" s="20">
        <f>+BS150-'Gen Fd BS'!AA150+BQ150</f>
        <v>0</v>
      </c>
    </row>
    <row r="151" spans="1:73" hidden="1">
      <c r="A151" s="12" t="s">
        <v>805</v>
      </c>
      <c r="B151" s="12"/>
      <c r="C151" s="12" t="s">
        <v>22</v>
      </c>
      <c r="D151" s="12"/>
      <c r="E151" s="13">
        <v>43869</v>
      </c>
      <c r="AJ151" s="12" t="s">
        <v>805</v>
      </c>
      <c r="AK151" s="12"/>
      <c r="AL151" s="12" t="s">
        <v>22</v>
      </c>
      <c r="AZ151" s="1">
        <f t="shared" si="14"/>
        <v>0</v>
      </c>
      <c r="BJ151" s="1">
        <f t="shared" si="13"/>
        <v>0</v>
      </c>
      <c r="BL151" s="1">
        <f>+GenRev!AM151-GenExp!BJ151</f>
        <v>0</v>
      </c>
      <c r="BS151" s="1">
        <f t="shared" si="12"/>
        <v>0</v>
      </c>
      <c r="BU151" s="20">
        <f>+BS151-'Gen Fd BS'!AA151+BQ151</f>
        <v>0</v>
      </c>
    </row>
    <row r="152" spans="1:73">
      <c r="A152" s="12" t="s">
        <v>806</v>
      </c>
      <c r="B152" s="12"/>
      <c r="C152" s="12" t="s">
        <v>23</v>
      </c>
      <c r="D152" s="12"/>
      <c r="E152" s="13"/>
      <c r="G152" s="1">
        <v>19367252</v>
      </c>
      <c r="I152" s="1">
        <v>3539678</v>
      </c>
      <c r="K152" s="1">
        <v>353597</v>
      </c>
      <c r="M152" s="1">
        <f>98747+1853032</f>
        <v>1951779</v>
      </c>
      <c r="O152" s="1">
        <v>2409363</v>
      </c>
      <c r="Q152" s="1">
        <v>2529101</v>
      </c>
      <c r="S152" s="1">
        <v>187628</v>
      </c>
      <c r="U152" s="1">
        <v>2721943</v>
      </c>
      <c r="W152" s="1">
        <v>920584</v>
      </c>
      <c r="Y152" s="1">
        <v>317354</v>
      </c>
      <c r="AA152" s="1">
        <v>4588458</v>
      </c>
      <c r="AC152" s="1">
        <v>2630789</v>
      </c>
      <c r="AE152" s="1">
        <v>141838</v>
      </c>
      <c r="AG152" s="1">
        <v>0</v>
      </c>
      <c r="AI152" s="1">
        <v>0</v>
      </c>
      <c r="AJ152" s="12" t="s">
        <v>806</v>
      </c>
      <c r="AK152" s="12"/>
      <c r="AL152" s="12" t="s">
        <v>23</v>
      </c>
      <c r="AN152" s="1">
        <v>820781</v>
      </c>
      <c r="AP152" s="1">
        <v>0</v>
      </c>
      <c r="AR152" s="1">
        <v>0</v>
      </c>
      <c r="AT152" s="1">
        <v>0</v>
      </c>
      <c r="AV152" s="1">
        <v>0</v>
      </c>
      <c r="AX152" s="1">
        <v>0</v>
      </c>
      <c r="AZ152" s="1">
        <f t="shared" si="14"/>
        <v>42480145</v>
      </c>
      <c r="BB152" s="1">
        <v>30000</v>
      </c>
      <c r="BH152" s="1">
        <v>0</v>
      </c>
      <c r="BJ152" s="1">
        <f t="shared" ref="BJ152:BJ157" si="15">+AZ152+BB152+BD152+BH152</f>
        <v>42510145</v>
      </c>
      <c r="BL152" s="1">
        <f>+GenRev!AM152-GenExp!BJ152</f>
        <v>-2647090</v>
      </c>
      <c r="BN152" s="1">
        <v>6260077</v>
      </c>
      <c r="BP152" s="1">
        <v>0</v>
      </c>
      <c r="BQ152" s="1">
        <v>0</v>
      </c>
      <c r="BS152" s="1">
        <f t="shared" si="12"/>
        <v>3612987</v>
      </c>
      <c r="BU152" s="20">
        <f>+BS152-'Gen Fd BS'!AA152+BQ152</f>
        <v>0</v>
      </c>
    </row>
    <row r="153" spans="1:73">
      <c r="A153" s="12" t="s">
        <v>204</v>
      </c>
      <c r="B153" s="12"/>
      <c r="C153" s="12" t="s">
        <v>10</v>
      </c>
      <c r="D153" s="12"/>
      <c r="E153" s="13">
        <v>43885</v>
      </c>
      <c r="F153" s="8"/>
      <c r="G153" s="1">
        <v>4572623</v>
      </c>
      <c r="I153" s="1">
        <v>553033</v>
      </c>
      <c r="K153" s="1">
        <v>529558</v>
      </c>
      <c r="M153" s="1">
        <v>0</v>
      </c>
      <c r="O153" s="1">
        <v>411207</v>
      </c>
      <c r="Q153" s="1">
        <v>392640</v>
      </c>
      <c r="S153" s="1">
        <v>16756</v>
      </c>
      <c r="U153" s="1">
        <v>791067</v>
      </c>
      <c r="W153" s="1">
        <v>263581</v>
      </c>
      <c r="Y153" s="1">
        <v>0</v>
      </c>
      <c r="AA153" s="1">
        <v>562363</v>
      </c>
      <c r="AC153" s="1">
        <v>439076</v>
      </c>
      <c r="AE153" s="1">
        <v>208</v>
      </c>
      <c r="AG153" s="1">
        <v>0</v>
      </c>
      <c r="AI153" s="1">
        <v>0</v>
      </c>
      <c r="AJ153" s="12" t="s">
        <v>204</v>
      </c>
      <c r="AK153" s="12"/>
      <c r="AL153" s="12" t="s">
        <v>10</v>
      </c>
      <c r="AN153" s="1">
        <v>211894</v>
      </c>
      <c r="AP153" s="1">
        <v>0</v>
      </c>
      <c r="AR153" s="1">
        <v>0</v>
      </c>
      <c r="AT153" s="1">
        <v>0</v>
      </c>
      <c r="AV153" s="1">
        <v>0</v>
      </c>
      <c r="AX153" s="1">
        <v>0</v>
      </c>
      <c r="AZ153" s="1">
        <f t="shared" si="14"/>
        <v>8744006</v>
      </c>
      <c r="BB153" s="1">
        <v>0</v>
      </c>
      <c r="BH153" s="1">
        <v>0</v>
      </c>
      <c r="BJ153" s="1">
        <f t="shared" si="15"/>
        <v>8744006</v>
      </c>
      <c r="BL153" s="1">
        <f>+GenRev!AM153-GenExp!BJ153</f>
        <v>217466</v>
      </c>
      <c r="BN153" s="1">
        <v>-493095</v>
      </c>
      <c r="BP153" s="1">
        <v>0</v>
      </c>
      <c r="BQ153" s="1">
        <v>0</v>
      </c>
      <c r="BS153" s="1">
        <f t="shared" si="12"/>
        <v>-275629</v>
      </c>
      <c r="BU153" s="20">
        <f>+BS153-'Gen Fd BS'!AA153+BQ153</f>
        <v>0</v>
      </c>
    </row>
    <row r="154" spans="1:73">
      <c r="A154" s="12" t="s">
        <v>619</v>
      </c>
      <c r="B154" s="12"/>
      <c r="C154" s="12" t="s">
        <v>65</v>
      </c>
      <c r="D154" s="12"/>
      <c r="E154" s="13">
        <v>43893</v>
      </c>
      <c r="G154" s="1">
        <v>9686852</v>
      </c>
      <c r="I154" s="1">
        <v>1731379</v>
      </c>
      <c r="K154" s="1">
        <v>51796</v>
      </c>
      <c r="M154" s="1">
        <f>163826+3101</f>
        <v>166927</v>
      </c>
      <c r="O154" s="1">
        <v>1010705</v>
      </c>
      <c r="Q154" s="1">
        <v>732289</v>
      </c>
      <c r="S154" s="1">
        <v>30151</v>
      </c>
      <c r="U154" s="1">
        <v>1793293</v>
      </c>
      <c r="W154" s="1">
        <v>726060</v>
      </c>
      <c r="Y154" s="1">
        <v>0</v>
      </c>
      <c r="AA154" s="1">
        <v>1830552</v>
      </c>
      <c r="AC154" s="1">
        <v>746006</v>
      </c>
      <c r="AE154" s="1">
        <v>0</v>
      </c>
      <c r="AG154" s="1">
        <v>0</v>
      </c>
      <c r="AI154" s="1">
        <v>0</v>
      </c>
      <c r="AJ154" s="12" t="s">
        <v>619</v>
      </c>
      <c r="AK154" s="12"/>
      <c r="AL154" s="12" t="s">
        <v>65</v>
      </c>
      <c r="AN154" s="1">
        <v>591315</v>
      </c>
      <c r="AP154" s="1">
        <v>0</v>
      </c>
      <c r="AR154" s="1">
        <v>0</v>
      </c>
      <c r="AT154" s="1">
        <v>39772</v>
      </c>
      <c r="AV154" s="1">
        <v>7690</v>
      </c>
      <c r="AX154" s="1">
        <v>0</v>
      </c>
      <c r="AZ154" s="1">
        <f t="shared" si="14"/>
        <v>19144787</v>
      </c>
      <c r="BB154" s="1">
        <v>0</v>
      </c>
      <c r="BH154" s="1">
        <v>0</v>
      </c>
      <c r="BJ154" s="1">
        <f t="shared" si="15"/>
        <v>19144787</v>
      </c>
      <c r="BL154" s="1">
        <f>+GenRev!AM154-GenExp!BJ154</f>
        <v>2078791</v>
      </c>
      <c r="BN154" s="1">
        <v>3347438</v>
      </c>
      <c r="BP154" s="1">
        <v>0</v>
      </c>
      <c r="BQ154" s="1">
        <v>0</v>
      </c>
      <c r="BS154" s="1">
        <f t="shared" ref="BS154:BS203" si="16">+BN154+BL154-BP154</f>
        <v>5426229</v>
      </c>
      <c r="BU154" s="20">
        <f>+BS154-'Gen Fd BS'!AA154+BQ154</f>
        <v>0</v>
      </c>
    </row>
    <row r="155" spans="1:73">
      <c r="A155" s="12" t="s">
        <v>332</v>
      </c>
      <c r="B155" s="12"/>
      <c r="C155" s="12" t="s">
        <v>27</v>
      </c>
      <c r="D155" s="12"/>
      <c r="E155" s="13">
        <v>47027</v>
      </c>
      <c r="G155" s="1">
        <v>76022326</v>
      </c>
      <c r="I155" s="1">
        <v>18122375</v>
      </c>
      <c r="K155" s="1">
        <v>131233</v>
      </c>
      <c r="M155" s="1">
        <v>0</v>
      </c>
      <c r="O155" s="1">
        <v>9185073</v>
      </c>
      <c r="Q155" s="1">
        <v>11963710</v>
      </c>
      <c r="S155" s="1">
        <v>221938</v>
      </c>
      <c r="U155" s="1">
        <v>10347326</v>
      </c>
      <c r="W155" s="1">
        <v>2883035</v>
      </c>
      <c r="Y155" s="1">
        <v>777155</v>
      </c>
      <c r="AA155" s="1">
        <v>12510413</v>
      </c>
      <c r="AC155" s="1">
        <v>7310289</v>
      </c>
      <c r="AE155" s="1">
        <v>1861589</v>
      </c>
      <c r="AG155" s="1">
        <v>0</v>
      </c>
      <c r="AI155" s="1">
        <v>3231</v>
      </c>
      <c r="AJ155" s="12" t="s">
        <v>332</v>
      </c>
      <c r="AK155" s="12"/>
      <c r="AL155" s="12" t="s">
        <v>27</v>
      </c>
      <c r="AN155" s="1">
        <v>4075117</v>
      </c>
      <c r="AP155" s="1">
        <v>221320</v>
      </c>
      <c r="AR155" s="1">
        <v>0</v>
      </c>
      <c r="AT155" s="1">
        <v>1189</v>
      </c>
      <c r="AV155" s="1">
        <v>690</v>
      </c>
      <c r="AX155" s="1">
        <v>7613</v>
      </c>
      <c r="AZ155" s="1">
        <f t="shared" si="14"/>
        <v>155645622</v>
      </c>
      <c r="BB155" s="1">
        <v>254350</v>
      </c>
      <c r="BH155" s="1">
        <v>0</v>
      </c>
      <c r="BJ155" s="1">
        <f t="shared" si="15"/>
        <v>155899972</v>
      </c>
      <c r="BL155" s="1">
        <f>+GenRev!AM155-GenExp!BJ155</f>
        <v>2651737</v>
      </c>
      <c r="BN155" s="1">
        <v>61796260</v>
      </c>
      <c r="BP155" s="1">
        <v>-28468</v>
      </c>
      <c r="BQ155" s="1">
        <v>0</v>
      </c>
      <c r="BS155" s="1">
        <f t="shared" si="16"/>
        <v>64476465</v>
      </c>
      <c r="BU155" s="20">
        <f>+BS155-'Gen Fd BS'!AA155+BQ155</f>
        <v>0</v>
      </c>
    </row>
    <row r="156" spans="1:73">
      <c r="A156" s="12" t="s">
        <v>288</v>
      </c>
      <c r="B156" s="12"/>
      <c r="C156" s="12" t="s">
        <v>20</v>
      </c>
      <c r="D156" s="12"/>
      <c r="E156" s="13">
        <v>43901</v>
      </c>
      <c r="G156" s="1">
        <v>12508756</v>
      </c>
      <c r="I156" s="1">
        <v>7685512</v>
      </c>
      <c r="K156" s="1">
        <v>1483572</v>
      </c>
      <c r="M156" s="1">
        <f>66993+4788442</f>
        <v>4855435</v>
      </c>
      <c r="O156" s="1">
        <v>2009729</v>
      </c>
      <c r="Q156" s="1">
        <v>1369683</v>
      </c>
      <c r="S156" s="1">
        <v>47837</v>
      </c>
      <c r="U156" s="1">
        <v>3488701</v>
      </c>
      <c r="W156" s="1">
        <v>1488132</v>
      </c>
      <c r="Y156" s="1">
        <v>441552</v>
      </c>
      <c r="AA156" s="1">
        <v>4711433</v>
      </c>
      <c r="AC156" s="1">
        <v>1137823</v>
      </c>
      <c r="AE156" s="1">
        <v>2426696</v>
      </c>
      <c r="AG156" s="1">
        <v>0</v>
      </c>
      <c r="AI156" s="1">
        <v>0</v>
      </c>
      <c r="AJ156" s="12" t="s">
        <v>288</v>
      </c>
      <c r="AK156" s="12"/>
      <c r="AL156" s="12" t="s">
        <v>20</v>
      </c>
      <c r="AN156" s="1">
        <v>299552</v>
      </c>
      <c r="AP156" s="1">
        <v>0</v>
      </c>
      <c r="AR156" s="1">
        <v>0</v>
      </c>
      <c r="AT156" s="1">
        <v>0</v>
      </c>
      <c r="AV156" s="1">
        <v>0</v>
      </c>
      <c r="AX156" s="1">
        <v>0</v>
      </c>
      <c r="AZ156" s="1">
        <f t="shared" si="14"/>
        <v>43954413</v>
      </c>
      <c r="BB156" s="1">
        <v>332004</v>
      </c>
      <c r="BH156" s="1">
        <v>0</v>
      </c>
      <c r="BJ156" s="1">
        <f t="shared" si="15"/>
        <v>44286417</v>
      </c>
      <c r="BL156" s="1">
        <f>+GenRev!AM156-GenExp!BJ156</f>
        <v>3817627</v>
      </c>
      <c r="BN156" s="1">
        <v>30825948</v>
      </c>
      <c r="BP156" s="1">
        <v>0</v>
      </c>
      <c r="BQ156" s="1">
        <v>0</v>
      </c>
      <c r="BS156" s="1">
        <f t="shared" si="16"/>
        <v>34643575</v>
      </c>
      <c r="BU156" s="20">
        <f>+BS156-'Gen Fd BS'!AA156+BQ156</f>
        <v>0</v>
      </c>
    </row>
    <row r="157" spans="1:73">
      <c r="A157" s="12" t="s">
        <v>261</v>
      </c>
      <c r="B157" s="12"/>
      <c r="C157" s="12" t="s">
        <v>18</v>
      </c>
      <c r="D157" s="12"/>
      <c r="E157" s="13">
        <v>46409</v>
      </c>
      <c r="F157" s="8"/>
      <c r="G157" s="1">
        <v>5268026</v>
      </c>
      <c r="I157" s="1">
        <v>762767</v>
      </c>
      <c r="K157" s="1">
        <v>71830</v>
      </c>
      <c r="M157" s="1">
        <v>5813</v>
      </c>
      <c r="O157" s="1">
        <v>560576</v>
      </c>
      <c r="Q157" s="1">
        <v>758231</v>
      </c>
      <c r="S157" s="1">
        <v>40616</v>
      </c>
      <c r="U157" s="1">
        <v>560906</v>
      </c>
      <c r="W157" s="1">
        <v>300077</v>
      </c>
      <c r="Y157" s="1">
        <v>4395</v>
      </c>
      <c r="AA157" s="1">
        <v>1121973</v>
      </c>
      <c r="AC157" s="1">
        <v>732609</v>
      </c>
      <c r="AE157" s="1">
        <v>76286</v>
      </c>
      <c r="AG157" s="1">
        <v>0</v>
      </c>
      <c r="AI157" s="1">
        <v>450</v>
      </c>
      <c r="AJ157" s="12" t="s">
        <v>261</v>
      </c>
      <c r="AK157" s="12"/>
      <c r="AL157" s="12" t="s">
        <v>18</v>
      </c>
      <c r="AN157" s="1">
        <v>285663</v>
      </c>
      <c r="AP157" s="1">
        <v>574639</v>
      </c>
      <c r="AR157" s="1">
        <v>0</v>
      </c>
      <c r="AT157" s="1">
        <v>0</v>
      </c>
      <c r="AV157" s="1">
        <v>2406</v>
      </c>
      <c r="AX157" s="1">
        <v>13400</v>
      </c>
      <c r="AZ157" s="1">
        <f t="shared" si="14"/>
        <v>11140663</v>
      </c>
      <c r="BB157" s="1">
        <v>4197</v>
      </c>
      <c r="BH157" s="1">
        <v>0</v>
      </c>
      <c r="BJ157" s="1">
        <f t="shared" si="15"/>
        <v>11144860</v>
      </c>
      <c r="BL157" s="1">
        <f>+GenRev!AM157-GenExp!BJ157</f>
        <v>753214</v>
      </c>
      <c r="BN157" s="1">
        <v>-214109</v>
      </c>
      <c r="BP157" s="1">
        <v>0</v>
      </c>
      <c r="BQ157" s="1">
        <v>0</v>
      </c>
      <c r="BS157" s="1">
        <f t="shared" si="16"/>
        <v>539105</v>
      </c>
      <c r="BU157" s="20">
        <f>+BS157-'Gen Fd BS'!AA157+BQ157</f>
        <v>0</v>
      </c>
    </row>
    <row r="158" spans="1:73">
      <c r="A158" s="12" t="s">
        <v>361</v>
      </c>
      <c r="B158" s="12"/>
      <c r="C158" s="12" t="s">
        <v>31</v>
      </c>
      <c r="D158" s="12"/>
      <c r="E158" s="13">
        <v>69682</v>
      </c>
      <c r="G158" s="1">
        <v>4148581</v>
      </c>
      <c r="I158" s="1">
        <v>597607</v>
      </c>
      <c r="K158" s="1">
        <v>254706</v>
      </c>
      <c r="M158" s="1">
        <f>6637+135882</f>
        <v>142519</v>
      </c>
      <c r="O158" s="1">
        <v>491301</v>
      </c>
      <c r="Q158" s="1">
        <v>290299</v>
      </c>
      <c r="S158" s="1">
        <v>30271</v>
      </c>
      <c r="U158" s="1">
        <v>722302</v>
      </c>
      <c r="W158" s="1">
        <v>324649</v>
      </c>
      <c r="Y158" s="1">
        <v>0</v>
      </c>
      <c r="AA158" s="1">
        <v>1036217</v>
      </c>
      <c r="AC158" s="1">
        <v>909038</v>
      </c>
      <c r="AE158" s="1">
        <v>1783</v>
      </c>
      <c r="AG158" s="1">
        <v>0</v>
      </c>
      <c r="AI158" s="1">
        <v>0</v>
      </c>
      <c r="AJ158" s="12" t="s">
        <v>361</v>
      </c>
      <c r="AK158" s="12"/>
      <c r="AL158" s="12" t="s">
        <v>31</v>
      </c>
      <c r="AN158" s="1">
        <v>86062</v>
      </c>
      <c r="AP158" s="1">
        <v>0</v>
      </c>
      <c r="AR158" s="1">
        <v>0</v>
      </c>
      <c r="AT158" s="1">
        <v>31356</v>
      </c>
      <c r="AV158" s="1">
        <v>11256</v>
      </c>
      <c r="AX158" s="1">
        <v>0</v>
      </c>
      <c r="AZ158" s="1">
        <f t="shared" ref="AZ158:AZ206" si="17">SUM(G158:AX158)</f>
        <v>9077947</v>
      </c>
      <c r="BB158" s="1">
        <v>37704</v>
      </c>
      <c r="BH158" s="1">
        <v>0</v>
      </c>
      <c r="BJ158" s="1">
        <f t="shared" ref="BJ158:BJ206" si="18">+AZ158+BB158+BD158+BH158</f>
        <v>9115651</v>
      </c>
      <c r="BL158" s="1">
        <f>+GenRev!AM158-GenExp!BJ158</f>
        <v>44465</v>
      </c>
      <c r="BN158" s="1">
        <v>1383706</v>
      </c>
      <c r="BP158" s="1">
        <v>0</v>
      </c>
      <c r="BQ158" s="1">
        <v>0</v>
      </c>
      <c r="BS158" s="1">
        <f t="shared" si="16"/>
        <v>1428171</v>
      </c>
      <c r="BU158" s="20">
        <f>+BS158-'Gen Fd BS'!AA158+BQ158</f>
        <v>0</v>
      </c>
    </row>
    <row r="159" spans="1:73">
      <c r="A159" s="12" t="s">
        <v>401</v>
      </c>
      <c r="B159" s="12"/>
      <c r="C159" s="12" t="s">
        <v>36</v>
      </c>
      <c r="D159" s="12"/>
      <c r="E159" s="13">
        <v>47688</v>
      </c>
      <c r="G159" s="1">
        <v>7494186</v>
      </c>
      <c r="I159" s="1">
        <v>922858</v>
      </c>
      <c r="K159" s="1">
        <v>439521</v>
      </c>
      <c r="M159" s="1">
        <v>9026</v>
      </c>
      <c r="O159" s="1">
        <v>464305</v>
      </c>
      <c r="Q159" s="1">
        <v>524774</v>
      </c>
      <c r="S159" s="1">
        <v>26885</v>
      </c>
      <c r="U159" s="1">
        <v>1530288</v>
      </c>
      <c r="W159" s="1">
        <v>213932</v>
      </c>
      <c r="Y159" s="1">
        <v>0</v>
      </c>
      <c r="AA159" s="1">
        <v>1390808</v>
      </c>
      <c r="AC159" s="1">
        <v>1139466</v>
      </c>
      <c r="AE159" s="1">
        <v>62024</v>
      </c>
      <c r="AG159" s="1">
        <v>0</v>
      </c>
      <c r="AI159" s="1">
        <v>0</v>
      </c>
      <c r="AJ159" s="12" t="s">
        <v>401</v>
      </c>
      <c r="AK159" s="12"/>
      <c r="AL159" s="12" t="s">
        <v>36</v>
      </c>
      <c r="AN159" s="1">
        <v>223830</v>
      </c>
      <c r="AP159" s="1">
        <v>2629</v>
      </c>
      <c r="AR159" s="1">
        <v>0</v>
      </c>
      <c r="AT159" s="1">
        <v>0</v>
      </c>
      <c r="AV159" s="1">
        <v>0</v>
      </c>
      <c r="AX159" s="1">
        <v>0</v>
      </c>
      <c r="AZ159" s="1">
        <f t="shared" si="17"/>
        <v>14444532</v>
      </c>
      <c r="BB159" s="1">
        <v>75000</v>
      </c>
      <c r="BH159" s="1">
        <v>0</v>
      </c>
      <c r="BJ159" s="1">
        <f t="shared" si="18"/>
        <v>14519532</v>
      </c>
      <c r="BL159" s="1">
        <f>+GenRev!AM159-GenExp!BJ159</f>
        <v>-154715</v>
      </c>
      <c r="BN159" s="1">
        <v>4025426</v>
      </c>
      <c r="BP159" s="1">
        <v>0</v>
      </c>
      <c r="BQ159" s="1">
        <v>0</v>
      </c>
      <c r="BS159" s="1">
        <f t="shared" si="16"/>
        <v>3870711</v>
      </c>
      <c r="BU159" s="20">
        <f>+BS159-'Gen Fd BS'!AA159+BQ159</f>
        <v>0</v>
      </c>
    </row>
    <row r="160" spans="1:73" hidden="1">
      <c r="A160" s="12" t="s">
        <v>807</v>
      </c>
      <c r="B160" s="12"/>
      <c r="C160" s="12" t="s">
        <v>40</v>
      </c>
      <c r="D160" s="12"/>
      <c r="E160" s="13"/>
      <c r="AJ160" s="12" t="s">
        <v>807</v>
      </c>
      <c r="AK160" s="12"/>
      <c r="AL160" s="12" t="s">
        <v>40</v>
      </c>
      <c r="AZ160" s="1">
        <f t="shared" si="17"/>
        <v>0</v>
      </c>
      <c r="BJ160" s="1">
        <f t="shared" si="18"/>
        <v>0</v>
      </c>
      <c r="BL160" s="1">
        <f>+GenRev!AM160-GenExp!BJ160</f>
        <v>0</v>
      </c>
      <c r="BS160" s="1">
        <f t="shared" si="16"/>
        <v>0</v>
      </c>
      <c r="BU160" s="20">
        <f>+BS160-'Gen Fd BS'!AA160+BQ160</f>
        <v>0</v>
      </c>
    </row>
    <row r="161" spans="1:73">
      <c r="A161" s="12" t="s">
        <v>266</v>
      </c>
      <c r="B161" s="12"/>
      <c r="C161" s="12" t="s">
        <v>114</v>
      </c>
      <c r="D161" s="12"/>
      <c r="E161" s="13">
        <v>43919</v>
      </c>
      <c r="F161" s="8"/>
      <c r="G161" s="1">
        <v>8411905</v>
      </c>
      <c r="I161" s="1">
        <v>2414995</v>
      </c>
      <c r="K161" s="1">
        <v>983887</v>
      </c>
      <c r="M161" s="1">
        <f>5120+2027494</f>
        <v>2032614</v>
      </c>
      <c r="O161" s="1">
        <v>759312</v>
      </c>
      <c r="Q161" s="1">
        <v>531215</v>
      </c>
      <c r="S161" s="1">
        <v>213623</v>
      </c>
      <c r="U161" s="1">
        <v>1232244</v>
      </c>
      <c r="W161" s="1">
        <v>483215</v>
      </c>
      <c r="Y161" s="1">
        <v>17280</v>
      </c>
      <c r="AA161" s="1">
        <v>2244561</v>
      </c>
      <c r="AC161" s="1">
        <v>946584</v>
      </c>
      <c r="AE161" s="1">
        <v>0</v>
      </c>
      <c r="AG161" s="1">
        <v>0</v>
      </c>
      <c r="AI161" s="1">
        <v>4672</v>
      </c>
      <c r="AJ161" s="12" t="s">
        <v>266</v>
      </c>
      <c r="AK161" s="12"/>
      <c r="AL161" s="12" t="s">
        <v>114</v>
      </c>
      <c r="AN161" s="1">
        <v>212553</v>
      </c>
      <c r="AP161" s="1">
        <v>0</v>
      </c>
      <c r="AR161" s="1">
        <v>0</v>
      </c>
      <c r="AT161" s="1">
        <v>98184</v>
      </c>
      <c r="AV161" s="1">
        <v>12170</v>
      </c>
      <c r="AX161" s="1">
        <v>0</v>
      </c>
      <c r="AZ161" s="1">
        <f t="shared" si="17"/>
        <v>20599014</v>
      </c>
      <c r="BB161" s="1">
        <v>42500</v>
      </c>
      <c r="BH161" s="1">
        <v>0</v>
      </c>
      <c r="BJ161" s="1">
        <f t="shared" si="18"/>
        <v>20641514</v>
      </c>
      <c r="BL161" s="1">
        <f>+GenRev!AM161-GenExp!BJ161</f>
        <v>2062573</v>
      </c>
      <c r="BN161" s="1">
        <v>2289053</v>
      </c>
      <c r="BP161" s="1">
        <v>0</v>
      </c>
      <c r="BQ161" s="1">
        <v>0</v>
      </c>
      <c r="BS161" s="1">
        <f t="shared" si="16"/>
        <v>4351626</v>
      </c>
      <c r="BU161" s="20">
        <f>+BS161-'Gen Fd BS'!AA161+BQ161</f>
        <v>0</v>
      </c>
    </row>
    <row r="162" spans="1:73">
      <c r="A162" s="12" t="s">
        <v>511</v>
      </c>
      <c r="B162" s="12"/>
      <c r="C162" s="12" t="s">
        <v>51</v>
      </c>
      <c r="D162" s="12"/>
      <c r="E162" s="13">
        <v>48835</v>
      </c>
      <c r="G162" s="1">
        <v>7578364</v>
      </c>
      <c r="I162" s="1">
        <v>2077940</v>
      </c>
      <c r="K162" s="1">
        <v>250445</v>
      </c>
      <c r="M162" s="1">
        <v>589436</v>
      </c>
      <c r="O162" s="1">
        <v>399544</v>
      </c>
      <c r="Q162" s="1">
        <v>65542</v>
      </c>
      <c r="S162" s="1">
        <v>31005</v>
      </c>
      <c r="U162" s="1">
        <v>1749671</v>
      </c>
      <c r="W162" s="1">
        <v>376795</v>
      </c>
      <c r="Y162" s="1">
        <v>0</v>
      </c>
      <c r="AA162" s="1">
        <v>970145</v>
      </c>
      <c r="AC162" s="1">
        <v>1126666</v>
      </c>
      <c r="AE162" s="1">
        <v>157226</v>
      </c>
      <c r="AG162" s="1">
        <v>0</v>
      </c>
      <c r="AI162" s="1">
        <v>0</v>
      </c>
      <c r="AJ162" s="12" t="s">
        <v>511</v>
      </c>
      <c r="AK162" s="12"/>
      <c r="AL162" s="12" t="s">
        <v>51</v>
      </c>
      <c r="AN162" s="1">
        <v>211994</v>
      </c>
      <c r="AP162" s="1">
        <v>0</v>
      </c>
      <c r="AR162" s="1">
        <v>0</v>
      </c>
      <c r="AT162" s="1">
        <v>27508</v>
      </c>
      <c r="AV162" s="1">
        <v>4901</v>
      </c>
      <c r="AX162" s="1">
        <v>0</v>
      </c>
      <c r="AZ162" s="1">
        <f t="shared" si="17"/>
        <v>15617182</v>
      </c>
      <c r="BB162" s="1">
        <v>0</v>
      </c>
      <c r="BH162" s="1">
        <v>0</v>
      </c>
      <c r="BJ162" s="1">
        <f t="shared" si="18"/>
        <v>15617182</v>
      </c>
      <c r="BL162" s="1">
        <f>+GenRev!AM162-GenExp!BJ162</f>
        <v>-14698</v>
      </c>
      <c r="BN162" s="1">
        <v>2056539</v>
      </c>
      <c r="BP162" s="1">
        <v>0</v>
      </c>
      <c r="BQ162" s="1">
        <v>0</v>
      </c>
      <c r="BS162" s="1">
        <f t="shared" si="16"/>
        <v>2041841</v>
      </c>
      <c r="BU162" s="20">
        <f>+BS162-'Gen Fd BS'!AA162+BQ162</f>
        <v>0</v>
      </c>
    </row>
    <row r="163" spans="1:73">
      <c r="A163" s="12" t="s">
        <v>267</v>
      </c>
      <c r="B163" s="12"/>
      <c r="C163" s="12" t="s">
        <v>114</v>
      </c>
      <c r="D163" s="12"/>
      <c r="E163" s="13">
        <v>43927</v>
      </c>
      <c r="F163" s="8"/>
      <c r="G163" s="1">
        <v>3670124</v>
      </c>
      <c r="I163" s="1">
        <v>1418924</v>
      </c>
      <c r="K163" s="1">
        <v>55918</v>
      </c>
      <c r="M163" s="1">
        <v>0</v>
      </c>
      <c r="O163" s="1">
        <v>660503</v>
      </c>
      <c r="Q163" s="1">
        <v>301485</v>
      </c>
      <c r="S163" s="1">
        <v>12585</v>
      </c>
      <c r="U163" s="1">
        <v>656890</v>
      </c>
      <c r="W163" s="1">
        <v>231438</v>
      </c>
      <c r="Y163" s="1">
        <v>517496</v>
      </c>
      <c r="AA163" s="1">
        <v>974119</v>
      </c>
      <c r="AC163" s="1">
        <v>451109</v>
      </c>
      <c r="AE163" s="1">
        <v>0</v>
      </c>
      <c r="AG163" s="1">
        <v>0</v>
      </c>
      <c r="AI163" s="1">
        <v>1000</v>
      </c>
      <c r="AJ163" s="12" t="s">
        <v>267</v>
      </c>
      <c r="AK163" s="12"/>
      <c r="AL163" s="12" t="s">
        <v>114</v>
      </c>
      <c r="AN163" s="1">
        <v>191034</v>
      </c>
      <c r="AP163" s="1">
        <v>0</v>
      </c>
      <c r="AR163" s="1">
        <v>0</v>
      </c>
      <c r="AT163" s="1">
        <v>0</v>
      </c>
      <c r="AV163" s="1">
        <v>0</v>
      </c>
      <c r="AX163" s="1">
        <v>0</v>
      </c>
      <c r="AZ163" s="1">
        <f t="shared" si="17"/>
        <v>9142625</v>
      </c>
      <c r="BB163" s="1">
        <v>0</v>
      </c>
      <c r="BH163" s="1">
        <v>0</v>
      </c>
      <c r="BJ163" s="1">
        <f t="shared" si="18"/>
        <v>9142625</v>
      </c>
      <c r="BL163" s="1">
        <f>+GenRev!AM163-GenExp!BJ163</f>
        <v>287102</v>
      </c>
      <c r="BN163" s="1">
        <v>-757438</v>
      </c>
      <c r="BP163" s="1">
        <v>0</v>
      </c>
      <c r="BQ163" s="1">
        <v>0</v>
      </c>
      <c r="BS163" s="1">
        <f t="shared" si="16"/>
        <v>-470336</v>
      </c>
      <c r="BU163" s="20">
        <f>+BS163-'Gen Fd BS'!AA163+BQ163</f>
        <v>0</v>
      </c>
    </row>
    <row r="164" spans="1:73">
      <c r="A164" s="12" t="s">
        <v>223</v>
      </c>
      <c r="B164" s="12"/>
      <c r="C164" s="12" t="s">
        <v>77</v>
      </c>
      <c r="D164" s="12"/>
      <c r="E164" s="13">
        <v>46037</v>
      </c>
      <c r="F164" s="8"/>
      <c r="G164" s="1">
        <v>4281010</v>
      </c>
      <c r="I164" s="1">
        <v>762238</v>
      </c>
      <c r="K164" s="1">
        <v>173640</v>
      </c>
      <c r="M164" s="1">
        <v>865178</v>
      </c>
      <c r="O164" s="1">
        <v>408920</v>
      </c>
      <c r="Q164" s="1">
        <v>961854</v>
      </c>
      <c r="S164" s="1">
        <v>23382</v>
      </c>
      <c r="U164" s="1">
        <v>986066</v>
      </c>
      <c r="W164" s="1">
        <v>379930</v>
      </c>
      <c r="Y164" s="1">
        <v>1315</v>
      </c>
      <c r="AA164" s="1">
        <v>1038767</v>
      </c>
      <c r="AC164" s="1">
        <v>886793</v>
      </c>
      <c r="AE164" s="1">
        <v>32375</v>
      </c>
      <c r="AG164" s="1">
        <v>0</v>
      </c>
      <c r="AI164" s="1">
        <v>3133</v>
      </c>
      <c r="AJ164" s="12" t="s">
        <v>223</v>
      </c>
      <c r="AK164" s="12"/>
      <c r="AL164" s="12" t="s">
        <v>77</v>
      </c>
      <c r="AN164" s="1">
        <v>107602</v>
      </c>
      <c r="AP164" s="1">
        <v>5088</v>
      </c>
      <c r="AR164" s="1">
        <v>0</v>
      </c>
      <c r="AT164" s="1">
        <v>0</v>
      </c>
      <c r="AV164" s="1">
        <v>0</v>
      </c>
      <c r="AX164" s="1">
        <v>0</v>
      </c>
      <c r="AZ164" s="1">
        <f t="shared" si="17"/>
        <v>10917291</v>
      </c>
      <c r="BB164" s="1">
        <v>0</v>
      </c>
      <c r="BH164" s="1">
        <v>0</v>
      </c>
      <c r="BJ164" s="1">
        <f t="shared" si="18"/>
        <v>10917291</v>
      </c>
      <c r="BL164" s="1">
        <f>+GenRev!AM164-GenExp!BJ164</f>
        <v>361291</v>
      </c>
      <c r="BN164" s="1">
        <v>-296893</v>
      </c>
      <c r="BP164" s="1">
        <v>0</v>
      </c>
      <c r="BQ164" s="1">
        <v>0</v>
      </c>
      <c r="BS164" s="1">
        <f t="shared" si="16"/>
        <v>64398</v>
      </c>
      <c r="BU164" s="20">
        <f>+BS164-'Gen Fd BS'!AA164+BQ164</f>
        <v>0</v>
      </c>
    </row>
    <row r="165" spans="1:73">
      <c r="A165" s="17" t="s">
        <v>223</v>
      </c>
      <c r="B165" s="17"/>
      <c r="C165" s="17" t="s">
        <v>484</v>
      </c>
      <c r="D165" s="17"/>
      <c r="E165" s="13">
        <v>48512</v>
      </c>
      <c r="F165" s="8"/>
      <c r="G165" s="1">
        <v>3534084</v>
      </c>
      <c r="I165" s="1">
        <v>523639</v>
      </c>
      <c r="K165" s="1">
        <v>0</v>
      </c>
      <c r="M165" s="1">
        <f>665+1086</f>
        <v>1751</v>
      </c>
      <c r="O165" s="1">
        <v>457147</v>
      </c>
      <c r="Q165" s="1">
        <v>134975</v>
      </c>
      <c r="S165" s="1">
        <v>27745</v>
      </c>
      <c r="U165" s="1">
        <v>588780</v>
      </c>
      <c r="W165" s="1">
        <v>296231</v>
      </c>
      <c r="Y165" s="1">
        <v>0</v>
      </c>
      <c r="AA165" s="1">
        <v>770966</v>
      </c>
      <c r="AC165" s="1">
        <v>492369</v>
      </c>
      <c r="AE165" s="1">
        <v>93827</v>
      </c>
      <c r="AG165" s="1">
        <v>0</v>
      </c>
      <c r="AI165" s="1">
        <v>3140</v>
      </c>
      <c r="AJ165" s="12" t="s">
        <v>223</v>
      </c>
      <c r="AK165" s="12"/>
      <c r="AL165" s="12" t="s">
        <v>484</v>
      </c>
      <c r="AN165" s="1">
        <v>117309</v>
      </c>
      <c r="AP165" s="1">
        <v>21395</v>
      </c>
      <c r="AR165" s="1">
        <v>0</v>
      </c>
      <c r="AT165" s="1">
        <v>0</v>
      </c>
      <c r="AV165" s="1">
        <v>0</v>
      </c>
      <c r="AX165" s="1">
        <v>0</v>
      </c>
      <c r="AZ165" s="1">
        <f t="shared" si="17"/>
        <v>7063358</v>
      </c>
      <c r="BB165" s="1">
        <v>550</v>
      </c>
      <c r="BH165" s="1">
        <v>0</v>
      </c>
      <c r="BJ165" s="1">
        <f t="shared" si="18"/>
        <v>7063908</v>
      </c>
      <c r="BL165" s="1">
        <f>+GenRev!AM165-GenExp!BJ165</f>
        <v>-809518</v>
      </c>
      <c r="BN165" s="1">
        <v>672311</v>
      </c>
      <c r="BP165" s="1">
        <v>0</v>
      </c>
      <c r="BQ165" s="1">
        <v>0</v>
      </c>
      <c r="BS165" s="1">
        <f t="shared" si="16"/>
        <v>-137207</v>
      </c>
      <c r="BU165" s="20">
        <f>+BS165-'Gen Fd BS'!AA165+BQ165</f>
        <v>0</v>
      </c>
    </row>
    <row r="166" spans="1:73" hidden="1">
      <c r="A166" s="12" t="s">
        <v>808</v>
      </c>
      <c r="B166" s="12"/>
      <c r="C166" s="12" t="s">
        <v>55</v>
      </c>
      <c r="D166" s="12"/>
      <c r="E166" s="13">
        <v>49122</v>
      </c>
      <c r="AJ166" s="12" t="s">
        <v>808</v>
      </c>
      <c r="AK166" s="12"/>
      <c r="AL166" s="12" t="s">
        <v>55</v>
      </c>
      <c r="AZ166" s="1">
        <f t="shared" si="17"/>
        <v>0</v>
      </c>
      <c r="BJ166" s="1">
        <f t="shared" si="18"/>
        <v>0</v>
      </c>
      <c r="BL166" s="1">
        <f>+GenRev!AM166-GenExp!BJ166</f>
        <v>0</v>
      </c>
      <c r="BS166" s="1">
        <f t="shared" si="16"/>
        <v>0</v>
      </c>
      <c r="BU166" s="20">
        <f>+BS166-'Gen Fd BS'!AA166+BQ166</f>
        <v>0</v>
      </c>
    </row>
    <row r="167" spans="1:73">
      <c r="A167" s="12" t="s">
        <v>647</v>
      </c>
      <c r="B167" s="12"/>
      <c r="C167" s="12" t="s">
        <v>72</v>
      </c>
      <c r="D167" s="12"/>
      <c r="E167" s="13">
        <v>50674</v>
      </c>
      <c r="G167" s="1">
        <v>6801694</v>
      </c>
      <c r="I167" s="1">
        <v>1452026</v>
      </c>
      <c r="K167" s="1">
        <v>151652</v>
      </c>
      <c r="M167" s="1">
        <v>0</v>
      </c>
      <c r="O167" s="1">
        <v>504236</v>
      </c>
      <c r="Q167" s="1">
        <v>437319</v>
      </c>
      <c r="S167" s="1">
        <v>58356</v>
      </c>
      <c r="U167" s="1">
        <v>1194782</v>
      </c>
      <c r="W167" s="1">
        <v>491930</v>
      </c>
      <c r="Y167" s="1">
        <v>0</v>
      </c>
      <c r="AA167" s="1">
        <v>1144566</v>
      </c>
      <c r="AC167" s="1">
        <v>1049984</v>
      </c>
      <c r="AE167" s="1">
        <v>0</v>
      </c>
      <c r="AG167" s="1">
        <v>0</v>
      </c>
      <c r="AI167" s="1">
        <v>0</v>
      </c>
      <c r="AJ167" s="12" t="s">
        <v>647</v>
      </c>
      <c r="AK167" s="12"/>
      <c r="AL167" s="12" t="s">
        <v>72</v>
      </c>
      <c r="AN167" s="1">
        <v>337863</v>
      </c>
      <c r="AP167" s="1">
        <v>36000</v>
      </c>
      <c r="AR167" s="1">
        <v>0</v>
      </c>
      <c r="AT167" s="1">
        <v>30160</v>
      </c>
      <c r="AV167" s="1">
        <v>3116</v>
      </c>
      <c r="AX167" s="1">
        <v>0</v>
      </c>
      <c r="AZ167" s="1">
        <f t="shared" si="17"/>
        <v>13693684</v>
      </c>
      <c r="BB167" s="1">
        <v>157781</v>
      </c>
      <c r="BH167" s="1">
        <v>0</v>
      </c>
      <c r="BJ167" s="1">
        <f t="shared" si="18"/>
        <v>13851465</v>
      </c>
      <c r="BL167" s="1">
        <f>+GenRev!AM167-GenExp!BJ167</f>
        <v>916154</v>
      </c>
      <c r="BN167" s="1">
        <v>5010694</v>
      </c>
      <c r="BP167" s="1">
        <v>0</v>
      </c>
      <c r="BQ167" s="1">
        <v>0</v>
      </c>
      <c r="BS167" s="1">
        <f t="shared" si="16"/>
        <v>5926848</v>
      </c>
      <c r="BU167" s="20">
        <f>+BS167-'Gen Fd BS'!AA167+BQ167</f>
        <v>0</v>
      </c>
    </row>
    <row r="168" spans="1:73">
      <c r="A168" s="17" t="s">
        <v>835</v>
      </c>
      <c r="B168" s="12"/>
      <c r="C168" s="12" t="s">
        <v>57</v>
      </c>
      <c r="D168" s="12"/>
      <c r="E168" s="13">
        <v>43935</v>
      </c>
      <c r="G168" s="1">
        <v>10925853</v>
      </c>
      <c r="I168" s="1">
        <v>0</v>
      </c>
      <c r="K168" s="1">
        <v>0</v>
      </c>
      <c r="M168" s="1">
        <v>0</v>
      </c>
      <c r="O168" s="1">
        <v>957685</v>
      </c>
      <c r="Q168" s="1">
        <v>502236</v>
      </c>
      <c r="S168" s="1">
        <v>16353</v>
      </c>
      <c r="U168" s="1">
        <v>1526499</v>
      </c>
      <c r="W168" s="1">
        <v>581417</v>
      </c>
      <c r="Y168" s="1">
        <v>2503</v>
      </c>
      <c r="AA168" s="1">
        <v>1559071</v>
      </c>
      <c r="AC168" s="1">
        <v>1240435</v>
      </c>
      <c r="AE168" s="1">
        <v>168590</v>
      </c>
      <c r="AG168" s="1">
        <v>0</v>
      </c>
      <c r="AI168" s="1">
        <v>0</v>
      </c>
      <c r="AJ168" s="17" t="s">
        <v>835</v>
      </c>
      <c r="AK168" s="12"/>
      <c r="AL168" s="12" t="s">
        <v>57</v>
      </c>
      <c r="AN168" s="1">
        <v>369188</v>
      </c>
      <c r="AP168" s="1">
        <v>4534</v>
      </c>
      <c r="AR168" s="1">
        <v>0</v>
      </c>
      <c r="AT168" s="1">
        <v>0</v>
      </c>
      <c r="AV168" s="1">
        <v>0</v>
      </c>
      <c r="AX168" s="1">
        <v>0</v>
      </c>
      <c r="AZ168" s="1">
        <f t="shared" si="17"/>
        <v>17854364</v>
      </c>
      <c r="BB168" s="1">
        <v>0</v>
      </c>
      <c r="BH168" s="1">
        <v>0</v>
      </c>
      <c r="BJ168" s="1">
        <f t="shared" si="18"/>
        <v>17854364</v>
      </c>
      <c r="BL168" s="1">
        <f>+GenRev!AM168-GenExp!BJ168</f>
        <v>413744</v>
      </c>
      <c r="BN168" s="1">
        <v>11820444</v>
      </c>
      <c r="BP168" s="1">
        <v>-7699</v>
      </c>
      <c r="BQ168" s="1">
        <v>0</v>
      </c>
      <c r="BS168" s="1">
        <f t="shared" si="16"/>
        <v>12241887</v>
      </c>
      <c r="BU168" s="20">
        <f>+BS168-'Gen Fd BS'!AA168+BQ168</f>
        <v>0</v>
      </c>
    </row>
    <row r="169" spans="1:73" hidden="1">
      <c r="A169" s="17" t="s">
        <v>809</v>
      </c>
      <c r="B169" s="12"/>
      <c r="C169" s="12" t="s">
        <v>643</v>
      </c>
      <c r="D169" s="12"/>
      <c r="E169" s="13">
        <v>50617</v>
      </c>
      <c r="AJ169" s="17" t="s">
        <v>809</v>
      </c>
      <c r="AK169" s="12"/>
      <c r="AL169" s="12" t="s">
        <v>643</v>
      </c>
      <c r="AZ169" s="1">
        <f t="shared" si="17"/>
        <v>0</v>
      </c>
      <c r="BJ169" s="1">
        <f t="shared" si="18"/>
        <v>0</v>
      </c>
      <c r="BL169" s="1">
        <f>+GenRev!AM169-GenExp!BJ169</f>
        <v>0</v>
      </c>
      <c r="BS169" s="1">
        <f t="shared" si="16"/>
        <v>0</v>
      </c>
      <c r="BU169" s="20">
        <f>+BS169-'Gen Fd BS'!AA169+BQ169</f>
        <v>0</v>
      </c>
    </row>
    <row r="170" spans="1:73">
      <c r="A170" s="12" t="s">
        <v>226</v>
      </c>
      <c r="B170" s="12"/>
      <c r="C170" s="12" t="s">
        <v>227</v>
      </c>
      <c r="D170" s="12"/>
      <c r="E170" s="13">
        <v>46094</v>
      </c>
      <c r="F170" s="8"/>
      <c r="G170" s="1">
        <v>13644968</v>
      </c>
      <c r="I170" s="1">
        <v>3504405</v>
      </c>
      <c r="K170" s="1">
        <v>0</v>
      </c>
      <c r="M170" s="1">
        <v>46234</v>
      </c>
      <c r="O170" s="1">
        <v>2329748</v>
      </c>
      <c r="Q170" s="1">
        <v>2961965</v>
      </c>
      <c r="S170" s="1">
        <v>0</v>
      </c>
      <c r="U170" s="1">
        <v>2373896</v>
      </c>
      <c r="W170" s="1">
        <v>559493</v>
      </c>
      <c r="Y170" s="1">
        <v>142719</v>
      </c>
      <c r="AA170" s="1">
        <v>2324105</v>
      </c>
      <c r="AC170" s="1">
        <v>1230388</v>
      </c>
      <c r="AE170" s="1">
        <v>115945</v>
      </c>
      <c r="AG170" s="1">
        <v>0</v>
      </c>
      <c r="AI170" s="1">
        <v>11643</v>
      </c>
      <c r="AJ170" s="12" t="s">
        <v>226</v>
      </c>
      <c r="AK170" s="12"/>
      <c r="AL170" s="12" t="s">
        <v>227</v>
      </c>
      <c r="AN170" s="1">
        <v>478690</v>
      </c>
      <c r="AP170" s="1">
        <v>245564</v>
      </c>
      <c r="AR170" s="1">
        <v>0</v>
      </c>
      <c r="AT170" s="1">
        <v>256678</v>
      </c>
      <c r="AV170" s="1">
        <v>43991</v>
      </c>
      <c r="AX170" s="1">
        <v>0</v>
      </c>
      <c r="AZ170" s="1">
        <f t="shared" si="17"/>
        <v>30270432</v>
      </c>
      <c r="BB170" s="1">
        <v>83774</v>
      </c>
      <c r="BH170" s="1">
        <v>0</v>
      </c>
      <c r="BJ170" s="1">
        <f t="shared" si="18"/>
        <v>30354206</v>
      </c>
      <c r="BL170" s="1">
        <f>+GenRev!AM170-GenExp!BJ170</f>
        <v>-2562163</v>
      </c>
      <c r="BN170" s="1">
        <v>1282971</v>
      </c>
      <c r="BP170" s="1">
        <v>0</v>
      </c>
      <c r="BQ170" s="1">
        <v>0</v>
      </c>
      <c r="BS170" s="1">
        <f t="shared" si="16"/>
        <v>-1279192</v>
      </c>
      <c r="BU170" s="20">
        <f>+BS170-'Gen Fd BS'!AA170+BQ170</f>
        <v>0</v>
      </c>
    </row>
    <row r="171" spans="1:73">
      <c r="A171" s="12"/>
      <c r="B171" s="12"/>
      <c r="C171" s="12"/>
      <c r="D171" s="12"/>
      <c r="E171" s="13"/>
      <c r="F171" s="8"/>
      <c r="AJ171" s="12"/>
      <c r="AK171" s="12"/>
      <c r="AL171" s="12"/>
    </row>
    <row r="172" spans="1:73">
      <c r="A172" s="12"/>
      <c r="B172" s="12"/>
      <c r="C172" s="12"/>
      <c r="D172" s="12"/>
      <c r="E172" s="13"/>
      <c r="F172" s="8"/>
      <c r="AI172" s="20" t="s">
        <v>709</v>
      </c>
      <c r="AJ172" s="12"/>
      <c r="AK172" s="12"/>
      <c r="AL172" s="12"/>
      <c r="BS172" s="41" t="s">
        <v>709</v>
      </c>
    </row>
    <row r="173" spans="1:73">
      <c r="A173" s="12"/>
      <c r="B173" s="12"/>
      <c r="C173" s="12"/>
      <c r="D173" s="12"/>
      <c r="E173" s="13"/>
      <c r="F173" s="8"/>
      <c r="AJ173" s="12"/>
      <c r="AK173" s="12"/>
      <c r="AL173" s="12"/>
    </row>
    <row r="174" spans="1:73">
      <c r="A174" s="12" t="s">
        <v>410</v>
      </c>
      <c r="B174" s="12"/>
      <c r="C174" s="12" t="s">
        <v>39</v>
      </c>
      <c r="D174" s="12"/>
      <c r="E174" s="13">
        <v>47795</v>
      </c>
      <c r="G174" s="16">
        <v>6943313</v>
      </c>
      <c r="H174" s="16"/>
      <c r="I174" s="16">
        <v>1227440</v>
      </c>
      <c r="J174" s="16"/>
      <c r="K174" s="16">
        <v>121066</v>
      </c>
      <c r="L174" s="16"/>
      <c r="M174" s="16">
        <v>2331288</v>
      </c>
      <c r="N174" s="16"/>
      <c r="O174" s="16">
        <v>513031</v>
      </c>
      <c r="P174" s="16"/>
      <c r="Q174" s="16">
        <v>401635</v>
      </c>
      <c r="R174" s="16"/>
      <c r="S174" s="16">
        <v>155838</v>
      </c>
      <c r="T174" s="16"/>
      <c r="U174" s="16">
        <v>856094</v>
      </c>
      <c r="V174" s="16"/>
      <c r="W174" s="16">
        <v>473942</v>
      </c>
      <c r="X174" s="16"/>
      <c r="Y174" s="16">
        <v>107935</v>
      </c>
      <c r="Z174" s="16"/>
      <c r="AA174" s="16">
        <v>1754594</v>
      </c>
      <c r="AB174" s="16"/>
      <c r="AC174" s="16">
        <v>2060568</v>
      </c>
      <c r="AD174" s="16"/>
      <c r="AE174" s="16">
        <v>167469</v>
      </c>
      <c r="AF174" s="16"/>
      <c r="AG174" s="16">
        <v>0</v>
      </c>
      <c r="AH174" s="16"/>
      <c r="AI174" s="16">
        <v>0</v>
      </c>
      <c r="AJ174" s="12" t="s">
        <v>410</v>
      </c>
      <c r="AK174" s="12"/>
      <c r="AL174" s="12" t="s">
        <v>39</v>
      </c>
      <c r="AN174" s="16">
        <v>259938</v>
      </c>
      <c r="AO174" s="16"/>
      <c r="AP174" s="16">
        <v>0</v>
      </c>
      <c r="AQ174" s="16"/>
      <c r="AR174" s="16">
        <v>0</v>
      </c>
      <c r="AS174" s="16"/>
      <c r="AT174" s="16">
        <v>126068</v>
      </c>
      <c r="AU174" s="16"/>
      <c r="AV174" s="16">
        <v>13387</v>
      </c>
      <c r="AW174" s="16"/>
      <c r="AX174" s="16">
        <v>0</v>
      </c>
      <c r="AY174" s="16"/>
      <c r="AZ174" s="16">
        <f t="shared" si="17"/>
        <v>17513606</v>
      </c>
      <c r="BA174" s="16"/>
      <c r="BB174" s="16">
        <v>237670</v>
      </c>
      <c r="BC174" s="16"/>
      <c r="BD174" s="16"/>
      <c r="BE174" s="16"/>
      <c r="BF174" s="16"/>
      <c r="BG174" s="16"/>
      <c r="BH174" s="16">
        <v>0</v>
      </c>
      <c r="BI174" s="16"/>
      <c r="BJ174" s="16">
        <f t="shared" si="18"/>
        <v>17751276</v>
      </c>
      <c r="BK174" s="16"/>
      <c r="BL174" s="16">
        <f>+GenRev!AM174-GenExp!BJ174</f>
        <v>808856</v>
      </c>
      <c r="BM174" s="16"/>
      <c r="BN174" s="16">
        <v>-376863</v>
      </c>
      <c r="BO174" s="16"/>
      <c r="BP174" s="16">
        <v>0</v>
      </c>
      <c r="BQ174" s="16">
        <v>0</v>
      </c>
      <c r="BR174" s="16"/>
      <c r="BS174" s="16">
        <f t="shared" si="16"/>
        <v>431993</v>
      </c>
      <c r="BT174" s="16"/>
      <c r="BU174" s="72">
        <f>+BS174-'Gen Fd BS'!AA174+BQ174</f>
        <v>0</v>
      </c>
    </row>
    <row r="175" spans="1:73">
      <c r="A175" s="12" t="s">
        <v>644</v>
      </c>
      <c r="B175" s="12"/>
      <c r="C175" s="12" t="s">
        <v>643</v>
      </c>
      <c r="D175" s="12"/>
      <c r="E175" s="13">
        <v>50625</v>
      </c>
      <c r="G175" s="1">
        <v>2404795</v>
      </c>
      <c r="I175" s="1">
        <v>316327</v>
      </c>
      <c r="K175" s="1">
        <v>193130</v>
      </c>
      <c r="M175" s="1">
        <v>11438</v>
      </c>
      <c r="O175" s="1">
        <v>215077</v>
      </c>
      <c r="Q175" s="1">
        <v>352709</v>
      </c>
      <c r="S175" s="1">
        <v>11382</v>
      </c>
      <c r="U175" s="1">
        <v>455373</v>
      </c>
      <c r="W175" s="1">
        <v>225387</v>
      </c>
      <c r="Y175" s="1">
        <v>647</v>
      </c>
      <c r="AA175" s="1">
        <v>442580</v>
      </c>
      <c r="AC175" s="1">
        <v>309752</v>
      </c>
      <c r="AE175" s="1">
        <v>22744</v>
      </c>
      <c r="AG175" s="1">
        <v>0</v>
      </c>
      <c r="AI175" s="1">
        <v>0</v>
      </c>
      <c r="AJ175" s="12" t="s">
        <v>644</v>
      </c>
      <c r="AK175" s="12"/>
      <c r="AL175" s="12" t="s">
        <v>643</v>
      </c>
      <c r="AN175" s="1">
        <v>205407</v>
      </c>
      <c r="AP175" s="1">
        <v>0</v>
      </c>
      <c r="AR175" s="1">
        <v>0</v>
      </c>
      <c r="AT175" s="1">
        <v>0</v>
      </c>
      <c r="AV175" s="1">
        <v>0</v>
      </c>
      <c r="AX175" s="1">
        <v>0</v>
      </c>
      <c r="AZ175" s="1">
        <f t="shared" si="17"/>
        <v>5166748</v>
      </c>
      <c r="BB175" s="1">
        <v>3000</v>
      </c>
      <c r="BH175" s="1">
        <v>0</v>
      </c>
      <c r="BJ175" s="1">
        <f t="shared" si="18"/>
        <v>5169748</v>
      </c>
      <c r="BL175" s="1">
        <f>+GenRev!AM175-GenExp!BJ175</f>
        <v>-43773</v>
      </c>
      <c r="BN175" s="1">
        <v>1981552</v>
      </c>
      <c r="BP175" s="1">
        <v>0</v>
      </c>
      <c r="BQ175" s="1">
        <v>0</v>
      </c>
      <c r="BS175" s="1">
        <f t="shared" si="16"/>
        <v>1937779</v>
      </c>
      <c r="BU175" s="20">
        <f>+BS175-'Gen Fd BS'!AA175+BQ175</f>
        <v>0</v>
      </c>
    </row>
    <row r="176" spans="1:73">
      <c r="A176" s="17" t="s">
        <v>836</v>
      </c>
      <c r="B176" s="12"/>
      <c r="C176" s="12" t="s">
        <v>46</v>
      </c>
      <c r="D176" s="12"/>
      <c r="E176" s="13">
        <v>48413</v>
      </c>
      <c r="G176" s="1">
        <v>6123328</v>
      </c>
      <c r="I176" s="1">
        <v>928020</v>
      </c>
      <c r="K176" s="1">
        <v>81017</v>
      </c>
      <c r="M176" s="1">
        <v>0</v>
      </c>
      <c r="O176" s="1">
        <v>583102</v>
      </c>
      <c r="Q176" s="1">
        <v>413431</v>
      </c>
      <c r="S176" s="1">
        <v>32175</v>
      </c>
      <c r="U176" s="1">
        <v>938530</v>
      </c>
      <c r="W176" s="1">
        <v>436934</v>
      </c>
      <c r="Y176" s="1">
        <v>0</v>
      </c>
      <c r="AA176" s="1">
        <v>988684</v>
      </c>
      <c r="AC176" s="1">
        <v>718595</v>
      </c>
      <c r="AE176" s="1">
        <v>8363</v>
      </c>
      <c r="AG176" s="1">
        <v>0</v>
      </c>
      <c r="AI176" s="1">
        <v>0</v>
      </c>
      <c r="AJ176" s="17" t="s">
        <v>836</v>
      </c>
      <c r="AK176" s="12"/>
      <c r="AL176" s="12" t="s">
        <v>46</v>
      </c>
      <c r="AN176" s="1">
        <v>184221</v>
      </c>
      <c r="AP176" s="1">
        <v>0</v>
      </c>
      <c r="AR176" s="1">
        <v>0</v>
      </c>
      <c r="AT176" s="1">
        <v>0</v>
      </c>
      <c r="AV176" s="1">
        <v>0</v>
      </c>
      <c r="AX176" s="1">
        <v>0</v>
      </c>
      <c r="AZ176" s="1">
        <f t="shared" si="17"/>
        <v>11436400</v>
      </c>
      <c r="BB176" s="1">
        <v>2000</v>
      </c>
      <c r="BH176" s="1">
        <v>0</v>
      </c>
      <c r="BJ176" s="1">
        <f t="shared" si="18"/>
        <v>11438400</v>
      </c>
      <c r="BL176" s="1">
        <f>+GenRev!AM176-GenExp!BJ176</f>
        <v>1155309</v>
      </c>
      <c r="BN176" s="1">
        <v>295514</v>
      </c>
      <c r="BP176" s="1">
        <v>0</v>
      </c>
      <c r="BQ176" s="1">
        <v>0</v>
      </c>
      <c r="BS176" s="1">
        <f t="shared" si="16"/>
        <v>1450823</v>
      </c>
      <c r="BU176" s="20">
        <f>+BS176-'Gen Fd BS'!AA176+BQ176</f>
        <v>0</v>
      </c>
    </row>
    <row r="177" spans="1:73" hidden="1">
      <c r="A177" s="12" t="s">
        <v>811</v>
      </c>
      <c r="B177" s="12"/>
      <c r="C177" s="12" t="s">
        <v>10</v>
      </c>
      <c r="D177" s="12"/>
      <c r="E177" s="13"/>
      <c r="AJ177" s="12" t="s">
        <v>811</v>
      </c>
      <c r="AK177" s="12"/>
      <c r="AL177" s="12" t="s">
        <v>10</v>
      </c>
      <c r="AZ177" s="1">
        <f t="shared" si="17"/>
        <v>0</v>
      </c>
      <c r="BJ177" s="1">
        <f t="shared" si="18"/>
        <v>0</v>
      </c>
      <c r="BL177" s="1">
        <f>+GenRev!AM177-GenExp!BJ177</f>
        <v>0</v>
      </c>
      <c r="BS177" s="1">
        <f t="shared" si="16"/>
        <v>0</v>
      </c>
      <c r="BU177" s="20">
        <f>+BS177-'Gen Fd BS'!AA177+BQ177</f>
        <v>0</v>
      </c>
    </row>
    <row r="178" spans="1:73" hidden="1">
      <c r="A178" s="17" t="s">
        <v>861</v>
      </c>
      <c r="B178" s="17"/>
      <c r="C178" s="17" t="s">
        <v>72</v>
      </c>
      <c r="D178" s="12"/>
      <c r="E178" s="13"/>
      <c r="AJ178" s="17" t="s">
        <v>861</v>
      </c>
      <c r="AK178" s="17"/>
      <c r="AL178" s="17" t="s">
        <v>72</v>
      </c>
    </row>
    <row r="179" spans="1:73">
      <c r="A179" s="12" t="s">
        <v>440</v>
      </c>
      <c r="B179" s="12"/>
      <c r="C179" s="12" t="s">
        <v>44</v>
      </c>
      <c r="D179" s="12"/>
      <c r="E179" s="13">
        <v>43943</v>
      </c>
      <c r="G179" s="1">
        <v>26708529</v>
      </c>
      <c r="I179" s="1">
        <v>8344595</v>
      </c>
      <c r="K179" s="1">
        <v>224799</v>
      </c>
      <c r="M179" s="1">
        <f>86884+7082431</f>
        <v>7169315</v>
      </c>
      <c r="O179" s="1">
        <v>3453563</v>
      </c>
      <c r="Q179" s="1">
        <v>2288333</v>
      </c>
      <c r="S179" s="1">
        <v>117662</v>
      </c>
      <c r="U179" s="1">
        <v>4149330</v>
      </c>
      <c r="W179" s="1">
        <v>1703013</v>
      </c>
      <c r="Y179" s="1">
        <v>630910</v>
      </c>
      <c r="AA179" s="1">
        <v>5770489</v>
      </c>
      <c r="AC179" s="1">
        <v>3124230</v>
      </c>
      <c r="AE179" s="1">
        <v>1192688</v>
      </c>
      <c r="AG179" s="1">
        <v>0</v>
      </c>
      <c r="AI179" s="1">
        <v>393074</v>
      </c>
      <c r="AJ179" s="12" t="s">
        <v>440</v>
      </c>
      <c r="AK179" s="12"/>
      <c r="AL179" s="12" t="s">
        <v>44</v>
      </c>
      <c r="AN179" s="1">
        <v>868151</v>
      </c>
      <c r="AP179" s="1">
        <v>35713</v>
      </c>
      <c r="AR179" s="1">
        <v>0</v>
      </c>
      <c r="AT179" s="1">
        <v>555874</v>
      </c>
      <c r="AV179" s="1">
        <v>210510</v>
      </c>
      <c r="AX179" s="1">
        <v>0</v>
      </c>
      <c r="AZ179" s="1">
        <f t="shared" si="17"/>
        <v>66940778</v>
      </c>
      <c r="BB179" s="1">
        <v>1110000</v>
      </c>
      <c r="BH179" s="1">
        <v>0</v>
      </c>
      <c r="BJ179" s="1">
        <f t="shared" si="18"/>
        <v>68050778</v>
      </c>
      <c r="BL179" s="1">
        <f>+GenRev!AM179-GenExp!BJ179</f>
        <v>1389232</v>
      </c>
      <c r="BN179" s="1">
        <v>-1539830</v>
      </c>
      <c r="BP179" s="1">
        <v>0</v>
      </c>
      <c r="BQ179" s="1">
        <v>0</v>
      </c>
      <c r="BS179" s="1">
        <f t="shared" si="16"/>
        <v>-150598</v>
      </c>
      <c r="BU179" s="20">
        <f>+BS179-'Gen Fd BS'!AA179+BQ179</f>
        <v>0</v>
      </c>
    </row>
    <row r="180" spans="1:73">
      <c r="A180" s="12" t="s">
        <v>289</v>
      </c>
      <c r="B180" s="12"/>
      <c r="C180" s="12" t="s">
        <v>20</v>
      </c>
      <c r="D180" s="12"/>
      <c r="E180" s="13">
        <v>43950</v>
      </c>
      <c r="G180" s="1">
        <v>28299137</v>
      </c>
      <c r="I180" s="1">
        <v>12954715</v>
      </c>
      <c r="K180" s="1">
        <v>1246927</v>
      </c>
      <c r="M180" s="1">
        <v>284880</v>
      </c>
      <c r="O180" s="1">
        <v>4228007</v>
      </c>
      <c r="Q180" s="1">
        <v>4017547</v>
      </c>
      <c r="S180" s="1">
        <v>63380</v>
      </c>
      <c r="U180" s="1">
        <v>5034698</v>
      </c>
      <c r="W180" s="1">
        <v>1922203</v>
      </c>
      <c r="Y180" s="1">
        <v>809513</v>
      </c>
      <c r="AA180" s="1">
        <v>7790522</v>
      </c>
      <c r="AC180" s="1">
        <v>4292964</v>
      </c>
      <c r="AE180" s="1">
        <v>1391009</v>
      </c>
      <c r="AG180" s="1">
        <v>0</v>
      </c>
      <c r="AI180" s="1">
        <v>59723</v>
      </c>
      <c r="AJ180" s="12" t="s">
        <v>289</v>
      </c>
      <c r="AK180" s="12"/>
      <c r="AL180" s="12" t="s">
        <v>20</v>
      </c>
      <c r="AN180" s="1">
        <v>773092</v>
      </c>
      <c r="AP180" s="1">
        <v>0</v>
      </c>
      <c r="AR180" s="1">
        <v>0</v>
      </c>
      <c r="AT180" s="1">
        <v>0</v>
      </c>
      <c r="AV180" s="1">
        <v>0</v>
      </c>
      <c r="AX180" s="1">
        <v>0</v>
      </c>
      <c r="AZ180" s="1">
        <f t="shared" si="17"/>
        <v>73168317</v>
      </c>
      <c r="BB180" s="1">
        <v>379180</v>
      </c>
      <c r="BH180" s="1">
        <v>0</v>
      </c>
      <c r="BJ180" s="1">
        <f t="shared" si="18"/>
        <v>73547497</v>
      </c>
      <c r="BL180" s="1">
        <f>+GenRev!AM180-GenExp!BJ180</f>
        <v>-3300031</v>
      </c>
      <c r="BN180" s="1">
        <v>9718578</v>
      </c>
      <c r="BP180" s="1">
        <v>0</v>
      </c>
      <c r="BQ180" s="1">
        <v>0</v>
      </c>
      <c r="BS180" s="1">
        <f t="shared" si="16"/>
        <v>6418547</v>
      </c>
      <c r="BU180" s="20">
        <f>+BS180-'Gen Fd BS'!AA180+BQ180</f>
        <v>0</v>
      </c>
    </row>
    <row r="181" spans="1:73" hidden="1">
      <c r="A181" s="12" t="s">
        <v>741</v>
      </c>
      <c r="B181" s="12"/>
      <c r="C181" s="12" t="s">
        <v>28</v>
      </c>
      <c r="D181" s="12"/>
      <c r="E181" s="13">
        <v>47050</v>
      </c>
      <c r="AJ181" s="12" t="s">
        <v>741</v>
      </c>
      <c r="AK181" s="12"/>
      <c r="AL181" s="12" t="s">
        <v>28</v>
      </c>
      <c r="AZ181" s="1">
        <f t="shared" si="17"/>
        <v>0</v>
      </c>
      <c r="BJ181" s="1">
        <f t="shared" si="18"/>
        <v>0</v>
      </c>
      <c r="BL181" s="1">
        <f>+GenRev!AM181-GenExp!BJ181</f>
        <v>0</v>
      </c>
      <c r="BS181" s="1">
        <f t="shared" si="16"/>
        <v>0</v>
      </c>
      <c r="BU181" s="20">
        <f>+BS181-'Gen Fd BS'!AA181+BQ181</f>
        <v>0</v>
      </c>
    </row>
    <row r="182" spans="1:73">
      <c r="A182" s="12" t="s">
        <v>625</v>
      </c>
      <c r="B182" s="12"/>
      <c r="C182" s="12" t="s">
        <v>66</v>
      </c>
      <c r="D182" s="12"/>
      <c r="E182" s="13">
        <v>50328</v>
      </c>
      <c r="G182" s="1">
        <v>4457199</v>
      </c>
      <c r="I182" s="1">
        <v>824091</v>
      </c>
      <c r="K182" s="1">
        <v>41375</v>
      </c>
      <c r="M182" s="1">
        <v>61228</v>
      </c>
      <c r="O182" s="1">
        <v>528494</v>
      </c>
      <c r="Q182" s="1">
        <v>331063</v>
      </c>
      <c r="S182" s="1">
        <v>44276</v>
      </c>
      <c r="U182" s="1">
        <v>864133</v>
      </c>
      <c r="W182" s="1">
        <v>377281</v>
      </c>
      <c r="Y182" s="1">
        <v>0</v>
      </c>
      <c r="AA182" s="1">
        <v>888265</v>
      </c>
      <c r="AC182" s="1">
        <v>748541</v>
      </c>
      <c r="AE182" s="1">
        <v>0</v>
      </c>
      <c r="AG182" s="1">
        <v>0</v>
      </c>
      <c r="AI182" s="1">
        <v>2093</v>
      </c>
      <c r="AJ182" s="12" t="s">
        <v>625</v>
      </c>
      <c r="AK182" s="12"/>
      <c r="AL182" s="12" t="s">
        <v>66</v>
      </c>
      <c r="AN182" s="1">
        <v>223256</v>
      </c>
      <c r="AP182" s="1">
        <v>0</v>
      </c>
      <c r="AR182" s="1">
        <v>0</v>
      </c>
      <c r="AT182" s="1">
        <v>24070</v>
      </c>
      <c r="AV182" s="1">
        <v>3690</v>
      </c>
      <c r="AX182" s="1">
        <v>0</v>
      </c>
      <c r="AZ182" s="1">
        <f t="shared" si="17"/>
        <v>9419055</v>
      </c>
      <c r="BB182" s="1">
        <v>50961</v>
      </c>
      <c r="BH182" s="1">
        <v>0</v>
      </c>
      <c r="BJ182" s="1">
        <f t="shared" si="18"/>
        <v>9470016</v>
      </c>
      <c r="BL182" s="1">
        <f>+GenRev!AM182-GenExp!BJ182</f>
        <v>100444</v>
      </c>
      <c r="BN182" s="1">
        <v>2065679</v>
      </c>
      <c r="BP182" s="1">
        <v>0</v>
      </c>
      <c r="BQ182" s="1">
        <v>0</v>
      </c>
      <c r="BS182" s="1">
        <f t="shared" si="16"/>
        <v>2166123</v>
      </c>
      <c r="BU182" s="20">
        <f>+BS182-'Gen Fd BS'!AA182+BQ182</f>
        <v>0</v>
      </c>
    </row>
    <row r="183" spans="1:73">
      <c r="A183" s="12" t="s">
        <v>751</v>
      </c>
      <c r="B183" s="12"/>
      <c r="C183" s="12" t="s">
        <v>116</v>
      </c>
      <c r="D183" s="12"/>
      <c r="E183" s="13">
        <v>46102</v>
      </c>
      <c r="F183" s="8"/>
      <c r="G183" s="1">
        <v>18552565</v>
      </c>
      <c r="I183" s="1">
        <v>5114769</v>
      </c>
      <c r="K183" s="1">
        <v>0</v>
      </c>
      <c r="M183" s="1">
        <v>2201329</v>
      </c>
      <c r="O183" s="1">
        <v>2901275</v>
      </c>
      <c r="Q183" s="1">
        <v>1567741</v>
      </c>
      <c r="S183" s="1">
        <v>88334</v>
      </c>
      <c r="U183" s="1">
        <v>3187180</v>
      </c>
      <c r="W183" s="1">
        <v>879322</v>
      </c>
      <c r="Y183" s="1">
        <v>239801</v>
      </c>
      <c r="AA183" s="1">
        <v>3943625</v>
      </c>
      <c r="AC183" s="1">
        <v>2353339</v>
      </c>
      <c r="AE183" s="1">
        <v>392680</v>
      </c>
      <c r="AG183" s="1">
        <v>0</v>
      </c>
      <c r="AI183" s="1">
        <v>0</v>
      </c>
      <c r="AJ183" s="12" t="s">
        <v>751</v>
      </c>
      <c r="AK183" s="12"/>
      <c r="AL183" s="12" t="s">
        <v>116</v>
      </c>
      <c r="AN183" s="1">
        <v>622822</v>
      </c>
      <c r="AP183" s="1">
        <v>0</v>
      </c>
      <c r="AR183" s="1">
        <v>0</v>
      </c>
      <c r="AT183" s="1">
        <v>0</v>
      </c>
      <c r="AV183" s="1">
        <v>0</v>
      </c>
      <c r="AX183" s="1">
        <v>0</v>
      </c>
      <c r="AZ183" s="1">
        <f>SUM(G183:AX183)</f>
        <v>42044782</v>
      </c>
      <c r="BB183" s="1">
        <v>254876</v>
      </c>
      <c r="BH183" s="1">
        <v>0</v>
      </c>
      <c r="BJ183" s="1">
        <f>+AZ183+BB183+BD183+BH183</f>
        <v>42299658</v>
      </c>
      <c r="BL183" s="1">
        <f>+GenRev!AM183-GenExp!BJ183</f>
        <v>-245743</v>
      </c>
      <c r="BN183" s="1">
        <v>2625977</v>
      </c>
      <c r="BP183" s="1">
        <v>4421</v>
      </c>
      <c r="BQ183" s="1">
        <v>0</v>
      </c>
      <c r="BS183" s="1">
        <f>+BN183+BL183-BP183</f>
        <v>2375813</v>
      </c>
      <c r="BU183" s="20">
        <f>+BS183-'Gen Fd BS'!AA183+BQ183</f>
        <v>0</v>
      </c>
    </row>
    <row r="184" spans="1:73">
      <c r="A184" s="12" t="s">
        <v>228</v>
      </c>
      <c r="B184" s="12"/>
      <c r="C184" s="12" t="s">
        <v>227</v>
      </c>
      <c r="D184" s="12"/>
      <c r="E184" s="13">
        <v>46102</v>
      </c>
      <c r="F184" s="8"/>
      <c r="G184" s="1">
        <v>34523154</v>
      </c>
      <c r="I184" s="1">
        <v>6607871</v>
      </c>
      <c r="K184" s="1">
        <v>3597</v>
      </c>
      <c r="M184" s="1">
        <v>1889701</v>
      </c>
      <c r="O184" s="1">
        <v>3454634</v>
      </c>
      <c r="Q184" s="1">
        <v>5989203</v>
      </c>
      <c r="S184" s="1">
        <v>22818</v>
      </c>
      <c r="U184" s="1">
        <v>6230931</v>
      </c>
      <c r="W184" s="1">
        <v>1269847</v>
      </c>
      <c r="Y184" s="1">
        <v>299352</v>
      </c>
      <c r="AA184" s="1">
        <v>7402267</v>
      </c>
      <c r="AC184" s="1">
        <v>6673305</v>
      </c>
      <c r="AE184" s="1">
        <v>125026</v>
      </c>
      <c r="AG184" s="1">
        <v>0</v>
      </c>
      <c r="AI184" s="1">
        <v>0</v>
      </c>
      <c r="AJ184" s="12" t="s">
        <v>228</v>
      </c>
      <c r="AK184" s="12"/>
      <c r="AL184" s="12" t="s">
        <v>227</v>
      </c>
      <c r="AN184" s="1">
        <v>1563911</v>
      </c>
      <c r="AP184" s="1">
        <v>0</v>
      </c>
      <c r="AR184" s="1">
        <v>0</v>
      </c>
      <c r="AT184" s="1">
        <v>91972</v>
      </c>
      <c r="AV184" s="1">
        <v>0</v>
      </c>
      <c r="AX184" s="1">
        <v>0</v>
      </c>
      <c r="AZ184" s="1">
        <f t="shared" si="17"/>
        <v>76147589</v>
      </c>
      <c r="BB184" s="1">
        <v>0</v>
      </c>
      <c r="BH184" s="1">
        <v>0</v>
      </c>
      <c r="BJ184" s="1">
        <f t="shared" si="18"/>
        <v>76147589</v>
      </c>
      <c r="BL184" s="1">
        <f>+GenRev!AM184-GenExp!BJ184</f>
        <v>-5348511</v>
      </c>
      <c r="BN184" s="1">
        <v>9537859</v>
      </c>
      <c r="BP184" s="1">
        <v>0</v>
      </c>
      <c r="BQ184" s="1">
        <v>0</v>
      </c>
      <c r="BS184" s="1">
        <f t="shared" si="16"/>
        <v>4189348</v>
      </c>
      <c r="BU184" s="20">
        <f>+BS184-'Gen Fd BS'!AA184+BQ184</f>
        <v>0</v>
      </c>
    </row>
    <row r="185" spans="1:73">
      <c r="A185" s="12" t="s">
        <v>396</v>
      </c>
      <c r="B185" s="12"/>
      <c r="C185" s="12" t="s">
        <v>395</v>
      </c>
      <c r="D185" s="12"/>
      <c r="E185" s="13">
        <v>47621</v>
      </c>
      <c r="G185" s="1">
        <v>3617240</v>
      </c>
      <c r="I185" s="1">
        <v>296974</v>
      </c>
      <c r="K185" s="1">
        <v>196227</v>
      </c>
      <c r="M185" s="1">
        <v>28174</v>
      </c>
      <c r="O185" s="1">
        <v>300336</v>
      </c>
      <c r="Q185" s="1">
        <v>317225</v>
      </c>
      <c r="S185" s="1">
        <v>70231</v>
      </c>
      <c r="U185" s="1">
        <v>544512</v>
      </c>
      <c r="W185" s="1">
        <v>286584</v>
      </c>
      <c r="Y185" s="1">
        <v>13968</v>
      </c>
      <c r="AA185" s="1">
        <v>312215</v>
      </c>
      <c r="AC185" s="1">
        <v>406186</v>
      </c>
      <c r="AE185" s="1">
        <v>101973</v>
      </c>
      <c r="AG185" s="1">
        <v>0</v>
      </c>
      <c r="AI185" s="1">
        <v>6270</v>
      </c>
      <c r="AJ185" s="12" t="s">
        <v>396</v>
      </c>
      <c r="AK185" s="12"/>
      <c r="AL185" s="12" t="s">
        <v>395</v>
      </c>
      <c r="AN185" s="1">
        <v>86575</v>
      </c>
      <c r="AP185" s="1">
        <v>0</v>
      </c>
      <c r="AR185" s="1">
        <v>0</v>
      </c>
      <c r="AT185" s="1">
        <v>0</v>
      </c>
      <c r="AV185" s="1">
        <v>0</v>
      </c>
      <c r="AX185" s="1">
        <v>0</v>
      </c>
      <c r="AZ185" s="1">
        <f t="shared" si="17"/>
        <v>6584690</v>
      </c>
      <c r="BB185" s="1">
        <v>0</v>
      </c>
      <c r="BH185" s="1">
        <v>0</v>
      </c>
      <c r="BJ185" s="1">
        <f t="shared" si="18"/>
        <v>6584690</v>
      </c>
      <c r="BL185" s="1">
        <f>+GenRev!AM185-GenExp!BJ185</f>
        <v>408254</v>
      </c>
      <c r="BN185" s="1">
        <v>257144</v>
      </c>
      <c r="BP185" s="1">
        <v>0</v>
      </c>
      <c r="BQ185" s="1">
        <v>0</v>
      </c>
      <c r="BS185" s="1">
        <f t="shared" si="16"/>
        <v>665398</v>
      </c>
      <c r="BU185" s="20">
        <f>+BS185-'Gen Fd BS'!AA185+BQ185</f>
        <v>0</v>
      </c>
    </row>
    <row r="186" spans="1:73">
      <c r="A186" s="12" t="s">
        <v>324</v>
      </c>
      <c r="B186" s="12"/>
      <c r="C186" s="12" t="s">
        <v>25</v>
      </c>
      <c r="D186" s="12"/>
      <c r="E186" s="13">
        <v>46870</v>
      </c>
      <c r="G186" s="1">
        <v>7300397</v>
      </c>
      <c r="I186" s="1">
        <v>1342907</v>
      </c>
      <c r="K186" s="1">
        <v>396599</v>
      </c>
      <c r="M186" s="1">
        <v>277449</v>
      </c>
      <c r="O186" s="1">
        <v>871775</v>
      </c>
      <c r="Q186" s="1">
        <v>746896</v>
      </c>
      <c r="S186" s="1">
        <v>39848</v>
      </c>
      <c r="U186" s="1">
        <v>1404517</v>
      </c>
      <c r="W186" s="1">
        <v>564994</v>
      </c>
      <c r="Y186" s="1">
        <v>0</v>
      </c>
      <c r="AA186" s="1">
        <v>1407381</v>
      </c>
      <c r="AC186" s="1">
        <v>1174264</v>
      </c>
      <c r="AE186" s="1">
        <v>184386</v>
      </c>
      <c r="AG186" s="1">
        <v>0</v>
      </c>
      <c r="AI186" s="1">
        <v>0</v>
      </c>
      <c r="AJ186" s="12" t="s">
        <v>324</v>
      </c>
      <c r="AK186" s="12"/>
      <c r="AL186" s="12" t="s">
        <v>25</v>
      </c>
      <c r="AN186" s="1">
        <v>384760</v>
      </c>
      <c r="AP186" s="1">
        <v>0</v>
      </c>
      <c r="AR186" s="1">
        <v>0</v>
      </c>
      <c r="AT186" s="1">
        <v>64474</v>
      </c>
      <c r="AV186" s="1">
        <v>20621</v>
      </c>
      <c r="AX186" s="1">
        <v>0</v>
      </c>
      <c r="AZ186" s="1">
        <f t="shared" si="17"/>
        <v>16181268</v>
      </c>
      <c r="BB186" s="1">
        <v>1626379</v>
      </c>
      <c r="BH186" s="1">
        <v>0</v>
      </c>
      <c r="BJ186" s="1">
        <f t="shared" si="18"/>
        <v>17807647</v>
      </c>
      <c r="BL186" s="1">
        <f>+GenRev!AM186-GenExp!BJ186</f>
        <v>542388</v>
      </c>
      <c r="BN186" s="1">
        <v>3580792</v>
      </c>
      <c r="BP186" s="1">
        <v>0</v>
      </c>
      <c r="BQ186" s="1">
        <v>0</v>
      </c>
      <c r="BS186" s="1">
        <f t="shared" si="16"/>
        <v>4123180</v>
      </c>
      <c r="BU186" s="20">
        <f>+BS186-'Gen Fd BS'!AA186+BQ186</f>
        <v>0</v>
      </c>
    </row>
    <row r="187" spans="1:73">
      <c r="A187" s="12" t="s">
        <v>422</v>
      </c>
      <c r="B187" s="12"/>
      <c r="C187" s="12" t="s">
        <v>420</v>
      </c>
      <c r="D187" s="12"/>
      <c r="E187" s="13">
        <v>47936</v>
      </c>
      <c r="G187" s="1">
        <v>6587193</v>
      </c>
      <c r="I187" s="1">
        <v>1012826</v>
      </c>
      <c r="K187" s="1">
        <v>74472</v>
      </c>
      <c r="M187" s="1">
        <f>16724+8786</f>
        <v>25510</v>
      </c>
      <c r="O187" s="1">
        <v>356610</v>
      </c>
      <c r="Q187" s="1">
        <v>536686</v>
      </c>
      <c r="S187" s="1">
        <v>141093</v>
      </c>
      <c r="U187" s="1">
        <v>1191974</v>
      </c>
      <c r="W187" s="1">
        <v>379728</v>
      </c>
      <c r="Y187" s="1">
        <v>1222</v>
      </c>
      <c r="AA187" s="1">
        <v>1490039</v>
      </c>
      <c r="AC187" s="1">
        <v>673291</v>
      </c>
      <c r="AE187" s="1">
        <v>1093</v>
      </c>
      <c r="AG187" s="1">
        <v>7570</v>
      </c>
      <c r="AI187" s="1">
        <v>0</v>
      </c>
      <c r="AJ187" s="12" t="s">
        <v>422</v>
      </c>
      <c r="AK187" s="12"/>
      <c r="AL187" s="12" t="s">
        <v>420</v>
      </c>
      <c r="AN187" s="1">
        <v>184945</v>
      </c>
      <c r="AP187" s="1">
        <v>0</v>
      </c>
      <c r="AR187" s="1">
        <v>0</v>
      </c>
      <c r="AT187" s="1">
        <v>0</v>
      </c>
      <c r="AV187" s="1">
        <v>0</v>
      </c>
      <c r="AX187" s="1">
        <v>0</v>
      </c>
      <c r="AZ187" s="1">
        <f t="shared" si="17"/>
        <v>12664252</v>
      </c>
      <c r="BB187" s="1">
        <v>46783</v>
      </c>
      <c r="BH187" s="1">
        <v>0</v>
      </c>
      <c r="BJ187" s="1">
        <f t="shared" si="18"/>
        <v>12711035</v>
      </c>
      <c r="BL187" s="1">
        <f>+GenRev!AM187-GenExp!BJ187</f>
        <v>444966</v>
      </c>
      <c r="BN187" s="1">
        <v>3053839</v>
      </c>
      <c r="BP187" s="1">
        <v>0</v>
      </c>
      <c r="BQ187" s="1">
        <v>0</v>
      </c>
      <c r="BS187" s="1">
        <f t="shared" si="16"/>
        <v>3498805</v>
      </c>
      <c r="BU187" s="20">
        <f>+BS187-'Gen Fd BS'!AA187+BQ187</f>
        <v>0</v>
      </c>
    </row>
    <row r="188" spans="1:73" hidden="1">
      <c r="A188" s="17" t="s">
        <v>742</v>
      </c>
      <c r="B188" s="12"/>
      <c r="C188" s="12" t="s">
        <v>61</v>
      </c>
      <c r="D188" s="12"/>
      <c r="E188" s="13">
        <v>49775</v>
      </c>
      <c r="AJ188" s="17" t="s">
        <v>742</v>
      </c>
      <c r="AK188" s="12"/>
      <c r="AL188" s="12" t="s">
        <v>61</v>
      </c>
      <c r="AZ188" s="1">
        <f t="shared" si="17"/>
        <v>0</v>
      </c>
      <c r="BJ188" s="1">
        <f t="shared" si="18"/>
        <v>0</v>
      </c>
      <c r="BL188" s="1">
        <f>+GenRev!AM188-GenExp!BJ188</f>
        <v>0</v>
      </c>
      <c r="BS188" s="1">
        <f t="shared" si="16"/>
        <v>0</v>
      </c>
      <c r="BU188" s="20">
        <f>+BS188-'Gen Fd BS'!AA188+BQ188</f>
        <v>0</v>
      </c>
    </row>
    <row r="189" spans="1:73">
      <c r="A189" s="12" t="s">
        <v>575</v>
      </c>
      <c r="B189" s="12"/>
      <c r="C189" s="12" t="s">
        <v>62</v>
      </c>
      <c r="D189" s="12"/>
      <c r="E189" s="13">
        <v>49841</v>
      </c>
      <c r="G189" s="1">
        <v>6606886</v>
      </c>
      <c r="I189" s="1">
        <v>1369774</v>
      </c>
      <c r="K189" s="1">
        <v>282430</v>
      </c>
      <c r="M189" s="1">
        <v>294353</v>
      </c>
      <c r="O189" s="1">
        <v>1131027</v>
      </c>
      <c r="Q189" s="1">
        <v>335224</v>
      </c>
      <c r="S189" s="1">
        <v>15610</v>
      </c>
      <c r="U189" s="1">
        <v>1044405</v>
      </c>
      <c r="W189" s="1">
        <v>419151</v>
      </c>
      <c r="Y189" s="1">
        <v>0</v>
      </c>
      <c r="AA189" s="1">
        <v>1451719</v>
      </c>
      <c r="AC189" s="1">
        <v>950269</v>
      </c>
      <c r="AE189" s="1">
        <v>35633</v>
      </c>
      <c r="AG189" s="1">
        <v>0</v>
      </c>
      <c r="AI189" s="1">
        <v>0</v>
      </c>
      <c r="AJ189" s="12" t="s">
        <v>575</v>
      </c>
      <c r="AK189" s="12"/>
      <c r="AL189" s="12" t="s">
        <v>62</v>
      </c>
      <c r="AN189" s="1">
        <v>314259</v>
      </c>
      <c r="AP189" s="1">
        <v>0</v>
      </c>
      <c r="AR189" s="1">
        <v>0</v>
      </c>
      <c r="AT189" s="1">
        <v>0</v>
      </c>
      <c r="AV189" s="1">
        <v>0</v>
      </c>
      <c r="AX189" s="1">
        <v>0</v>
      </c>
      <c r="AZ189" s="1">
        <f t="shared" si="17"/>
        <v>14250740</v>
      </c>
      <c r="BB189" s="1">
        <v>0</v>
      </c>
      <c r="BH189" s="1">
        <v>0</v>
      </c>
      <c r="BJ189" s="1">
        <f t="shared" si="18"/>
        <v>14250740</v>
      </c>
      <c r="BL189" s="1">
        <f>+GenRev!AM189-GenExp!BJ189</f>
        <v>780919</v>
      </c>
      <c r="BN189" s="1">
        <v>1027653</v>
      </c>
      <c r="BP189" s="1">
        <v>0</v>
      </c>
      <c r="BQ189" s="1">
        <v>0</v>
      </c>
      <c r="BS189" s="1">
        <f t="shared" si="16"/>
        <v>1808572</v>
      </c>
      <c r="BU189" s="20">
        <f>+BS189-'Gen Fd BS'!AA189+BQ189</f>
        <v>0</v>
      </c>
    </row>
    <row r="190" spans="1:73" hidden="1">
      <c r="A190" s="17" t="s">
        <v>834</v>
      </c>
      <c r="B190" s="12"/>
      <c r="C190" s="12" t="s">
        <v>41</v>
      </c>
      <c r="D190" s="12"/>
      <c r="E190" s="13">
        <v>45369</v>
      </c>
      <c r="AJ190" s="17" t="s">
        <v>834</v>
      </c>
      <c r="AK190" s="12"/>
      <c r="AL190" s="12" t="s">
        <v>41</v>
      </c>
      <c r="AZ190" s="1">
        <f t="shared" si="17"/>
        <v>0</v>
      </c>
      <c r="BJ190" s="1">
        <f t="shared" si="18"/>
        <v>0</v>
      </c>
      <c r="BL190" s="1">
        <f>+GenRev!AM190-GenExp!BJ190</f>
        <v>0</v>
      </c>
      <c r="BS190" s="1">
        <f t="shared" si="16"/>
        <v>0</v>
      </c>
      <c r="BU190" s="20">
        <f>+BS190-'Gen Fd BS'!AA190+BQ190</f>
        <v>0</v>
      </c>
    </row>
    <row r="191" spans="1:73">
      <c r="A191" s="12" t="s">
        <v>290</v>
      </c>
      <c r="B191" s="12"/>
      <c r="C191" s="12" t="s">
        <v>20</v>
      </c>
      <c r="D191" s="12"/>
      <c r="E191" s="13">
        <v>43976</v>
      </c>
      <c r="G191" s="1">
        <v>8719930</v>
      </c>
      <c r="I191" s="1">
        <v>2099645</v>
      </c>
      <c r="K191" s="1">
        <v>154844</v>
      </c>
      <c r="M191" s="1">
        <v>6538</v>
      </c>
      <c r="O191" s="1">
        <v>966499</v>
      </c>
      <c r="Q191" s="1">
        <v>1166802</v>
      </c>
      <c r="S191" s="1">
        <v>30939</v>
      </c>
      <c r="U191" s="1">
        <v>1536498</v>
      </c>
      <c r="W191" s="1">
        <v>723414</v>
      </c>
      <c r="Y191" s="1">
        <v>166040</v>
      </c>
      <c r="AA191" s="1">
        <v>1903178</v>
      </c>
      <c r="AC191" s="1">
        <v>584749</v>
      </c>
      <c r="AE191" s="1">
        <v>386376</v>
      </c>
      <c r="AG191" s="1">
        <v>0</v>
      </c>
      <c r="AI191" s="1">
        <v>0</v>
      </c>
      <c r="AJ191" s="12" t="s">
        <v>290</v>
      </c>
      <c r="AK191" s="12"/>
      <c r="AL191" s="12" t="s">
        <v>20</v>
      </c>
      <c r="AN191" s="1">
        <v>333836</v>
      </c>
      <c r="AP191" s="1">
        <v>0</v>
      </c>
      <c r="AR191" s="1">
        <v>0</v>
      </c>
      <c r="AT191" s="1">
        <v>0</v>
      </c>
      <c r="AV191" s="1">
        <v>0</v>
      </c>
      <c r="AX191" s="1">
        <v>0</v>
      </c>
      <c r="AZ191" s="1">
        <f t="shared" si="17"/>
        <v>18779288</v>
      </c>
      <c r="BB191" s="1">
        <v>2546391</v>
      </c>
      <c r="BH191" s="1">
        <v>0</v>
      </c>
      <c r="BJ191" s="1">
        <f t="shared" si="18"/>
        <v>21325679</v>
      </c>
      <c r="BL191" s="1">
        <f>+GenRev!AM191-GenExp!BJ191</f>
        <v>-224951</v>
      </c>
      <c r="BN191" s="1">
        <v>12156493</v>
      </c>
      <c r="BP191" s="1">
        <v>0</v>
      </c>
      <c r="BQ191" s="1">
        <v>0</v>
      </c>
      <c r="BS191" s="1">
        <f t="shared" si="16"/>
        <v>11931542</v>
      </c>
      <c r="BU191" s="20">
        <f>+BS191-'Gen Fd BS'!AA191+BQ191</f>
        <v>0</v>
      </c>
    </row>
    <row r="192" spans="1:73">
      <c r="A192" s="17" t="s">
        <v>812</v>
      </c>
      <c r="B192" s="17"/>
      <c r="C192" s="17" t="s">
        <v>28</v>
      </c>
      <c r="D192" s="12"/>
      <c r="E192" s="13"/>
      <c r="G192" s="1">
        <v>2148346</v>
      </c>
      <c r="I192" s="1">
        <v>455495</v>
      </c>
      <c r="K192" s="1">
        <v>96636</v>
      </c>
      <c r="M192" s="1">
        <v>0</v>
      </c>
      <c r="O192" s="1">
        <v>277769</v>
      </c>
      <c r="Q192" s="1">
        <v>134206</v>
      </c>
      <c r="S192" s="1">
        <v>13080</v>
      </c>
      <c r="U192" s="1">
        <v>392148</v>
      </c>
      <c r="W192" s="1">
        <v>176803</v>
      </c>
      <c r="Y192" s="1">
        <v>0</v>
      </c>
      <c r="AA192" s="1">
        <v>258697</v>
      </c>
      <c r="AC192" s="1">
        <v>281521</v>
      </c>
      <c r="AE192" s="1">
        <v>6786</v>
      </c>
      <c r="AG192" s="1">
        <v>0</v>
      </c>
      <c r="AI192" s="1">
        <v>3500</v>
      </c>
      <c r="AJ192" s="17" t="s">
        <v>812</v>
      </c>
      <c r="AK192" s="17"/>
      <c r="AL192" s="17" t="s">
        <v>28</v>
      </c>
      <c r="AN192" s="1">
        <v>139908</v>
      </c>
      <c r="AP192" s="1">
        <v>0</v>
      </c>
      <c r="AR192" s="1">
        <v>0</v>
      </c>
      <c r="AT192" s="1">
        <v>20643</v>
      </c>
      <c r="AV192" s="1">
        <v>0</v>
      </c>
      <c r="AX192" s="1">
        <v>0</v>
      </c>
      <c r="AZ192" s="1">
        <f t="shared" si="17"/>
        <v>4405538</v>
      </c>
      <c r="BB192" s="1">
        <v>30</v>
      </c>
      <c r="BH192" s="1">
        <v>0</v>
      </c>
      <c r="BJ192" s="1">
        <f t="shared" si="18"/>
        <v>4405568</v>
      </c>
      <c r="BL192" s="1">
        <f>+GenRev!AM192-GenExp!BJ192</f>
        <v>-142196</v>
      </c>
      <c r="BN192" s="1">
        <v>1314669</v>
      </c>
      <c r="BP192" s="1">
        <v>0</v>
      </c>
      <c r="BQ192" s="1">
        <v>0</v>
      </c>
      <c r="BS192" s="1">
        <f t="shared" si="16"/>
        <v>1172473</v>
      </c>
      <c r="BU192" s="20">
        <f>+BS192-'Gen Fd BS'!AA192+BQ192</f>
        <v>0</v>
      </c>
    </row>
    <row r="193" spans="1:73">
      <c r="A193" s="12" t="s">
        <v>224</v>
      </c>
      <c r="B193" s="12"/>
      <c r="C193" s="12" t="s">
        <v>77</v>
      </c>
      <c r="D193" s="12"/>
      <c r="E193" s="13">
        <v>46045</v>
      </c>
      <c r="F193" s="8"/>
      <c r="G193" s="1">
        <v>3506101</v>
      </c>
      <c r="I193" s="1">
        <v>923841</v>
      </c>
      <c r="K193" s="1">
        <v>176833</v>
      </c>
      <c r="M193" s="1">
        <v>18130</v>
      </c>
      <c r="O193" s="1">
        <v>291452</v>
      </c>
      <c r="Q193" s="1">
        <v>650280</v>
      </c>
      <c r="S193" s="1">
        <v>72186</v>
      </c>
      <c r="U193" s="1">
        <v>783491</v>
      </c>
      <c r="W193" s="1">
        <v>281586</v>
      </c>
      <c r="Y193" s="1">
        <v>0</v>
      </c>
      <c r="AA193" s="1">
        <v>639571</v>
      </c>
      <c r="AC193" s="1">
        <v>508733</v>
      </c>
      <c r="AE193" s="1">
        <v>8398</v>
      </c>
      <c r="AG193" s="1">
        <v>0</v>
      </c>
      <c r="AI193" s="1">
        <v>86302</v>
      </c>
      <c r="AJ193" s="12" t="s">
        <v>224</v>
      </c>
      <c r="AK193" s="12"/>
      <c r="AL193" s="12" t="s">
        <v>77</v>
      </c>
      <c r="AN193" s="1">
        <v>130015</v>
      </c>
      <c r="AP193" s="1">
        <v>1000</v>
      </c>
      <c r="AR193" s="1">
        <v>0</v>
      </c>
      <c r="AT193" s="1">
        <v>0</v>
      </c>
      <c r="AV193" s="1">
        <v>0</v>
      </c>
      <c r="AX193" s="1">
        <v>0</v>
      </c>
      <c r="AZ193" s="1">
        <f t="shared" si="17"/>
        <v>8077919</v>
      </c>
      <c r="BB193" s="1">
        <v>0</v>
      </c>
      <c r="BH193" s="1">
        <v>0</v>
      </c>
      <c r="BJ193" s="1">
        <f t="shared" si="18"/>
        <v>8077919</v>
      </c>
      <c r="BL193" s="1">
        <f>+GenRev!AM193-GenExp!BJ193</f>
        <v>-828884</v>
      </c>
      <c r="BN193" s="1">
        <v>1238541</v>
      </c>
      <c r="BP193" s="1">
        <v>0</v>
      </c>
      <c r="BQ193" s="1">
        <v>0</v>
      </c>
      <c r="BS193" s="1">
        <f t="shared" si="16"/>
        <v>409657</v>
      </c>
      <c r="BU193" s="20">
        <f>+BS193-'Gen Fd BS'!AA193+BQ193</f>
        <v>0</v>
      </c>
    </row>
    <row r="194" spans="1:73">
      <c r="A194" s="12" t="s">
        <v>813</v>
      </c>
      <c r="B194" s="12"/>
      <c r="C194" s="12" t="s">
        <v>13</v>
      </c>
      <c r="D194" s="12"/>
      <c r="E194" s="13"/>
      <c r="F194" s="8"/>
      <c r="G194" s="1">
        <v>3455882</v>
      </c>
      <c r="I194" s="1">
        <v>950941</v>
      </c>
      <c r="K194" s="1">
        <v>211331</v>
      </c>
      <c r="M194" s="1">
        <v>0</v>
      </c>
      <c r="O194" s="1">
        <v>218914</v>
      </c>
      <c r="Q194" s="1">
        <v>306483</v>
      </c>
      <c r="S194" s="1">
        <v>51646</v>
      </c>
      <c r="U194" s="1">
        <v>733601</v>
      </c>
      <c r="W194" s="1">
        <v>1939279</v>
      </c>
      <c r="Y194" s="1">
        <v>0</v>
      </c>
      <c r="AA194" s="1">
        <v>860331</v>
      </c>
      <c r="AC194" s="1">
        <v>1037336</v>
      </c>
      <c r="AE194" s="1">
        <v>10710</v>
      </c>
      <c r="AG194" s="1">
        <v>0</v>
      </c>
      <c r="AI194" s="1">
        <v>0</v>
      </c>
      <c r="AJ194" s="12" t="s">
        <v>813</v>
      </c>
      <c r="AK194" s="12"/>
      <c r="AL194" s="12" t="s">
        <v>13</v>
      </c>
      <c r="AN194" s="1">
        <v>33900</v>
      </c>
      <c r="AP194" s="1">
        <v>0</v>
      </c>
      <c r="AR194" s="1">
        <v>0</v>
      </c>
      <c r="AT194" s="1">
        <v>0</v>
      </c>
      <c r="AV194" s="1">
        <v>0</v>
      </c>
      <c r="AX194" s="1">
        <v>0</v>
      </c>
      <c r="AZ194" s="1">
        <f t="shared" si="17"/>
        <v>9810354</v>
      </c>
      <c r="BB194" s="1">
        <v>0</v>
      </c>
      <c r="BH194" s="1">
        <v>0</v>
      </c>
      <c r="BJ194" s="1">
        <f t="shared" si="18"/>
        <v>9810354</v>
      </c>
      <c r="BL194" s="1">
        <f>+GenRev!AM194-GenExp!BJ194</f>
        <v>929270</v>
      </c>
      <c r="BN194" s="1">
        <v>412378</v>
      </c>
      <c r="BP194" s="1">
        <v>0</v>
      </c>
      <c r="BQ194" s="1">
        <v>0</v>
      </c>
      <c r="BS194" s="1">
        <f t="shared" si="16"/>
        <v>1341648</v>
      </c>
      <c r="BU194" s="20">
        <f>+BS194-'Gen Fd BS'!AA194+BQ194</f>
        <v>0</v>
      </c>
    </row>
    <row r="195" spans="1:73">
      <c r="A195" s="12" t="s">
        <v>253</v>
      </c>
      <c r="B195" s="12"/>
      <c r="C195" s="12" t="s">
        <v>115</v>
      </c>
      <c r="D195" s="12"/>
      <c r="E195" s="13">
        <v>46334</v>
      </c>
      <c r="F195" s="8"/>
      <c r="G195" s="1">
        <v>4253318</v>
      </c>
      <c r="I195" s="1">
        <v>1714121</v>
      </c>
      <c r="K195" s="1">
        <v>0</v>
      </c>
      <c r="M195" s="1">
        <v>31790</v>
      </c>
      <c r="O195" s="1">
        <v>300753</v>
      </c>
      <c r="Q195" s="1">
        <v>288354</v>
      </c>
      <c r="S195" s="1">
        <v>15200</v>
      </c>
      <c r="U195" s="1">
        <v>708528</v>
      </c>
      <c r="W195" s="1">
        <v>351154</v>
      </c>
      <c r="Y195" s="1">
        <v>0</v>
      </c>
      <c r="AA195" s="1">
        <v>657421</v>
      </c>
      <c r="AC195" s="1">
        <v>524636</v>
      </c>
      <c r="AE195" s="1">
        <v>36944</v>
      </c>
      <c r="AG195" s="1">
        <v>0</v>
      </c>
      <c r="AI195" s="1">
        <v>0</v>
      </c>
      <c r="AJ195" s="12" t="s">
        <v>253</v>
      </c>
      <c r="AK195" s="12"/>
      <c r="AL195" s="12" t="s">
        <v>115</v>
      </c>
      <c r="AN195" s="1">
        <v>134374</v>
      </c>
      <c r="AP195" s="1">
        <v>0</v>
      </c>
      <c r="AR195" s="1">
        <v>0</v>
      </c>
      <c r="AT195" s="1">
        <v>28217</v>
      </c>
      <c r="AV195" s="1">
        <v>1701</v>
      </c>
      <c r="AX195" s="1">
        <v>0</v>
      </c>
      <c r="AZ195" s="1">
        <f t="shared" si="17"/>
        <v>9046511</v>
      </c>
      <c r="BB195" s="1">
        <v>0</v>
      </c>
      <c r="BH195" s="1">
        <v>21596</v>
      </c>
      <c r="BJ195" s="1">
        <f t="shared" si="18"/>
        <v>9068107</v>
      </c>
      <c r="BL195" s="1">
        <f>+GenRev!AM195-GenExp!BJ195</f>
        <v>15359</v>
      </c>
      <c r="BN195" s="1">
        <v>-99518</v>
      </c>
      <c r="BP195" s="1">
        <v>0</v>
      </c>
      <c r="BQ195" s="1">
        <v>0</v>
      </c>
      <c r="BS195" s="1">
        <f t="shared" si="16"/>
        <v>-84159</v>
      </c>
      <c r="BU195" s="20">
        <f>+BS195-'Gen Fd BS'!AA195+BQ195</f>
        <v>0</v>
      </c>
    </row>
    <row r="196" spans="1:73">
      <c r="A196" s="17" t="s">
        <v>891</v>
      </c>
      <c r="B196" s="12"/>
      <c r="C196" s="12" t="s">
        <v>56</v>
      </c>
      <c r="D196" s="12"/>
      <c r="E196" s="13">
        <v>49197</v>
      </c>
      <c r="G196" s="1">
        <v>9557466</v>
      </c>
      <c r="I196" s="1">
        <v>1392145</v>
      </c>
      <c r="K196" s="1">
        <v>121925</v>
      </c>
      <c r="M196" s="1">
        <f>40880+143562</f>
        <v>184442</v>
      </c>
      <c r="O196" s="1">
        <v>892899</v>
      </c>
      <c r="Q196" s="1">
        <v>562704</v>
      </c>
      <c r="S196" s="1">
        <v>16382</v>
      </c>
      <c r="U196" s="1">
        <v>1993531</v>
      </c>
      <c r="W196" s="1">
        <v>519153</v>
      </c>
      <c r="Y196" s="1">
        <v>6516</v>
      </c>
      <c r="AA196" s="1">
        <v>1647963</v>
      </c>
      <c r="AC196" s="1">
        <v>1183876</v>
      </c>
      <c r="AE196" s="1">
        <v>72806</v>
      </c>
      <c r="AG196" s="1">
        <v>0</v>
      </c>
      <c r="AI196" s="1">
        <v>30292</v>
      </c>
      <c r="AJ196" s="17" t="s">
        <v>891</v>
      </c>
      <c r="AK196" s="12"/>
      <c r="AL196" s="12" t="s">
        <v>56</v>
      </c>
      <c r="AN196" s="1">
        <v>317653</v>
      </c>
      <c r="AP196" s="1">
        <v>290074</v>
      </c>
      <c r="AR196" s="1">
        <v>0</v>
      </c>
      <c r="AT196" s="1">
        <v>84864</v>
      </c>
      <c r="AV196" s="1">
        <v>12992</v>
      </c>
      <c r="AX196" s="1">
        <v>0</v>
      </c>
      <c r="AZ196" s="1">
        <f t="shared" si="17"/>
        <v>18887683</v>
      </c>
      <c r="BB196" s="1">
        <v>0</v>
      </c>
      <c r="BH196" s="1">
        <v>0</v>
      </c>
      <c r="BJ196" s="1">
        <f t="shared" si="18"/>
        <v>18887683</v>
      </c>
      <c r="BL196" s="1">
        <f>+GenRev!AM196-GenExp!BJ196</f>
        <v>655034</v>
      </c>
      <c r="BN196" s="1">
        <v>-809394</v>
      </c>
      <c r="BP196" s="1">
        <v>0</v>
      </c>
      <c r="BQ196" s="1">
        <v>0</v>
      </c>
      <c r="BS196" s="1">
        <f t="shared" si="16"/>
        <v>-154360</v>
      </c>
      <c r="BU196" s="20">
        <f>+BS196-'Gen Fd BS'!AA196+BQ196</f>
        <v>0</v>
      </c>
    </row>
    <row r="197" spans="1:73">
      <c r="A197" s="12" t="s">
        <v>380</v>
      </c>
      <c r="B197" s="12"/>
      <c r="C197" s="12" t="s">
        <v>33</v>
      </c>
      <c r="D197" s="12"/>
      <c r="E197" s="13">
        <v>43984</v>
      </c>
      <c r="G197" s="1">
        <v>22874389</v>
      </c>
      <c r="I197" s="1">
        <v>5734571</v>
      </c>
      <c r="K197" s="1">
        <v>2833465</v>
      </c>
      <c r="M197" s="1">
        <f>128340+3300260</f>
        <v>3428600</v>
      </c>
      <c r="O197" s="1">
        <v>2899545</v>
      </c>
      <c r="Q197" s="1">
        <v>3808190</v>
      </c>
      <c r="S197" s="1">
        <v>162047</v>
      </c>
      <c r="U197" s="1">
        <v>4022255</v>
      </c>
      <c r="W197" s="1">
        <v>1472052</v>
      </c>
      <c r="Y197" s="1">
        <v>0</v>
      </c>
      <c r="AA197" s="1">
        <v>5646379</v>
      </c>
      <c r="AC197" s="1">
        <v>2013917</v>
      </c>
      <c r="AE197" s="1">
        <v>58248</v>
      </c>
      <c r="AG197" s="1">
        <v>0</v>
      </c>
      <c r="AI197" s="1">
        <v>0</v>
      </c>
      <c r="AJ197" s="12" t="s">
        <v>380</v>
      </c>
      <c r="AK197" s="12"/>
      <c r="AL197" s="12" t="s">
        <v>33</v>
      </c>
      <c r="AN197" s="1">
        <v>214537</v>
      </c>
      <c r="AP197" s="1">
        <v>0</v>
      </c>
      <c r="AR197" s="1">
        <v>0</v>
      </c>
      <c r="AT197" s="1">
        <v>293751</v>
      </c>
      <c r="AV197" s="1">
        <v>74556</v>
      </c>
      <c r="AX197" s="1">
        <v>0</v>
      </c>
      <c r="AZ197" s="1">
        <f t="shared" si="17"/>
        <v>55536502</v>
      </c>
      <c r="BB197" s="1">
        <v>75000</v>
      </c>
      <c r="BH197" s="1">
        <v>0</v>
      </c>
      <c r="BJ197" s="1">
        <f t="shared" si="18"/>
        <v>55611502</v>
      </c>
      <c r="BL197" s="1">
        <f>+GenRev!AM197-GenExp!BJ197</f>
        <v>-981917</v>
      </c>
      <c r="BN197" s="1">
        <v>7204891</v>
      </c>
      <c r="BP197" s="1">
        <v>6010</v>
      </c>
      <c r="BQ197" s="1">
        <v>0</v>
      </c>
      <c r="BS197" s="1">
        <f t="shared" si="16"/>
        <v>6216964</v>
      </c>
      <c r="BU197" s="20">
        <f>+BS197-'Gen Fd BS'!AA197+BQ197</f>
        <v>0</v>
      </c>
    </row>
    <row r="198" spans="1:73">
      <c r="A198" s="12" t="s">
        <v>363</v>
      </c>
      <c r="B198" s="12"/>
      <c r="C198" s="12" t="s">
        <v>32</v>
      </c>
      <c r="D198" s="12"/>
      <c r="E198" s="13">
        <v>47332</v>
      </c>
      <c r="G198" s="1">
        <v>6623482</v>
      </c>
      <c r="I198" s="1">
        <v>2256014</v>
      </c>
      <c r="K198" s="1">
        <v>91796</v>
      </c>
      <c r="M198" s="1">
        <v>620177</v>
      </c>
      <c r="O198" s="1">
        <v>1050370</v>
      </c>
      <c r="Q198" s="1">
        <v>1504813</v>
      </c>
      <c r="S198" s="1">
        <v>27259</v>
      </c>
      <c r="U198" s="1">
        <v>1295886</v>
      </c>
      <c r="W198" s="1">
        <v>453187</v>
      </c>
      <c r="Y198" s="1">
        <v>461012</v>
      </c>
      <c r="AA198" s="1">
        <v>1717165</v>
      </c>
      <c r="AC198" s="1">
        <v>845055</v>
      </c>
      <c r="AE198" s="1">
        <v>250987</v>
      </c>
      <c r="AG198" s="1">
        <v>0</v>
      </c>
      <c r="AI198" s="1">
        <v>101562</v>
      </c>
      <c r="AJ198" s="12" t="s">
        <v>363</v>
      </c>
      <c r="AK198" s="12"/>
      <c r="AL198" s="12" t="s">
        <v>32</v>
      </c>
      <c r="AN198" s="1">
        <v>416197</v>
      </c>
      <c r="AP198" s="1">
        <v>250001</v>
      </c>
      <c r="AR198" s="1">
        <v>0</v>
      </c>
      <c r="AT198" s="1">
        <v>0</v>
      </c>
      <c r="AV198" s="1">
        <v>0</v>
      </c>
      <c r="AX198" s="1">
        <v>0</v>
      </c>
      <c r="AZ198" s="1">
        <f t="shared" si="17"/>
        <v>17964963</v>
      </c>
      <c r="BB198" s="1">
        <v>6950</v>
      </c>
      <c r="BH198" s="1">
        <v>0</v>
      </c>
      <c r="BJ198" s="1">
        <f t="shared" si="18"/>
        <v>17971913</v>
      </c>
      <c r="BL198" s="1">
        <f>+GenRev!AM198-GenExp!BJ198</f>
        <v>-935705</v>
      </c>
      <c r="BN198" s="1">
        <v>3546261</v>
      </c>
      <c r="BP198" s="1">
        <v>0</v>
      </c>
      <c r="BQ198" s="1">
        <v>0</v>
      </c>
      <c r="BS198" s="1">
        <f t="shared" si="16"/>
        <v>2610556</v>
      </c>
      <c r="BU198" s="20">
        <f>+BS198-'Gen Fd BS'!AA198+BQ198</f>
        <v>0</v>
      </c>
    </row>
    <row r="199" spans="1:73">
      <c r="A199" s="12" t="s">
        <v>441</v>
      </c>
      <c r="B199" s="12"/>
      <c r="C199" s="12" t="s">
        <v>44</v>
      </c>
      <c r="D199" s="12"/>
      <c r="E199" s="13">
        <v>48157</v>
      </c>
      <c r="G199" s="1">
        <v>7521489</v>
      </c>
      <c r="I199" s="1">
        <v>1515509</v>
      </c>
      <c r="K199" s="1">
        <v>296492</v>
      </c>
      <c r="M199" s="1">
        <v>908053</v>
      </c>
      <c r="O199" s="1">
        <v>1059884</v>
      </c>
      <c r="Q199" s="1">
        <v>478031</v>
      </c>
      <c r="S199" s="1">
        <v>19007</v>
      </c>
      <c r="U199" s="1">
        <v>1560863</v>
      </c>
      <c r="W199" s="1">
        <v>258115</v>
      </c>
      <c r="Y199" s="1">
        <v>0</v>
      </c>
      <c r="AA199" s="1">
        <v>1177167</v>
      </c>
      <c r="AC199" s="1">
        <v>1294345</v>
      </c>
      <c r="AE199" s="1">
        <v>276688</v>
      </c>
      <c r="AG199" s="1">
        <v>0</v>
      </c>
      <c r="AI199" s="1">
        <v>0</v>
      </c>
      <c r="AJ199" s="12" t="s">
        <v>441</v>
      </c>
      <c r="AK199" s="12"/>
      <c r="AL199" s="12" t="s">
        <v>44</v>
      </c>
      <c r="AN199" s="1">
        <v>493555</v>
      </c>
      <c r="AP199" s="1">
        <v>0</v>
      </c>
      <c r="AR199" s="1">
        <v>0</v>
      </c>
      <c r="AT199" s="1">
        <v>0</v>
      </c>
      <c r="AV199" s="1">
        <v>0</v>
      </c>
      <c r="AX199" s="1">
        <v>0</v>
      </c>
      <c r="AZ199" s="1">
        <f t="shared" si="17"/>
        <v>16859198</v>
      </c>
      <c r="BB199" s="1">
        <v>31000</v>
      </c>
      <c r="BH199" s="1">
        <v>0</v>
      </c>
      <c r="BJ199" s="1">
        <f t="shared" si="18"/>
        <v>16890198</v>
      </c>
      <c r="BL199" s="1">
        <f>+GenRev!AM199-GenExp!BJ199</f>
        <v>-614725</v>
      </c>
      <c r="BN199" s="1">
        <v>1722264</v>
      </c>
      <c r="BP199" s="1">
        <v>0</v>
      </c>
      <c r="BQ199" s="1">
        <v>0</v>
      </c>
      <c r="BS199" s="1">
        <f t="shared" si="16"/>
        <v>1107539</v>
      </c>
      <c r="BU199" s="20">
        <f>+BS199-'Gen Fd BS'!AA199+BQ199</f>
        <v>0</v>
      </c>
    </row>
    <row r="200" spans="1:73">
      <c r="A200" s="12" t="s">
        <v>364</v>
      </c>
      <c r="B200" s="12"/>
      <c r="C200" s="12" t="s">
        <v>32</v>
      </c>
      <c r="D200" s="12"/>
      <c r="E200" s="13">
        <v>47340</v>
      </c>
      <c r="G200" s="1">
        <v>34988475</v>
      </c>
      <c r="I200" s="1">
        <v>9106345</v>
      </c>
      <c r="K200" s="1">
        <v>0</v>
      </c>
      <c r="M200" s="1">
        <v>1403713</v>
      </c>
      <c r="O200" s="1">
        <v>3461169</v>
      </c>
      <c r="Q200" s="1">
        <v>5652807</v>
      </c>
      <c r="S200" s="1">
        <v>47942</v>
      </c>
      <c r="U200" s="1">
        <v>5116071</v>
      </c>
      <c r="W200" s="1">
        <v>1194219</v>
      </c>
      <c r="Y200" s="1">
        <v>181686</v>
      </c>
      <c r="AA200" s="1">
        <v>4694848</v>
      </c>
      <c r="AC200" s="1">
        <v>4337557</v>
      </c>
      <c r="AE200" s="1">
        <v>502096</v>
      </c>
      <c r="AG200" s="1">
        <v>0</v>
      </c>
      <c r="AI200" s="1">
        <v>69568</v>
      </c>
      <c r="AJ200" s="12" t="s">
        <v>364</v>
      </c>
      <c r="AK200" s="12"/>
      <c r="AL200" s="12" t="s">
        <v>32</v>
      </c>
      <c r="AN200" s="1">
        <v>1534927</v>
      </c>
      <c r="AP200" s="1">
        <v>0</v>
      </c>
      <c r="AR200" s="1">
        <v>0</v>
      </c>
      <c r="AT200" s="1">
        <v>0</v>
      </c>
      <c r="AV200" s="1">
        <v>0</v>
      </c>
      <c r="AX200" s="1">
        <v>0</v>
      </c>
      <c r="AZ200" s="1">
        <f t="shared" si="17"/>
        <v>72291423</v>
      </c>
      <c r="BB200" s="1">
        <v>250438</v>
      </c>
      <c r="BH200" s="1">
        <v>0</v>
      </c>
      <c r="BJ200" s="1">
        <f t="shared" si="18"/>
        <v>72541861</v>
      </c>
      <c r="BL200" s="1">
        <f>+GenRev!AM200-GenExp!BJ200</f>
        <v>-1210883</v>
      </c>
      <c r="BN200" s="1">
        <v>20679178</v>
      </c>
      <c r="BP200" s="1">
        <v>0</v>
      </c>
      <c r="BQ200" s="1">
        <v>0</v>
      </c>
      <c r="BS200" s="1">
        <f t="shared" si="16"/>
        <v>19468295</v>
      </c>
      <c r="BU200" s="20">
        <f>+BS200-'Gen Fd BS'!AA200+BQ200</f>
        <v>0</v>
      </c>
    </row>
    <row r="201" spans="1:73" hidden="1">
      <c r="A201" s="12" t="s">
        <v>737</v>
      </c>
      <c r="B201" s="12"/>
      <c r="C201" s="12" t="s">
        <v>70</v>
      </c>
      <c r="D201" s="12"/>
      <c r="E201" s="13">
        <v>50484</v>
      </c>
      <c r="AJ201" s="12" t="s">
        <v>737</v>
      </c>
      <c r="AK201" s="12"/>
      <c r="AL201" s="12" t="s">
        <v>70</v>
      </c>
      <c r="AZ201" s="1">
        <f t="shared" si="17"/>
        <v>0</v>
      </c>
      <c r="BJ201" s="1">
        <f t="shared" si="18"/>
        <v>0</v>
      </c>
      <c r="BL201" s="1">
        <f>+GenRev!AM201-GenExp!BJ201</f>
        <v>0</v>
      </c>
      <c r="BS201" s="1">
        <f t="shared" si="16"/>
        <v>0</v>
      </c>
      <c r="BU201" s="20">
        <f>+BS201-'Gen Fd BS'!AA201+BQ201</f>
        <v>0</v>
      </c>
    </row>
    <row r="202" spans="1:73" s="16" customFormat="1">
      <c r="A202" s="14" t="s">
        <v>569</v>
      </c>
      <c r="B202" s="14"/>
      <c r="C202" s="14" t="s">
        <v>61</v>
      </c>
      <c r="D202" s="14"/>
      <c r="E202" s="13">
        <v>49783</v>
      </c>
      <c r="G202" s="1">
        <v>3531172</v>
      </c>
      <c r="H202" s="1"/>
      <c r="I202" s="1">
        <v>423257</v>
      </c>
      <c r="J202" s="1"/>
      <c r="K202" s="1">
        <v>75</v>
      </c>
      <c r="L202" s="1"/>
      <c r="M202" s="1">
        <v>0</v>
      </c>
      <c r="N202" s="1"/>
      <c r="O202" s="1">
        <v>337563</v>
      </c>
      <c r="P202" s="1"/>
      <c r="Q202" s="1">
        <v>351560</v>
      </c>
      <c r="R202" s="1"/>
      <c r="S202" s="1">
        <v>17831</v>
      </c>
      <c r="T202" s="1"/>
      <c r="U202" s="1">
        <v>546116</v>
      </c>
      <c r="V202" s="1"/>
      <c r="W202" s="1">
        <v>196736</v>
      </c>
      <c r="X202" s="1"/>
      <c r="Y202" s="1">
        <v>4647</v>
      </c>
      <c r="Z202" s="1"/>
      <c r="AA202" s="1">
        <v>407681</v>
      </c>
      <c r="AB202" s="1"/>
      <c r="AC202" s="1">
        <v>228084</v>
      </c>
      <c r="AD202" s="1"/>
      <c r="AE202" s="1">
        <v>44170</v>
      </c>
      <c r="AF202" s="1"/>
      <c r="AG202" s="1">
        <v>0</v>
      </c>
      <c r="AH202" s="1"/>
      <c r="AI202" s="1">
        <v>0</v>
      </c>
      <c r="AJ202" s="12" t="s">
        <v>569</v>
      </c>
      <c r="AK202" s="12"/>
      <c r="AL202" s="12" t="s">
        <v>61</v>
      </c>
      <c r="AM202" s="1"/>
      <c r="AN202" s="1">
        <v>277017</v>
      </c>
      <c r="AO202" s="1"/>
      <c r="AP202" s="1">
        <v>0</v>
      </c>
      <c r="AQ202" s="1"/>
      <c r="AR202" s="1">
        <v>0</v>
      </c>
      <c r="AS202" s="1"/>
      <c r="AT202" s="1">
        <v>0</v>
      </c>
      <c r="AU202" s="1"/>
      <c r="AV202" s="1">
        <v>0</v>
      </c>
      <c r="AW202" s="1"/>
      <c r="AX202" s="1">
        <v>0</v>
      </c>
      <c r="AY202" s="1"/>
      <c r="AZ202" s="1">
        <f t="shared" si="17"/>
        <v>6365909</v>
      </c>
      <c r="BA202" s="1"/>
      <c r="BB202" s="1">
        <v>38369</v>
      </c>
      <c r="BC202" s="1"/>
      <c r="BD202" s="1"/>
      <c r="BE202" s="1"/>
      <c r="BF202" s="1"/>
      <c r="BG202" s="1"/>
      <c r="BH202" s="1">
        <v>0</v>
      </c>
      <c r="BI202" s="1"/>
      <c r="BJ202" s="1">
        <f t="shared" si="18"/>
        <v>6404278</v>
      </c>
      <c r="BK202" s="1"/>
      <c r="BL202" s="1">
        <f>+GenRev!AM202-GenExp!BJ202</f>
        <v>245127</v>
      </c>
      <c r="BM202" s="1"/>
      <c r="BN202" s="1">
        <v>2307758</v>
      </c>
      <c r="BO202" s="1"/>
      <c r="BP202" s="1">
        <v>0</v>
      </c>
      <c r="BQ202" s="1">
        <v>0</v>
      </c>
      <c r="BR202" s="1"/>
      <c r="BS202" s="1">
        <f t="shared" si="16"/>
        <v>2552885</v>
      </c>
      <c r="BT202" s="1"/>
      <c r="BU202" s="20">
        <f>+BS202-'Gen Fd BS'!AA202+BQ202</f>
        <v>0</v>
      </c>
    </row>
    <row r="203" spans="1:73" s="16" customFormat="1" hidden="1">
      <c r="A203" s="12" t="s">
        <v>814</v>
      </c>
      <c r="B203" s="12"/>
      <c r="C203" s="12" t="s">
        <v>486</v>
      </c>
      <c r="D203" s="14"/>
      <c r="E203" s="13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2" t="s">
        <v>814</v>
      </c>
      <c r="AK203" s="12"/>
      <c r="AL203" s="12" t="s">
        <v>486</v>
      </c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>
        <f t="shared" si="17"/>
        <v>0</v>
      </c>
      <c r="BA203" s="1"/>
      <c r="BB203" s="1"/>
      <c r="BC203" s="1"/>
      <c r="BD203" s="1"/>
      <c r="BE203" s="1"/>
      <c r="BF203" s="1"/>
      <c r="BG203" s="1"/>
      <c r="BH203" s="1"/>
      <c r="BI203" s="1"/>
      <c r="BJ203" s="1">
        <f t="shared" si="18"/>
        <v>0</v>
      </c>
      <c r="BK203" s="1"/>
      <c r="BL203" s="1">
        <f>+GenRev!AM203-GenExp!BJ203</f>
        <v>0</v>
      </c>
      <c r="BM203" s="1"/>
      <c r="BN203" s="1"/>
      <c r="BO203" s="1"/>
      <c r="BP203" s="1"/>
      <c r="BQ203" s="1"/>
      <c r="BR203" s="1"/>
      <c r="BS203" s="1">
        <f t="shared" si="16"/>
        <v>0</v>
      </c>
      <c r="BT203" s="1"/>
      <c r="BU203" s="20">
        <f>+BS203-'Gen Fd BS'!AA203+BQ203</f>
        <v>0</v>
      </c>
    </row>
    <row r="204" spans="1:73" hidden="1">
      <c r="A204" s="12" t="s">
        <v>950</v>
      </c>
      <c r="B204" s="12"/>
      <c r="C204" s="12" t="s">
        <v>60</v>
      </c>
      <c r="D204" s="12"/>
      <c r="E204" s="12">
        <v>43992</v>
      </c>
      <c r="AJ204" s="12" t="s">
        <v>950</v>
      </c>
      <c r="AK204" s="12"/>
      <c r="AL204" s="12" t="s">
        <v>60</v>
      </c>
      <c r="AZ204" s="1">
        <f t="shared" si="17"/>
        <v>0</v>
      </c>
      <c r="BJ204" s="1">
        <f t="shared" si="18"/>
        <v>0</v>
      </c>
      <c r="BL204" s="1">
        <f>+GenRev!AM204-GenExp!BJ204</f>
        <v>0</v>
      </c>
      <c r="BS204" s="1">
        <f t="shared" ref="BS204:BS225" si="19">+BN204+BL204-BP204</f>
        <v>0</v>
      </c>
      <c r="BU204" s="20">
        <f>+BS204-'Gen Fd BS'!AA204+BQ204</f>
        <v>0</v>
      </c>
    </row>
    <row r="205" spans="1:73">
      <c r="A205" s="12" t="s">
        <v>632</v>
      </c>
      <c r="B205" s="12"/>
      <c r="C205" s="12" t="s">
        <v>69</v>
      </c>
      <c r="D205" s="12"/>
      <c r="E205" s="13">
        <v>44008</v>
      </c>
      <c r="G205" s="1">
        <v>13223432</v>
      </c>
      <c r="I205" s="1">
        <v>2952826</v>
      </c>
      <c r="K205" s="1">
        <v>402196</v>
      </c>
      <c r="M205" s="1">
        <v>0</v>
      </c>
      <c r="O205" s="1">
        <v>1115163</v>
      </c>
      <c r="Q205" s="1">
        <v>1340931</v>
      </c>
      <c r="S205" s="1">
        <v>27815</v>
      </c>
      <c r="U205" s="1">
        <v>2311150</v>
      </c>
      <c r="W205" s="1">
        <v>647352</v>
      </c>
      <c r="Y205" s="1">
        <v>151408</v>
      </c>
      <c r="AA205" s="1">
        <v>2823022</v>
      </c>
      <c r="AC205" s="1">
        <v>1375630</v>
      </c>
      <c r="AE205" s="1">
        <v>405232</v>
      </c>
      <c r="AG205" s="1">
        <v>0</v>
      </c>
      <c r="AI205" s="1">
        <v>0</v>
      </c>
      <c r="AJ205" s="12" t="s">
        <v>632</v>
      </c>
      <c r="AK205" s="12"/>
      <c r="AL205" s="12" t="s">
        <v>69</v>
      </c>
      <c r="AN205" s="1">
        <v>585691</v>
      </c>
      <c r="AP205" s="1">
        <v>149905</v>
      </c>
      <c r="AR205" s="1">
        <v>0</v>
      </c>
      <c r="AT205" s="1">
        <v>0</v>
      </c>
      <c r="AV205" s="1">
        <v>0</v>
      </c>
      <c r="AX205" s="1">
        <v>0</v>
      </c>
      <c r="AZ205" s="1">
        <f t="shared" si="17"/>
        <v>27511753</v>
      </c>
      <c r="BB205" s="1">
        <v>0</v>
      </c>
      <c r="BH205" s="1">
        <v>0</v>
      </c>
      <c r="BJ205" s="1">
        <f t="shared" si="18"/>
        <v>27511753</v>
      </c>
      <c r="BL205" s="1">
        <f>+GenRev!AM205-GenExp!BJ205</f>
        <v>-1300527</v>
      </c>
      <c r="BN205" s="1">
        <v>5197697</v>
      </c>
      <c r="BP205" s="1">
        <v>0</v>
      </c>
      <c r="BQ205" s="1">
        <v>0</v>
      </c>
      <c r="BS205" s="1">
        <f t="shared" si="19"/>
        <v>3897170</v>
      </c>
      <c r="BU205" s="20">
        <f>+BS205-'Gen Fd BS'!AA205+BQ205</f>
        <v>0</v>
      </c>
    </row>
    <row r="206" spans="1:73">
      <c r="A206" s="12" t="s">
        <v>512</v>
      </c>
      <c r="B206" s="12"/>
      <c r="C206" s="12" t="s">
        <v>51</v>
      </c>
      <c r="D206" s="12"/>
      <c r="E206" s="13">
        <v>48843</v>
      </c>
      <c r="G206" s="1">
        <v>9882709</v>
      </c>
      <c r="I206" s="1">
        <v>1080170</v>
      </c>
      <c r="K206" s="1">
        <v>169779</v>
      </c>
      <c r="M206" s="1">
        <v>237371</v>
      </c>
      <c r="O206" s="1">
        <v>612145</v>
      </c>
      <c r="Q206" s="1">
        <v>759054</v>
      </c>
      <c r="S206" s="1">
        <v>150907</v>
      </c>
      <c r="U206" s="1">
        <v>1011265</v>
      </c>
      <c r="W206" s="1">
        <v>384476</v>
      </c>
      <c r="Y206" s="1">
        <v>0</v>
      </c>
      <c r="AA206" s="1">
        <v>1345413</v>
      </c>
      <c r="AC206" s="1">
        <v>1479940</v>
      </c>
      <c r="AE206" s="1">
        <v>138636</v>
      </c>
      <c r="AG206" s="1">
        <v>2474</v>
      </c>
      <c r="AI206" s="1">
        <v>0</v>
      </c>
      <c r="AJ206" s="12" t="s">
        <v>512</v>
      </c>
      <c r="AK206" s="12"/>
      <c r="AL206" s="12" t="s">
        <v>51</v>
      </c>
      <c r="AN206" s="1">
        <v>328865</v>
      </c>
      <c r="AP206" s="1">
        <v>2000</v>
      </c>
      <c r="AR206" s="1">
        <v>0</v>
      </c>
      <c r="AT206" s="1">
        <v>45618</v>
      </c>
      <c r="AV206" s="1">
        <v>10218</v>
      </c>
      <c r="AX206" s="1">
        <v>0</v>
      </c>
      <c r="AZ206" s="1">
        <f t="shared" si="17"/>
        <v>17641040</v>
      </c>
      <c r="BB206" s="1">
        <v>275000</v>
      </c>
      <c r="BH206" s="1">
        <v>0</v>
      </c>
      <c r="BJ206" s="1">
        <f t="shared" si="18"/>
        <v>17916040</v>
      </c>
      <c r="BL206" s="1">
        <f>+GenRev!AM206-GenExp!BJ206</f>
        <v>-35317</v>
      </c>
      <c r="BN206" s="1">
        <v>3332336</v>
      </c>
      <c r="BP206" s="1">
        <v>0</v>
      </c>
      <c r="BQ206" s="1">
        <v>0</v>
      </c>
      <c r="BS206" s="1">
        <f t="shared" si="19"/>
        <v>3297019</v>
      </c>
      <c r="BU206" s="20">
        <f>+BS206-'Gen Fd BS'!AA206+BQ206</f>
        <v>0</v>
      </c>
    </row>
    <row r="207" spans="1:73" hidden="1">
      <c r="A207" s="17" t="s">
        <v>736</v>
      </c>
      <c r="B207" s="12"/>
      <c r="C207" s="12" t="s">
        <v>21</v>
      </c>
      <c r="D207" s="12"/>
      <c r="E207" s="13">
        <v>46649</v>
      </c>
      <c r="AJ207" s="17" t="s">
        <v>736</v>
      </c>
      <c r="AK207" s="12"/>
      <c r="AL207" s="12" t="s">
        <v>21</v>
      </c>
      <c r="AZ207" s="1">
        <f t="shared" ref="AZ207:AZ210" si="20">SUM(G207:AX207)</f>
        <v>0</v>
      </c>
      <c r="BJ207" s="1">
        <f t="shared" ref="BJ207:BJ225" si="21">+AZ207+BB207+BD207+BH207</f>
        <v>0</v>
      </c>
      <c r="BL207" s="1">
        <f>+GenRev!AM207-GenExp!BJ207</f>
        <v>0</v>
      </c>
      <c r="BS207" s="1">
        <f t="shared" si="19"/>
        <v>0</v>
      </c>
      <c r="BU207" s="20">
        <f>+BS207-'Gen Fd BS'!AA207+BQ207</f>
        <v>0</v>
      </c>
    </row>
    <row r="208" spans="1:73" hidden="1">
      <c r="A208" s="17" t="s">
        <v>815</v>
      </c>
      <c r="B208" s="12"/>
      <c r="C208" s="12" t="s">
        <v>40</v>
      </c>
      <c r="D208" s="12"/>
      <c r="E208" s="13">
        <v>47852</v>
      </c>
      <c r="AJ208" s="17" t="s">
        <v>815</v>
      </c>
      <c r="AK208" s="12"/>
      <c r="AL208" s="12" t="s">
        <v>40</v>
      </c>
      <c r="AZ208" s="1">
        <f t="shared" si="20"/>
        <v>0</v>
      </c>
      <c r="BJ208" s="1">
        <f t="shared" si="21"/>
        <v>0</v>
      </c>
      <c r="BL208" s="1">
        <f>+GenRev!AM208-GenExp!BJ208</f>
        <v>0</v>
      </c>
      <c r="BS208" s="1">
        <f t="shared" si="19"/>
        <v>0</v>
      </c>
      <c r="BU208" s="20">
        <f>+BS208-'Gen Fd BS'!AA208+BQ208</f>
        <v>0</v>
      </c>
    </row>
    <row r="209" spans="1:73">
      <c r="A209" s="12" t="s">
        <v>556</v>
      </c>
      <c r="B209" s="12"/>
      <c r="C209" s="12" t="s">
        <v>79</v>
      </c>
      <c r="D209" s="12"/>
      <c r="E209" s="13">
        <v>44016</v>
      </c>
      <c r="G209" s="1">
        <v>15953337</v>
      </c>
      <c r="I209" s="1">
        <v>4774946</v>
      </c>
      <c r="K209" s="1">
        <v>106977</v>
      </c>
      <c r="M209" s="1">
        <v>373421</v>
      </c>
      <c r="O209" s="1">
        <v>1902250</v>
      </c>
      <c r="Q209" s="1">
        <v>1050211</v>
      </c>
      <c r="S209" s="1">
        <v>90273</v>
      </c>
      <c r="U209" s="1">
        <v>2714381</v>
      </c>
      <c r="W209" s="1">
        <v>678372</v>
      </c>
      <c r="Y209" s="1">
        <v>146744</v>
      </c>
      <c r="AA209" s="1">
        <v>3143240</v>
      </c>
      <c r="AC209" s="1">
        <v>1173883</v>
      </c>
      <c r="AE209" s="1">
        <v>59092</v>
      </c>
      <c r="AG209" s="1">
        <v>0</v>
      </c>
      <c r="AI209" s="1">
        <v>13373</v>
      </c>
      <c r="AJ209" s="12" t="s">
        <v>556</v>
      </c>
      <c r="AK209" s="12"/>
      <c r="AL209" s="12" t="s">
        <v>79</v>
      </c>
      <c r="AN209" s="1">
        <v>533879</v>
      </c>
      <c r="AP209" s="1">
        <v>5000</v>
      </c>
      <c r="AR209" s="1">
        <v>0</v>
      </c>
      <c r="AT209" s="1">
        <v>0</v>
      </c>
      <c r="AV209" s="1">
        <v>7628</v>
      </c>
      <c r="AX209" s="1">
        <v>0</v>
      </c>
      <c r="AZ209" s="1">
        <f t="shared" si="20"/>
        <v>32727007</v>
      </c>
      <c r="BB209" s="1">
        <v>0</v>
      </c>
      <c r="BH209" s="1">
        <v>0</v>
      </c>
      <c r="BJ209" s="1">
        <f t="shared" si="21"/>
        <v>32727007</v>
      </c>
      <c r="BL209" s="1">
        <f>+GenRev!AM209-GenExp!BJ209</f>
        <v>2103175</v>
      </c>
      <c r="BN209" s="1">
        <v>3604982</v>
      </c>
      <c r="BP209" s="1">
        <v>0</v>
      </c>
      <c r="BQ209" s="1">
        <v>0</v>
      </c>
      <c r="BS209" s="1">
        <f t="shared" si="19"/>
        <v>5708157</v>
      </c>
      <c r="BU209" s="20">
        <f>+BS209-'Gen Fd BS'!AA209+BQ209</f>
        <v>0</v>
      </c>
    </row>
    <row r="210" spans="1:73">
      <c r="A210" s="12" t="s">
        <v>637</v>
      </c>
      <c r="B210" s="12"/>
      <c r="C210" s="12" t="s">
        <v>70</v>
      </c>
      <c r="D210" s="12"/>
      <c r="E210" s="13">
        <v>50492</v>
      </c>
      <c r="G210" s="1">
        <v>2652142</v>
      </c>
      <c r="I210" s="1">
        <v>504573</v>
      </c>
      <c r="K210" s="1">
        <v>225973</v>
      </c>
      <c r="M210" s="1">
        <v>0</v>
      </c>
      <c r="O210" s="1">
        <v>304658</v>
      </c>
      <c r="Q210" s="1">
        <v>55003</v>
      </c>
      <c r="S210" s="1">
        <v>23274</v>
      </c>
      <c r="U210" s="1">
        <v>524758</v>
      </c>
      <c r="W210" s="1">
        <v>261862</v>
      </c>
      <c r="Y210" s="1">
        <v>0</v>
      </c>
      <c r="AA210" s="1">
        <v>864789</v>
      </c>
      <c r="AC210" s="1">
        <v>741417</v>
      </c>
      <c r="AE210" s="1">
        <v>7032</v>
      </c>
      <c r="AG210" s="1">
        <v>0</v>
      </c>
      <c r="AI210" s="1">
        <v>187649</v>
      </c>
      <c r="AJ210" s="12" t="s">
        <v>637</v>
      </c>
      <c r="AK210" s="12"/>
      <c r="AL210" s="12" t="s">
        <v>70</v>
      </c>
      <c r="AN210" s="1">
        <v>61003</v>
      </c>
      <c r="AP210" s="1">
        <v>1205</v>
      </c>
      <c r="AR210" s="1">
        <v>0</v>
      </c>
      <c r="AT210" s="1">
        <v>17911</v>
      </c>
      <c r="AV210" s="1">
        <v>3849</v>
      </c>
      <c r="AX210" s="1">
        <v>0</v>
      </c>
      <c r="AZ210" s="1">
        <f t="shared" si="20"/>
        <v>6437098</v>
      </c>
      <c r="BB210" s="1">
        <v>11707</v>
      </c>
      <c r="BH210" s="1">
        <v>0</v>
      </c>
      <c r="BJ210" s="1">
        <f t="shared" si="21"/>
        <v>6448805</v>
      </c>
      <c r="BL210" s="1">
        <f>+GenRev!AM210-GenExp!BJ210</f>
        <v>41877</v>
      </c>
      <c r="BN210" s="1">
        <v>926858</v>
      </c>
      <c r="BP210" s="1">
        <v>0</v>
      </c>
      <c r="BQ210" s="1">
        <v>0</v>
      </c>
      <c r="BS210" s="1">
        <f t="shared" si="19"/>
        <v>968735</v>
      </c>
      <c r="BU210" s="20">
        <f>+BS210-'Gen Fd BS'!AA210+BQ210</f>
        <v>0</v>
      </c>
    </row>
    <row r="211" spans="1:73">
      <c r="A211" s="12" t="s">
        <v>333</v>
      </c>
      <c r="B211" s="12"/>
      <c r="C211" s="12" t="s">
        <v>27</v>
      </c>
      <c r="D211" s="12"/>
      <c r="E211" s="13">
        <v>46961</v>
      </c>
      <c r="G211" s="1">
        <v>41551907</v>
      </c>
      <c r="I211" s="1">
        <v>10589100</v>
      </c>
      <c r="K211" s="1">
        <v>877859</v>
      </c>
      <c r="M211" s="1">
        <v>0</v>
      </c>
      <c r="O211" s="1">
        <v>3680291</v>
      </c>
      <c r="Q211" s="1">
        <v>3080390</v>
      </c>
      <c r="S211" s="1">
        <v>217292</v>
      </c>
      <c r="U211" s="1">
        <v>6402480</v>
      </c>
      <c r="W211" s="1">
        <v>1553205</v>
      </c>
      <c r="Y211" s="1">
        <v>0</v>
      </c>
      <c r="AA211" s="1">
        <v>6553193</v>
      </c>
      <c r="AC211" s="1">
        <v>2576757</v>
      </c>
      <c r="AE211" s="1">
        <v>519050</v>
      </c>
      <c r="AG211" s="1">
        <v>0</v>
      </c>
      <c r="AI211" s="1">
        <v>394</v>
      </c>
      <c r="AJ211" s="12" t="s">
        <v>333</v>
      </c>
      <c r="AK211" s="12"/>
      <c r="AL211" s="12" t="s">
        <v>27</v>
      </c>
      <c r="AN211" s="1">
        <v>844272</v>
      </c>
      <c r="AP211" s="1">
        <v>362830</v>
      </c>
      <c r="AR211" s="1">
        <v>0</v>
      </c>
      <c r="AT211" s="1">
        <v>50647</v>
      </c>
      <c r="AV211" s="1">
        <v>21353</v>
      </c>
      <c r="AX211" s="1">
        <v>0</v>
      </c>
      <c r="AZ211" s="1">
        <f t="shared" ref="AZ211:AZ225" si="22">SUM(G211:AX211)</f>
        <v>78881020</v>
      </c>
      <c r="BB211" s="1">
        <v>224936</v>
      </c>
      <c r="BH211" s="1">
        <v>0</v>
      </c>
      <c r="BJ211" s="1">
        <f t="shared" si="21"/>
        <v>79105956</v>
      </c>
      <c r="BL211" s="1">
        <f>+GenRev!AM211-GenExp!BJ211</f>
        <v>-6347178</v>
      </c>
      <c r="BN211" s="1">
        <v>29985058</v>
      </c>
      <c r="BP211" s="1">
        <v>0</v>
      </c>
      <c r="BQ211" s="1">
        <v>0</v>
      </c>
      <c r="BS211" s="1">
        <f t="shared" si="19"/>
        <v>23637880</v>
      </c>
      <c r="BU211" s="20">
        <f>+BS211-'Gen Fd BS'!AA211+BQ211</f>
        <v>0</v>
      </c>
    </row>
    <row r="212" spans="1:73">
      <c r="A212" s="12" t="s">
        <v>278</v>
      </c>
      <c r="B212" s="12"/>
      <c r="C212" s="12" t="s">
        <v>113</v>
      </c>
      <c r="D212" s="12"/>
      <c r="E212" s="13">
        <v>44024</v>
      </c>
      <c r="G212" s="1">
        <v>7667849</v>
      </c>
      <c r="I212" s="1">
        <v>2108457</v>
      </c>
      <c r="K212" s="1">
        <v>72969</v>
      </c>
      <c r="M212" s="1">
        <v>0</v>
      </c>
      <c r="O212" s="1">
        <v>700633</v>
      </c>
      <c r="Q212" s="1">
        <v>553124</v>
      </c>
      <c r="S212" s="1">
        <v>54160</v>
      </c>
      <c r="U212" s="1">
        <v>1300081</v>
      </c>
      <c r="W212" s="1">
        <v>380789</v>
      </c>
      <c r="Y212" s="1">
        <v>0</v>
      </c>
      <c r="AA212" s="1">
        <v>1505707</v>
      </c>
      <c r="AC212" s="1">
        <v>705968</v>
      </c>
      <c r="AE212" s="1">
        <v>114122</v>
      </c>
      <c r="AG212" s="1">
        <v>0</v>
      </c>
      <c r="AI212" s="1">
        <v>0</v>
      </c>
      <c r="AJ212" s="12" t="s">
        <v>278</v>
      </c>
      <c r="AK212" s="12"/>
      <c r="AL212" s="12" t="s">
        <v>113</v>
      </c>
      <c r="AN212" s="1">
        <v>464296</v>
      </c>
      <c r="AP212" s="1">
        <v>0</v>
      </c>
      <c r="AR212" s="1">
        <v>0</v>
      </c>
      <c r="AT212" s="1">
        <v>34300</v>
      </c>
      <c r="AV212" s="1">
        <v>5330</v>
      </c>
      <c r="AX212" s="1">
        <v>0</v>
      </c>
      <c r="AZ212" s="1">
        <f t="shared" si="22"/>
        <v>15667785</v>
      </c>
      <c r="BB212" s="1">
        <v>178255</v>
      </c>
      <c r="BH212" s="1">
        <v>0</v>
      </c>
      <c r="BJ212" s="1">
        <f t="shared" si="21"/>
        <v>15846040</v>
      </c>
      <c r="BL212" s="1">
        <f>+GenRev!AM212-GenExp!BJ212</f>
        <v>140331</v>
      </c>
      <c r="BN212" s="1">
        <v>1638796</v>
      </c>
      <c r="BP212" s="1">
        <v>0</v>
      </c>
      <c r="BQ212" s="1">
        <v>0</v>
      </c>
      <c r="BS212" s="1">
        <f t="shared" si="19"/>
        <v>1779127</v>
      </c>
      <c r="BU212" s="20">
        <f>+BS212-'Gen Fd BS'!AA212+BQ212</f>
        <v>0</v>
      </c>
    </row>
    <row r="213" spans="1:73">
      <c r="A213" s="12" t="s">
        <v>349</v>
      </c>
      <c r="B213" s="12"/>
      <c r="C213" s="12" t="s">
        <v>29</v>
      </c>
      <c r="D213" s="12"/>
      <c r="E213" s="13">
        <v>65680</v>
      </c>
      <c r="G213" s="1">
        <v>8328548</v>
      </c>
      <c r="I213" s="1">
        <v>1674718</v>
      </c>
      <c r="K213" s="1">
        <v>575652</v>
      </c>
      <c r="M213" s="1">
        <v>1914560</v>
      </c>
      <c r="O213" s="1">
        <v>595224</v>
      </c>
      <c r="Q213" s="1">
        <v>501916</v>
      </c>
      <c r="S213" s="1">
        <v>72957</v>
      </c>
      <c r="U213" s="1">
        <v>1593507</v>
      </c>
      <c r="W213" s="1">
        <v>639167</v>
      </c>
      <c r="Y213" s="1">
        <v>24934</v>
      </c>
      <c r="AA213" s="1">
        <v>1650430</v>
      </c>
      <c r="AC213" s="1">
        <v>2041575</v>
      </c>
      <c r="AE213" s="1">
        <v>265213</v>
      </c>
      <c r="AG213" s="1">
        <v>12624</v>
      </c>
      <c r="AI213" s="1">
        <v>0</v>
      </c>
      <c r="AJ213" s="12" t="s">
        <v>349</v>
      </c>
      <c r="AK213" s="12"/>
      <c r="AL213" s="12" t="s">
        <v>29</v>
      </c>
      <c r="AN213" s="1">
        <v>294890</v>
      </c>
      <c r="AP213" s="1">
        <v>380750</v>
      </c>
      <c r="AR213" s="1">
        <v>0</v>
      </c>
      <c r="AT213" s="1">
        <v>0</v>
      </c>
      <c r="AV213" s="1">
        <v>0</v>
      </c>
      <c r="AX213" s="1">
        <v>0</v>
      </c>
      <c r="AZ213" s="1">
        <f t="shared" si="22"/>
        <v>20566665</v>
      </c>
      <c r="BB213" s="1">
        <v>83160</v>
      </c>
      <c r="BH213" s="1">
        <v>0</v>
      </c>
      <c r="BJ213" s="1">
        <f t="shared" si="21"/>
        <v>20649825</v>
      </c>
      <c r="BL213" s="1">
        <f>+GenRev!AM213-GenExp!BJ213</f>
        <v>211100</v>
      </c>
      <c r="BN213" s="1">
        <v>1821202</v>
      </c>
      <c r="BP213" s="1">
        <v>0</v>
      </c>
      <c r="BQ213" s="1">
        <v>0</v>
      </c>
      <c r="BS213" s="1">
        <f t="shared" si="19"/>
        <v>2032302</v>
      </c>
      <c r="BU213" s="20">
        <f>+BS213-'Gen Fd BS'!AA213+BQ213</f>
        <v>0</v>
      </c>
    </row>
    <row r="214" spans="1:73">
      <c r="A214" s="12" t="s">
        <v>350</v>
      </c>
      <c r="B214" s="12"/>
      <c r="C214" s="12" t="s">
        <v>29</v>
      </c>
      <c r="D214" s="12"/>
      <c r="E214" s="13">
        <v>44032</v>
      </c>
      <c r="G214" s="1">
        <v>8554055</v>
      </c>
      <c r="I214" s="1">
        <v>2407784</v>
      </c>
      <c r="K214" s="1">
        <v>92473</v>
      </c>
      <c r="M214" s="1">
        <v>848602</v>
      </c>
      <c r="O214" s="1">
        <v>1066922</v>
      </c>
      <c r="Q214" s="1">
        <v>482095</v>
      </c>
      <c r="S214" s="1">
        <v>25685</v>
      </c>
      <c r="U214" s="1">
        <v>1319452</v>
      </c>
      <c r="W214" s="1">
        <v>380424</v>
      </c>
      <c r="Y214" s="1">
        <v>0</v>
      </c>
      <c r="AA214" s="1">
        <v>1624617</v>
      </c>
      <c r="AC214" s="1">
        <v>1362487</v>
      </c>
      <c r="AE214" s="1">
        <v>86212</v>
      </c>
      <c r="AG214" s="1">
        <v>0</v>
      </c>
      <c r="AI214" s="1">
        <v>0</v>
      </c>
      <c r="AJ214" s="12" t="s">
        <v>350</v>
      </c>
      <c r="AK214" s="12"/>
      <c r="AL214" s="12" t="s">
        <v>29</v>
      </c>
      <c r="AN214" s="1">
        <v>355567</v>
      </c>
      <c r="AP214" s="1">
        <v>507</v>
      </c>
      <c r="AR214" s="1">
        <v>0</v>
      </c>
      <c r="AT214" s="1">
        <v>0</v>
      </c>
      <c r="AV214" s="1">
        <v>0</v>
      </c>
      <c r="AX214" s="1">
        <v>0</v>
      </c>
      <c r="AZ214" s="1">
        <f t="shared" si="22"/>
        <v>18606882</v>
      </c>
      <c r="BB214" s="1">
        <v>150000</v>
      </c>
      <c r="BH214" s="1">
        <v>0</v>
      </c>
      <c r="BJ214" s="1">
        <f t="shared" si="21"/>
        <v>18756882</v>
      </c>
      <c r="BL214" s="1">
        <f>+GenRev!AM214-GenExp!BJ214</f>
        <v>-67103</v>
      </c>
      <c r="BN214" s="1">
        <v>-163588</v>
      </c>
      <c r="BP214" s="1">
        <v>-10589</v>
      </c>
      <c r="BQ214" s="1">
        <v>0</v>
      </c>
      <c r="BS214" s="1">
        <f t="shared" si="19"/>
        <v>-220102</v>
      </c>
      <c r="BU214" s="20">
        <f>+BS214-'Gen Fd BS'!AA214+BQ214</f>
        <v>0</v>
      </c>
    </row>
    <row r="215" spans="1:73">
      <c r="A215" s="12" t="s">
        <v>620</v>
      </c>
      <c r="B215" s="12"/>
      <c r="C215" s="12" t="s">
        <v>65</v>
      </c>
      <c r="D215" s="12"/>
      <c r="E215" s="13">
        <v>50278</v>
      </c>
      <c r="G215" s="1">
        <v>5360895</v>
      </c>
      <c r="I215" s="1">
        <v>607130</v>
      </c>
      <c r="K215" s="1">
        <v>1747</v>
      </c>
      <c r="M215" s="1">
        <v>187658</v>
      </c>
      <c r="O215" s="1">
        <v>306567</v>
      </c>
      <c r="Q215" s="1">
        <v>460693</v>
      </c>
      <c r="S215" s="1">
        <v>15961</v>
      </c>
      <c r="U215" s="1">
        <v>1100557</v>
      </c>
      <c r="W215" s="1">
        <v>363182</v>
      </c>
      <c r="Y215" s="1">
        <v>0</v>
      </c>
      <c r="AA215" s="1">
        <v>823902</v>
      </c>
      <c r="AC215" s="1">
        <v>820929</v>
      </c>
      <c r="AE215" s="1">
        <v>39693</v>
      </c>
      <c r="AG215" s="1">
        <v>0</v>
      </c>
      <c r="AI215" s="1">
        <v>0</v>
      </c>
      <c r="AJ215" s="12" t="s">
        <v>620</v>
      </c>
      <c r="AK215" s="12"/>
      <c r="AL215" s="12" t="s">
        <v>65</v>
      </c>
      <c r="AN215" s="1">
        <v>255506</v>
      </c>
      <c r="AP215" s="1">
        <v>0</v>
      </c>
      <c r="AR215" s="1">
        <v>0</v>
      </c>
      <c r="AT215" s="1">
        <v>0</v>
      </c>
      <c r="AV215" s="1">
        <v>0</v>
      </c>
      <c r="AX215" s="1">
        <v>0</v>
      </c>
      <c r="AZ215" s="1">
        <f t="shared" si="22"/>
        <v>10344420</v>
      </c>
      <c r="BB215" s="1">
        <v>10000</v>
      </c>
      <c r="BH215" s="1">
        <v>0</v>
      </c>
      <c r="BJ215" s="1">
        <f t="shared" si="21"/>
        <v>10354420</v>
      </c>
      <c r="BL215" s="1">
        <f>+GenRev!AM215-GenExp!BJ215</f>
        <v>-389315</v>
      </c>
      <c r="BN215" s="1">
        <v>2905977</v>
      </c>
      <c r="BP215" s="1">
        <v>0</v>
      </c>
      <c r="BQ215" s="1">
        <v>0</v>
      </c>
      <c r="BS215" s="1">
        <f t="shared" si="19"/>
        <v>2516662</v>
      </c>
      <c r="BU215" s="20">
        <f>+BS215-'Gen Fd BS'!AA215+BQ215</f>
        <v>0</v>
      </c>
    </row>
    <row r="216" spans="1:73">
      <c r="A216" s="17" t="s">
        <v>291</v>
      </c>
      <c r="B216" s="12"/>
      <c r="C216" s="12" t="s">
        <v>20</v>
      </c>
      <c r="D216" s="12"/>
      <c r="E216" s="13">
        <v>44040</v>
      </c>
      <c r="G216" s="1">
        <v>13173616</v>
      </c>
      <c r="I216" s="1">
        <v>3084444</v>
      </c>
      <c r="K216" s="1">
        <v>430477</v>
      </c>
      <c r="M216" s="1">
        <v>2156313</v>
      </c>
      <c r="O216" s="1">
        <v>2428544</v>
      </c>
      <c r="Q216" s="1">
        <v>2040293</v>
      </c>
      <c r="S216" s="1">
        <v>98672</v>
      </c>
      <c r="U216" s="1">
        <v>2805256</v>
      </c>
      <c r="W216" s="1">
        <v>1018383</v>
      </c>
      <c r="Y216" s="1">
        <v>851753</v>
      </c>
      <c r="AA216" s="1">
        <v>3611992</v>
      </c>
      <c r="AC216" s="1">
        <v>825805</v>
      </c>
      <c r="AE216" s="1">
        <v>314756</v>
      </c>
      <c r="AG216" s="1">
        <v>0</v>
      </c>
      <c r="AI216" s="1">
        <v>397</v>
      </c>
      <c r="AJ216" s="12" t="s">
        <v>291</v>
      </c>
      <c r="AK216" s="12"/>
      <c r="AL216" s="12" t="s">
        <v>20</v>
      </c>
      <c r="AN216" s="1">
        <v>293576</v>
      </c>
      <c r="AP216" s="1">
        <v>432</v>
      </c>
      <c r="AR216" s="1">
        <v>0</v>
      </c>
      <c r="AT216" s="1">
        <v>404772</v>
      </c>
      <c r="AV216" s="1">
        <v>46499</v>
      </c>
      <c r="AX216" s="1">
        <v>0</v>
      </c>
      <c r="AZ216" s="1">
        <f t="shared" si="22"/>
        <v>33585980</v>
      </c>
      <c r="BB216" s="1">
        <v>166</v>
      </c>
      <c r="BH216" s="1">
        <v>0</v>
      </c>
      <c r="BJ216" s="1">
        <f t="shared" si="21"/>
        <v>33586146</v>
      </c>
      <c r="BL216" s="1">
        <f>+GenRev!AM216-GenExp!BJ216</f>
        <v>-474009</v>
      </c>
      <c r="BN216" s="1">
        <v>2577870</v>
      </c>
      <c r="BP216" s="1">
        <v>0</v>
      </c>
      <c r="BQ216" s="1">
        <v>0</v>
      </c>
      <c r="BS216" s="1">
        <f t="shared" si="19"/>
        <v>2103861</v>
      </c>
      <c r="BU216" s="20">
        <f>+BS216-'Gen Fd BS'!AA216+BQ216</f>
        <v>0</v>
      </c>
    </row>
    <row r="217" spans="1:73">
      <c r="A217" s="17" t="s">
        <v>786</v>
      </c>
      <c r="B217" s="12"/>
      <c r="C217" s="12" t="s">
        <v>12</v>
      </c>
      <c r="D217" s="12"/>
      <c r="E217" s="13">
        <v>44057</v>
      </c>
      <c r="F217" s="8"/>
      <c r="G217" s="1">
        <v>9579930</v>
      </c>
      <c r="I217" s="1">
        <v>2283832</v>
      </c>
      <c r="K217" s="1">
        <v>392352</v>
      </c>
      <c r="M217" s="1">
        <v>1342366</v>
      </c>
      <c r="O217" s="1">
        <v>1359685</v>
      </c>
      <c r="Q217" s="1">
        <v>518237</v>
      </c>
      <c r="S217" s="1">
        <v>20177</v>
      </c>
      <c r="U217" s="1">
        <v>1650819</v>
      </c>
      <c r="W217" s="1">
        <v>488376</v>
      </c>
      <c r="Y217" s="1">
        <v>33992</v>
      </c>
      <c r="AA217" s="1">
        <v>2120151</v>
      </c>
      <c r="AC217" s="1">
        <v>1350339</v>
      </c>
      <c r="AE217" s="1">
        <v>4047</v>
      </c>
      <c r="AG217" s="1">
        <v>0</v>
      </c>
      <c r="AI217" s="1">
        <v>43725</v>
      </c>
      <c r="AJ217" s="17" t="s">
        <v>786</v>
      </c>
      <c r="AK217" s="12"/>
      <c r="AL217" s="12" t="s">
        <v>12</v>
      </c>
      <c r="AN217" s="1">
        <v>463054</v>
      </c>
      <c r="AP217" s="1">
        <v>93181</v>
      </c>
      <c r="AR217" s="1">
        <v>0</v>
      </c>
      <c r="AT217" s="1">
        <v>0</v>
      </c>
      <c r="AV217" s="1">
        <v>0</v>
      </c>
      <c r="AX217" s="1">
        <v>0</v>
      </c>
      <c r="AZ217" s="1">
        <f t="shared" si="22"/>
        <v>21744263</v>
      </c>
      <c r="BB217" s="1">
        <v>55243</v>
      </c>
      <c r="BH217" s="1">
        <v>0</v>
      </c>
      <c r="BJ217" s="1">
        <f t="shared" si="21"/>
        <v>21799506</v>
      </c>
      <c r="BL217" s="1">
        <f>+GenRev!AM217-GenExp!BJ217</f>
        <v>-376467</v>
      </c>
      <c r="BN217" s="1">
        <v>2200831</v>
      </c>
      <c r="BP217" s="1">
        <v>0</v>
      </c>
      <c r="BQ217" s="1">
        <v>0</v>
      </c>
      <c r="BS217" s="1">
        <f t="shared" si="19"/>
        <v>1824364</v>
      </c>
      <c r="BU217" s="20">
        <f>+BS217-'Gen Fd BS'!AA217+BQ217</f>
        <v>0</v>
      </c>
    </row>
    <row r="218" spans="1:73">
      <c r="A218" s="12" t="s">
        <v>521</v>
      </c>
      <c r="B218" s="12"/>
      <c r="C218" s="12" t="s">
        <v>53</v>
      </c>
      <c r="D218" s="12"/>
      <c r="E218" s="13">
        <v>48942</v>
      </c>
      <c r="G218" s="1">
        <v>6739413</v>
      </c>
      <c r="I218" s="1">
        <v>565033</v>
      </c>
      <c r="K218" s="1">
        <v>0</v>
      </c>
      <c r="M218" s="1">
        <v>151</v>
      </c>
      <c r="O218" s="1">
        <v>354709</v>
      </c>
      <c r="Q218" s="1">
        <v>88009</v>
      </c>
      <c r="S218" s="1">
        <v>10068</v>
      </c>
      <c r="U218" s="1">
        <v>866052</v>
      </c>
      <c r="W218" s="1">
        <v>336811</v>
      </c>
      <c r="Y218" s="1">
        <v>13872</v>
      </c>
      <c r="AA218" s="1">
        <v>848481</v>
      </c>
      <c r="AC218" s="1">
        <v>360953</v>
      </c>
      <c r="AE218" s="1">
        <v>286017</v>
      </c>
      <c r="AG218" s="1">
        <v>0</v>
      </c>
      <c r="AI218" s="1">
        <v>933</v>
      </c>
      <c r="AJ218" s="12" t="s">
        <v>521</v>
      </c>
      <c r="AK218" s="12"/>
      <c r="AL218" s="12" t="s">
        <v>53</v>
      </c>
      <c r="AN218" s="1">
        <v>205104</v>
      </c>
      <c r="AP218" s="1">
        <v>0</v>
      </c>
      <c r="AR218" s="1">
        <v>0</v>
      </c>
      <c r="AT218" s="1">
        <v>70067</v>
      </c>
      <c r="AV218" s="1">
        <v>45733</v>
      </c>
      <c r="AX218" s="1">
        <v>0</v>
      </c>
      <c r="AZ218" s="1">
        <f t="shared" si="22"/>
        <v>10791406</v>
      </c>
      <c r="BB218" s="1">
        <v>82432</v>
      </c>
      <c r="BH218" s="1">
        <v>0</v>
      </c>
      <c r="BJ218" s="1">
        <f t="shared" si="21"/>
        <v>10873838</v>
      </c>
      <c r="BL218" s="1">
        <f>+GenRev!AM218-GenExp!BJ218</f>
        <v>90767</v>
      </c>
      <c r="BN218" s="1">
        <v>769733</v>
      </c>
      <c r="BP218" s="1">
        <v>0</v>
      </c>
      <c r="BQ218" s="1">
        <v>0</v>
      </c>
      <c r="BS218" s="1">
        <f t="shared" si="19"/>
        <v>860500</v>
      </c>
      <c r="BU218" s="20">
        <f>+BS218-'Gen Fd BS'!AA218+BQ218</f>
        <v>0</v>
      </c>
    </row>
    <row r="219" spans="1:73" hidden="1">
      <c r="A219" s="17" t="s">
        <v>816</v>
      </c>
      <c r="B219" s="12"/>
      <c r="C219" s="12" t="s">
        <v>77</v>
      </c>
      <c r="D219" s="12"/>
      <c r="E219" s="13">
        <v>45377</v>
      </c>
      <c r="AJ219" s="17" t="s">
        <v>816</v>
      </c>
      <c r="AK219" s="12"/>
      <c r="AL219" s="12" t="s">
        <v>77</v>
      </c>
      <c r="AZ219" s="1">
        <f t="shared" si="22"/>
        <v>0</v>
      </c>
      <c r="BJ219" s="1">
        <f t="shared" si="21"/>
        <v>0</v>
      </c>
      <c r="BL219" s="1">
        <f>+GenRev!AM219-GenExp!BJ219</f>
        <v>0</v>
      </c>
      <c r="BS219" s="1">
        <f t="shared" si="19"/>
        <v>0</v>
      </c>
      <c r="BU219" s="20">
        <f>+BS219-'Gen Fd BS'!AA219+BQ219</f>
        <v>0</v>
      </c>
    </row>
    <row r="220" spans="1:73" s="16" customFormat="1">
      <c r="A220" s="14" t="s">
        <v>557</v>
      </c>
      <c r="B220" s="14"/>
      <c r="C220" s="14" t="s">
        <v>79</v>
      </c>
      <c r="D220" s="14"/>
      <c r="E220" s="14">
        <v>45385</v>
      </c>
      <c r="G220" s="1">
        <v>4332784</v>
      </c>
      <c r="H220" s="1"/>
      <c r="I220" s="1">
        <v>484615</v>
      </c>
      <c r="J220" s="1"/>
      <c r="K220" s="1">
        <v>172150</v>
      </c>
      <c r="L220" s="1"/>
      <c r="M220" s="1">
        <v>0</v>
      </c>
      <c r="N220" s="1"/>
      <c r="O220" s="1">
        <v>353382</v>
      </c>
      <c r="P220" s="1"/>
      <c r="Q220" s="1">
        <v>29926</v>
      </c>
      <c r="R220" s="1"/>
      <c r="S220" s="1">
        <v>42871</v>
      </c>
      <c r="T220" s="1"/>
      <c r="U220" s="1">
        <v>801266</v>
      </c>
      <c r="V220" s="1"/>
      <c r="W220" s="1">
        <v>455315</v>
      </c>
      <c r="X220" s="1"/>
      <c r="Y220" s="1">
        <v>6378</v>
      </c>
      <c r="Z220" s="1"/>
      <c r="AA220" s="1">
        <v>885000</v>
      </c>
      <c r="AB220" s="1"/>
      <c r="AC220" s="1">
        <v>336712</v>
      </c>
      <c r="AD220" s="1"/>
      <c r="AE220" s="1">
        <v>1570</v>
      </c>
      <c r="AF220" s="1"/>
      <c r="AG220" s="1">
        <v>0</v>
      </c>
      <c r="AH220" s="1"/>
      <c r="AI220" s="1">
        <v>114921</v>
      </c>
      <c r="AJ220" s="14" t="s">
        <v>557</v>
      </c>
      <c r="AK220" s="14"/>
      <c r="AL220" s="14" t="s">
        <v>79</v>
      </c>
      <c r="AN220" s="1">
        <v>221356</v>
      </c>
      <c r="AO220" s="1"/>
      <c r="AP220" s="1">
        <v>51337</v>
      </c>
      <c r="AQ220" s="1"/>
      <c r="AR220" s="1">
        <v>0</v>
      </c>
      <c r="AS220" s="1"/>
      <c r="AT220" s="1">
        <v>11099</v>
      </c>
      <c r="AU220" s="1"/>
      <c r="AV220" s="1">
        <v>0</v>
      </c>
      <c r="AW220" s="1"/>
      <c r="AX220" s="1">
        <v>0</v>
      </c>
      <c r="AY220" s="1"/>
      <c r="AZ220" s="1">
        <f t="shared" si="22"/>
        <v>8300682</v>
      </c>
      <c r="BA220" s="1"/>
      <c r="BB220" s="1">
        <v>0</v>
      </c>
      <c r="BC220" s="1"/>
      <c r="BD220" s="1"/>
      <c r="BE220" s="1"/>
      <c r="BF220" s="1"/>
      <c r="BG220" s="1"/>
      <c r="BH220" s="1">
        <v>0</v>
      </c>
      <c r="BI220" s="1"/>
      <c r="BJ220" s="1">
        <f t="shared" si="21"/>
        <v>8300682</v>
      </c>
      <c r="BK220" s="1"/>
      <c r="BL220" s="1">
        <f>+GenRev!AM220-GenExp!BJ220</f>
        <v>-231468</v>
      </c>
      <c r="BM220" s="1"/>
      <c r="BN220" s="1">
        <v>2016026</v>
      </c>
      <c r="BO220" s="1"/>
      <c r="BP220" s="1">
        <v>0</v>
      </c>
      <c r="BQ220" s="1">
        <v>0</v>
      </c>
      <c r="BR220" s="1"/>
      <c r="BS220" s="1">
        <f t="shared" si="19"/>
        <v>1784558</v>
      </c>
      <c r="BT220" s="1"/>
      <c r="BU220" s="20">
        <f>+BS220-'Gen Fd BS'!AA220+BQ220</f>
        <v>0</v>
      </c>
    </row>
    <row r="221" spans="1:73">
      <c r="A221" s="12" t="s">
        <v>603</v>
      </c>
      <c r="B221" s="12"/>
      <c r="C221" s="12" t="s">
        <v>64</v>
      </c>
      <c r="D221" s="12"/>
      <c r="E221" s="13">
        <v>44065</v>
      </c>
      <c r="G221" s="1">
        <v>5493111</v>
      </c>
      <c r="I221" s="1">
        <v>1100348</v>
      </c>
      <c r="K221" s="1">
        <v>174618</v>
      </c>
      <c r="M221" s="1">
        <v>625333</v>
      </c>
      <c r="O221" s="1">
        <v>559457</v>
      </c>
      <c r="Q221" s="1">
        <v>169257</v>
      </c>
      <c r="S221" s="1">
        <v>58831</v>
      </c>
      <c r="U221" s="1">
        <v>1065969</v>
      </c>
      <c r="W221" s="1">
        <v>740039</v>
      </c>
      <c r="Y221" s="1">
        <v>0</v>
      </c>
      <c r="AA221" s="1">
        <v>1331279</v>
      </c>
      <c r="AC221" s="1">
        <v>629398</v>
      </c>
      <c r="AE221" s="1">
        <v>4000</v>
      </c>
      <c r="AG221" s="1">
        <v>0</v>
      </c>
      <c r="AI221" s="1">
        <v>0</v>
      </c>
      <c r="AJ221" s="12" t="s">
        <v>603</v>
      </c>
      <c r="AK221" s="12"/>
      <c r="AL221" s="12" t="s">
        <v>64</v>
      </c>
      <c r="AN221" s="1">
        <v>389572</v>
      </c>
      <c r="AP221" s="1">
        <v>1055</v>
      </c>
      <c r="AR221" s="1">
        <v>0</v>
      </c>
      <c r="AT221" s="1">
        <v>100000</v>
      </c>
      <c r="AV221" s="1">
        <v>47250</v>
      </c>
      <c r="AX221" s="1">
        <v>0</v>
      </c>
      <c r="AZ221" s="1">
        <f t="shared" si="22"/>
        <v>12489517</v>
      </c>
      <c r="BB221" s="1">
        <v>3375</v>
      </c>
      <c r="BH221" s="1">
        <v>0</v>
      </c>
      <c r="BJ221" s="1">
        <f t="shared" si="21"/>
        <v>12492892</v>
      </c>
      <c r="BL221" s="1">
        <f>+GenRev!AM221-GenExp!BJ221</f>
        <v>336059</v>
      </c>
      <c r="BN221" s="1">
        <v>4987299</v>
      </c>
      <c r="BP221" s="1">
        <v>0</v>
      </c>
      <c r="BQ221" s="1">
        <v>0</v>
      </c>
      <c r="BS221" s="1">
        <f t="shared" si="19"/>
        <v>5323358</v>
      </c>
      <c r="BU221" s="20">
        <f>+BS221-'Gen Fd BS'!AA221+BQ221</f>
        <v>0</v>
      </c>
    </row>
    <row r="222" spans="1:73" hidden="1">
      <c r="A222" s="17" t="s">
        <v>869</v>
      </c>
      <c r="B222" s="12"/>
      <c r="C222" s="12" t="s">
        <v>28</v>
      </c>
      <c r="D222" s="12"/>
      <c r="E222" s="13">
        <v>47068</v>
      </c>
      <c r="F222" s="8"/>
      <c r="AJ222" s="17" t="s">
        <v>869</v>
      </c>
      <c r="AK222" s="12"/>
      <c r="AL222" s="12" t="s">
        <v>28</v>
      </c>
      <c r="AZ222" s="1">
        <f t="shared" si="22"/>
        <v>0</v>
      </c>
      <c r="BJ222" s="1">
        <f t="shared" si="21"/>
        <v>0</v>
      </c>
      <c r="BL222" s="1">
        <f>+GenRev!AM222-GenExp!BJ222</f>
        <v>0</v>
      </c>
      <c r="BS222" s="1">
        <f t="shared" si="19"/>
        <v>0</v>
      </c>
      <c r="BU222" s="20">
        <f>+BS222-'Gen Fd BS'!AA222+BQ222</f>
        <v>0</v>
      </c>
    </row>
    <row r="223" spans="1:73">
      <c r="A223" s="12" t="s">
        <v>254</v>
      </c>
      <c r="B223" s="12"/>
      <c r="C223" s="12" t="s">
        <v>115</v>
      </c>
      <c r="D223" s="12"/>
      <c r="E223" s="13">
        <v>46342</v>
      </c>
      <c r="F223" s="8"/>
      <c r="G223" s="1">
        <v>9872925</v>
      </c>
      <c r="I223" s="1">
        <v>1781484</v>
      </c>
      <c r="K223" s="1">
        <v>420680</v>
      </c>
      <c r="M223" s="1">
        <v>0</v>
      </c>
      <c r="O223" s="1">
        <v>1459728</v>
      </c>
      <c r="Q223" s="1">
        <v>2826310</v>
      </c>
      <c r="S223" s="1">
        <v>49030</v>
      </c>
      <c r="U223" s="1">
        <v>1526305</v>
      </c>
      <c r="W223" s="1">
        <v>558704</v>
      </c>
      <c r="Y223" s="1">
        <v>11997</v>
      </c>
      <c r="AA223" s="1">
        <v>1045863</v>
      </c>
      <c r="AC223" s="1">
        <v>2191125</v>
      </c>
      <c r="AE223" s="1">
        <v>0</v>
      </c>
      <c r="AG223" s="1">
        <v>0</v>
      </c>
      <c r="AI223" s="1">
        <v>150</v>
      </c>
      <c r="AJ223" s="12" t="s">
        <v>254</v>
      </c>
      <c r="AK223" s="12"/>
      <c r="AL223" s="12" t="s">
        <v>115</v>
      </c>
      <c r="AN223" s="1">
        <v>237307</v>
      </c>
      <c r="AP223" s="1">
        <v>0</v>
      </c>
      <c r="AR223" s="1">
        <v>0</v>
      </c>
      <c r="AT223" s="1">
        <v>0</v>
      </c>
      <c r="AV223" s="1">
        <v>0</v>
      </c>
      <c r="AX223" s="1">
        <v>0</v>
      </c>
      <c r="AZ223" s="1">
        <f t="shared" si="22"/>
        <v>21981608</v>
      </c>
      <c r="BB223" s="1">
        <v>0</v>
      </c>
      <c r="BH223" s="1">
        <v>0</v>
      </c>
      <c r="BJ223" s="1">
        <f t="shared" si="21"/>
        <v>21981608</v>
      </c>
      <c r="BL223" s="1">
        <f>+GenRev!AM223-GenExp!BJ223</f>
        <v>-754698</v>
      </c>
      <c r="BN223" s="1">
        <v>2412388</v>
      </c>
      <c r="BP223" s="1">
        <v>0</v>
      </c>
      <c r="BQ223" s="1">
        <v>0</v>
      </c>
      <c r="BS223" s="1">
        <f t="shared" si="19"/>
        <v>1657690</v>
      </c>
      <c r="BU223" s="20">
        <f>+BS223-'Gen Fd BS'!AA223+BQ223</f>
        <v>0</v>
      </c>
    </row>
    <row r="224" spans="1:73">
      <c r="A224" s="12" t="s">
        <v>239</v>
      </c>
      <c r="B224" s="12"/>
      <c r="C224" s="12" t="s">
        <v>240</v>
      </c>
      <c r="D224" s="12"/>
      <c r="E224" s="13">
        <v>46193</v>
      </c>
      <c r="F224" s="8"/>
      <c r="G224" s="1">
        <v>6764345</v>
      </c>
      <c r="I224" s="1">
        <v>1731942</v>
      </c>
      <c r="K224" s="1">
        <v>436</v>
      </c>
      <c r="M224" s="1">
        <v>1579078</v>
      </c>
      <c r="O224" s="1">
        <v>773625</v>
      </c>
      <c r="Q224" s="1">
        <v>861888</v>
      </c>
      <c r="S224" s="1">
        <v>71008</v>
      </c>
      <c r="U224" s="1">
        <v>1379691</v>
      </c>
      <c r="W224" s="1">
        <v>392824</v>
      </c>
      <c r="Y224" s="1">
        <v>38315</v>
      </c>
      <c r="AA224" s="1">
        <v>1421031</v>
      </c>
      <c r="AC224" s="1">
        <v>1413834</v>
      </c>
      <c r="AE224" s="1">
        <v>219950</v>
      </c>
      <c r="AG224" s="1">
        <v>0</v>
      </c>
      <c r="AI224" s="1">
        <v>0</v>
      </c>
      <c r="AJ224" s="12" t="s">
        <v>239</v>
      </c>
      <c r="AK224" s="12"/>
      <c r="AL224" s="12" t="s">
        <v>240</v>
      </c>
      <c r="AN224" s="1">
        <v>348052</v>
      </c>
      <c r="AP224" s="1">
        <v>0</v>
      </c>
      <c r="AR224" s="1">
        <v>0</v>
      </c>
      <c r="AT224" s="1">
        <v>22000</v>
      </c>
      <c r="AV224" s="1">
        <v>12762</v>
      </c>
      <c r="AX224" s="1">
        <v>0</v>
      </c>
      <c r="AZ224" s="1">
        <f t="shared" si="22"/>
        <v>17030781</v>
      </c>
      <c r="BB224" s="1">
        <v>55365</v>
      </c>
      <c r="BH224" s="1">
        <v>68509</v>
      </c>
      <c r="BJ224" s="1">
        <f t="shared" si="21"/>
        <v>17154655</v>
      </c>
      <c r="BL224" s="1">
        <f>+GenRev!AM224-GenExp!BJ224</f>
        <v>-381757</v>
      </c>
      <c r="BN224" s="1">
        <v>336705</v>
      </c>
      <c r="BP224" s="1">
        <v>0</v>
      </c>
      <c r="BQ224" s="1">
        <v>0</v>
      </c>
      <c r="BS224" s="1">
        <f t="shared" si="19"/>
        <v>-45052</v>
      </c>
      <c r="BU224" s="20">
        <f>+BS224-'Gen Fd BS'!AA224+BQ224</f>
        <v>0</v>
      </c>
    </row>
    <row r="225" spans="1:73">
      <c r="A225" s="12" t="s">
        <v>211</v>
      </c>
      <c r="B225" s="12"/>
      <c r="C225" s="12" t="s">
        <v>12</v>
      </c>
      <c r="D225" s="12"/>
      <c r="E225" s="13">
        <v>45864</v>
      </c>
      <c r="G225" s="1">
        <v>5713386</v>
      </c>
      <c r="I225" s="1">
        <v>554123</v>
      </c>
      <c r="K225" s="1">
        <v>181509</v>
      </c>
      <c r="M225" s="1">
        <v>0</v>
      </c>
      <c r="O225" s="1">
        <v>455461</v>
      </c>
      <c r="Q225" s="1">
        <v>280358</v>
      </c>
      <c r="S225" s="1">
        <v>18284</v>
      </c>
      <c r="U225" s="1">
        <v>1236077</v>
      </c>
      <c r="W225" s="1">
        <v>298749</v>
      </c>
      <c r="Y225" s="1">
        <v>21979</v>
      </c>
      <c r="AA225" s="1">
        <v>1078781</v>
      </c>
      <c r="AC225" s="1">
        <v>1130795</v>
      </c>
      <c r="AE225" s="1">
        <v>16446</v>
      </c>
      <c r="AG225" s="1">
        <v>0</v>
      </c>
      <c r="AI225" s="1">
        <v>0</v>
      </c>
      <c r="AJ225" s="12" t="s">
        <v>211</v>
      </c>
      <c r="AK225" s="12"/>
      <c r="AL225" s="12" t="s">
        <v>12</v>
      </c>
      <c r="AN225" s="1">
        <v>350391</v>
      </c>
      <c r="AP225" s="1">
        <v>0</v>
      </c>
      <c r="AR225" s="1">
        <v>0</v>
      </c>
      <c r="AT225" s="1">
        <v>0</v>
      </c>
      <c r="AV225" s="1">
        <v>0</v>
      </c>
      <c r="AX225" s="1">
        <v>0</v>
      </c>
      <c r="AZ225" s="1">
        <f t="shared" si="22"/>
        <v>11336339</v>
      </c>
      <c r="BB225" s="1">
        <v>14000</v>
      </c>
      <c r="BH225" s="1">
        <v>0</v>
      </c>
      <c r="BJ225" s="1">
        <f t="shared" si="21"/>
        <v>11350339</v>
      </c>
      <c r="BL225" s="1">
        <f>+GenRev!AM225-GenExp!BJ225</f>
        <v>-706153</v>
      </c>
      <c r="BN225" s="1">
        <v>2106859</v>
      </c>
      <c r="BP225" s="1">
        <v>0</v>
      </c>
      <c r="BQ225" s="1">
        <v>0</v>
      </c>
      <c r="BS225" s="1">
        <f t="shared" si="19"/>
        <v>1400706</v>
      </c>
      <c r="BU225" s="20">
        <f>+BS225-'Gen Fd BS'!AA225+BQ225</f>
        <v>0</v>
      </c>
    </row>
    <row r="226" spans="1:73">
      <c r="A226" s="12" t="s">
        <v>334</v>
      </c>
      <c r="B226" s="12"/>
      <c r="C226" s="12" t="s">
        <v>27</v>
      </c>
      <c r="D226" s="12"/>
      <c r="E226" s="13">
        <v>44073</v>
      </c>
      <c r="G226" s="1">
        <v>7126322</v>
      </c>
      <c r="I226" s="1">
        <v>2260034</v>
      </c>
      <c r="K226" s="1">
        <v>117150</v>
      </c>
      <c r="M226" s="1">
        <v>0</v>
      </c>
      <c r="O226" s="1">
        <v>1476394</v>
      </c>
      <c r="Q226" s="1">
        <v>784065</v>
      </c>
      <c r="S226" s="1">
        <v>18240</v>
      </c>
      <c r="U226" s="1">
        <v>1074984</v>
      </c>
      <c r="W226" s="1">
        <v>574553</v>
      </c>
      <c r="Y226" s="1">
        <v>0</v>
      </c>
      <c r="AA226" s="1">
        <v>1502420</v>
      </c>
      <c r="AC226" s="1">
        <v>13730</v>
      </c>
      <c r="AE226" s="1">
        <v>58709</v>
      </c>
      <c r="AG226" s="1">
        <v>0</v>
      </c>
      <c r="AI226" s="1">
        <v>0</v>
      </c>
      <c r="AJ226" s="12" t="s">
        <v>334</v>
      </c>
      <c r="AK226" s="12"/>
      <c r="AL226" s="12" t="s">
        <v>27</v>
      </c>
      <c r="AN226" s="1">
        <v>639656</v>
      </c>
      <c r="AP226" s="1">
        <v>0</v>
      </c>
      <c r="AR226" s="1">
        <v>0</v>
      </c>
      <c r="AT226" s="1">
        <v>85438</v>
      </c>
      <c r="AV226" s="1">
        <v>5503</v>
      </c>
      <c r="AX226" s="1">
        <v>53333</v>
      </c>
      <c r="AZ226" s="1">
        <f t="shared" ref="AZ226:AZ292" si="23">SUM(G226:AX226)</f>
        <v>15790531</v>
      </c>
      <c r="BB226" s="1">
        <v>68062</v>
      </c>
      <c r="BH226" s="1">
        <v>0</v>
      </c>
      <c r="BJ226" s="1">
        <f t="shared" ref="BJ226:BJ292" si="24">+AZ226+BB226+BD226+BH226</f>
        <v>15858593</v>
      </c>
      <c r="BL226" s="1">
        <f>+GenRev!AM226-GenExp!BJ226</f>
        <v>-467471</v>
      </c>
      <c r="BN226" s="1">
        <v>7963493</v>
      </c>
      <c r="BP226" s="1">
        <v>0</v>
      </c>
      <c r="BQ226" s="1">
        <v>0</v>
      </c>
      <c r="BS226" s="1">
        <f t="shared" ref="BS226:BS274" si="25">+BN226+BL226-BP226</f>
        <v>7496022</v>
      </c>
      <c r="BU226" s="20">
        <f>+BS226-'Gen Fd BS'!AA226+BQ226</f>
        <v>0</v>
      </c>
    </row>
    <row r="227" spans="1:73">
      <c r="A227" s="17" t="s">
        <v>817</v>
      </c>
      <c r="B227" s="12"/>
      <c r="C227" s="12" t="s">
        <v>42</v>
      </c>
      <c r="D227" s="12"/>
      <c r="E227" s="13">
        <v>45393</v>
      </c>
      <c r="G227" s="1">
        <v>10857185</v>
      </c>
      <c r="I227" s="1">
        <v>1723347</v>
      </c>
      <c r="K227" s="1">
        <v>152227</v>
      </c>
      <c r="M227" s="1">
        <v>0</v>
      </c>
      <c r="O227" s="1">
        <v>1427394</v>
      </c>
      <c r="Q227" s="1">
        <v>1414578</v>
      </c>
      <c r="S227" s="1">
        <v>56395</v>
      </c>
      <c r="U227" s="1">
        <v>1530416</v>
      </c>
      <c r="W227" s="1">
        <v>681137</v>
      </c>
      <c r="Y227" s="1">
        <v>129047</v>
      </c>
      <c r="AA227" s="1">
        <v>1869593</v>
      </c>
      <c r="AC227" s="1">
        <v>1534131</v>
      </c>
      <c r="AE227" s="1">
        <v>294621</v>
      </c>
      <c r="AG227" s="1">
        <v>0</v>
      </c>
      <c r="AI227" s="1">
        <v>37406</v>
      </c>
      <c r="AJ227" s="17" t="s">
        <v>817</v>
      </c>
      <c r="AK227" s="12"/>
      <c r="AL227" s="12" t="s">
        <v>42</v>
      </c>
      <c r="AN227" s="1">
        <v>637052</v>
      </c>
      <c r="AP227" s="1">
        <v>0</v>
      </c>
      <c r="AR227" s="1">
        <v>0</v>
      </c>
      <c r="AT227" s="1">
        <v>57018</v>
      </c>
      <c r="AV227" s="1">
        <v>1611</v>
      </c>
      <c r="AX227" s="1">
        <v>0</v>
      </c>
      <c r="AZ227" s="1">
        <f t="shared" si="23"/>
        <v>22403158</v>
      </c>
      <c r="BB227" s="1">
        <v>16000</v>
      </c>
      <c r="BH227" s="1">
        <v>0</v>
      </c>
      <c r="BJ227" s="1">
        <f t="shared" si="24"/>
        <v>22419158</v>
      </c>
      <c r="BL227" s="1">
        <f>+GenRev!AM227-GenExp!BJ227</f>
        <v>-787304</v>
      </c>
      <c r="BN227" s="1">
        <v>5223405</v>
      </c>
      <c r="BP227" s="1">
        <v>0</v>
      </c>
      <c r="BQ227" s="1">
        <v>0</v>
      </c>
      <c r="BS227" s="1">
        <f t="shared" si="25"/>
        <v>4436101</v>
      </c>
      <c r="BU227" s="20">
        <f>+BS227-'Gen Fd BS'!AA227+BQ227</f>
        <v>0</v>
      </c>
    </row>
    <row r="228" spans="1:73">
      <c r="A228" s="12" t="s">
        <v>561</v>
      </c>
      <c r="B228" s="12"/>
      <c r="C228" s="12" t="s">
        <v>59</v>
      </c>
      <c r="D228" s="12"/>
      <c r="E228" s="13">
        <v>49619</v>
      </c>
      <c r="G228" s="1">
        <v>2012350</v>
      </c>
      <c r="I228" s="1">
        <v>297145</v>
      </c>
      <c r="K228" s="1">
        <v>90605</v>
      </c>
      <c r="M228" s="1">
        <v>697019</v>
      </c>
      <c r="O228" s="1">
        <v>384726</v>
      </c>
      <c r="Q228" s="1">
        <v>183472</v>
      </c>
      <c r="S228" s="1">
        <v>37130</v>
      </c>
      <c r="U228" s="1">
        <v>480388</v>
      </c>
      <c r="W228" s="1">
        <v>229622</v>
      </c>
      <c r="Y228" s="1">
        <v>0</v>
      </c>
      <c r="AA228" s="1">
        <v>630483</v>
      </c>
      <c r="AC228" s="1">
        <v>454952</v>
      </c>
      <c r="AE228" s="1">
        <v>0</v>
      </c>
      <c r="AG228" s="1">
        <v>0</v>
      </c>
      <c r="AI228" s="1">
        <v>0</v>
      </c>
      <c r="AJ228" s="12" t="s">
        <v>561</v>
      </c>
      <c r="AK228" s="12"/>
      <c r="AL228" s="12" t="s">
        <v>59</v>
      </c>
      <c r="AN228" s="1">
        <v>64965</v>
      </c>
      <c r="AP228" s="1">
        <v>233230</v>
      </c>
      <c r="AR228" s="1">
        <v>0</v>
      </c>
      <c r="AT228" s="1">
        <v>8724</v>
      </c>
      <c r="AV228" s="1">
        <v>1392</v>
      </c>
      <c r="AX228" s="1">
        <v>0</v>
      </c>
      <c r="AZ228" s="1">
        <f t="shared" si="23"/>
        <v>5806203</v>
      </c>
      <c r="BB228" s="1">
        <v>0</v>
      </c>
      <c r="BH228" s="1">
        <v>0</v>
      </c>
      <c r="BJ228" s="1">
        <f t="shared" si="24"/>
        <v>5806203</v>
      </c>
      <c r="BL228" s="1">
        <f>+GenRev!AM228-GenExp!BJ228</f>
        <v>109444</v>
      </c>
      <c r="BN228" s="1">
        <v>255794</v>
      </c>
      <c r="BP228" s="1">
        <v>0</v>
      </c>
      <c r="BQ228" s="1">
        <v>0</v>
      </c>
      <c r="BS228" s="1">
        <f t="shared" si="25"/>
        <v>365238</v>
      </c>
      <c r="BU228" s="20">
        <f>+BS228-'Gen Fd BS'!AA228+BQ228</f>
        <v>0</v>
      </c>
    </row>
    <row r="229" spans="1:73">
      <c r="A229" s="12" t="s">
        <v>561</v>
      </c>
      <c r="B229" s="12"/>
      <c r="C229" s="12" t="s">
        <v>63</v>
      </c>
      <c r="D229" s="12"/>
      <c r="E229" s="13">
        <v>50013</v>
      </c>
      <c r="G229" s="1">
        <v>15275797</v>
      </c>
      <c r="I229" s="1">
        <v>4165957</v>
      </c>
      <c r="K229" s="1">
        <v>154185</v>
      </c>
      <c r="M229" s="1">
        <f>67495+958562</f>
        <v>1026057</v>
      </c>
      <c r="O229" s="1">
        <v>1553311</v>
      </c>
      <c r="Q229" s="1">
        <v>841199</v>
      </c>
      <c r="S229" s="1">
        <v>37061</v>
      </c>
      <c r="U229" s="1">
        <v>2182988</v>
      </c>
      <c r="W229" s="1">
        <v>992492</v>
      </c>
      <c r="Y229" s="1">
        <v>189089</v>
      </c>
      <c r="AA229" s="1">
        <v>2808212</v>
      </c>
      <c r="AC229" s="1">
        <v>1499189</v>
      </c>
      <c r="AE229" s="1">
        <v>18161</v>
      </c>
      <c r="AG229" s="1">
        <v>0</v>
      </c>
      <c r="AI229" s="1">
        <v>0</v>
      </c>
      <c r="AJ229" s="12" t="s">
        <v>561</v>
      </c>
      <c r="AK229" s="12"/>
      <c r="AL229" s="12" t="s">
        <v>63</v>
      </c>
      <c r="AN229" s="1">
        <v>788527</v>
      </c>
      <c r="AP229" s="1">
        <v>0</v>
      </c>
      <c r="AR229" s="1">
        <v>0</v>
      </c>
      <c r="AT229" s="1">
        <v>0</v>
      </c>
      <c r="AV229" s="1">
        <v>0</v>
      </c>
      <c r="AX229" s="1">
        <v>0</v>
      </c>
      <c r="AZ229" s="1">
        <f t="shared" si="23"/>
        <v>31532225</v>
      </c>
      <c r="BB229" s="1">
        <v>104518</v>
      </c>
      <c r="BH229" s="1">
        <v>0</v>
      </c>
      <c r="BJ229" s="1">
        <f t="shared" si="24"/>
        <v>31636743</v>
      </c>
      <c r="BL229" s="1">
        <f>+GenRev!AM229-GenExp!BJ229</f>
        <v>-573098</v>
      </c>
      <c r="BN229" s="1">
        <v>-1927396</v>
      </c>
      <c r="BP229" s="1">
        <v>0</v>
      </c>
      <c r="BQ229" s="1">
        <v>0</v>
      </c>
      <c r="BS229" s="1">
        <f t="shared" si="25"/>
        <v>-2500494</v>
      </c>
      <c r="BU229" s="20">
        <f>+BS229-'Gen Fd BS'!AA229+BQ229</f>
        <v>0</v>
      </c>
    </row>
    <row r="230" spans="1:73" hidden="1">
      <c r="A230" s="17" t="s">
        <v>934</v>
      </c>
      <c r="B230" s="12"/>
      <c r="C230" s="12" t="s">
        <v>71</v>
      </c>
      <c r="D230" s="12"/>
      <c r="E230" s="13">
        <v>50559</v>
      </c>
      <c r="AJ230" s="17" t="s">
        <v>934</v>
      </c>
      <c r="AK230" s="12"/>
      <c r="AL230" s="12" t="s">
        <v>71</v>
      </c>
      <c r="AZ230" s="1">
        <f t="shared" si="23"/>
        <v>0</v>
      </c>
      <c r="BJ230" s="1">
        <f t="shared" si="24"/>
        <v>0</v>
      </c>
      <c r="BL230" s="1">
        <f>+GenRev!AM230-GenExp!BJ230</f>
        <v>0</v>
      </c>
      <c r="BS230" s="1">
        <f t="shared" si="25"/>
        <v>0</v>
      </c>
      <c r="BU230" s="20">
        <f>+BS230-'Gen Fd BS'!AA230+BQ230</f>
        <v>0</v>
      </c>
    </row>
    <row r="231" spans="1:73">
      <c r="A231" s="12" t="s">
        <v>358</v>
      </c>
      <c r="B231" s="12"/>
      <c r="C231" s="12" t="s">
        <v>116</v>
      </c>
      <c r="D231" s="12"/>
      <c r="E231" s="12">
        <v>47266</v>
      </c>
      <c r="G231" s="1">
        <v>4994313</v>
      </c>
      <c r="I231" s="1">
        <v>780908</v>
      </c>
      <c r="K231" s="1">
        <v>108058</v>
      </c>
      <c r="M231" s="1">
        <v>13365</v>
      </c>
      <c r="O231" s="1">
        <v>1119267</v>
      </c>
      <c r="Q231" s="1">
        <v>460809</v>
      </c>
      <c r="S231" s="1">
        <v>81637</v>
      </c>
      <c r="U231" s="1">
        <v>1101554</v>
      </c>
      <c r="W231" s="1">
        <v>350546</v>
      </c>
      <c r="Y231" s="1">
        <v>0</v>
      </c>
      <c r="AA231" s="1">
        <v>937547</v>
      </c>
      <c r="AC231" s="1">
        <v>857670</v>
      </c>
      <c r="AE231" s="1">
        <v>0</v>
      </c>
      <c r="AG231" s="1">
        <v>0</v>
      </c>
      <c r="AI231" s="1">
        <v>7519</v>
      </c>
      <c r="AJ231" s="12" t="s">
        <v>358</v>
      </c>
      <c r="AK231" s="12"/>
      <c r="AL231" s="12" t="s">
        <v>116</v>
      </c>
      <c r="AN231" s="1">
        <v>262250</v>
      </c>
      <c r="AP231" s="1">
        <v>0</v>
      </c>
      <c r="AR231" s="1">
        <v>0</v>
      </c>
      <c r="AT231" s="1">
        <v>0</v>
      </c>
      <c r="AV231" s="1">
        <v>0</v>
      </c>
      <c r="AX231" s="1">
        <v>0</v>
      </c>
      <c r="AZ231" s="1">
        <f t="shared" si="23"/>
        <v>11075443</v>
      </c>
      <c r="BB231" s="1">
        <v>79515</v>
      </c>
      <c r="BH231" s="1">
        <v>0</v>
      </c>
      <c r="BJ231" s="1">
        <f t="shared" si="24"/>
        <v>11154958</v>
      </c>
      <c r="BL231" s="1">
        <f>+GenRev!AM231-GenExp!BJ231</f>
        <v>797566</v>
      </c>
      <c r="BN231" s="1">
        <v>4141764</v>
      </c>
      <c r="BP231" s="1">
        <v>0</v>
      </c>
      <c r="BQ231" s="1">
        <v>0</v>
      </c>
      <c r="BS231" s="1">
        <f t="shared" si="25"/>
        <v>4939330</v>
      </c>
      <c r="BU231" s="20">
        <f>+BS231-'Gen Fd BS'!AA231+BQ231</f>
        <v>0</v>
      </c>
    </row>
    <row r="232" spans="1:73">
      <c r="A232" s="12" t="s">
        <v>397</v>
      </c>
      <c r="B232" s="12"/>
      <c r="C232" s="12" t="s">
        <v>395</v>
      </c>
      <c r="D232" s="12"/>
      <c r="E232" s="13">
        <v>45401</v>
      </c>
      <c r="F232" s="8"/>
      <c r="G232" s="1">
        <v>7761036</v>
      </c>
      <c r="I232" s="1">
        <v>1510323</v>
      </c>
      <c r="K232" s="1">
        <v>504056</v>
      </c>
      <c r="M232" s="1">
        <v>904510</v>
      </c>
      <c r="O232" s="1">
        <v>766752</v>
      </c>
      <c r="Q232" s="1">
        <v>251433</v>
      </c>
      <c r="S232" s="1">
        <v>47850</v>
      </c>
      <c r="U232" s="1">
        <v>1448493</v>
      </c>
      <c r="W232" s="1">
        <v>392545</v>
      </c>
      <c r="Y232" s="1">
        <v>0</v>
      </c>
      <c r="AA232" s="1">
        <v>1188619</v>
      </c>
      <c r="AC232" s="1">
        <v>947033</v>
      </c>
      <c r="AE232" s="1">
        <v>56296</v>
      </c>
      <c r="AG232" s="1">
        <v>0</v>
      </c>
      <c r="AI232" s="1">
        <v>4680</v>
      </c>
      <c r="AJ232" s="12" t="s">
        <v>397</v>
      </c>
      <c r="AK232" s="12"/>
      <c r="AL232" s="12" t="s">
        <v>395</v>
      </c>
      <c r="AN232" s="1">
        <v>196194</v>
      </c>
      <c r="AP232" s="1">
        <v>0</v>
      </c>
      <c r="AR232" s="1">
        <v>0</v>
      </c>
      <c r="AT232" s="1">
        <v>22604</v>
      </c>
      <c r="AV232" s="1">
        <v>5753</v>
      </c>
      <c r="AX232" s="1">
        <v>0</v>
      </c>
      <c r="AZ232" s="1">
        <f t="shared" si="23"/>
        <v>16008177</v>
      </c>
      <c r="BB232" s="1">
        <v>375000</v>
      </c>
      <c r="BH232" s="1">
        <v>0</v>
      </c>
      <c r="BJ232" s="1">
        <f t="shared" si="24"/>
        <v>16383177</v>
      </c>
      <c r="BL232" s="1">
        <f>+GenRev!AM232-GenExp!BJ232</f>
        <v>1449170</v>
      </c>
      <c r="BN232" s="1">
        <v>3879896</v>
      </c>
      <c r="BP232" s="1">
        <v>0</v>
      </c>
      <c r="BQ232" s="1">
        <v>0</v>
      </c>
      <c r="BS232" s="1">
        <f t="shared" si="25"/>
        <v>5329066</v>
      </c>
      <c r="BU232" s="20">
        <f>+BS232-'Gen Fd BS'!AA232+BQ232</f>
        <v>0</v>
      </c>
    </row>
    <row r="233" spans="1:73">
      <c r="A233" s="12" t="s">
        <v>246</v>
      </c>
      <c r="B233" s="12"/>
      <c r="C233" s="12" t="s">
        <v>17</v>
      </c>
      <c r="D233" s="12"/>
      <c r="E233" s="13">
        <v>46235</v>
      </c>
      <c r="G233" s="1">
        <v>7085341</v>
      </c>
      <c r="I233" s="1">
        <v>775470</v>
      </c>
      <c r="K233" s="1">
        <v>521849</v>
      </c>
      <c r="M233" s="1">
        <v>388506</v>
      </c>
      <c r="O233" s="1">
        <v>239066</v>
      </c>
      <c r="Q233" s="1">
        <v>280868</v>
      </c>
      <c r="S233" s="1">
        <v>117610</v>
      </c>
      <c r="U233" s="1">
        <v>1452931</v>
      </c>
      <c r="W233" s="1">
        <v>495200</v>
      </c>
      <c r="Y233" s="1">
        <v>9777</v>
      </c>
      <c r="AA233" s="1">
        <v>1334543</v>
      </c>
      <c r="AC233" s="1">
        <v>1142052</v>
      </c>
      <c r="AE233" s="1">
        <v>94271</v>
      </c>
      <c r="AG233" s="1">
        <v>0</v>
      </c>
      <c r="AI233" s="1">
        <v>0</v>
      </c>
      <c r="AJ233" s="12" t="s">
        <v>246</v>
      </c>
      <c r="AK233" s="12"/>
      <c r="AL233" s="12" t="s">
        <v>17</v>
      </c>
      <c r="AN233" s="1">
        <v>300795</v>
      </c>
      <c r="AP233" s="1">
        <v>0</v>
      </c>
      <c r="AR233" s="1">
        <v>0</v>
      </c>
      <c r="AT233" s="1">
        <v>23295</v>
      </c>
      <c r="AV233" s="1">
        <v>2342</v>
      </c>
      <c r="AX233" s="1">
        <v>0</v>
      </c>
      <c r="AZ233" s="1">
        <f t="shared" si="23"/>
        <v>14263916</v>
      </c>
      <c r="BB233" s="1">
        <v>0</v>
      </c>
      <c r="BH233" s="1">
        <v>0</v>
      </c>
      <c r="BJ233" s="1">
        <f t="shared" si="24"/>
        <v>14263916</v>
      </c>
      <c r="BL233" s="1">
        <f>+GenRev!AM233-GenExp!BJ233</f>
        <v>-505725</v>
      </c>
      <c r="BN233" s="1">
        <v>2076564</v>
      </c>
      <c r="BP233" s="1">
        <v>0</v>
      </c>
      <c r="BQ233" s="1">
        <v>0</v>
      </c>
      <c r="BS233" s="1">
        <f t="shared" si="25"/>
        <v>1570839</v>
      </c>
      <c r="BU233" s="20">
        <f>+BS233-'Gen Fd BS'!AA233+BQ233</f>
        <v>0</v>
      </c>
    </row>
    <row r="234" spans="1:73">
      <c r="A234" s="12" t="s">
        <v>309</v>
      </c>
      <c r="B234" s="12"/>
      <c r="C234" s="12" t="s">
        <v>21</v>
      </c>
      <c r="D234" s="12"/>
      <c r="E234" s="13">
        <v>44099</v>
      </c>
      <c r="G234" s="1">
        <v>11491766</v>
      </c>
      <c r="I234" s="1">
        <v>3003043</v>
      </c>
      <c r="K234" s="1">
        <v>1697253</v>
      </c>
      <c r="M234" s="1">
        <v>117976</v>
      </c>
      <c r="O234" s="1">
        <v>1045864</v>
      </c>
      <c r="Q234" s="1">
        <v>938171</v>
      </c>
      <c r="S234" s="1">
        <v>104392</v>
      </c>
      <c r="U234" s="1">
        <v>1828628</v>
      </c>
      <c r="W234" s="1">
        <v>726049</v>
      </c>
      <c r="Y234" s="1">
        <v>14113</v>
      </c>
      <c r="AA234" s="1">
        <v>991673</v>
      </c>
      <c r="AC234" s="1">
        <v>959931</v>
      </c>
      <c r="AE234" s="1">
        <v>164843</v>
      </c>
      <c r="AG234" s="1">
        <v>0</v>
      </c>
      <c r="AI234" s="1">
        <v>0</v>
      </c>
      <c r="AJ234" s="12" t="s">
        <v>309</v>
      </c>
      <c r="AK234" s="12"/>
      <c r="AL234" s="12" t="s">
        <v>21</v>
      </c>
      <c r="AN234" s="1">
        <v>341070</v>
      </c>
      <c r="AP234" s="1">
        <v>0</v>
      </c>
      <c r="AR234" s="1">
        <v>0</v>
      </c>
      <c r="AT234" s="1">
        <v>0</v>
      </c>
      <c r="AV234" s="1">
        <v>0</v>
      </c>
      <c r="AX234" s="1">
        <v>0</v>
      </c>
      <c r="AZ234" s="1">
        <f t="shared" si="23"/>
        <v>23424772</v>
      </c>
      <c r="BB234" s="1">
        <v>189250</v>
      </c>
      <c r="BH234" s="1">
        <v>0</v>
      </c>
      <c r="BJ234" s="1">
        <f t="shared" si="24"/>
        <v>23614022</v>
      </c>
      <c r="BL234" s="1">
        <f>+GenRev!AM234-GenExp!BJ234</f>
        <v>1784858</v>
      </c>
      <c r="BN234" s="1">
        <v>3567924</v>
      </c>
      <c r="BP234" s="1">
        <v>0</v>
      </c>
      <c r="BQ234" s="1">
        <v>0</v>
      </c>
      <c r="BS234" s="1">
        <f t="shared" si="25"/>
        <v>5352782</v>
      </c>
      <c r="BU234" s="20">
        <f>+BS234-'Gen Fd BS'!AA234+BQ234</f>
        <v>0</v>
      </c>
    </row>
    <row r="235" spans="1:73">
      <c r="A235" s="12" t="s">
        <v>335</v>
      </c>
      <c r="B235" s="12"/>
      <c r="C235" s="12" t="s">
        <v>27</v>
      </c>
      <c r="D235" s="12"/>
      <c r="E235" s="13">
        <v>46979</v>
      </c>
      <c r="G235" s="1">
        <v>29115634</v>
      </c>
      <c r="I235" s="1">
        <v>7467991</v>
      </c>
      <c r="K235" s="1">
        <v>156187</v>
      </c>
      <c r="M235" s="1">
        <v>872067</v>
      </c>
      <c r="O235" s="1">
        <v>2492954</v>
      </c>
      <c r="Q235" s="1">
        <v>2672070</v>
      </c>
      <c r="S235" s="1">
        <v>1255682</v>
      </c>
      <c r="U235" s="1">
        <v>3364093</v>
      </c>
      <c r="W235" s="1">
        <v>1262401</v>
      </c>
      <c r="Y235" s="1">
        <v>99146</v>
      </c>
      <c r="AA235" s="1">
        <v>3607707</v>
      </c>
      <c r="AC235" s="1">
        <v>3103695</v>
      </c>
      <c r="AE235" s="1">
        <v>534863</v>
      </c>
      <c r="AG235" s="1">
        <v>0</v>
      </c>
      <c r="AI235" s="1">
        <v>163951</v>
      </c>
      <c r="AJ235" s="12" t="s">
        <v>335</v>
      </c>
      <c r="AK235" s="12"/>
      <c r="AL235" s="12" t="s">
        <v>27</v>
      </c>
      <c r="AN235" s="1">
        <v>552114</v>
      </c>
      <c r="AP235" s="1">
        <v>0</v>
      </c>
      <c r="AR235" s="1">
        <v>0</v>
      </c>
      <c r="AT235" s="1">
        <v>0</v>
      </c>
      <c r="AV235" s="1">
        <v>0</v>
      </c>
      <c r="AX235" s="1">
        <v>0</v>
      </c>
      <c r="AZ235" s="1">
        <f t="shared" si="23"/>
        <v>56720555</v>
      </c>
      <c r="BB235" s="1">
        <v>252275</v>
      </c>
      <c r="BH235" s="1">
        <v>0</v>
      </c>
      <c r="BJ235" s="1">
        <f t="shared" si="24"/>
        <v>56972830</v>
      </c>
      <c r="BL235" s="1">
        <f>+GenRev!AM235-GenExp!BJ235</f>
        <v>1491945</v>
      </c>
      <c r="BN235" s="1">
        <v>2281123</v>
      </c>
      <c r="BP235" s="1">
        <v>0</v>
      </c>
      <c r="BQ235" s="1">
        <v>0</v>
      </c>
      <c r="BS235" s="1">
        <f t="shared" si="25"/>
        <v>3773068</v>
      </c>
      <c r="BU235" s="20">
        <f>+BS235-'Gen Fd BS'!AA235+BQ235</f>
        <v>0</v>
      </c>
    </row>
    <row r="236" spans="1:73">
      <c r="A236" s="12" t="s">
        <v>229</v>
      </c>
      <c r="B236" s="12"/>
      <c r="C236" s="12" t="s">
        <v>227</v>
      </c>
      <c r="D236" s="12"/>
      <c r="E236" s="13">
        <v>44107</v>
      </c>
      <c r="G236" s="1">
        <v>32820760</v>
      </c>
      <c r="I236" s="1">
        <v>6886893</v>
      </c>
      <c r="K236" s="1">
        <v>1515697</v>
      </c>
      <c r="M236" s="1">
        <v>0</v>
      </c>
      <c r="O236" s="1">
        <v>5111719</v>
      </c>
      <c r="Q236" s="1">
        <v>2450116</v>
      </c>
      <c r="S236" s="1">
        <v>410412</v>
      </c>
      <c r="U236" s="1">
        <v>4245245</v>
      </c>
      <c r="W236" s="1">
        <v>1032823</v>
      </c>
      <c r="Y236" s="1">
        <v>370627</v>
      </c>
      <c r="AA236" s="1">
        <v>7428355</v>
      </c>
      <c r="AC236" s="1">
        <v>2571018</v>
      </c>
      <c r="AE236" s="1">
        <v>799798</v>
      </c>
      <c r="AG236" s="1">
        <v>0</v>
      </c>
      <c r="AI236" s="1">
        <v>0</v>
      </c>
      <c r="AJ236" s="12" t="s">
        <v>229</v>
      </c>
      <c r="AK236" s="12"/>
      <c r="AL236" s="12" t="s">
        <v>227</v>
      </c>
      <c r="AN236" s="1">
        <v>754272</v>
      </c>
      <c r="AP236" s="1">
        <v>2299</v>
      </c>
      <c r="AR236" s="1">
        <v>0</v>
      </c>
      <c r="AT236" s="1">
        <v>150900</v>
      </c>
      <c r="AV236" s="1">
        <v>0</v>
      </c>
      <c r="AX236" s="1">
        <v>0</v>
      </c>
      <c r="AZ236" s="1">
        <f t="shared" si="23"/>
        <v>66550934</v>
      </c>
      <c r="BB236" s="1">
        <v>190057</v>
      </c>
      <c r="BH236" s="1">
        <v>0</v>
      </c>
      <c r="BJ236" s="1">
        <f t="shared" si="24"/>
        <v>66740991</v>
      </c>
      <c r="BL236" s="1">
        <f>+GenRev!AM236-GenExp!BJ236</f>
        <v>2912859</v>
      </c>
      <c r="BN236" s="1">
        <v>-4317322</v>
      </c>
      <c r="BP236" s="1">
        <v>0</v>
      </c>
      <c r="BQ236" s="1">
        <v>0</v>
      </c>
      <c r="BS236" s="1">
        <f t="shared" si="25"/>
        <v>-1404463</v>
      </c>
      <c r="BU236" s="20">
        <f>+BS236-'Gen Fd BS'!AA236+BQ236</f>
        <v>0</v>
      </c>
    </row>
    <row r="237" spans="1:73">
      <c r="A237" s="17" t="s">
        <v>935</v>
      </c>
      <c r="B237" s="12"/>
      <c r="C237" s="12" t="s">
        <v>27</v>
      </c>
      <c r="D237" s="12"/>
      <c r="E237" s="13">
        <v>46953</v>
      </c>
      <c r="G237" s="1">
        <v>9208124</v>
      </c>
      <c r="I237" s="1">
        <v>1684576</v>
      </c>
      <c r="K237" s="1">
        <v>196711</v>
      </c>
      <c r="M237" s="1">
        <v>1641945</v>
      </c>
      <c r="O237" s="1">
        <v>1820443</v>
      </c>
      <c r="Q237" s="1">
        <v>382303</v>
      </c>
      <c r="S237" s="1">
        <v>4302</v>
      </c>
      <c r="U237" s="1">
        <v>1923189</v>
      </c>
      <c r="W237" s="1">
        <v>996644</v>
      </c>
      <c r="Y237" s="1">
        <v>0</v>
      </c>
      <c r="AA237" s="1">
        <v>2700895</v>
      </c>
      <c r="AC237" s="1">
        <v>1006086</v>
      </c>
      <c r="AE237" s="1">
        <v>49687</v>
      </c>
      <c r="AG237" s="1">
        <v>0</v>
      </c>
      <c r="AI237" s="1">
        <v>0</v>
      </c>
      <c r="AJ237" s="17" t="s">
        <v>935</v>
      </c>
      <c r="AK237" s="12"/>
      <c r="AL237" s="12" t="s">
        <v>27</v>
      </c>
      <c r="AN237" s="1">
        <v>500964</v>
      </c>
      <c r="AP237" s="1">
        <v>2680</v>
      </c>
      <c r="AR237" s="1">
        <v>0</v>
      </c>
      <c r="AT237" s="1">
        <v>0</v>
      </c>
      <c r="AV237" s="1">
        <v>0</v>
      </c>
      <c r="AX237" s="1">
        <v>0</v>
      </c>
      <c r="AZ237" s="1">
        <f t="shared" si="23"/>
        <v>22118549</v>
      </c>
      <c r="BB237" s="1">
        <v>508140</v>
      </c>
      <c r="BH237" s="1">
        <v>0</v>
      </c>
      <c r="BJ237" s="1">
        <f t="shared" si="24"/>
        <v>22626689</v>
      </c>
      <c r="BL237" s="1">
        <f>+GenRev!AM237-GenExp!BJ237</f>
        <v>-146928</v>
      </c>
      <c r="BN237" s="1">
        <v>5282217</v>
      </c>
      <c r="BP237" s="1">
        <v>0</v>
      </c>
      <c r="BQ237" s="1">
        <v>0</v>
      </c>
      <c r="BS237" s="1">
        <f t="shared" si="25"/>
        <v>5135289</v>
      </c>
      <c r="BU237" s="20">
        <f>+BS237-'Gen Fd BS'!AA237+BQ237</f>
        <v>0</v>
      </c>
    </row>
    <row r="238" spans="1:73" ht="12.75">
      <c r="A238" s="12" t="s">
        <v>384</v>
      </c>
      <c r="B238" s="12"/>
      <c r="C238" s="12" t="s">
        <v>383</v>
      </c>
      <c r="D238" s="12"/>
      <c r="E238" s="13">
        <v>47498</v>
      </c>
      <c r="G238" s="1">
        <v>2260446</v>
      </c>
      <c r="I238" s="1">
        <v>262181</v>
      </c>
      <c r="K238" s="1">
        <v>224505</v>
      </c>
      <c r="M238" s="1">
        <v>0</v>
      </c>
      <c r="O238" s="1">
        <v>152805</v>
      </c>
      <c r="Q238" s="1">
        <v>102621</v>
      </c>
      <c r="S238" s="1">
        <v>41638</v>
      </c>
      <c r="U238" s="1">
        <v>489083</v>
      </c>
      <c r="W238" s="1">
        <v>200338</v>
      </c>
      <c r="Y238" s="1">
        <v>0</v>
      </c>
      <c r="AA238" s="1">
        <v>291469</v>
      </c>
      <c r="AC238" s="1">
        <v>235760</v>
      </c>
      <c r="AE238" s="1">
        <v>0</v>
      </c>
      <c r="AG238" s="1">
        <v>0</v>
      </c>
      <c r="AI238" s="1">
        <v>0</v>
      </c>
      <c r="AJ238" s="12" t="s">
        <v>384</v>
      </c>
      <c r="AK238" s="12"/>
      <c r="AL238" s="12" t="s">
        <v>383</v>
      </c>
      <c r="AN238" s="1">
        <v>127027</v>
      </c>
      <c r="AP238" s="1">
        <v>0</v>
      </c>
      <c r="AR238" s="1">
        <v>0</v>
      </c>
      <c r="AT238" s="1">
        <v>0</v>
      </c>
      <c r="AV238" s="1">
        <v>0</v>
      </c>
      <c r="AX238" s="1">
        <v>0</v>
      </c>
      <c r="AZ238" s="1">
        <f t="shared" si="23"/>
        <v>4387873</v>
      </c>
      <c r="BB238" s="1">
        <v>9500</v>
      </c>
      <c r="BC238" s="93"/>
      <c r="BH238" s="1">
        <v>0</v>
      </c>
      <c r="BJ238" s="1">
        <f t="shared" si="24"/>
        <v>4397373</v>
      </c>
      <c r="BL238" s="1">
        <f>+GenRev!AM238-GenExp!BJ238</f>
        <v>160252</v>
      </c>
      <c r="BN238" s="1">
        <v>2051984</v>
      </c>
      <c r="BP238" s="1">
        <v>0</v>
      </c>
      <c r="BQ238" s="1">
        <v>0</v>
      </c>
      <c r="BS238" s="1">
        <f t="shared" si="25"/>
        <v>2212236</v>
      </c>
      <c r="BU238" s="20">
        <f>+BS238-'Gen Fd BS'!AA238+BQ238</f>
        <v>0</v>
      </c>
    </row>
    <row r="239" spans="1:73" hidden="1">
      <c r="A239" s="17" t="s">
        <v>936</v>
      </c>
      <c r="B239" s="12"/>
      <c r="C239" s="12" t="s">
        <v>61</v>
      </c>
      <c r="D239" s="12"/>
      <c r="E239" s="13">
        <v>49791</v>
      </c>
      <c r="AJ239" s="17" t="s">
        <v>936</v>
      </c>
      <c r="AK239" s="12"/>
      <c r="AL239" s="12" t="s">
        <v>61</v>
      </c>
      <c r="AZ239" s="1">
        <f t="shared" si="23"/>
        <v>0</v>
      </c>
      <c r="BJ239" s="1">
        <f t="shared" si="24"/>
        <v>0</v>
      </c>
      <c r="BL239" s="1">
        <f>+GenRev!AM239-GenExp!BJ239</f>
        <v>0</v>
      </c>
      <c r="BS239" s="1">
        <f t="shared" si="25"/>
        <v>0</v>
      </c>
      <c r="BU239" s="20">
        <f>+BS239-'Gen Fd BS'!AA239+BQ239</f>
        <v>0</v>
      </c>
    </row>
    <row r="240" spans="1:73">
      <c r="A240" s="12" t="s">
        <v>389</v>
      </c>
      <c r="B240" s="12"/>
      <c r="C240" s="12" t="s">
        <v>388</v>
      </c>
      <c r="D240" s="12"/>
      <c r="E240" s="13">
        <v>45245</v>
      </c>
      <c r="G240" s="1">
        <v>7598615</v>
      </c>
      <c r="I240" s="1">
        <v>1208073</v>
      </c>
      <c r="K240" s="1">
        <v>456496</v>
      </c>
      <c r="M240" s="1">
        <v>0</v>
      </c>
      <c r="O240" s="1">
        <v>870182</v>
      </c>
      <c r="Q240" s="1">
        <v>394297</v>
      </c>
      <c r="S240" s="1">
        <v>151249</v>
      </c>
      <c r="U240" s="1">
        <v>1342272</v>
      </c>
      <c r="W240" s="1">
        <v>528806</v>
      </c>
      <c r="Y240" s="1">
        <v>0</v>
      </c>
      <c r="AA240" s="1">
        <v>1307979</v>
      </c>
      <c r="AC240" s="1">
        <v>1376865</v>
      </c>
      <c r="AE240" s="1">
        <v>267889</v>
      </c>
      <c r="AG240" s="1">
        <v>0</v>
      </c>
      <c r="AI240" s="1">
        <v>306554</v>
      </c>
      <c r="AJ240" s="12" t="s">
        <v>389</v>
      </c>
      <c r="AK240" s="12"/>
      <c r="AL240" s="12" t="s">
        <v>388</v>
      </c>
      <c r="AN240" s="1">
        <v>159167</v>
      </c>
      <c r="AP240" s="1">
        <v>73265</v>
      </c>
      <c r="AR240" s="1">
        <v>0</v>
      </c>
      <c r="AT240" s="1">
        <v>14076</v>
      </c>
      <c r="AV240" s="1">
        <v>122</v>
      </c>
      <c r="AX240" s="1">
        <v>0</v>
      </c>
      <c r="AZ240" s="1">
        <f t="shared" si="23"/>
        <v>16055907</v>
      </c>
      <c r="BB240" s="1">
        <v>102</v>
      </c>
      <c r="BH240" s="1">
        <v>0</v>
      </c>
      <c r="BJ240" s="1">
        <f t="shared" si="24"/>
        <v>16056009</v>
      </c>
      <c r="BL240" s="1">
        <f>+GenRev!AM240-GenExp!BJ240</f>
        <v>-286499</v>
      </c>
      <c r="BN240" s="1">
        <v>2195726</v>
      </c>
      <c r="BP240" s="1">
        <v>88757</v>
      </c>
      <c r="BQ240" s="1">
        <v>0</v>
      </c>
      <c r="BS240" s="1">
        <f t="shared" si="25"/>
        <v>1820470</v>
      </c>
      <c r="BU240" s="20">
        <f>+BS240-'Gen Fd BS'!AA240+BQ240</f>
        <v>0</v>
      </c>
    </row>
    <row r="241" spans="1:73">
      <c r="A241" s="12" t="s">
        <v>427</v>
      </c>
      <c r="B241" s="12"/>
      <c r="C241" s="12" t="s">
        <v>42</v>
      </c>
      <c r="D241" s="12"/>
      <c r="E241" s="13">
        <v>44115</v>
      </c>
      <c r="G241" s="1">
        <v>9016670</v>
      </c>
      <c r="I241" s="1">
        <v>0</v>
      </c>
      <c r="K241" s="1">
        <v>0</v>
      </c>
      <c r="M241" s="1">
        <v>0</v>
      </c>
      <c r="O241" s="1">
        <v>720005</v>
      </c>
      <c r="Q241" s="1">
        <v>272965</v>
      </c>
      <c r="S241" s="1">
        <v>11787</v>
      </c>
      <c r="U241" s="1">
        <v>1396787</v>
      </c>
      <c r="W241" s="1">
        <v>471213</v>
      </c>
      <c r="Y241" s="1">
        <v>18582</v>
      </c>
      <c r="AA241" s="1">
        <v>1168957</v>
      </c>
      <c r="AC241" s="1">
        <v>556111</v>
      </c>
      <c r="AE241" s="1">
        <v>269671</v>
      </c>
      <c r="AG241" s="1">
        <v>3532</v>
      </c>
      <c r="AI241" s="1">
        <v>0</v>
      </c>
      <c r="AJ241" s="12" t="s">
        <v>427</v>
      </c>
      <c r="AK241" s="12"/>
      <c r="AL241" s="12" t="s">
        <v>42</v>
      </c>
      <c r="AN241" s="1">
        <v>303796</v>
      </c>
      <c r="AP241" s="1">
        <v>59117</v>
      </c>
      <c r="AR241" s="1">
        <v>0</v>
      </c>
      <c r="AT241" s="1">
        <v>45875</v>
      </c>
      <c r="AV241" s="1">
        <v>11665</v>
      </c>
      <c r="AX241" s="1">
        <v>0</v>
      </c>
      <c r="AZ241" s="1">
        <f t="shared" si="23"/>
        <v>14326733</v>
      </c>
      <c r="BB241" s="1">
        <v>20000</v>
      </c>
      <c r="BH241" s="1">
        <v>0</v>
      </c>
      <c r="BJ241" s="1">
        <f t="shared" si="24"/>
        <v>14346733</v>
      </c>
      <c r="BL241" s="1">
        <f>+GenRev!AM241-GenExp!BJ241</f>
        <v>-148706</v>
      </c>
      <c r="BN241" s="1">
        <v>2498664</v>
      </c>
      <c r="BP241" s="1">
        <v>0</v>
      </c>
      <c r="BQ241" s="1">
        <v>0</v>
      </c>
      <c r="BS241" s="1">
        <f t="shared" si="25"/>
        <v>2349958</v>
      </c>
      <c r="BU241" s="20">
        <f>+BS241-'Gen Fd BS'!AA241+BQ241</f>
        <v>0</v>
      </c>
    </row>
    <row r="242" spans="1:73" hidden="1">
      <c r="A242" s="17" t="s">
        <v>818</v>
      </c>
      <c r="B242" s="12"/>
      <c r="C242" s="12" t="s">
        <v>22</v>
      </c>
      <c r="D242" s="12"/>
      <c r="E242" s="13">
        <v>45419</v>
      </c>
      <c r="AJ242" s="17" t="s">
        <v>818</v>
      </c>
      <c r="AK242" s="12"/>
      <c r="AL242" s="12" t="s">
        <v>22</v>
      </c>
      <c r="AZ242" s="1">
        <f t="shared" si="23"/>
        <v>0</v>
      </c>
      <c r="BJ242" s="1">
        <f t="shared" si="24"/>
        <v>0</v>
      </c>
      <c r="BL242" s="1">
        <f>+GenRev!AM242-GenExp!BJ242</f>
        <v>0</v>
      </c>
      <c r="BS242" s="1">
        <f t="shared" si="25"/>
        <v>0</v>
      </c>
      <c r="BU242" s="20">
        <f>+BS242-'Gen Fd BS'!AA242+BQ242</f>
        <v>0</v>
      </c>
    </row>
    <row r="243" spans="1:73">
      <c r="A243" s="12" t="s">
        <v>481</v>
      </c>
      <c r="B243" s="12"/>
      <c r="C243" s="12" t="s">
        <v>47</v>
      </c>
      <c r="D243" s="12"/>
      <c r="E243" s="13">
        <v>48496</v>
      </c>
      <c r="G243" s="1">
        <v>12321225</v>
      </c>
      <c r="I243" s="1">
        <v>2412256</v>
      </c>
      <c r="K243" s="1">
        <v>261892</v>
      </c>
      <c r="M243" s="1">
        <v>194788</v>
      </c>
      <c r="O243" s="1">
        <v>1452632</v>
      </c>
      <c r="Q243" s="1">
        <v>1589906</v>
      </c>
      <c r="S243" s="1">
        <v>33645</v>
      </c>
      <c r="U243" s="1">
        <v>1896502</v>
      </c>
      <c r="W243" s="1">
        <v>739239</v>
      </c>
      <c r="Y243" s="1">
        <v>36180</v>
      </c>
      <c r="AA243" s="1">
        <v>2667068</v>
      </c>
      <c r="AC243" s="1">
        <v>1494356</v>
      </c>
      <c r="AE243" s="1">
        <v>225471</v>
      </c>
      <c r="AG243" s="1">
        <v>273</v>
      </c>
      <c r="AI243" s="1">
        <v>0</v>
      </c>
      <c r="AJ243" s="12" t="s">
        <v>481</v>
      </c>
      <c r="AK243" s="12"/>
      <c r="AL243" s="12" t="s">
        <v>47</v>
      </c>
      <c r="AN243" s="1">
        <v>918993</v>
      </c>
      <c r="AP243" s="1">
        <v>42626</v>
      </c>
      <c r="AR243" s="1">
        <v>0</v>
      </c>
      <c r="AT243" s="1">
        <v>39042</v>
      </c>
      <c r="AV243" s="1">
        <v>5634</v>
      </c>
      <c r="AX243" s="1">
        <v>0</v>
      </c>
      <c r="AZ243" s="1">
        <f t="shared" si="23"/>
        <v>26331728</v>
      </c>
      <c r="BB243" s="1">
        <v>27000</v>
      </c>
      <c r="BH243" s="1">
        <v>0</v>
      </c>
      <c r="BJ243" s="1">
        <f t="shared" si="24"/>
        <v>26358728</v>
      </c>
      <c r="BL243" s="1">
        <f>+GenRev!AM243-GenExp!BJ243</f>
        <v>-2107204</v>
      </c>
      <c r="BN243" s="1">
        <v>7406358</v>
      </c>
      <c r="BP243" s="1">
        <v>0</v>
      </c>
      <c r="BQ243" s="1">
        <v>0</v>
      </c>
      <c r="BS243" s="1">
        <f t="shared" si="25"/>
        <v>5299154</v>
      </c>
      <c r="BU243" s="20">
        <f>+BS243-'Gen Fd BS'!AA243+BQ243</f>
        <v>0</v>
      </c>
    </row>
    <row r="244" spans="1:73">
      <c r="A244" s="12" t="s">
        <v>481</v>
      </c>
      <c r="B244" s="12"/>
      <c r="C244" s="12" t="s">
        <v>78</v>
      </c>
      <c r="D244" s="12"/>
      <c r="E244" s="13">
        <v>48801</v>
      </c>
      <c r="G244" s="1">
        <v>6499206</v>
      </c>
      <c r="I244" s="1">
        <v>1853977</v>
      </c>
      <c r="K244" s="1">
        <v>153924</v>
      </c>
      <c r="M244" s="1">
        <v>0</v>
      </c>
      <c r="O244" s="1">
        <v>455313</v>
      </c>
      <c r="Q244" s="1">
        <v>687681</v>
      </c>
      <c r="S244" s="1">
        <v>276443</v>
      </c>
      <c r="U244" s="1">
        <v>587983</v>
      </c>
      <c r="W244" s="1">
        <v>352954</v>
      </c>
      <c r="Y244" s="1">
        <v>0</v>
      </c>
      <c r="AA244" s="1">
        <v>1254825</v>
      </c>
      <c r="AC244" s="1">
        <v>1238927</v>
      </c>
      <c r="AE244" s="1">
        <v>0</v>
      </c>
      <c r="AG244" s="1">
        <v>0</v>
      </c>
      <c r="AI244" s="1">
        <v>0</v>
      </c>
      <c r="AJ244" s="12" t="s">
        <v>481</v>
      </c>
      <c r="AK244" s="12"/>
      <c r="AL244" s="12" t="s">
        <v>78</v>
      </c>
      <c r="AN244" s="1">
        <v>209957</v>
      </c>
      <c r="AP244" s="1">
        <v>429382</v>
      </c>
      <c r="AR244" s="1">
        <v>0</v>
      </c>
      <c r="AT244" s="1">
        <v>15263</v>
      </c>
      <c r="AV244" s="1">
        <v>2845</v>
      </c>
      <c r="AX244" s="1">
        <v>0</v>
      </c>
      <c r="AZ244" s="1">
        <f t="shared" si="23"/>
        <v>14018680</v>
      </c>
      <c r="BB244" s="1">
        <v>0</v>
      </c>
      <c r="BH244" s="1">
        <v>0</v>
      </c>
      <c r="BJ244" s="1">
        <f t="shared" si="24"/>
        <v>14018680</v>
      </c>
      <c r="BL244" s="1">
        <f>+GenRev!AM244-GenExp!BJ244</f>
        <v>-767591</v>
      </c>
      <c r="BN244" s="1">
        <v>2744245</v>
      </c>
      <c r="BP244" s="1">
        <v>0</v>
      </c>
      <c r="BQ244" s="1">
        <v>0</v>
      </c>
      <c r="BS244" s="1">
        <f t="shared" si="25"/>
        <v>1976654</v>
      </c>
      <c r="BU244" s="20">
        <f>+BS244-'Gen Fd BS'!AA244+BQ244</f>
        <v>0</v>
      </c>
    </row>
    <row r="245" spans="1:73">
      <c r="A245" s="12" t="s">
        <v>337</v>
      </c>
      <c r="B245" s="12"/>
      <c r="C245" s="12" t="s">
        <v>27</v>
      </c>
      <c r="D245" s="12"/>
      <c r="E245" s="13">
        <v>47019</v>
      </c>
      <c r="F245" s="8"/>
      <c r="G245" s="1">
        <v>81071065</v>
      </c>
      <c r="I245" s="1">
        <v>13217625</v>
      </c>
      <c r="K245" s="1">
        <v>1339988</v>
      </c>
      <c r="M245" s="1">
        <v>0</v>
      </c>
      <c r="O245" s="1">
        <v>9697736</v>
      </c>
      <c r="Q245" s="1">
        <v>8668705</v>
      </c>
      <c r="S245" s="1">
        <v>438072</v>
      </c>
      <c r="U245" s="1">
        <v>9595662</v>
      </c>
      <c r="W245" s="1">
        <v>3579513</v>
      </c>
      <c r="Y245" s="1">
        <v>966153</v>
      </c>
      <c r="AA245" s="1">
        <v>14209881</v>
      </c>
      <c r="AC245" s="1">
        <v>6985634</v>
      </c>
      <c r="AE245" s="1">
        <v>407080</v>
      </c>
      <c r="AG245" s="1">
        <v>0</v>
      </c>
      <c r="AI245" s="1">
        <v>0</v>
      </c>
      <c r="AJ245" s="12" t="s">
        <v>337</v>
      </c>
      <c r="AK245" s="12"/>
      <c r="AL245" s="12" t="s">
        <v>27</v>
      </c>
      <c r="AN245" s="1">
        <v>3734212</v>
      </c>
      <c r="AP245" s="1">
        <v>280892</v>
      </c>
      <c r="AR245" s="1">
        <v>0</v>
      </c>
      <c r="AT245" s="1">
        <v>476225</v>
      </c>
      <c r="AV245" s="1">
        <v>27159</v>
      </c>
      <c r="AX245" s="1">
        <v>0</v>
      </c>
      <c r="AZ245" s="1">
        <f t="shared" si="23"/>
        <v>154695602</v>
      </c>
      <c r="BB245" s="1">
        <v>0</v>
      </c>
      <c r="BH245" s="1">
        <v>0</v>
      </c>
      <c r="BJ245" s="1">
        <f t="shared" si="24"/>
        <v>154695602</v>
      </c>
      <c r="BL245" s="1">
        <f>+GenRev!AM245-GenExp!BJ245</f>
        <v>1634762</v>
      </c>
      <c r="BN245" s="1">
        <v>37901150</v>
      </c>
      <c r="BP245" s="1">
        <v>0</v>
      </c>
      <c r="BQ245" s="1">
        <v>0</v>
      </c>
      <c r="BS245" s="1">
        <f t="shared" si="25"/>
        <v>39535912</v>
      </c>
      <c r="BU245" s="20">
        <f>+BS245-'Gen Fd BS'!AA245+BQ245</f>
        <v>0</v>
      </c>
    </row>
    <row r="246" spans="1:73" hidden="1">
      <c r="A246" s="12" t="s">
        <v>398</v>
      </c>
      <c r="B246" s="12"/>
      <c r="C246" s="12" t="s">
        <v>395</v>
      </c>
      <c r="D246" s="12"/>
      <c r="E246" s="13">
        <v>44123</v>
      </c>
      <c r="AJ246" s="12" t="s">
        <v>398</v>
      </c>
      <c r="AK246" s="12"/>
      <c r="AL246" s="12" t="s">
        <v>395</v>
      </c>
      <c r="AZ246" s="1">
        <f t="shared" si="23"/>
        <v>0</v>
      </c>
      <c r="BJ246" s="1">
        <f t="shared" si="24"/>
        <v>0</v>
      </c>
      <c r="BL246" s="1">
        <f>+GenRev!AM246-GenExp!BJ246</f>
        <v>0</v>
      </c>
      <c r="BS246" s="1">
        <f t="shared" si="25"/>
        <v>0</v>
      </c>
      <c r="BU246" s="20">
        <f>+BS246-'Gen Fd BS'!AA246+BQ246</f>
        <v>0</v>
      </c>
    </row>
    <row r="247" spans="1:73">
      <c r="A247" s="12" t="s">
        <v>207</v>
      </c>
      <c r="B247" s="12"/>
      <c r="C247" s="12" t="s">
        <v>11</v>
      </c>
      <c r="D247" s="12"/>
      <c r="E247" s="13">
        <v>45823</v>
      </c>
      <c r="G247" s="1">
        <v>4514869</v>
      </c>
      <c r="I247" s="1">
        <v>428830</v>
      </c>
      <c r="K247" s="1">
        <v>398681</v>
      </c>
      <c r="M247" s="1">
        <v>22453</v>
      </c>
      <c r="O247" s="1">
        <v>376985</v>
      </c>
      <c r="Q247" s="1">
        <v>275842</v>
      </c>
      <c r="S247" s="1">
        <v>54992</v>
      </c>
      <c r="U247" s="1">
        <v>812268</v>
      </c>
      <c r="W247" s="1">
        <v>347566</v>
      </c>
      <c r="Y247" s="1">
        <v>0</v>
      </c>
      <c r="AA247" s="1">
        <v>682526</v>
      </c>
      <c r="AC247" s="1">
        <v>740405</v>
      </c>
      <c r="AE247" s="1">
        <v>0</v>
      </c>
      <c r="AG247" s="1">
        <v>0</v>
      </c>
      <c r="AI247" s="1">
        <v>617</v>
      </c>
      <c r="AJ247" s="12" t="s">
        <v>207</v>
      </c>
      <c r="AK247" s="12"/>
      <c r="AL247" s="12" t="s">
        <v>11</v>
      </c>
      <c r="AN247" s="1">
        <v>238412</v>
      </c>
      <c r="AP247" s="1">
        <v>0</v>
      </c>
      <c r="AR247" s="1">
        <v>0</v>
      </c>
      <c r="AT247" s="1">
        <v>0</v>
      </c>
      <c r="AV247" s="1">
        <v>0</v>
      </c>
      <c r="AX247" s="1">
        <v>0</v>
      </c>
      <c r="AZ247" s="1">
        <f t="shared" si="23"/>
        <v>8894446</v>
      </c>
      <c r="BB247" s="1">
        <v>32449</v>
      </c>
      <c r="BH247" s="1">
        <v>0</v>
      </c>
      <c r="BJ247" s="1">
        <f t="shared" si="24"/>
        <v>8926895</v>
      </c>
      <c r="BL247" s="1">
        <f>+GenRev!AM247-GenExp!BJ247</f>
        <v>66870</v>
      </c>
      <c r="BN247" s="1">
        <v>1607847</v>
      </c>
      <c r="BP247" s="1">
        <v>0</v>
      </c>
      <c r="BQ247" s="1">
        <v>0</v>
      </c>
      <c r="BS247" s="1">
        <f t="shared" si="25"/>
        <v>1674717</v>
      </c>
      <c r="BU247" s="20">
        <f>+BS247-'Gen Fd BS'!AA247+BQ247</f>
        <v>0</v>
      </c>
    </row>
    <row r="248" spans="1:73">
      <c r="A248" s="12" t="s">
        <v>390</v>
      </c>
      <c r="B248" s="12"/>
      <c r="C248" s="12" t="s">
        <v>34</v>
      </c>
      <c r="D248" s="12"/>
      <c r="E248" s="13">
        <v>47571</v>
      </c>
      <c r="G248" s="1">
        <v>2265011</v>
      </c>
      <c r="I248" s="1">
        <v>272696</v>
      </c>
      <c r="K248" s="1">
        <v>91480</v>
      </c>
      <c r="M248" s="1">
        <v>0</v>
      </c>
      <c r="O248" s="1">
        <v>239036</v>
      </c>
      <c r="Q248" s="1">
        <v>157325</v>
      </c>
      <c r="S248" s="1">
        <v>17994</v>
      </c>
      <c r="U248" s="1">
        <v>468174</v>
      </c>
      <c r="W248" s="1">
        <v>178703</v>
      </c>
      <c r="Y248" s="1">
        <v>8917</v>
      </c>
      <c r="AA248" s="1">
        <v>255154</v>
      </c>
      <c r="AC248" s="1">
        <v>209234</v>
      </c>
      <c r="AE248" s="1">
        <v>80026</v>
      </c>
      <c r="AG248" s="1">
        <v>0</v>
      </c>
      <c r="AI248" s="1">
        <v>0</v>
      </c>
      <c r="AJ248" s="12" t="s">
        <v>390</v>
      </c>
      <c r="AK248" s="12"/>
      <c r="AL248" s="12" t="s">
        <v>34</v>
      </c>
      <c r="AN248" s="1">
        <v>140984</v>
      </c>
      <c r="AP248" s="1">
        <v>0</v>
      </c>
      <c r="AR248" s="1">
        <v>0</v>
      </c>
      <c r="AT248" s="1">
        <v>0</v>
      </c>
      <c r="AV248" s="1">
        <v>0</v>
      </c>
      <c r="AX248" s="1">
        <v>0</v>
      </c>
      <c r="AZ248" s="1">
        <f t="shared" si="23"/>
        <v>4384734</v>
      </c>
      <c r="BB248" s="1">
        <v>0</v>
      </c>
      <c r="BH248" s="1">
        <v>0</v>
      </c>
      <c r="BJ248" s="1">
        <f t="shared" si="24"/>
        <v>4384734</v>
      </c>
      <c r="BL248" s="1">
        <f>+GenRev!AM248-GenExp!BJ248</f>
        <v>369766</v>
      </c>
      <c r="BN248" s="1">
        <v>1855837</v>
      </c>
      <c r="BP248" s="1">
        <v>0</v>
      </c>
      <c r="BQ248" s="1">
        <v>0</v>
      </c>
      <c r="BS248" s="1">
        <f t="shared" si="25"/>
        <v>2225603</v>
      </c>
      <c r="BU248" s="20">
        <f>+BS248-'Gen Fd BS'!AA248+BQ248</f>
        <v>0</v>
      </c>
    </row>
    <row r="249" spans="1:73">
      <c r="A249" s="12" t="s">
        <v>604</v>
      </c>
      <c r="B249" s="12"/>
      <c r="C249" s="12" t="s">
        <v>64</v>
      </c>
      <c r="D249" s="12"/>
      <c r="E249" s="13">
        <v>50161</v>
      </c>
      <c r="G249" s="1">
        <v>12758120</v>
      </c>
      <c r="I249" s="1">
        <v>2718620</v>
      </c>
      <c r="K249" s="1">
        <v>608574</v>
      </c>
      <c r="M249" s="1">
        <v>1708193</v>
      </c>
      <c r="O249" s="1">
        <v>1714298</v>
      </c>
      <c r="Q249" s="1">
        <v>729330</v>
      </c>
      <c r="S249" s="1">
        <v>304684</v>
      </c>
      <c r="U249" s="1">
        <v>2392146</v>
      </c>
      <c r="W249" s="1">
        <v>674453</v>
      </c>
      <c r="Y249" s="1">
        <v>97443</v>
      </c>
      <c r="AA249" s="1">
        <v>2961031</v>
      </c>
      <c r="AC249" s="1">
        <v>1833857</v>
      </c>
      <c r="AE249" s="1">
        <v>13510</v>
      </c>
      <c r="AG249" s="1">
        <v>0</v>
      </c>
      <c r="AI249" s="1">
        <v>516</v>
      </c>
      <c r="AJ249" s="12" t="s">
        <v>604</v>
      </c>
      <c r="AK249" s="12"/>
      <c r="AL249" s="12" t="s">
        <v>64</v>
      </c>
      <c r="AN249" s="1">
        <v>566801</v>
      </c>
      <c r="AP249" s="1">
        <v>0</v>
      </c>
      <c r="AR249" s="1">
        <v>0</v>
      </c>
      <c r="AT249" s="1">
        <v>0</v>
      </c>
      <c r="AV249" s="1">
        <v>0</v>
      </c>
      <c r="AX249" s="1">
        <v>0</v>
      </c>
      <c r="AZ249" s="1">
        <f t="shared" si="23"/>
        <v>29081576</v>
      </c>
      <c r="BB249" s="1">
        <v>0</v>
      </c>
      <c r="BH249" s="1">
        <v>0</v>
      </c>
      <c r="BJ249" s="1">
        <f t="shared" si="24"/>
        <v>29081576</v>
      </c>
      <c r="BL249" s="1">
        <f>+GenRev!AM249-GenExp!BJ249</f>
        <v>-161097</v>
      </c>
      <c r="BN249" s="1">
        <v>-2171229</v>
      </c>
      <c r="BP249" s="1">
        <v>0</v>
      </c>
      <c r="BQ249" s="1">
        <v>0</v>
      </c>
      <c r="BS249" s="1">
        <f t="shared" si="25"/>
        <v>-2332326</v>
      </c>
      <c r="BU249" s="20">
        <f>+BS249-'Gen Fd BS'!AA249+BQ249</f>
        <v>0</v>
      </c>
    </row>
    <row r="250" spans="1:73">
      <c r="A250" s="12" t="s">
        <v>605</v>
      </c>
      <c r="B250" s="12"/>
      <c r="C250" s="12" t="s">
        <v>64</v>
      </c>
      <c r="D250" s="12"/>
      <c r="E250" s="13">
        <v>45427</v>
      </c>
      <c r="G250" s="1">
        <v>7476727</v>
      </c>
      <c r="I250" s="1">
        <v>1534422</v>
      </c>
      <c r="K250" s="1">
        <v>328084</v>
      </c>
      <c r="M250" s="1">
        <v>549773</v>
      </c>
      <c r="O250" s="1">
        <v>824851</v>
      </c>
      <c r="Q250" s="1">
        <v>724498</v>
      </c>
      <c r="S250" s="1">
        <v>18682</v>
      </c>
      <c r="U250" s="1">
        <v>1315982</v>
      </c>
      <c r="W250" s="1">
        <v>425458</v>
      </c>
      <c r="Y250" s="1">
        <v>19647</v>
      </c>
      <c r="AA250" s="1">
        <v>1935837</v>
      </c>
      <c r="AC250" s="1">
        <v>882301</v>
      </c>
      <c r="AE250" s="1">
        <v>308531</v>
      </c>
      <c r="AG250" s="1">
        <v>0</v>
      </c>
      <c r="AI250" s="1">
        <v>313304</v>
      </c>
      <c r="AJ250" s="12" t="s">
        <v>605</v>
      </c>
      <c r="AK250" s="12"/>
      <c r="AL250" s="12" t="s">
        <v>64</v>
      </c>
      <c r="AN250" s="1">
        <v>426589</v>
      </c>
      <c r="AP250" s="1">
        <v>1950</v>
      </c>
      <c r="AR250" s="1">
        <v>0</v>
      </c>
      <c r="AT250" s="1">
        <v>9822</v>
      </c>
      <c r="AV250" s="1">
        <v>92</v>
      </c>
      <c r="AX250" s="1">
        <v>0</v>
      </c>
      <c r="AZ250" s="1">
        <f t="shared" si="23"/>
        <v>17096550</v>
      </c>
      <c r="BB250" s="1">
        <v>143348</v>
      </c>
      <c r="BH250" s="1">
        <v>0</v>
      </c>
      <c r="BJ250" s="1">
        <f t="shared" si="24"/>
        <v>17239898</v>
      </c>
      <c r="BL250" s="1">
        <f>+GenRev!AM250-GenExp!BJ250</f>
        <v>232924</v>
      </c>
      <c r="BN250" s="1">
        <v>5089641</v>
      </c>
      <c r="BP250" s="1">
        <v>0</v>
      </c>
      <c r="BQ250" s="1">
        <v>0</v>
      </c>
      <c r="BS250" s="1">
        <f t="shared" si="25"/>
        <v>5322565</v>
      </c>
      <c r="BU250" s="20">
        <f>+BS250-'Gen Fd BS'!AA250+BQ250</f>
        <v>0</v>
      </c>
    </row>
    <row r="251" spans="1:73">
      <c r="A251" s="12" t="s">
        <v>497</v>
      </c>
      <c r="B251" s="12"/>
      <c r="C251" s="12" t="s">
        <v>50</v>
      </c>
      <c r="D251" s="12"/>
      <c r="E251" s="13">
        <v>48751</v>
      </c>
      <c r="G251" s="1">
        <v>42417142</v>
      </c>
      <c r="I251" s="1">
        <v>0</v>
      </c>
      <c r="K251" s="1">
        <v>0</v>
      </c>
      <c r="M251" s="1">
        <v>0</v>
      </c>
      <c r="O251" s="1">
        <v>2900842</v>
      </c>
      <c r="Q251" s="1">
        <v>3776205</v>
      </c>
      <c r="S251" s="1">
        <v>34682</v>
      </c>
      <c r="U251" s="1">
        <v>4262228</v>
      </c>
      <c r="W251" s="1">
        <v>995442</v>
      </c>
      <c r="Y251" s="1">
        <v>492887</v>
      </c>
      <c r="AA251" s="1">
        <v>3939428</v>
      </c>
      <c r="AC251" s="1">
        <v>3330679</v>
      </c>
      <c r="AE251" s="1">
        <v>561922</v>
      </c>
      <c r="AG251" s="1">
        <v>0</v>
      </c>
      <c r="AI251" s="1">
        <v>0</v>
      </c>
      <c r="AJ251" s="12" t="s">
        <v>497</v>
      </c>
      <c r="AK251" s="12"/>
      <c r="AL251" s="12" t="s">
        <v>50</v>
      </c>
      <c r="AN251" s="1">
        <v>654869</v>
      </c>
      <c r="AP251" s="1">
        <v>0</v>
      </c>
      <c r="AR251" s="1">
        <v>0</v>
      </c>
      <c r="AT251" s="1">
        <v>30365</v>
      </c>
      <c r="AV251" s="1">
        <v>82223</v>
      </c>
      <c r="AX251" s="1">
        <v>0</v>
      </c>
      <c r="AZ251" s="1">
        <f t="shared" si="23"/>
        <v>63478914</v>
      </c>
      <c r="BB251" s="1">
        <v>500781</v>
      </c>
      <c r="BH251" s="1">
        <v>0</v>
      </c>
      <c r="BJ251" s="1">
        <f t="shared" si="24"/>
        <v>63979695</v>
      </c>
      <c r="BL251" s="1">
        <f>+GenRev!AM251-GenExp!BJ251</f>
        <v>-4299626</v>
      </c>
      <c r="BN251" s="1">
        <v>21679697</v>
      </c>
      <c r="BP251" s="1">
        <v>129158</v>
      </c>
      <c r="BQ251" s="1">
        <v>0</v>
      </c>
      <c r="BS251" s="1">
        <f t="shared" si="25"/>
        <v>17250913</v>
      </c>
      <c r="BU251" s="20">
        <f>+BS251-'Gen Fd BS'!AA251+BQ251</f>
        <v>0</v>
      </c>
    </row>
    <row r="252" spans="1:73">
      <c r="A252" s="12" t="s">
        <v>590</v>
      </c>
      <c r="B252" s="12"/>
      <c r="C252" s="12" t="s">
        <v>63</v>
      </c>
      <c r="D252" s="12"/>
      <c r="E252" s="13">
        <v>50021</v>
      </c>
      <c r="G252" s="1">
        <v>27916341</v>
      </c>
      <c r="I252" s="1">
        <v>6262991</v>
      </c>
      <c r="K252" s="1">
        <v>405644</v>
      </c>
      <c r="M252" s="1">
        <v>995589</v>
      </c>
      <c r="O252" s="1">
        <v>3653302</v>
      </c>
      <c r="Q252" s="1">
        <v>4942053</v>
      </c>
      <c r="S252" s="1">
        <v>37223</v>
      </c>
      <c r="U252" s="1">
        <v>4163828</v>
      </c>
      <c r="W252" s="1">
        <v>1554882</v>
      </c>
      <c r="Y252" s="1">
        <v>572032</v>
      </c>
      <c r="AA252" s="1">
        <v>4951694</v>
      </c>
      <c r="AC252" s="1">
        <v>4181468</v>
      </c>
      <c r="AE252" s="1">
        <v>519160</v>
      </c>
      <c r="AG252" s="1">
        <v>0</v>
      </c>
      <c r="AI252" s="1">
        <v>0</v>
      </c>
      <c r="AJ252" s="12" t="s">
        <v>590</v>
      </c>
      <c r="AK252" s="12"/>
      <c r="AL252" s="12" t="s">
        <v>63</v>
      </c>
      <c r="AN252" s="1">
        <v>930359</v>
      </c>
      <c r="AP252" s="1">
        <v>0</v>
      </c>
      <c r="AR252" s="1">
        <v>0</v>
      </c>
      <c r="AT252" s="1">
        <v>0</v>
      </c>
      <c r="AV252" s="1">
        <v>47162</v>
      </c>
      <c r="AX252" s="1">
        <v>0</v>
      </c>
      <c r="AZ252" s="1">
        <f t="shared" si="23"/>
        <v>61133728</v>
      </c>
      <c r="BB252" s="1">
        <v>37500</v>
      </c>
      <c r="BH252" s="1">
        <v>0</v>
      </c>
      <c r="BJ252" s="1">
        <f t="shared" si="24"/>
        <v>61171228</v>
      </c>
      <c r="BL252" s="1">
        <f>+GenRev!AM252-GenExp!BJ252</f>
        <v>-4915643</v>
      </c>
      <c r="BN252" s="1">
        <v>13020460</v>
      </c>
      <c r="BP252" s="1">
        <v>0</v>
      </c>
      <c r="BQ252" s="1">
        <v>0</v>
      </c>
      <c r="BS252" s="1">
        <f t="shared" si="25"/>
        <v>8104817</v>
      </c>
      <c r="BU252" s="20">
        <f>+BS252-'Gen Fd BS'!AA252+BQ252</f>
        <v>0</v>
      </c>
    </row>
    <row r="253" spans="1:73">
      <c r="A253" s="12" t="s">
        <v>551</v>
      </c>
      <c r="B253" s="12"/>
      <c r="C253" s="12" t="s">
        <v>58</v>
      </c>
      <c r="D253" s="12"/>
      <c r="E253" s="13">
        <v>49502</v>
      </c>
      <c r="G253" s="1">
        <v>6203788</v>
      </c>
      <c r="I253" s="1">
        <v>395718</v>
      </c>
      <c r="K253" s="1">
        <v>0</v>
      </c>
      <c r="M253" s="1">
        <v>165477</v>
      </c>
      <c r="O253" s="1">
        <v>304010</v>
      </c>
      <c r="Q253" s="1">
        <v>144726</v>
      </c>
      <c r="S253" s="1">
        <v>29439</v>
      </c>
      <c r="U253" s="1">
        <v>390064</v>
      </c>
      <c r="W253" s="1">
        <v>581061</v>
      </c>
      <c r="Y253" s="1">
        <v>0</v>
      </c>
      <c r="AA253" s="1">
        <v>998563</v>
      </c>
      <c r="AC253" s="1">
        <v>761427</v>
      </c>
      <c r="AE253" s="1">
        <v>0</v>
      </c>
      <c r="AG253" s="1">
        <v>0</v>
      </c>
      <c r="AI253" s="1">
        <v>0</v>
      </c>
      <c r="AJ253" s="12" t="s">
        <v>551</v>
      </c>
      <c r="AK253" s="12"/>
      <c r="AL253" s="12" t="s">
        <v>58</v>
      </c>
      <c r="AN253" s="1">
        <v>188875</v>
      </c>
      <c r="AP253" s="1">
        <v>0</v>
      </c>
      <c r="AR253" s="1">
        <v>0</v>
      </c>
      <c r="AT253" s="1">
        <v>40932</v>
      </c>
      <c r="AV253" s="1">
        <v>10377</v>
      </c>
      <c r="AX253" s="1">
        <v>0</v>
      </c>
      <c r="AZ253" s="20">
        <f t="shared" si="23"/>
        <v>10214457</v>
      </c>
      <c r="BB253" s="1">
        <v>40015</v>
      </c>
      <c r="BH253" s="1">
        <v>0</v>
      </c>
      <c r="BJ253" s="1">
        <f t="shared" si="24"/>
        <v>10254472</v>
      </c>
      <c r="BL253" s="1">
        <f>+GenRev!AM253-GenExp!BJ253</f>
        <v>-31583</v>
      </c>
      <c r="BN253" s="1">
        <v>4449525</v>
      </c>
      <c r="BP253" s="1">
        <v>0</v>
      </c>
      <c r="BQ253" s="1">
        <v>0</v>
      </c>
      <c r="BS253" s="1">
        <f t="shared" si="25"/>
        <v>4417942</v>
      </c>
      <c r="BU253" s="20">
        <f>+BS253-'Gen Fd BS'!AA253+BQ253</f>
        <v>0</v>
      </c>
    </row>
    <row r="254" spans="1:73">
      <c r="A254" s="12" t="s">
        <v>315</v>
      </c>
      <c r="B254" s="12"/>
      <c r="C254" s="12" t="s">
        <v>24</v>
      </c>
      <c r="D254" s="12"/>
      <c r="E254" s="13">
        <v>44131</v>
      </c>
      <c r="G254" s="1">
        <v>6917619</v>
      </c>
      <c r="I254" s="1">
        <v>1558833</v>
      </c>
      <c r="K254" s="1">
        <v>0</v>
      </c>
      <c r="M254" s="1">
        <v>15520</v>
      </c>
      <c r="O254" s="1">
        <v>416491</v>
      </c>
      <c r="Q254" s="1">
        <v>540192</v>
      </c>
      <c r="S254" s="1">
        <v>35456</v>
      </c>
      <c r="U254" s="1">
        <v>1471183</v>
      </c>
      <c r="W254" s="1">
        <v>512013</v>
      </c>
      <c r="Y254" s="1">
        <v>0</v>
      </c>
      <c r="AA254" s="1">
        <v>1453213</v>
      </c>
      <c r="AC254" s="1">
        <v>892848</v>
      </c>
      <c r="AE254" s="1">
        <v>4378</v>
      </c>
      <c r="AG254" s="1">
        <v>0</v>
      </c>
      <c r="AI254" s="1">
        <v>82485</v>
      </c>
      <c r="AJ254" s="12" t="s">
        <v>315</v>
      </c>
      <c r="AK254" s="12"/>
      <c r="AL254" s="12" t="s">
        <v>24</v>
      </c>
      <c r="AN254" s="1">
        <v>376147</v>
      </c>
      <c r="AP254" s="1">
        <v>0</v>
      </c>
      <c r="AR254" s="1">
        <v>0</v>
      </c>
      <c r="AT254" s="1">
        <v>111510</v>
      </c>
      <c r="AV254" s="1">
        <v>65720</v>
      </c>
      <c r="AX254" s="1">
        <v>0</v>
      </c>
      <c r="AZ254" s="1">
        <f t="shared" si="23"/>
        <v>14453608</v>
      </c>
      <c r="BB254" s="1">
        <v>35389</v>
      </c>
      <c r="BH254" s="1">
        <v>0</v>
      </c>
      <c r="BJ254" s="1">
        <f t="shared" si="24"/>
        <v>14488997</v>
      </c>
      <c r="BL254" s="1">
        <f>+GenRev!AM254-GenExp!BJ254</f>
        <v>813913</v>
      </c>
      <c r="BN254" s="1">
        <v>6124418</v>
      </c>
      <c r="BP254" s="1">
        <v>0</v>
      </c>
      <c r="BQ254" s="1">
        <v>0</v>
      </c>
      <c r="BS254" s="1">
        <f t="shared" si="25"/>
        <v>6938331</v>
      </c>
      <c r="BU254" s="20">
        <f>+BS254-'Gen Fd BS'!AA254+BQ254</f>
        <v>0</v>
      </c>
    </row>
    <row r="255" spans="1:73">
      <c r="A255" s="12" t="s">
        <v>292</v>
      </c>
      <c r="B255" s="12"/>
      <c r="C255" s="12" t="s">
        <v>20</v>
      </c>
      <c r="D255" s="12"/>
      <c r="E255" s="13">
        <v>46565</v>
      </c>
      <c r="G255" s="1">
        <v>7124175</v>
      </c>
      <c r="I255" s="1">
        <v>312765</v>
      </c>
      <c r="K255" s="1">
        <v>0</v>
      </c>
      <c r="M255" s="1">
        <f>135053+16283</f>
        <v>151336</v>
      </c>
      <c r="O255" s="1">
        <v>810658</v>
      </c>
      <c r="Q255" s="1">
        <v>1652192</v>
      </c>
      <c r="S255" s="1">
        <v>188288</v>
      </c>
      <c r="U255" s="1">
        <v>905484</v>
      </c>
      <c r="W255" s="1">
        <v>624035</v>
      </c>
      <c r="Y255" s="1">
        <v>173355</v>
      </c>
      <c r="AA255" s="1">
        <v>1427385</v>
      </c>
      <c r="AC255" s="1">
        <v>733693</v>
      </c>
      <c r="AE255" s="1">
        <v>0</v>
      </c>
      <c r="AG255" s="1">
        <v>400</v>
      </c>
      <c r="AI255" s="1">
        <v>0</v>
      </c>
      <c r="AJ255" s="12" t="s">
        <v>292</v>
      </c>
      <c r="AK255" s="12"/>
      <c r="AL255" s="12" t="s">
        <v>20</v>
      </c>
      <c r="AN255" s="1">
        <v>445201</v>
      </c>
      <c r="AP255" s="1">
        <v>343333</v>
      </c>
      <c r="AR255" s="1">
        <v>0</v>
      </c>
      <c r="AT255" s="1">
        <v>0</v>
      </c>
      <c r="AV255" s="1">
        <v>0</v>
      </c>
      <c r="AX255" s="1">
        <v>0</v>
      </c>
      <c r="AZ255" s="1">
        <f t="shared" si="23"/>
        <v>14892300</v>
      </c>
      <c r="BB255" s="1">
        <v>690466</v>
      </c>
      <c r="BH255" s="1">
        <v>0</v>
      </c>
      <c r="BJ255" s="1">
        <f t="shared" si="24"/>
        <v>15582766</v>
      </c>
      <c r="BL255" s="1">
        <f>+GenRev!AM255-GenExp!BJ255</f>
        <v>56055</v>
      </c>
      <c r="BN255" s="1">
        <v>1455334</v>
      </c>
      <c r="BP255" s="1">
        <v>0</v>
      </c>
      <c r="BQ255" s="1">
        <v>0</v>
      </c>
      <c r="BS255" s="1">
        <f t="shared" si="25"/>
        <v>1511389</v>
      </c>
      <c r="BU255" s="20">
        <f>+BS255-'Gen Fd BS'!AA255+BQ255</f>
        <v>0</v>
      </c>
    </row>
    <row r="256" spans="1:73">
      <c r="A256" s="12"/>
      <c r="B256" s="12"/>
      <c r="C256" s="12"/>
      <c r="D256" s="12"/>
      <c r="E256" s="13"/>
      <c r="AJ256" s="12"/>
      <c r="AK256" s="12"/>
      <c r="AL256" s="12"/>
    </row>
    <row r="257" spans="1:73">
      <c r="A257" s="12"/>
      <c r="B257" s="12"/>
      <c r="C257" s="12"/>
      <c r="D257" s="12"/>
      <c r="E257" s="13"/>
      <c r="AI257" s="20" t="s">
        <v>709</v>
      </c>
      <c r="AJ257" s="12"/>
      <c r="AK257" s="12"/>
      <c r="AL257" s="12"/>
      <c r="BS257" s="41" t="s">
        <v>709</v>
      </c>
    </row>
    <row r="258" spans="1:73">
      <c r="A258" s="12"/>
      <c r="B258" s="12"/>
      <c r="C258" s="12"/>
      <c r="D258" s="12"/>
      <c r="E258" s="13"/>
      <c r="AJ258" s="12"/>
      <c r="AK258" s="12"/>
      <c r="AL258" s="12"/>
    </row>
    <row r="259" spans="1:73">
      <c r="A259" s="12" t="s">
        <v>411</v>
      </c>
      <c r="B259" s="12"/>
      <c r="C259" s="12" t="s">
        <v>39</v>
      </c>
      <c r="D259" s="12"/>
      <c r="E259" s="13">
        <v>47803</v>
      </c>
      <c r="G259" s="16">
        <v>10008516</v>
      </c>
      <c r="H259" s="16"/>
      <c r="I259" s="16">
        <v>2052152</v>
      </c>
      <c r="J259" s="16"/>
      <c r="K259" s="16">
        <v>316273</v>
      </c>
      <c r="L259" s="16"/>
      <c r="M259" s="16">
        <f>2751+267555</f>
        <v>270306</v>
      </c>
      <c r="N259" s="16"/>
      <c r="O259" s="16">
        <v>569046</v>
      </c>
      <c r="P259" s="16"/>
      <c r="Q259" s="16">
        <v>461696</v>
      </c>
      <c r="R259" s="16"/>
      <c r="S259" s="16">
        <v>14565</v>
      </c>
      <c r="T259" s="16"/>
      <c r="U259" s="16">
        <v>1625421</v>
      </c>
      <c r="V259" s="16"/>
      <c r="W259" s="16">
        <v>401229</v>
      </c>
      <c r="X259" s="16"/>
      <c r="Y259" s="16">
        <v>0</v>
      </c>
      <c r="Z259" s="16"/>
      <c r="AA259" s="16">
        <v>1802764</v>
      </c>
      <c r="AB259" s="16"/>
      <c r="AC259" s="16">
        <v>846737</v>
      </c>
      <c r="AD259" s="16"/>
      <c r="AE259" s="16">
        <v>3589</v>
      </c>
      <c r="AF259" s="16"/>
      <c r="AG259" s="16">
        <v>0</v>
      </c>
      <c r="AH259" s="16"/>
      <c r="AI259" s="16">
        <v>513</v>
      </c>
      <c r="AJ259" s="12" t="s">
        <v>411</v>
      </c>
      <c r="AK259" s="12"/>
      <c r="AL259" s="12" t="s">
        <v>39</v>
      </c>
      <c r="AN259" s="16">
        <v>225862</v>
      </c>
      <c r="AO259" s="16"/>
      <c r="AP259" s="16">
        <v>1000</v>
      </c>
      <c r="AQ259" s="16"/>
      <c r="AR259" s="16">
        <v>0</v>
      </c>
      <c r="AS259" s="16"/>
      <c r="AT259" s="16">
        <v>77962</v>
      </c>
      <c r="AU259" s="16"/>
      <c r="AV259" s="16">
        <v>28314</v>
      </c>
      <c r="AW259" s="16"/>
      <c r="AX259" s="16">
        <v>0</v>
      </c>
      <c r="AY259" s="16"/>
      <c r="AZ259" s="16">
        <f t="shared" si="23"/>
        <v>18705945</v>
      </c>
      <c r="BA259" s="16"/>
      <c r="BB259" s="16">
        <v>67367</v>
      </c>
      <c r="BC259" s="16"/>
      <c r="BD259" s="16"/>
      <c r="BE259" s="16"/>
      <c r="BF259" s="16"/>
      <c r="BG259" s="16"/>
      <c r="BH259" s="16">
        <v>0</v>
      </c>
      <c r="BI259" s="16"/>
      <c r="BJ259" s="16">
        <f t="shared" si="24"/>
        <v>18773312</v>
      </c>
      <c r="BK259" s="16"/>
      <c r="BL259" s="16">
        <f>+GenRev!AM259-GenExp!BJ259</f>
        <v>-552036</v>
      </c>
      <c r="BM259" s="16"/>
      <c r="BN259" s="16">
        <v>-896750</v>
      </c>
      <c r="BO259" s="16"/>
      <c r="BP259" s="16">
        <v>0</v>
      </c>
      <c r="BQ259" s="16">
        <v>0</v>
      </c>
      <c r="BR259" s="16"/>
      <c r="BS259" s="16">
        <f t="shared" si="25"/>
        <v>-1448786</v>
      </c>
      <c r="BT259" s="16"/>
      <c r="BU259" s="72">
        <f>+BS259-'Gen Fd BS'!AA259+BQ259</f>
        <v>0</v>
      </c>
    </row>
    <row r="260" spans="1:73">
      <c r="A260" s="12" t="s">
        <v>365</v>
      </c>
      <c r="B260" s="12"/>
      <c r="C260" s="12" t="s">
        <v>32</v>
      </c>
      <c r="D260" s="12"/>
      <c r="E260" s="13">
        <v>45435</v>
      </c>
      <c r="G260" s="1">
        <v>14033549</v>
      </c>
      <c r="I260" s="1">
        <v>2156639</v>
      </c>
      <c r="K260" s="1">
        <v>0</v>
      </c>
      <c r="M260" s="1">
        <v>298456</v>
      </c>
      <c r="O260" s="1">
        <v>2199052</v>
      </c>
      <c r="Q260" s="1">
        <v>2335022</v>
      </c>
      <c r="S260" s="1">
        <v>28994</v>
      </c>
      <c r="U260" s="1">
        <v>2590189</v>
      </c>
      <c r="W260" s="1">
        <v>731741</v>
      </c>
      <c r="Y260" s="1">
        <v>94847</v>
      </c>
      <c r="AA260" s="1">
        <v>3535867</v>
      </c>
      <c r="AC260" s="1">
        <v>1731595</v>
      </c>
      <c r="AE260" s="1">
        <v>55881</v>
      </c>
      <c r="AG260" s="1">
        <v>0</v>
      </c>
      <c r="AI260" s="1">
        <v>37170</v>
      </c>
      <c r="AJ260" s="12" t="s">
        <v>365</v>
      </c>
      <c r="AK260" s="12"/>
      <c r="AL260" s="12" t="s">
        <v>32</v>
      </c>
      <c r="AN260" s="1">
        <v>694239</v>
      </c>
      <c r="AP260" s="1">
        <v>0</v>
      </c>
      <c r="AR260" s="1">
        <v>0</v>
      </c>
      <c r="AT260" s="1">
        <v>433000</v>
      </c>
      <c r="AV260" s="1">
        <v>34434</v>
      </c>
      <c r="AX260" s="1">
        <v>0</v>
      </c>
      <c r="AZ260" s="1">
        <f t="shared" si="23"/>
        <v>30990675</v>
      </c>
      <c r="BB260" s="1">
        <v>0</v>
      </c>
      <c r="BH260" s="1">
        <v>0</v>
      </c>
      <c r="BJ260" s="1">
        <f t="shared" si="24"/>
        <v>30990675</v>
      </c>
      <c r="BL260" s="1">
        <f>+GenRev!AM260-GenExp!BJ260</f>
        <v>2133769</v>
      </c>
      <c r="BN260" s="1">
        <v>29791476</v>
      </c>
      <c r="BP260" s="1">
        <v>0</v>
      </c>
      <c r="BQ260" s="1">
        <v>0</v>
      </c>
      <c r="BS260" s="1">
        <f t="shared" si="25"/>
        <v>31925245</v>
      </c>
      <c r="BU260" s="20">
        <f>+BS260-'Gen Fd BS'!AA260+BQ260</f>
        <v>0</v>
      </c>
    </row>
    <row r="261" spans="1:73" hidden="1">
      <c r="A261" s="17" t="s">
        <v>937</v>
      </c>
      <c r="B261" s="17"/>
      <c r="C261" s="17" t="s">
        <v>43</v>
      </c>
      <c r="D261" s="12"/>
      <c r="E261" s="13"/>
      <c r="AJ261" s="17" t="s">
        <v>937</v>
      </c>
      <c r="AK261" s="17"/>
      <c r="AL261" s="17" t="s">
        <v>43</v>
      </c>
      <c r="AZ261" s="1">
        <f t="shared" si="23"/>
        <v>0</v>
      </c>
      <c r="BJ261" s="1">
        <f t="shared" si="24"/>
        <v>0</v>
      </c>
      <c r="BL261" s="1">
        <f>+GenRev!AM261-GenExp!BJ261</f>
        <v>0</v>
      </c>
      <c r="BS261" s="1">
        <f t="shared" si="25"/>
        <v>0</v>
      </c>
      <c r="BU261" s="20">
        <f>+BS261-'Gen Fd BS'!AA261+BQ261</f>
        <v>0</v>
      </c>
    </row>
    <row r="262" spans="1:73">
      <c r="A262" s="12" t="s">
        <v>621</v>
      </c>
      <c r="B262" s="12"/>
      <c r="C262" s="12" t="s">
        <v>65</v>
      </c>
      <c r="D262" s="12"/>
      <c r="E262" s="13">
        <v>50286</v>
      </c>
      <c r="G262" s="1">
        <v>5392491</v>
      </c>
      <c r="I262" s="1">
        <v>705616</v>
      </c>
      <c r="K262" s="1">
        <v>188136</v>
      </c>
      <c r="M262" s="1">
        <f>86162+1594368</f>
        <v>1680530</v>
      </c>
      <c r="O262" s="1">
        <v>475389</v>
      </c>
      <c r="Q262" s="1">
        <v>417571</v>
      </c>
      <c r="S262" s="1">
        <v>46659</v>
      </c>
      <c r="U262" s="1">
        <v>1056294</v>
      </c>
      <c r="W262" s="1">
        <v>374097</v>
      </c>
      <c r="Y262" s="1">
        <v>121787</v>
      </c>
      <c r="AA262" s="1">
        <v>1541840</v>
      </c>
      <c r="AC262" s="1">
        <v>1099755</v>
      </c>
      <c r="AE262" s="1">
        <v>6011</v>
      </c>
      <c r="AG262" s="1">
        <v>0</v>
      </c>
      <c r="AI262" s="1">
        <v>0</v>
      </c>
      <c r="AJ262" s="12" t="s">
        <v>621</v>
      </c>
      <c r="AK262" s="12"/>
      <c r="AL262" s="12" t="s">
        <v>65</v>
      </c>
      <c r="AN262" s="1">
        <v>286353</v>
      </c>
      <c r="AP262" s="1">
        <v>0</v>
      </c>
      <c r="AR262" s="1">
        <v>0</v>
      </c>
      <c r="AT262" s="1">
        <v>52695</v>
      </c>
      <c r="AV262" s="1">
        <v>9189</v>
      </c>
      <c r="AX262" s="1">
        <v>0</v>
      </c>
      <c r="AZ262" s="1">
        <f t="shared" si="23"/>
        <v>13454413</v>
      </c>
      <c r="BB262" s="1">
        <v>0</v>
      </c>
      <c r="BH262" s="1">
        <v>0</v>
      </c>
      <c r="BJ262" s="1">
        <f t="shared" si="24"/>
        <v>13454413</v>
      </c>
      <c r="BL262" s="1">
        <f>+GenRev!AM262-GenExp!BJ262</f>
        <v>622113</v>
      </c>
      <c r="BN262" s="1">
        <v>533961</v>
      </c>
      <c r="BP262" s="1">
        <v>0</v>
      </c>
      <c r="BQ262" s="1">
        <v>0</v>
      </c>
      <c r="BS262" s="1">
        <f t="shared" si="25"/>
        <v>1156074</v>
      </c>
      <c r="BU262" s="20">
        <f>+BS262-'Gen Fd BS'!AA262+BQ262</f>
        <v>0</v>
      </c>
    </row>
    <row r="263" spans="1:73">
      <c r="A263" s="12" t="s">
        <v>423</v>
      </c>
      <c r="B263" s="12"/>
      <c r="C263" s="12" t="s">
        <v>420</v>
      </c>
      <c r="D263" s="12"/>
      <c r="E263" s="13">
        <v>44149</v>
      </c>
      <c r="G263" s="1">
        <v>6119331</v>
      </c>
      <c r="I263" s="1">
        <v>1372936</v>
      </c>
      <c r="K263" s="1">
        <v>167813</v>
      </c>
      <c r="M263" s="1">
        <v>31444</v>
      </c>
      <c r="O263" s="1">
        <v>446140</v>
      </c>
      <c r="Q263" s="1">
        <v>276604</v>
      </c>
      <c r="S263" s="1">
        <v>182477</v>
      </c>
      <c r="U263" s="1">
        <v>988855</v>
      </c>
      <c r="W263" s="1">
        <v>473808</v>
      </c>
      <c r="Y263" s="1">
        <v>0</v>
      </c>
      <c r="AA263" s="1">
        <v>1667291</v>
      </c>
      <c r="AC263" s="1">
        <v>506799</v>
      </c>
      <c r="AE263" s="1">
        <v>106981</v>
      </c>
      <c r="AG263" s="1">
        <v>0</v>
      </c>
      <c r="AI263" s="1">
        <v>0</v>
      </c>
      <c r="AJ263" s="12" t="s">
        <v>423</v>
      </c>
      <c r="AK263" s="12"/>
      <c r="AL263" s="12" t="s">
        <v>420</v>
      </c>
      <c r="AN263" s="1">
        <v>333172</v>
      </c>
      <c r="AP263" s="1">
        <v>0</v>
      </c>
      <c r="AR263" s="1">
        <v>0</v>
      </c>
      <c r="AT263" s="1">
        <v>0</v>
      </c>
      <c r="AV263" s="1">
        <v>0</v>
      </c>
      <c r="AX263" s="1">
        <v>0</v>
      </c>
      <c r="AZ263" s="1">
        <f t="shared" si="23"/>
        <v>12673651</v>
      </c>
      <c r="BB263" s="1">
        <v>20757</v>
      </c>
      <c r="BH263" s="1">
        <v>0</v>
      </c>
      <c r="BJ263" s="1">
        <f t="shared" si="24"/>
        <v>12694408</v>
      </c>
      <c r="BL263" s="1">
        <f>+GenRev!AM263-GenExp!BJ263</f>
        <v>-585406</v>
      </c>
      <c r="BN263" s="1">
        <v>1946625</v>
      </c>
      <c r="BP263" s="1">
        <v>0</v>
      </c>
      <c r="BQ263" s="1">
        <v>0</v>
      </c>
      <c r="BS263" s="1">
        <f t="shared" si="25"/>
        <v>1361219</v>
      </c>
      <c r="BU263" s="20">
        <f>+BS263-'Gen Fd BS'!AA263+BQ263</f>
        <v>0</v>
      </c>
    </row>
    <row r="264" spans="1:73" hidden="1">
      <c r="A264" s="17" t="s">
        <v>820</v>
      </c>
      <c r="B264" s="12"/>
      <c r="C264" s="12" t="s">
        <v>61</v>
      </c>
      <c r="D264" s="12"/>
      <c r="E264" s="13">
        <v>49809</v>
      </c>
      <c r="AJ264" s="17" t="s">
        <v>820</v>
      </c>
      <c r="AK264" s="12"/>
      <c r="AL264" s="12" t="s">
        <v>61</v>
      </c>
      <c r="AZ264" s="1">
        <f t="shared" si="23"/>
        <v>0</v>
      </c>
      <c r="BJ264" s="1">
        <f t="shared" si="24"/>
        <v>0</v>
      </c>
      <c r="BL264" s="1">
        <f>+GenRev!AM264-GenExp!BJ264</f>
        <v>0</v>
      </c>
      <c r="BS264" s="1">
        <f t="shared" si="25"/>
        <v>0</v>
      </c>
      <c r="BU264" s="20">
        <f>+BS264-'Gen Fd BS'!AA264+BQ264</f>
        <v>0</v>
      </c>
    </row>
    <row r="265" spans="1:73" hidden="1">
      <c r="A265" s="17" t="s">
        <v>839</v>
      </c>
      <c r="B265" s="12"/>
      <c r="C265" s="12" t="s">
        <v>38</v>
      </c>
      <c r="D265" s="12"/>
      <c r="E265" s="13"/>
      <c r="AJ265" s="17" t="s">
        <v>839</v>
      </c>
      <c r="AK265" s="12"/>
      <c r="AL265" s="12" t="s">
        <v>38</v>
      </c>
      <c r="AZ265" s="1">
        <f t="shared" si="23"/>
        <v>0</v>
      </c>
      <c r="BJ265" s="1">
        <f t="shared" si="24"/>
        <v>0</v>
      </c>
      <c r="BL265" s="1">
        <f>+GenRev!AM265-GenExp!BJ265</f>
        <v>0</v>
      </c>
      <c r="BS265" s="1">
        <f t="shared" si="25"/>
        <v>0</v>
      </c>
      <c r="BU265" s="20">
        <f>+BS265-'Gen Fd BS'!AA265+BQ265</f>
        <v>0</v>
      </c>
    </row>
    <row r="266" spans="1:73">
      <c r="A266" s="12" t="s">
        <v>576</v>
      </c>
      <c r="B266" s="12"/>
      <c r="C266" s="12" t="s">
        <v>62</v>
      </c>
      <c r="D266" s="12"/>
      <c r="E266" s="13">
        <v>49858</v>
      </c>
      <c r="G266" s="1">
        <v>21413757</v>
      </c>
      <c r="I266" s="1">
        <v>2310858</v>
      </c>
      <c r="K266" s="1">
        <v>699682</v>
      </c>
      <c r="M266" s="1">
        <v>1194715</v>
      </c>
      <c r="O266" s="1">
        <v>2630852</v>
      </c>
      <c r="Q266" s="1">
        <v>2427503</v>
      </c>
      <c r="S266" s="1">
        <v>18064</v>
      </c>
      <c r="U266" s="1">
        <v>2900251</v>
      </c>
      <c r="W266" s="1">
        <v>996897</v>
      </c>
      <c r="Y266" s="1">
        <v>325480</v>
      </c>
      <c r="AA266" s="1">
        <v>5061333</v>
      </c>
      <c r="AC266" s="1">
        <v>2906144</v>
      </c>
      <c r="AE266" s="1">
        <v>1262424</v>
      </c>
      <c r="AG266" s="1">
        <v>0</v>
      </c>
      <c r="AI266" s="1">
        <v>7450</v>
      </c>
      <c r="AJ266" s="12" t="s">
        <v>576</v>
      </c>
      <c r="AK266" s="12"/>
      <c r="AL266" s="12" t="s">
        <v>62</v>
      </c>
      <c r="AN266" s="1">
        <v>1148355</v>
      </c>
      <c r="AP266" s="1">
        <v>7340</v>
      </c>
      <c r="AR266" s="1">
        <v>0</v>
      </c>
      <c r="AT266" s="1">
        <v>143635</v>
      </c>
      <c r="AV266" s="1">
        <v>26135</v>
      </c>
      <c r="AX266" s="1">
        <v>0</v>
      </c>
      <c r="AZ266" s="1">
        <f t="shared" si="23"/>
        <v>45480875</v>
      </c>
      <c r="BB266" s="1">
        <v>5500</v>
      </c>
      <c r="BH266" s="1">
        <v>0</v>
      </c>
      <c r="BJ266" s="1">
        <f t="shared" si="24"/>
        <v>45486375</v>
      </c>
      <c r="BL266" s="1">
        <f>+GenRev!AM266-GenExp!BJ266</f>
        <v>2411264</v>
      </c>
      <c r="BN266" s="1">
        <v>3800317</v>
      </c>
      <c r="BP266" s="1">
        <v>-23102</v>
      </c>
      <c r="BQ266" s="1">
        <v>0</v>
      </c>
      <c r="BS266" s="1">
        <f t="shared" si="25"/>
        <v>6234683</v>
      </c>
      <c r="BU266" s="20">
        <f>+BS266-'Gen Fd BS'!AA266+BQ266</f>
        <v>0</v>
      </c>
    </row>
    <row r="267" spans="1:73">
      <c r="A267" s="12" t="s">
        <v>465</v>
      </c>
      <c r="B267" s="12"/>
      <c r="C267" s="12" t="s">
        <v>45</v>
      </c>
      <c r="D267" s="12"/>
      <c r="E267" s="13">
        <v>48322</v>
      </c>
      <c r="F267" s="8"/>
      <c r="G267" s="1">
        <v>2581980</v>
      </c>
      <c r="I267" s="1">
        <v>861855</v>
      </c>
      <c r="K267" s="1">
        <v>84806</v>
      </c>
      <c r="M267" s="1">
        <v>0</v>
      </c>
      <c r="O267" s="1">
        <v>241317</v>
      </c>
      <c r="Q267" s="1">
        <v>120499</v>
      </c>
      <c r="S267" s="1">
        <v>72100</v>
      </c>
      <c r="U267" s="1">
        <v>553801</v>
      </c>
      <c r="W267" s="1">
        <v>377602</v>
      </c>
      <c r="Y267" s="1">
        <v>0</v>
      </c>
      <c r="AA267" s="1">
        <v>744174</v>
      </c>
      <c r="AC267" s="1">
        <v>687498</v>
      </c>
      <c r="AE267" s="1">
        <v>0</v>
      </c>
      <c r="AG267" s="1">
        <v>0</v>
      </c>
      <c r="AI267" s="1">
        <v>906</v>
      </c>
      <c r="AJ267" s="12" t="s">
        <v>465</v>
      </c>
      <c r="AK267" s="12"/>
      <c r="AL267" s="12" t="s">
        <v>45</v>
      </c>
      <c r="AN267" s="1">
        <v>280745</v>
      </c>
      <c r="AP267" s="1">
        <v>0</v>
      </c>
      <c r="AR267" s="1">
        <v>0</v>
      </c>
      <c r="AT267" s="1">
        <v>0</v>
      </c>
      <c r="AV267" s="1">
        <v>0</v>
      </c>
      <c r="AX267" s="1">
        <v>0</v>
      </c>
      <c r="AZ267" s="1">
        <f t="shared" si="23"/>
        <v>6607283</v>
      </c>
      <c r="BB267" s="1">
        <v>476961</v>
      </c>
      <c r="BH267" s="1">
        <v>0</v>
      </c>
      <c r="BJ267" s="1">
        <f t="shared" si="24"/>
        <v>7084244</v>
      </c>
      <c r="BL267" s="1">
        <f>+GenRev!AM267-GenExp!BJ267</f>
        <v>-63026</v>
      </c>
      <c r="BN267" s="1">
        <v>1885717</v>
      </c>
      <c r="BP267" s="1">
        <v>0</v>
      </c>
      <c r="BQ267" s="1">
        <v>0</v>
      </c>
      <c r="BS267" s="1">
        <f t="shared" si="25"/>
        <v>1822691</v>
      </c>
      <c r="BU267" s="20">
        <f>+BS267-'Gen Fd BS'!AA267+BQ267</f>
        <v>0</v>
      </c>
    </row>
    <row r="268" spans="1:73">
      <c r="A268" s="12" t="s">
        <v>534</v>
      </c>
      <c r="B268" s="12"/>
      <c r="C268" s="12" t="s">
        <v>56</v>
      </c>
      <c r="D268" s="12"/>
      <c r="E268" s="13">
        <v>49205</v>
      </c>
      <c r="G268" s="1">
        <v>5625834</v>
      </c>
      <c r="I268" s="1">
        <v>730795</v>
      </c>
      <c r="K268" s="1">
        <v>0</v>
      </c>
      <c r="M268" s="1">
        <v>2340</v>
      </c>
      <c r="O268" s="1">
        <v>567634</v>
      </c>
      <c r="Q268" s="1">
        <v>451100</v>
      </c>
      <c r="S268" s="1">
        <v>34118</v>
      </c>
      <c r="U268" s="1">
        <v>987541</v>
      </c>
      <c r="W268" s="1">
        <v>279591</v>
      </c>
      <c r="Y268" s="1">
        <v>0</v>
      </c>
      <c r="AA268" s="1">
        <v>1268555</v>
      </c>
      <c r="AC268" s="1">
        <v>883064</v>
      </c>
      <c r="AE268" s="1">
        <v>111159</v>
      </c>
      <c r="AG268" s="1">
        <v>0</v>
      </c>
      <c r="AI268" s="1">
        <v>0</v>
      </c>
      <c r="AJ268" s="12" t="s">
        <v>534</v>
      </c>
      <c r="AK268" s="12"/>
      <c r="AL268" s="12" t="s">
        <v>56</v>
      </c>
      <c r="AN268" s="1">
        <v>392818</v>
      </c>
      <c r="AP268" s="1">
        <v>0</v>
      </c>
      <c r="AR268" s="1">
        <v>0</v>
      </c>
      <c r="AT268" s="1">
        <v>29546</v>
      </c>
      <c r="AV268" s="1">
        <v>4378</v>
      </c>
      <c r="AX268" s="1">
        <v>0</v>
      </c>
      <c r="AZ268" s="1">
        <f t="shared" si="23"/>
        <v>11368473</v>
      </c>
      <c r="BB268" s="1">
        <v>0</v>
      </c>
      <c r="BH268" s="1">
        <v>0</v>
      </c>
      <c r="BJ268" s="1">
        <f t="shared" si="24"/>
        <v>11368473</v>
      </c>
      <c r="BL268" s="1">
        <f>+GenRev!AM268-GenExp!BJ268</f>
        <v>928022</v>
      </c>
      <c r="BN268" s="1">
        <v>1529576</v>
      </c>
      <c r="BP268" s="1">
        <v>0</v>
      </c>
      <c r="BQ268" s="1">
        <v>0</v>
      </c>
      <c r="BS268" s="1">
        <f t="shared" si="25"/>
        <v>2457598</v>
      </c>
      <c r="BU268" s="20">
        <f>+BS268-'Gen Fd BS'!AA268+BQ268</f>
        <v>0</v>
      </c>
    </row>
    <row r="269" spans="1:73">
      <c r="A269" s="17" t="s">
        <v>840</v>
      </c>
      <c r="B269" s="12"/>
      <c r="C269" s="12" t="s">
        <v>12</v>
      </c>
      <c r="D269" s="12"/>
      <c r="E269" s="13">
        <v>45872</v>
      </c>
      <c r="G269" s="1">
        <v>7734216</v>
      </c>
      <c r="I269" s="1">
        <v>1238778</v>
      </c>
      <c r="K269" s="1">
        <v>100715</v>
      </c>
      <c r="M269" s="1">
        <v>0</v>
      </c>
      <c r="O269" s="1">
        <v>1416039</v>
      </c>
      <c r="Q269" s="1">
        <v>96064</v>
      </c>
      <c r="S269" s="1">
        <v>19307</v>
      </c>
      <c r="U269" s="1">
        <v>1049460</v>
      </c>
      <c r="W269" s="1">
        <v>577733</v>
      </c>
      <c r="Y269" s="1">
        <v>8305</v>
      </c>
      <c r="AA269" s="1">
        <v>1531236</v>
      </c>
      <c r="AC269" s="1">
        <v>1183040</v>
      </c>
      <c r="AE269" s="1">
        <v>131416</v>
      </c>
      <c r="AG269" s="1">
        <v>0</v>
      </c>
      <c r="AI269" s="1">
        <v>65288</v>
      </c>
      <c r="AJ269" s="17" t="s">
        <v>840</v>
      </c>
      <c r="AK269" s="12"/>
      <c r="AL269" s="12" t="s">
        <v>12</v>
      </c>
      <c r="AN269" s="1">
        <v>393606</v>
      </c>
      <c r="AP269" s="1">
        <v>0</v>
      </c>
      <c r="AR269" s="1">
        <v>0</v>
      </c>
      <c r="AT269" s="1">
        <v>0</v>
      </c>
      <c r="AV269" s="1">
        <v>0</v>
      </c>
      <c r="AX269" s="1">
        <v>0</v>
      </c>
      <c r="AZ269" s="1">
        <f t="shared" si="23"/>
        <v>15545203</v>
      </c>
      <c r="BB269" s="1">
        <v>160883</v>
      </c>
      <c r="BH269" s="1">
        <v>0</v>
      </c>
      <c r="BJ269" s="1">
        <f t="shared" si="24"/>
        <v>15706086</v>
      </c>
      <c r="BL269" s="1">
        <f>+GenRev!AM269-GenExp!BJ269</f>
        <v>-88775</v>
      </c>
      <c r="BN269" s="1">
        <v>3499797</v>
      </c>
      <c r="BP269" s="1">
        <v>0</v>
      </c>
      <c r="BQ269" s="1">
        <v>0</v>
      </c>
      <c r="BS269" s="1">
        <f t="shared" si="25"/>
        <v>3411022</v>
      </c>
      <c r="BU269" s="20">
        <f>+BS269-'Gen Fd BS'!AA269+BQ269</f>
        <v>0</v>
      </c>
    </row>
    <row r="270" spans="1:73">
      <c r="A270" s="12" t="s">
        <v>457</v>
      </c>
      <c r="B270" s="12"/>
      <c r="C270" s="12" t="s">
        <v>458</v>
      </c>
      <c r="D270" s="12"/>
      <c r="E270" s="13">
        <v>48256</v>
      </c>
      <c r="G270" s="1">
        <v>5049690</v>
      </c>
      <c r="I270" s="1">
        <v>1245094</v>
      </c>
      <c r="K270" s="1">
        <v>0</v>
      </c>
      <c r="M270" s="1">
        <v>0</v>
      </c>
      <c r="O270" s="1">
        <v>300668</v>
      </c>
      <c r="Q270" s="1">
        <v>553638</v>
      </c>
      <c r="S270" s="1">
        <v>64062</v>
      </c>
      <c r="U270" s="1">
        <v>721943</v>
      </c>
      <c r="W270" s="1">
        <v>412121</v>
      </c>
      <c r="Y270" s="1">
        <v>58671</v>
      </c>
      <c r="AA270" s="1">
        <v>1306964</v>
      </c>
      <c r="AC270" s="1">
        <v>559626</v>
      </c>
      <c r="AE270" s="1">
        <v>267497</v>
      </c>
      <c r="AG270" s="1">
        <v>0</v>
      </c>
      <c r="AI270" s="1">
        <v>0</v>
      </c>
      <c r="AJ270" s="12" t="s">
        <v>457</v>
      </c>
      <c r="AK270" s="12"/>
      <c r="AL270" s="12" t="s">
        <v>458</v>
      </c>
      <c r="AN270" s="1">
        <v>423428</v>
      </c>
      <c r="AP270" s="1">
        <v>31200</v>
      </c>
      <c r="AR270" s="1">
        <v>0</v>
      </c>
      <c r="AT270" s="1">
        <v>6468</v>
      </c>
      <c r="AV270" s="1">
        <v>86</v>
      </c>
      <c r="AX270" s="1">
        <v>0</v>
      </c>
      <c r="AZ270" s="1">
        <f t="shared" si="23"/>
        <v>11001156</v>
      </c>
      <c r="BB270" s="1">
        <v>578339</v>
      </c>
      <c r="BH270" s="1">
        <v>0</v>
      </c>
      <c r="BJ270" s="1">
        <f t="shared" si="24"/>
        <v>11579495</v>
      </c>
      <c r="BL270" s="1">
        <f>+GenRev!AM270-GenExp!BJ270</f>
        <v>189041</v>
      </c>
      <c r="BN270" s="1">
        <v>7265267</v>
      </c>
      <c r="BP270" s="1">
        <v>0</v>
      </c>
      <c r="BQ270" s="1">
        <v>0</v>
      </c>
      <c r="BS270" s="1">
        <f t="shared" si="25"/>
        <v>7454308</v>
      </c>
      <c r="BU270" s="20">
        <f>+BS270-'Gen Fd BS'!AA270+BQ270</f>
        <v>0</v>
      </c>
    </row>
    <row r="271" spans="1:73">
      <c r="A271" s="17" t="s">
        <v>498</v>
      </c>
      <c r="B271" s="12"/>
      <c r="C271" s="12" t="s">
        <v>50</v>
      </c>
      <c r="D271" s="12"/>
      <c r="E271" s="13">
        <v>48686</v>
      </c>
      <c r="G271" s="1">
        <v>1524304</v>
      </c>
      <c r="I271" s="1">
        <v>1449151</v>
      </c>
      <c r="K271" s="1">
        <v>0</v>
      </c>
      <c r="M271" s="1">
        <v>1728239</v>
      </c>
      <c r="O271" s="1">
        <v>77508</v>
      </c>
      <c r="Q271" s="1">
        <v>182261</v>
      </c>
      <c r="S271" s="1">
        <v>15009</v>
      </c>
      <c r="U271" s="1">
        <v>543039</v>
      </c>
      <c r="W271" s="1">
        <v>228233</v>
      </c>
      <c r="Y271" s="1">
        <v>518</v>
      </c>
      <c r="AA271" s="1">
        <v>607704</v>
      </c>
      <c r="AC271" s="1">
        <v>397733</v>
      </c>
      <c r="AE271" s="1">
        <v>31335</v>
      </c>
      <c r="AG271" s="1">
        <v>0</v>
      </c>
      <c r="AI271" s="1">
        <v>0</v>
      </c>
      <c r="AJ271" s="12" t="s">
        <v>498</v>
      </c>
      <c r="AK271" s="12"/>
      <c r="AL271" s="12" t="s">
        <v>50</v>
      </c>
      <c r="AN271" s="1">
        <v>74364</v>
      </c>
      <c r="AP271" s="1">
        <v>86610</v>
      </c>
      <c r="AR271" s="1">
        <v>0</v>
      </c>
      <c r="AT271" s="1">
        <v>750000</v>
      </c>
      <c r="AV271" s="1">
        <v>0</v>
      </c>
      <c r="AX271" s="1">
        <v>0</v>
      </c>
      <c r="AZ271" s="1">
        <f t="shared" si="23"/>
        <v>7696008</v>
      </c>
      <c r="BB271" s="1">
        <v>35000</v>
      </c>
      <c r="BH271" s="1">
        <v>0</v>
      </c>
      <c r="BJ271" s="1">
        <f t="shared" si="24"/>
        <v>7731008</v>
      </c>
      <c r="BL271" s="1">
        <f>+GenRev!AM271-GenExp!BJ271</f>
        <v>396004</v>
      </c>
      <c r="BN271" s="1">
        <v>1181353</v>
      </c>
      <c r="BP271" s="1">
        <v>0</v>
      </c>
      <c r="BQ271" s="1">
        <v>0</v>
      </c>
      <c r="BS271" s="1">
        <f t="shared" si="25"/>
        <v>1577357</v>
      </c>
      <c r="BU271" s="20">
        <f>+BS271-'Gen Fd BS'!AA271+BQ271</f>
        <v>0</v>
      </c>
    </row>
    <row r="272" spans="1:73" hidden="1">
      <c r="A272" s="17" t="s">
        <v>821</v>
      </c>
      <c r="B272" s="17"/>
      <c r="C272" s="17" t="s">
        <v>542</v>
      </c>
      <c r="D272" s="12"/>
      <c r="E272" s="13"/>
      <c r="AG272" s="1">
        <v>0</v>
      </c>
      <c r="AJ272" s="17" t="s">
        <v>821</v>
      </c>
      <c r="AK272" s="17"/>
      <c r="AL272" s="17" t="s">
        <v>542</v>
      </c>
      <c r="AX272" s="1">
        <v>0</v>
      </c>
      <c r="AZ272" s="1">
        <f t="shared" si="23"/>
        <v>0</v>
      </c>
      <c r="BJ272" s="1">
        <f t="shared" si="24"/>
        <v>0</v>
      </c>
      <c r="BL272" s="1">
        <f>+GenRev!AM272-GenExp!BJ272</f>
        <v>0</v>
      </c>
      <c r="BP272" s="1">
        <v>0</v>
      </c>
      <c r="BS272" s="1">
        <f t="shared" si="25"/>
        <v>0</v>
      </c>
      <c r="BU272" s="20">
        <f>+BS272-'Gen Fd BS'!AA272+BQ272</f>
        <v>0</v>
      </c>
    </row>
    <row r="273" spans="1:73">
      <c r="A273" s="12" t="s">
        <v>428</v>
      </c>
      <c r="B273" s="12"/>
      <c r="C273" s="12" t="s">
        <v>42</v>
      </c>
      <c r="D273" s="12"/>
      <c r="E273" s="13">
        <v>47985</v>
      </c>
      <c r="G273" s="1">
        <v>5576764</v>
      </c>
      <c r="I273" s="1">
        <v>844126</v>
      </c>
      <c r="K273" s="1">
        <v>140606</v>
      </c>
      <c r="M273" s="1">
        <v>132240</v>
      </c>
      <c r="O273" s="1">
        <v>402328</v>
      </c>
      <c r="Q273" s="1">
        <v>413985</v>
      </c>
      <c r="S273" s="1">
        <v>57358</v>
      </c>
      <c r="U273" s="1">
        <v>972002</v>
      </c>
      <c r="W273" s="1">
        <v>385428</v>
      </c>
      <c r="Y273" s="1">
        <v>0</v>
      </c>
      <c r="AA273" s="1">
        <v>979783</v>
      </c>
      <c r="AC273" s="1">
        <v>691780</v>
      </c>
      <c r="AE273" s="1">
        <v>39724</v>
      </c>
      <c r="AG273" s="1">
        <v>145500</v>
      </c>
      <c r="AI273" s="1">
        <v>22941</v>
      </c>
      <c r="AJ273" s="12" t="s">
        <v>428</v>
      </c>
      <c r="AK273" s="12"/>
      <c r="AL273" s="12" t="s">
        <v>42</v>
      </c>
      <c r="AN273" s="1">
        <v>217077</v>
      </c>
      <c r="AP273" s="1">
        <v>0</v>
      </c>
      <c r="AR273" s="1">
        <v>0</v>
      </c>
      <c r="AT273" s="1">
        <v>30758</v>
      </c>
      <c r="AV273" s="1">
        <v>4714</v>
      </c>
      <c r="AX273" s="1">
        <v>0</v>
      </c>
      <c r="AZ273" s="1">
        <f t="shared" si="23"/>
        <v>11057114</v>
      </c>
      <c r="BB273" s="1">
        <v>124161</v>
      </c>
      <c r="BH273" s="1">
        <v>0</v>
      </c>
      <c r="BJ273" s="1">
        <f t="shared" si="24"/>
        <v>11181275</v>
      </c>
      <c r="BL273" s="1">
        <f>+GenRev!AM273-GenExp!BJ273</f>
        <v>3013629</v>
      </c>
      <c r="BN273" s="1">
        <v>4121401</v>
      </c>
      <c r="BP273" s="1">
        <v>0</v>
      </c>
      <c r="BQ273" s="1">
        <v>0</v>
      </c>
      <c r="BS273" s="1">
        <f t="shared" si="25"/>
        <v>7135030</v>
      </c>
      <c r="BU273" s="20">
        <f>+BS273-'Gen Fd BS'!AA273+BQ273</f>
        <v>0</v>
      </c>
    </row>
    <row r="274" spans="1:73">
      <c r="A274" s="12" t="s">
        <v>459</v>
      </c>
      <c r="B274" s="12"/>
      <c r="C274" s="12" t="s">
        <v>458</v>
      </c>
      <c r="D274" s="12"/>
      <c r="E274" s="13">
        <v>48264</v>
      </c>
      <c r="G274" s="1">
        <v>7380479</v>
      </c>
      <c r="I274" s="1">
        <v>1642492</v>
      </c>
      <c r="K274" s="1">
        <v>169633</v>
      </c>
      <c r="M274" s="1">
        <v>3722</v>
      </c>
      <c r="O274" s="1">
        <v>904573</v>
      </c>
      <c r="Q274" s="1">
        <v>793024</v>
      </c>
      <c r="S274" s="1">
        <v>99766</v>
      </c>
      <c r="U274" s="1">
        <v>1546423</v>
      </c>
      <c r="W274" s="1">
        <v>565676</v>
      </c>
      <c r="Y274" s="1">
        <v>7743</v>
      </c>
      <c r="AA274" s="1">
        <v>1137719</v>
      </c>
      <c r="AC274" s="1">
        <v>992575</v>
      </c>
      <c r="AE274" s="1">
        <v>0</v>
      </c>
      <c r="AG274" s="1">
        <v>0</v>
      </c>
      <c r="AI274" s="1">
        <v>0</v>
      </c>
      <c r="AJ274" s="12" t="s">
        <v>459</v>
      </c>
      <c r="AK274" s="12"/>
      <c r="AL274" s="12" t="s">
        <v>458</v>
      </c>
      <c r="AN274" s="1">
        <v>255558</v>
      </c>
      <c r="AP274" s="1">
        <v>0</v>
      </c>
      <c r="AR274" s="1">
        <v>0</v>
      </c>
      <c r="AT274" s="1">
        <v>18197</v>
      </c>
      <c r="AV274" s="1">
        <v>612</v>
      </c>
      <c r="AX274" s="1">
        <v>0</v>
      </c>
      <c r="AZ274" s="1">
        <f t="shared" si="23"/>
        <v>15518192</v>
      </c>
      <c r="BB274" s="1">
        <v>450000</v>
      </c>
      <c r="BH274" s="1">
        <v>0</v>
      </c>
      <c r="BJ274" s="1">
        <f t="shared" si="24"/>
        <v>15968192</v>
      </c>
      <c r="BL274" s="1">
        <f>+GenRev!AM274-GenExp!BJ274</f>
        <v>-189195</v>
      </c>
      <c r="BN274" s="1">
        <v>2319781</v>
      </c>
      <c r="BP274" s="1">
        <v>0</v>
      </c>
      <c r="BQ274" s="1">
        <v>0</v>
      </c>
      <c r="BS274" s="1">
        <f t="shared" si="25"/>
        <v>2130586</v>
      </c>
      <c r="BU274" s="20">
        <f>+BS274-'Gen Fd BS'!AA274+BQ274</f>
        <v>0</v>
      </c>
    </row>
    <row r="275" spans="1:73">
      <c r="A275" s="12" t="s">
        <v>606</v>
      </c>
      <c r="B275" s="12"/>
      <c r="C275" s="12" t="s">
        <v>64</v>
      </c>
      <c r="D275" s="12"/>
      <c r="E275" s="13">
        <v>50179</v>
      </c>
      <c r="G275" s="1">
        <v>3558213</v>
      </c>
      <c r="I275" s="1">
        <v>319583</v>
      </c>
      <c r="K275" s="1">
        <v>70644</v>
      </c>
      <c r="M275" s="1">
        <v>53257</v>
      </c>
      <c r="O275" s="1">
        <v>288121</v>
      </c>
      <c r="Q275" s="1">
        <v>85898</v>
      </c>
      <c r="S275" s="1">
        <v>145313</v>
      </c>
      <c r="U275" s="1">
        <v>657545</v>
      </c>
      <c r="W275" s="1">
        <v>295904</v>
      </c>
      <c r="Y275" s="1">
        <v>0</v>
      </c>
      <c r="AA275" s="1">
        <v>643217</v>
      </c>
      <c r="AC275" s="1">
        <v>706768</v>
      </c>
      <c r="AE275" s="1">
        <v>117513</v>
      </c>
      <c r="AG275" s="1">
        <v>0</v>
      </c>
      <c r="AI275" s="1">
        <v>495215</v>
      </c>
      <c r="AJ275" s="12" t="s">
        <v>606</v>
      </c>
      <c r="AK275" s="12"/>
      <c r="AL275" s="12" t="s">
        <v>64</v>
      </c>
      <c r="AN275" s="1">
        <v>164397</v>
      </c>
      <c r="AP275" s="1">
        <v>36756</v>
      </c>
      <c r="AR275" s="1">
        <v>0</v>
      </c>
      <c r="AT275" s="1">
        <v>9681</v>
      </c>
      <c r="AV275" s="1">
        <v>1263</v>
      </c>
      <c r="AX275" s="1">
        <v>0</v>
      </c>
      <c r="AZ275" s="1">
        <f t="shared" si="23"/>
        <v>7649288</v>
      </c>
      <c r="BB275" s="1">
        <v>3382</v>
      </c>
      <c r="BH275" s="1">
        <v>0</v>
      </c>
      <c r="BJ275" s="1">
        <f t="shared" si="24"/>
        <v>7652670</v>
      </c>
      <c r="BL275" s="1">
        <f>+GenRev!AM275-GenExp!BJ275</f>
        <v>307722</v>
      </c>
      <c r="BN275" s="1">
        <v>1276018</v>
      </c>
      <c r="BP275" s="1">
        <v>0</v>
      </c>
      <c r="BQ275" s="1">
        <v>0</v>
      </c>
      <c r="BS275" s="1">
        <f t="shared" ref="BS275:BS300" si="26">+BN275+BL275-BP275</f>
        <v>1583740</v>
      </c>
      <c r="BU275" s="20">
        <f>+BS275-'Gen Fd BS'!AA275+BQ275</f>
        <v>0</v>
      </c>
    </row>
    <row r="276" spans="1:73" hidden="1">
      <c r="A276" s="12" t="s">
        <v>316</v>
      </c>
      <c r="B276" s="12"/>
      <c r="C276" s="12" t="s">
        <v>24</v>
      </c>
      <c r="D276" s="12"/>
      <c r="E276" s="13">
        <v>46797</v>
      </c>
      <c r="AJ276" s="12" t="s">
        <v>316</v>
      </c>
      <c r="AK276" s="12"/>
      <c r="AL276" s="12" t="s">
        <v>24</v>
      </c>
      <c r="AZ276" s="1">
        <f t="shared" si="23"/>
        <v>0</v>
      </c>
      <c r="BJ276" s="1">
        <f t="shared" si="24"/>
        <v>0</v>
      </c>
      <c r="BL276" s="1">
        <f>+GenRev!AM276-GenExp!BJ276</f>
        <v>0</v>
      </c>
      <c r="BS276" s="1">
        <f t="shared" si="26"/>
        <v>0</v>
      </c>
      <c r="BU276" s="20">
        <f>+BS276-'Gen Fd BS'!AA276+BQ276</f>
        <v>0</v>
      </c>
    </row>
    <row r="277" spans="1:73">
      <c r="A277" s="12" t="s">
        <v>353</v>
      </c>
      <c r="B277" s="12"/>
      <c r="C277" s="12" t="s">
        <v>30</v>
      </c>
      <c r="D277" s="12"/>
      <c r="E277" s="13">
        <v>47191</v>
      </c>
      <c r="G277" s="1">
        <v>14757352</v>
      </c>
      <c r="I277" s="1">
        <v>3616909</v>
      </c>
      <c r="K277" s="1">
        <v>148356</v>
      </c>
      <c r="M277" s="1">
        <v>547437</v>
      </c>
      <c r="O277" s="1">
        <v>2175228</v>
      </c>
      <c r="Q277" s="1">
        <v>1136285</v>
      </c>
      <c r="S277" s="1">
        <v>54749</v>
      </c>
      <c r="U277" s="1">
        <v>2624295</v>
      </c>
      <c r="W277" s="1">
        <v>952886</v>
      </c>
      <c r="Y277" s="1">
        <v>48639</v>
      </c>
      <c r="AA277" s="1">
        <v>3877924</v>
      </c>
      <c r="AC277" s="1">
        <v>2529762</v>
      </c>
      <c r="AE277" s="1">
        <v>7264</v>
      </c>
      <c r="AG277" s="1">
        <v>0</v>
      </c>
      <c r="AI277" s="1">
        <f>113495+24635</f>
        <v>138130</v>
      </c>
      <c r="AJ277" s="12" t="s">
        <v>353</v>
      </c>
      <c r="AK277" s="12"/>
      <c r="AL277" s="12" t="s">
        <v>30</v>
      </c>
      <c r="AN277" s="1">
        <v>717340</v>
      </c>
      <c r="AP277" s="1">
        <v>277500</v>
      </c>
      <c r="AR277" s="1">
        <v>0</v>
      </c>
      <c r="AT277" s="1">
        <v>13500</v>
      </c>
      <c r="AV277" s="1">
        <v>1808</v>
      </c>
      <c r="AX277" s="1">
        <v>0</v>
      </c>
      <c r="AZ277" s="1">
        <f t="shared" si="23"/>
        <v>33625364</v>
      </c>
      <c r="BB277" s="1">
        <v>116585</v>
      </c>
      <c r="BH277" s="1">
        <v>0</v>
      </c>
      <c r="BJ277" s="1">
        <f t="shared" si="24"/>
        <v>33741949</v>
      </c>
      <c r="BL277" s="1">
        <f>+GenRev!AM277-GenExp!BJ277</f>
        <v>-331383</v>
      </c>
      <c r="BN277" s="1">
        <v>8542353</v>
      </c>
      <c r="BP277" s="1">
        <v>0</v>
      </c>
      <c r="BQ277" s="1">
        <v>0</v>
      </c>
      <c r="BS277" s="1">
        <f t="shared" si="26"/>
        <v>8210970</v>
      </c>
      <c r="BU277" s="20">
        <f>+BS277-'Gen Fd BS'!AA277+BQ277</f>
        <v>0</v>
      </c>
    </row>
    <row r="278" spans="1:73">
      <c r="A278" s="12" t="s">
        <v>535</v>
      </c>
      <c r="B278" s="12"/>
      <c r="C278" s="12" t="s">
        <v>56</v>
      </c>
      <c r="D278" s="12"/>
      <c r="E278" s="13">
        <v>44164</v>
      </c>
      <c r="G278" s="1">
        <v>17548596</v>
      </c>
      <c r="I278" s="1">
        <v>3805849</v>
      </c>
      <c r="K278" s="1">
        <v>2118932</v>
      </c>
      <c r="M278" s="1">
        <f>365659+668944</f>
        <v>1034603</v>
      </c>
      <c r="O278" s="1">
        <v>2290255</v>
      </c>
      <c r="Q278" s="1">
        <v>1746556</v>
      </c>
      <c r="S278" s="1">
        <v>174970</v>
      </c>
      <c r="U278" s="1">
        <v>3032507</v>
      </c>
      <c r="W278" s="1">
        <v>957237</v>
      </c>
      <c r="Y278" s="1">
        <v>355769</v>
      </c>
      <c r="AA278" s="1">
        <v>3005706</v>
      </c>
      <c r="AC278" s="1">
        <v>1367131</v>
      </c>
      <c r="AE278" s="1">
        <v>244797</v>
      </c>
      <c r="AG278" s="1">
        <v>0</v>
      </c>
      <c r="AI278" s="1">
        <v>92395</v>
      </c>
      <c r="AJ278" s="12" t="s">
        <v>535</v>
      </c>
      <c r="AK278" s="12"/>
      <c r="AL278" s="12" t="s">
        <v>56</v>
      </c>
      <c r="AN278" s="1">
        <v>658385</v>
      </c>
      <c r="AP278" s="1">
        <v>91512</v>
      </c>
      <c r="AR278" s="1">
        <v>0</v>
      </c>
      <c r="AT278" s="1">
        <v>183684</v>
      </c>
      <c r="AV278" s="1">
        <v>62677</v>
      </c>
      <c r="AX278" s="1">
        <v>0</v>
      </c>
      <c r="AZ278" s="1">
        <f t="shared" si="23"/>
        <v>38771561</v>
      </c>
      <c r="BB278" s="1">
        <v>613403</v>
      </c>
      <c r="BH278" s="1">
        <v>0</v>
      </c>
      <c r="BJ278" s="1">
        <f t="shared" si="24"/>
        <v>39384964</v>
      </c>
      <c r="BL278" s="1">
        <f>+GenRev!AM278-GenExp!BJ278</f>
        <v>3255478</v>
      </c>
      <c r="BN278" s="1">
        <v>12738983</v>
      </c>
      <c r="BP278" s="1">
        <v>0</v>
      </c>
      <c r="BQ278" s="1">
        <v>0</v>
      </c>
      <c r="BS278" s="1">
        <f t="shared" si="26"/>
        <v>15994461</v>
      </c>
      <c r="BU278" s="20">
        <f>+BS278-'Gen Fd BS'!AA278+BQ278</f>
        <v>0</v>
      </c>
    </row>
    <row r="279" spans="1:73">
      <c r="A279" s="12" t="s">
        <v>385</v>
      </c>
      <c r="B279" s="12"/>
      <c r="C279" s="12" t="s">
        <v>383</v>
      </c>
      <c r="D279" s="12"/>
      <c r="E279" s="13">
        <v>44172</v>
      </c>
      <c r="G279" s="1">
        <v>9502875</v>
      </c>
      <c r="I279" s="1">
        <v>1513621</v>
      </c>
      <c r="K279" s="1">
        <v>181737</v>
      </c>
      <c r="M279" s="1">
        <v>0</v>
      </c>
      <c r="O279" s="1">
        <v>537165</v>
      </c>
      <c r="Q279" s="1">
        <v>649865</v>
      </c>
      <c r="S279" s="1">
        <v>24746</v>
      </c>
      <c r="U279" s="1">
        <v>1667007</v>
      </c>
      <c r="W279" s="1">
        <v>412663</v>
      </c>
      <c r="Y279" s="1">
        <v>0</v>
      </c>
      <c r="AA279" s="1">
        <v>1526222</v>
      </c>
      <c r="AC279" s="1">
        <v>858926</v>
      </c>
      <c r="AE279" s="1">
        <v>63108</v>
      </c>
      <c r="AG279" s="1">
        <v>0</v>
      </c>
      <c r="AI279" s="1">
        <v>0</v>
      </c>
      <c r="AJ279" s="12" t="s">
        <v>385</v>
      </c>
      <c r="AK279" s="12"/>
      <c r="AL279" s="12" t="s">
        <v>383</v>
      </c>
      <c r="AN279" s="1">
        <v>0</v>
      </c>
      <c r="AP279" s="1">
        <v>0</v>
      </c>
      <c r="AR279" s="1">
        <v>0</v>
      </c>
      <c r="AT279" s="1">
        <v>36495</v>
      </c>
      <c r="AV279" s="1">
        <v>0</v>
      </c>
      <c r="AX279" s="1">
        <v>0</v>
      </c>
      <c r="AZ279" s="1">
        <f t="shared" si="23"/>
        <v>16974430</v>
      </c>
      <c r="BB279" s="1">
        <v>0</v>
      </c>
      <c r="BH279" s="1">
        <v>0</v>
      </c>
      <c r="BJ279" s="1">
        <f t="shared" si="24"/>
        <v>16974430</v>
      </c>
      <c r="BL279" s="1">
        <f>+GenRev!AM279-GenExp!BJ279</f>
        <v>-1135553</v>
      </c>
      <c r="BN279" s="1">
        <v>2473024</v>
      </c>
      <c r="BP279" s="1">
        <v>0</v>
      </c>
      <c r="BQ279" s="1">
        <v>0</v>
      </c>
      <c r="BS279" s="1">
        <f t="shared" si="26"/>
        <v>1337471</v>
      </c>
      <c r="BU279" s="20">
        <f>+BS279-'Gen Fd BS'!AA279+BQ279</f>
        <v>0</v>
      </c>
    </row>
    <row r="280" spans="1:73">
      <c r="A280" s="12" t="s">
        <v>499</v>
      </c>
      <c r="B280" s="12"/>
      <c r="C280" s="12" t="s">
        <v>50</v>
      </c>
      <c r="D280" s="12"/>
      <c r="E280" s="13">
        <v>44180</v>
      </c>
      <c r="G280" s="1">
        <v>34201523</v>
      </c>
      <c r="I280" s="1">
        <v>6100808</v>
      </c>
      <c r="K280" s="1">
        <v>2471938</v>
      </c>
      <c r="M280" s="1">
        <v>2286766</v>
      </c>
      <c r="O280" s="1">
        <v>6851231</v>
      </c>
      <c r="Q280" s="1">
        <v>4681449</v>
      </c>
      <c r="S280" s="1">
        <v>67089</v>
      </c>
      <c r="U280" s="1">
        <v>5748227</v>
      </c>
      <c r="W280" s="1">
        <v>1494161</v>
      </c>
      <c r="Y280" s="1">
        <v>610037</v>
      </c>
      <c r="AA280" s="1">
        <v>8410576</v>
      </c>
      <c r="AC280" s="1">
        <v>3208582</v>
      </c>
      <c r="AE280" s="1">
        <v>1831405</v>
      </c>
      <c r="AG280" s="1">
        <v>0</v>
      </c>
      <c r="AI280" s="1">
        <v>100469</v>
      </c>
      <c r="AJ280" s="12" t="s">
        <v>499</v>
      </c>
      <c r="AK280" s="12"/>
      <c r="AL280" s="12" t="s">
        <v>50</v>
      </c>
      <c r="AN280" s="1">
        <v>1266392</v>
      </c>
      <c r="AP280" s="1">
        <v>47499</v>
      </c>
      <c r="AR280" s="1">
        <v>0</v>
      </c>
      <c r="AT280" s="1">
        <v>466975</v>
      </c>
      <c r="AV280" s="1">
        <v>39269</v>
      </c>
      <c r="AX280" s="1">
        <v>0</v>
      </c>
      <c r="AZ280" s="1">
        <f t="shared" si="23"/>
        <v>79884396</v>
      </c>
      <c r="BB280" s="1">
        <v>13500</v>
      </c>
      <c r="BH280" s="1">
        <v>0</v>
      </c>
      <c r="BJ280" s="1">
        <f t="shared" si="24"/>
        <v>79897896</v>
      </c>
      <c r="BL280" s="1">
        <f>+GenRev!AM280-GenExp!BJ280</f>
        <v>-6091659</v>
      </c>
      <c r="BN280" s="1">
        <v>9760916</v>
      </c>
      <c r="BP280" s="1">
        <v>4659</v>
      </c>
      <c r="BQ280" s="1">
        <v>0</v>
      </c>
      <c r="BS280" s="1">
        <f t="shared" si="26"/>
        <v>3664598</v>
      </c>
      <c r="BU280" s="20">
        <f>+BS280-'Gen Fd BS'!AA280+BQ280</f>
        <v>0</v>
      </c>
    </row>
    <row r="281" spans="1:73">
      <c r="A281" s="12" t="s">
        <v>442</v>
      </c>
      <c r="B281" s="12"/>
      <c r="C281" s="12" t="s">
        <v>44</v>
      </c>
      <c r="D281" s="12"/>
      <c r="E281" s="13">
        <v>48165</v>
      </c>
      <c r="G281" s="1">
        <v>6959830</v>
      </c>
      <c r="I281" s="1">
        <v>1233949</v>
      </c>
      <c r="K281" s="1">
        <v>100478</v>
      </c>
      <c r="M281" s="1">
        <v>83167</v>
      </c>
      <c r="O281" s="1">
        <v>710207</v>
      </c>
      <c r="Q281" s="1">
        <v>421280</v>
      </c>
      <c r="S281" s="1">
        <v>34668</v>
      </c>
      <c r="U281" s="1">
        <v>1158271</v>
      </c>
      <c r="W281" s="1">
        <v>388579</v>
      </c>
      <c r="Y281" s="1">
        <v>0</v>
      </c>
      <c r="AA281" s="1">
        <v>956382</v>
      </c>
      <c r="AC281" s="1">
        <v>986946</v>
      </c>
      <c r="AE281" s="1">
        <v>207483</v>
      </c>
      <c r="AG281" s="1">
        <v>0</v>
      </c>
      <c r="AI281" s="1">
        <v>55778</v>
      </c>
      <c r="AJ281" s="12" t="s">
        <v>442</v>
      </c>
      <c r="AK281" s="12"/>
      <c r="AL281" s="12" t="s">
        <v>44</v>
      </c>
      <c r="AN281" s="1">
        <v>290713</v>
      </c>
      <c r="AP281" s="1">
        <v>0</v>
      </c>
      <c r="AR281" s="1">
        <v>0</v>
      </c>
      <c r="AT281" s="1">
        <v>0</v>
      </c>
      <c r="AV281" s="1">
        <v>0</v>
      </c>
      <c r="AX281" s="1">
        <v>0</v>
      </c>
      <c r="AZ281" s="1">
        <f t="shared" si="23"/>
        <v>13587731</v>
      </c>
      <c r="BB281" s="1">
        <v>25000</v>
      </c>
      <c r="BH281" s="1">
        <v>0</v>
      </c>
      <c r="BJ281" s="1">
        <f t="shared" si="24"/>
        <v>13612731</v>
      </c>
      <c r="BL281" s="1">
        <f>+GenRev!AM281-GenExp!BJ281</f>
        <v>-294490</v>
      </c>
      <c r="BN281" s="1">
        <v>4620062</v>
      </c>
      <c r="BP281" s="1">
        <v>0</v>
      </c>
      <c r="BQ281" s="1">
        <v>0</v>
      </c>
      <c r="BS281" s="1">
        <f t="shared" si="26"/>
        <v>4325572</v>
      </c>
      <c r="BU281" s="20">
        <f>+BS281-'Gen Fd BS'!AA281+BQ281</f>
        <v>0</v>
      </c>
    </row>
    <row r="282" spans="1:73">
      <c r="A282" s="12" t="s">
        <v>633</v>
      </c>
      <c r="B282" s="12"/>
      <c r="C282" s="12" t="s">
        <v>69</v>
      </c>
      <c r="D282" s="12"/>
      <c r="E282" s="13">
        <v>50435</v>
      </c>
      <c r="G282" s="1">
        <v>17360637</v>
      </c>
      <c r="I282" s="1">
        <v>3511169</v>
      </c>
      <c r="K282" s="1">
        <v>0</v>
      </c>
      <c r="M282" s="1">
        <v>713852</v>
      </c>
      <c r="O282" s="1">
        <v>1689752</v>
      </c>
      <c r="Q282" s="1">
        <v>1100879</v>
      </c>
      <c r="S282" s="1">
        <v>95730</v>
      </c>
      <c r="U282" s="1">
        <v>3469370</v>
      </c>
      <c r="W282" s="1">
        <v>821882</v>
      </c>
      <c r="Y282" s="1">
        <v>256283</v>
      </c>
      <c r="AA282" s="1">
        <v>3833695</v>
      </c>
      <c r="AC282" s="1">
        <v>2375110</v>
      </c>
      <c r="AE282" s="1">
        <v>286659</v>
      </c>
      <c r="AG282" s="1">
        <v>0</v>
      </c>
      <c r="AI282" s="1">
        <v>0</v>
      </c>
      <c r="AJ282" s="12" t="s">
        <v>633</v>
      </c>
      <c r="AK282" s="12"/>
      <c r="AL282" s="12" t="s">
        <v>69</v>
      </c>
      <c r="AN282" s="1">
        <v>738355</v>
      </c>
      <c r="AP282" s="1">
        <v>0</v>
      </c>
      <c r="AR282" s="1">
        <v>0</v>
      </c>
      <c r="AT282" s="1">
        <v>0</v>
      </c>
      <c r="AV282" s="1">
        <v>0</v>
      </c>
      <c r="AX282" s="1">
        <v>0</v>
      </c>
      <c r="AZ282" s="1">
        <f t="shared" si="23"/>
        <v>36253373</v>
      </c>
      <c r="BB282" s="1">
        <v>0</v>
      </c>
      <c r="BH282" s="1">
        <v>0</v>
      </c>
      <c r="BJ282" s="1">
        <f t="shared" si="24"/>
        <v>36253373</v>
      </c>
      <c r="BL282" s="1">
        <f>+GenRev!AM282-GenExp!BJ282</f>
        <v>-2893193</v>
      </c>
      <c r="BN282" s="1">
        <v>7754794</v>
      </c>
      <c r="BP282" s="1">
        <v>0</v>
      </c>
      <c r="BQ282" s="1">
        <v>0</v>
      </c>
      <c r="BS282" s="1">
        <f t="shared" si="26"/>
        <v>4861601</v>
      </c>
      <c r="BU282" s="20">
        <f>+BS282-'Gen Fd BS'!AA282+BQ282</f>
        <v>0</v>
      </c>
    </row>
    <row r="283" spans="1:73" hidden="1">
      <c r="A283" s="17" t="s">
        <v>862</v>
      </c>
      <c r="B283" s="12"/>
      <c r="C283" s="12" t="s">
        <v>41</v>
      </c>
      <c r="D283" s="12"/>
      <c r="E283" s="13">
        <v>47878</v>
      </c>
      <c r="AJ283" s="17" t="s">
        <v>862</v>
      </c>
      <c r="AK283" s="12"/>
      <c r="AL283" s="12" t="s">
        <v>41</v>
      </c>
      <c r="AZ283" s="1">
        <f t="shared" si="23"/>
        <v>0</v>
      </c>
      <c r="BJ283" s="1">
        <f t="shared" si="24"/>
        <v>0</v>
      </c>
      <c r="BL283" s="1">
        <f>+GenRev!AM283-GenExp!BJ283</f>
        <v>0</v>
      </c>
      <c r="BS283" s="1">
        <f t="shared" si="26"/>
        <v>0</v>
      </c>
      <c r="BU283" s="20">
        <f>+BS283-'Gen Fd BS'!AA283+BQ283</f>
        <v>0</v>
      </c>
    </row>
    <row r="284" spans="1:73">
      <c r="A284" s="12" t="s">
        <v>607</v>
      </c>
      <c r="B284" s="12"/>
      <c r="C284" s="12" t="s">
        <v>64</v>
      </c>
      <c r="D284" s="12"/>
      <c r="E284" s="13">
        <v>50245</v>
      </c>
      <c r="G284" s="1">
        <v>5932391</v>
      </c>
      <c r="I284" s="1">
        <v>930386</v>
      </c>
      <c r="K284" s="1">
        <v>88602</v>
      </c>
      <c r="M284" s="1">
        <f>1365+408542</f>
        <v>409907</v>
      </c>
      <c r="O284" s="1">
        <v>606207</v>
      </c>
      <c r="Q284" s="1">
        <v>135885</v>
      </c>
      <c r="S284" s="1">
        <v>44424</v>
      </c>
      <c r="U284" s="1">
        <v>827642</v>
      </c>
      <c r="W284" s="1">
        <v>312546</v>
      </c>
      <c r="Y284" s="1">
        <v>0</v>
      </c>
      <c r="AA284" s="1">
        <v>1049706</v>
      </c>
      <c r="AC284" s="1">
        <v>518975</v>
      </c>
      <c r="AE284" s="1">
        <v>102405</v>
      </c>
      <c r="AG284" s="1">
        <v>0</v>
      </c>
      <c r="AI284" s="1">
        <v>1248</v>
      </c>
      <c r="AJ284" s="12" t="s">
        <v>607</v>
      </c>
      <c r="AK284" s="12"/>
      <c r="AL284" s="12" t="s">
        <v>64</v>
      </c>
      <c r="AN284" s="1">
        <v>258229</v>
      </c>
      <c r="AP284" s="1">
        <v>152381</v>
      </c>
      <c r="AR284" s="1">
        <v>0</v>
      </c>
      <c r="AT284" s="1">
        <v>39000</v>
      </c>
      <c r="AV284" s="1">
        <v>100287</v>
      </c>
      <c r="AX284" s="1">
        <v>0</v>
      </c>
      <c r="AZ284" s="1">
        <f t="shared" si="23"/>
        <v>11510221</v>
      </c>
      <c r="BB284" s="1">
        <v>0</v>
      </c>
      <c r="BH284" s="1">
        <v>0</v>
      </c>
      <c r="BJ284" s="1">
        <f t="shared" si="24"/>
        <v>11510221</v>
      </c>
      <c r="BL284" s="1">
        <f>+GenRev!AM284-GenExp!BJ284</f>
        <v>484676</v>
      </c>
      <c r="BN284" s="1">
        <v>874317</v>
      </c>
      <c r="BP284" s="1">
        <v>899</v>
      </c>
      <c r="BQ284" s="1">
        <v>0</v>
      </c>
      <c r="BS284" s="1">
        <f t="shared" si="26"/>
        <v>1358094</v>
      </c>
      <c r="BU284" s="20">
        <f>+BS284-'Gen Fd BS'!AA284+BQ284</f>
        <v>0</v>
      </c>
    </row>
    <row r="285" spans="1:73">
      <c r="A285" s="12" t="s">
        <v>577</v>
      </c>
      <c r="B285" s="12"/>
      <c r="C285" s="12" t="s">
        <v>62</v>
      </c>
      <c r="D285" s="12"/>
      <c r="E285" s="13">
        <v>49866</v>
      </c>
      <c r="G285" s="1">
        <v>14427631</v>
      </c>
      <c r="I285" s="1">
        <v>2486727</v>
      </c>
      <c r="K285" s="1">
        <v>470159</v>
      </c>
      <c r="M285" s="1">
        <f>246412+1004731</f>
        <v>1251143</v>
      </c>
      <c r="O285" s="1">
        <v>871071</v>
      </c>
      <c r="Q285" s="1">
        <v>1552824</v>
      </c>
      <c r="S285" s="1">
        <v>35370</v>
      </c>
      <c r="U285" s="1">
        <v>1802623</v>
      </c>
      <c r="W285" s="1">
        <v>622339</v>
      </c>
      <c r="Y285" s="1">
        <v>76163</v>
      </c>
      <c r="AA285" s="1">
        <v>3226408</v>
      </c>
      <c r="AC285" s="1">
        <v>2109891</v>
      </c>
      <c r="AE285" s="1">
        <v>42363</v>
      </c>
      <c r="AG285" s="1">
        <v>0</v>
      </c>
      <c r="AI285" s="1">
        <v>40737</v>
      </c>
      <c r="AJ285" s="12" t="s">
        <v>577</v>
      </c>
      <c r="AK285" s="12"/>
      <c r="AL285" s="12" t="s">
        <v>62</v>
      </c>
      <c r="AN285" s="1">
        <v>684794</v>
      </c>
      <c r="AP285" s="1">
        <v>220058</v>
      </c>
      <c r="AR285" s="1">
        <v>0</v>
      </c>
      <c r="AT285" s="1">
        <v>25506</v>
      </c>
      <c r="AV285" s="1">
        <v>893</v>
      </c>
      <c r="AX285" s="1">
        <v>0</v>
      </c>
      <c r="AZ285" s="1">
        <f t="shared" si="23"/>
        <v>29946700</v>
      </c>
      <c r="BB285" s="1">
        <v>0</v>
      </c>
      <c r="BH285" s="1">
        <v>0</v>
      </c>
      <c r="BJ285" s="1">
        <f t="shared" si="24"/>
        <v>29946700</v>
      </c>
      <c r="BL285" s="1">
        <f>+GenRev!AM285-GenExp!BJ285</f>
        <v>-1056398</v>
      </c>
      <c r="BN285" s="1">
        <v>4435856</v>
      </c>
      <c r="BP285" s="1">
        <v>0</v>
      </c>
      <c r="BQ285" s="1">
        <v>0</v>
      </c>
      <c r="BS285" s="1">
        <f t="shared" si="26"/>
        <v>3379458</v>
      </c>
      <c r="BU285" s="20">
        <f>+BS285-'Gen Fd BS'!AA285+BQ285</f>
        <v>0</v>
      </c>
    </row>
    <row r="286" spans="1:73" hidden="1">
      <c r="A286" s="12" t="s">
        <v>939</v>
      </c>
      <c r="B286" s="12"/>
      <c r="C286" s="12" t="s">
        <v>72</v>
      </c>
      <c r="D286" s="12"/>
      <c r="E286" s="13">
        <v>50690</v>
      </c>
      <c r="AJ286" s="12" t="s">
        <v>939</v>
      </c>
      <c r="AK286" s="12"/>
      <c r="AL286" s="12" t="s">
        <v>72</v>
      </c>
      <c r="AZ286" s="1">
        <f t="shared" si="23"/>
        <v>0</v>
      </c>
      <c r="BJ286" s="1">
        <f t="shared" si="24"/>
        <v>0</v>
      </c>
      <c r="BL286" s="1">
        <f>+GenRev!AM286-GenExp!BJ286</f>
        <v>0</v>
      </c>
      <c r="BS286" s="1">
        <f t="shared" si="26"/>
        <v>0</v>
      </c>
      <c r="BU286" s="20">
        <f>+BS286-'Gen Fd BS'!AA286+BQ286</f>
        <v>0</v>
      </c>
    </row>
    <row r="287" spans="1:73">
      <c r="A287" s="12" t="s">
        <v>608</v>
      </c>
      <c r="B287" s="12"/>
      <c r="C287" s="12" t="s">
        <v>64</v>
      </c>
      <c r="D287" s="12"/>
      <c r="E287" s="13">
        <v>50187</v>
      </c>
      <c r="G287" s="1">
        <v>7007903</v>
      </c>
      <c r="I287" s="1">
        <v>1721524</v>
      </c>
      <c r="K287" s="1">
        <v>0</v>
      </c>
      <c r="M287" s="1">
        <v>0</v>
      </c>
      <c r="O287" s="1">
        <v>776520</v>
      </c>
      <c r="Q287" s="1">
        <v>695252</v>
      </c>
      <c r="S287" s="1">
        <v>21771</v>
      </c>
      <c r="U287" s="1">
        <v>1149685</v>
      </c>
      <c r="W287" s="1">
        <v>417974</v>
      </c>
      <c r="Y287" s="1">
        <v>0</v>
      </c>
      <c r="AA287" s="1">
        <v>1531033</v>
      </c>
      <c r="AC287" s="1">
        <v>812785</v>
      </c>
      <c r="AE287" s="1">
        <v>0</v>
      </c>
      <c r="AG287" s="1">
        <v>0</v>
      </c>
      <c r="AI287" s="1">
        <v>0</v>
      </c>
      <c r="AJ287" s="12" t="s">
        <v>608</v>
      </c>
      <c r="AK287" s="12"/>
      <c r="AL287" s="12" t="s">
        <v>64</v>
      </c>
      <c r="AN287" s="1">
        <v>291809</v>
      </c>
      <c r="AP287" s="1">
        <v>0</v>
      </c>
      <c r="AR287" s="1">
        <v>0</v>
      </c>
      <c r="AT287" s="1">
        <v>61376</v>
      </c>
      <c r="AV287" s="1">
        <v>42009</v>
      </c>
      <c r="AX287" s="1">
        <v>0</v>
      </c>
      <c r="AZ287" s="1">
        <f t="shared" si="23"/>
        <v>14529641</v>
      </c>
      <c r="BB287" s="1">
        <v>104</v>
      </c>
      <c r="BH287" s="1">
        <v>0</v>
      </c>
      <c r="BJ287" s="1">
        <f t="shared" si="24"/>
        <v>14529745</v>
      </c>
      <c r="BL287" s="1">
        <f>+GenRev!AM287-GenExp!BJ287</f>
        <v>1386778</v>
      </c>
      <c r="BN287" s="1">
        <v>-1091208</v>
      </c>
      <c r="BP287" s="1">
        <v>0</v>
      </c>
      <c r="BQ287" s="1">
        <v>0</v>
      </c>
      <c r="BS287" s="1">
        <f t="shared" si="26"/>
        <v>295570</v>
      </c>
      <c r="BU287" s="20">
        <f>+BS287-'Gen Fd BS'!AA287+BQ287</f>
        <v>0</v>
      </c>
    </row>
    <row r="288" spans="1:73">
      <c r="A288" s="12" t="s">
        <v>293</v>
      </c>
      <c r="B288" s="12"/>
      <c r="C288" s="12" t="s">
        <v>20</v>
      </c>
      <c r="D288" s="12"/>
      <c r="E288" s="13">
        <v>44198</v>
      </c>
      <c r="F288" s="8"/>
      <c r="G288" s="1">
        <v>26645620</v>
      </c>
      <c r="I288" s="1">
        <v>9631283</v>
      </c>
      <c r="K288" s="1">
        <v>2902420</v>
      </c>
      <c r="M288" s="1">
        <f>115849+2355215</f>
        <v>2471064</v>
      </c>
      <c r="O288" s="1">
        <v>4190077</v>
      </c>
      <c r="Q288" s="1">
        <v>3659883</v>
      </c>
      <c r="S288" s="1">
        <v>33160</v>
      </c>
      <c r="U288" s="1">
        <v>3308385</v>
      </c>
      <c r="W288" s="1">
        <v>1728626</v>
      </c>
      <c r="Y288" s="1">
        <v>817665</v>
      </c>
      <c r="AA288" s="1">
        <v>8006173</v>
      </c>
      <c r="AC288" s="1">
        <v>67944</v>
      </c>
      <c r="AE288" s="1">
        <v>248861</v>
      </c>
      <c r="AG288" s="1">
        <v>0</v>
      </c>
      <c r="AI288" s="1">
        <v>1401362</v>
      </c>
      <c r="AJ288" s="12" t="s">
        <v>293</v>
      </c>
      <c r="AK288" s="12"/>
      <c r="AL288" s="12" t="s">
        <v>20</v>
      </c>
      <c r="AN288" s="1">
        <v>831234</v>
      </c>
      <c r="AP288" s="1">
        <v>1003756</v>
      </c>
      <c r="AR288" s="1">
        <v>0</v>
      </c>
      <c r="AT288" s="1">
        <v>431093</v>
      </c>
      <c r="AV288" s="1">
        <v>18201</v>
      </c>
      <c r="AX288" s="1">
        <v>0</v>
      </c>
      <c r="AZ288" s="1">
        <f t="shared" si="23"/>
        <v>67396807</v>
      </c>
      <c r="BB288" s="1">
        <v>35000</v>
      </c>
      <c r="BH288" s="1">
        <v>0</v>
      </c>
      <c r="BJ288" s="1">
        <f t="shared" si="24"/>
        <v>67431807</v>
      </c>
      <c r="BL288" s="1">
        <f>+GenRev!AM288-GenExp!BJ288</f>
        <v>-2938149</v>
      </c>
      <c r="BN288" s="1">
        <v>14292627</v>
      </c>
      <c r="BP288" s="1">
        <v>0</v>
      </c>
      <c r="BQ288" s="1">
        <v>0</v>
      </c>
      <c r="BS288" s="1">
        <f t="shared" si="26"/>
        <v>11354478</v>
      </c>
      <c r="BU288" s="20">
        <f>+BS288-'Gen Fd BS'!AA288+BQ288</f>
        <v>0</v>
      </c>
    </row>
    <row r="289" spans="1:73">
      <c r="A289" s="12" t="s">
        <v>763</v>
      </c>
      <c r="B289" s="12"/>
      <c r="C289" s="12" t="s">
        <v>42</v>
      </c>
      <c r="D289" s="12"/>
      <c r="E289" s="13">
        <v>47993</v>
      </c>
      <c r="G289" s="1">
        <v>12097018</v>
      </c>
      <c r="I289" s="1">
        <v>0</v>
      </c>
      <c r="K289" s="1">
        <v>0</v>
      </c>
      <c r="M289" s="1">
        <v>0</v>
      </c>
      <c r="O289" s="1">
        <v>1203956</v>
      </c>
      <c r="Q289" s="1">
        <v>357135</v>
      </c>
      <c r="S289" s="1">
        <v>81589</v>
      </c>
      <c r="U289" s="1">
        <v>1548227</v>
      </c>
      <c r="W289" s="1">
        <v>570032</v>
      </c>
      <c r="Y289" s="1">
        <v>19125</v>
      </c>
      <c r="AA289" s="1">
        <v>1436748</v>
      </c>
      <c r="AC289" s="1">
        <v>1717897</v>
      </c>
      <c r="AE289" s="1">
        <v>300593</v>
      </c>
      <c r="AG289" s="1">
        <v>0</v>
      </c>
      <c r="AI289" s="1">
        <v>16361</v>
      </c>
      <c r="AJ289" s="12" t="s">
        <v>763</v>
      </c>
      <c r="AK289" s="12"/>
      <c r="AL289" s="12" t="s">
        <v>42</v>
      </c>
      <c r="AN289" s="1">
        <v>227016</v>
      </c>
      <c r="AP289" s="1">
        <v>0</v>
      </c>
      <c r="AR289" s="1">
        <v>0</v>
      </c>
      <c r="AT289" s="1">
        <v>46098</v>
      </c>
      <c r="AV289" s="1">
        <v>6174</v>
      </c>
      <c r="AX289" s="1">
        <v>0</v>
      </c>
      <c r="AZ289" s="1">
        <f t="shared" si="23"/>
        <v>19627969</v>
      </c>
      <c r="BB289" s="1">
        <v>0</v>
      </c>
      <c r="BH289" s="1">
        <v>0</v>
      </c>
      <c r="BJ289" s="1">
        <f t="shared" si="24"/>
        <v>19627969</v>
      </c>
      <c r="BL289" s="1">
        <f>+GenRev!AM289-GenExp!BJ289</f>
        <v>-788994</v>
      </c>
      <c r="BN289" s="1">
        <v>4978215</v>
      </c>
      <c r="BP289" s="1">
        <v>-9921</v>
      </c>
      <c r="BQ289" s="1">
        <v>0</v>
      </c>
      <c r="BS289" s="1">
        <f t="shared" si="26"/>
        <v>4199142</v>
      </c>
      <c r="BU289" s="20">
        <f>+BS289-'Gen Fd BS'!AA289+BQ289</f>
        <v>0</v>
      </c>
    </row>
    <row r="290" spans="1:73">
      <c r="A290" s="12" t="s">
        <v>230</v>
      </c>
      <c r="B290" s="12"/>
      <c r="C290" s="12" t="s">
        <v>227</v>
      </c>
      <c r="D290" s="12"/>
      <c r="E290" s="13">
        <v>46110</v>
      </c>
      <c r="G290" s="1">
        <v>71412630</v>
      </c>
      <c r="I290" s="1">
        <v>14488481</v>
      </c>
      <c r="K290" s="1">
        <v>0</v>
      </c>
      <c r="M290" s="1">
        <v>2667619</v>
      </c>
      <c r="O290" s="1">
        <v>9423548</v>
      </c>
      <c r="Q290" s="1">
        <v>10653884</v>
      </c>
      <c r="S290" s="1">
        <v>66318</v>
      </c>
      <c r="U290" s="1">
        <v>14178636</v>
      </c>
      <c r="W290" s="1">
        <v>1064435</v>
      </c>
      <c r="Y290" s="1">
        <v>282518</v>
      </c>
      <c r="AA290" s="1">
        <v>13713714</v>
      </c>
      <c r="AC290" s="1">
        <v>14285459</v>
      </c>
      <c r="AE290" s="1">
        <v>3298043</v>
      </c>
      <c r="AG290" s="1">
        <v>0</v>
      </c>
      <c r="AI290" s="1">
        <v>64888</v>
      </c>
      <c r="AJ290" s="12" t="s">
        <v>230</v>
      </c>
      <c r="AK290" s="12"/>
      <c r="AL290" s="12" t="s">
        <v>227</v>
      </c>
      <c r="AN290" s="1">
        <v>316773</v>
      </c>
      <c r="AP290" s="1">
        <v>2659672</v>
      </c>
      <c r="AR290" s="1">
        <v>0</v>
      </c>
      <c r="AT290" s="1">
        <v>0</v>
      </c>
      <c r="AV290" s="1">
        <v>0</v>
      </c>
      <c r="AX290" s="1">
        <v>0</v>
      </c>
      <c r="AZ290" s="1">
        <f t="shared" si="23"/>
        <v>158576618</v>
      </c>
      <c r="BB290" s="1">
        <v>2255500</v>
      </c>
      <c r="BH290" s="1">
        <v>0</v>
      </c>
      <c r="BJ290" s="1">
        <f t="shared" si="24"/>
        <v>160832118</v>
      </c>
      <c r="BL290" s="1">
        <f>+GenRev!AM290-GenExp!BJ290</f>
        <v>-5417049</v>
      </c>
      <c r="BN290" s="1">
        <v>30512667</v>
      </c>
      <c r="BP290" s="1">
        <v>0</v>
      </c>
      <c r="BQ290" s="1">
        <v>0</v>
      </c>
      <c r="BS290" s="1">
        <f t="shared" si="26"/>
        <v>25095618</v>
      </c>
      <c r="BU290" s="20">
        <f>+BS290-'Gen Fd BS'!AA290+BQ290</f>
        <v>0</v>
      </c>
    </row>
    <row r="291" spans="1:73">
      <c r="A291" s="17" t="s">
        <v>842</v>
      </c>
      <c r="B291" s="12"/>
      <c r="C291" s="12" t="s">
        <v>79</v>
      </c>
      <c r="D291" s="12"/>
      <c r="E291" s="13">
        <v>49569</v>
      </c>
      <c r="G291" s="1">
        <v>4885986</v>
      </c>
      <c r="I291" s="1">
        <v>1164770</v>
      </c>
      <c r="K291" s="1">
        <v>22262</v>
      </c>
      <c r="M291" s="1">
        <v>14068</v>
      </c>
      <c r="O291" s="1">
        <v>624036</v>
      </c>
      <c r="Q291" s="1">
        <v>213036</v>
      </c>
      <c r="S291" s="1">
        <v>21257</v>
      </c>
      <c r="U291" s="1">
        <v>792087</v>
      </c>
      <c r="W291" s="1">
        <v>217104</v>
      </c>
      <c r="Y291" s="1">
        <v>212239</v>
      </c>
      <c r="AA291" s="1">
        <v>804796</v>
      </c>
      <c r="AC291" s="1">
        <v>690261</v>
      </c>
      <c r="AE291" s="1">
        <v>59595</v>
      </c>
      <c r="AG291" s="1">
        <v>0</v>
      </c>
      <c r="AI291" s="1">
        <v>0</v>
      </c>
      <c r="AJ291" s="17" t="s">
        <v>842</v>
      </c>
      <c r="AK291" s="12"/>
      <c r="AL291" s="12" t="s">
        <v>79</v>
      </c>
      <c r="AN291" s="1">
        <v>204214</v>
      </c>
      <c r="AP291" s="1">
        <v>0</v>
      </c>
      <c r="AR291" s="1">
        <v>0</v>
      </c>
      <c r="AT291" s="1">
        <v>0</v>
      </c>
      <c r="AV291" s="1">
        <v>0</v>
      </c>
      <c r="AX291" s="1">
        <v>0</v>
      </c>
      <c r="AZ291" s="1">
        <f t="shared" si="23"/>
        <v>9925711</v>
      </c>
      <c r="BB291" s="1">
        <v>365339</v>
      </c>
      <c r="BH291" s="1">
        <v>0</v>
      </c>
      <c r="BJ291" s="1">
        <f t="shared" si="24"/>
        <v>10291050</v>
      </c>
      <c r="BL291" s="1">
        <f>+GenRev!AM291-GenExp!BJ291</f>
        <v>916740</v>
      </c>
      <c r="BN291" s="1">
        <v>210597</v>
      </c>
      <c r="BP291" s="1">
        <v>0</v>
      </c>
      <c r="BQ291" s="1">
        <v>0</v>
      </c>
      <c r="BS291" s="1">
        <f t="shared" si="26"/>
        <v>1127337</v>
      </c>
      <c r="BU291" s="20">
        <f>+BS291-'Gen Fd BS'!AA291+BQ291</f>
        <v>0</v>
      </c>
    </row>
    <row r="292" spans="1:73">
      <c r="A292" s="12" t="s">
        <v>325</v>
      </c>
      <c r="B292" s="12"/>
      <c r="C292" s="12" t="s">
        <v>25</v>
      </c>
      <c r="D292" s="12"/>
      <c r="E292" s="13">
        <v>44206</v>
      </c>
      <c r="G292" s="1">
        <v>25247984</v>
      </c>
      <c r="I292" s="1">
        <v>5101516</v>
      </c>
      <c r="K292" s="1">
        <v>2148528</v>
      </c>
      <c r="M292" s="1">
        <v>0</v>
      </c>
      <c r="O292" s="1">
        <v>2614936</v>
      </c>
      <c r="Q292" s="1">
        <v>2779926</v>
      </c>
      <c r="S292" s="1">
        <v>100093</v>
      </c>
      <c r="U292" s="1">
        <v>3655416</v>
      </c>
      <c r="W292" s="1">
        <v>1187136</v>
      </c>
      <c r="Y292" s="1">
        <v>366104</v>
      </c>
      <c r="AA292" s="1">
        <v>3850902</v>
      </c>
      <c r="AC292" s="1">
        <v>1960745</v>
      </c>
      <c r="AE292" s="1">
        <v>857349</v>
      </c>
      <c r="AG292" s="1">
        <v>205</v>
      </c>
      <c r="AI292" s="1">
        <v>0</v>
      </c>
      <c r="AJ292" s="12" t="s">
        <v>325</v>
      </c>
      <c r="AK292" s="12"/>
      <c r="AL292" s="12" t="s">
        <v>25</v>
      </c>
      <c r="AN292" s="1">
        <v>932690</v>
      </c>
      <c r="AP292" s="1">
        <v>870805</v>
      </c>
      <c r="AR292" s="1">
        <v>0</v>
      </c>
      <c r="AT292" s="1">
        <v>95273</v>
      </c>
      <c r="AV292" s="1">
        <v>42918</v>
      </c>
      <c r="AX292" s="1">
        <v>0</v>
      </c>
      <c r="AZ292" s="1">
        <f t="shared" si="23"/>
        <v>51812526</v>
      </c>
      <c r="BB292" s="1">
        <v>19007</v>
      </c>
      <c r="BH292" s="1">
        <v>0</v>
      </c>
      <c r="BJ292" s="1">
        <f t="shared" si="24"/>
        <v>51831533</v>
      </c>
      <c r="BL292" s="1">
        <f>+GenRev!AM292-GenExp!BJ292</f>
        <v>4870527</v>
      </c>
      <c r="BN292" s="1">
        <v>13430265</v>
      </c>
      <c r="BP292" s="1">
        <v>0</v>
      </c>
      <c r="BQ292" s="1">
        <v>0</v>
      </c>
      <c r="BS292" s="1">
        <f t="shared" si="26"/>
        <v>18300792</v>
      </c>
      <c r="BU292" s="20">
        <f>+BS292-'Gen Fd BS'!AA292+BQ292</f>
        <v>0</v>
      </c>
    </row>
    <row r="293" spans="1:73" s="16" customFormat="1" hidden="1">
      <c r="A293" s="17" t="s">
        <v>732</v>
      </c>
      <c r="B293" s="14"/>
      <c r="C293" s="14" t="s">
        <v>69</v>
      </c>
      <c r="D293" s="14"/>
      <c r="E293" s="13">
        <v>44214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7" t="s">
        <v>732</v>
      </c>
      <c r="AK293" s="12"/>
      <c r="AL293" s="12" t="s">
        <v>69</v>
      </c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>
        <f>SUM(G293:AX293)</f>
        <v>0</v>
      </c>
      <c r="BA293" s="1"/>
      <c r="BB293" s="1"/>
      <c r="BC293" s="1"/>
      <c r="BD293" s="1"/>
      <c r="BE293" s="1"/>
      <c r="BF293" s="1"/>
      <c r="BG293" s="1"/>
      <c r="BH293" s="1"/>
      <c r="BI293" s="1"/>
      <c r="BJ293" s="1">
        <f>+AZ293+BB293+BD293+BH293</f>
        <v>0</v>
      </c>
      <c r="BK293" s="1"/>
      <c r="BL293" s="1">
        <f>+GenRev!AM293-GenExp!BJ293</f>
        <v>0</v>
      </c>
      <c r="BM293" s="1"/>
      <c r="BN293" s="1"/>
      <c r="BO293" s="1"/>
      <c r="BP293" s="1"/>
      <c r="BQ293" s="1"/>
      <c r="BR293" s="1"/>
      <c r="BS293" s="1">
        <f t="shared" si="26"/>
        <v>0</v>
      </c>
      <c r="BT293" s="1"/>
      <c r="BU293" s="20">
        <f>+BS293-'Gen Fd BS'!AA293+BQ293</f>
        <v>0</v>
      </c>
    </row>
    <row r="294" spans="1:73">
      <c r="A294" s="12" t="s">
        <v>354</v>
      </c>
      <c r="B294" s="12"/>
      <c r="C294" s="12" t="s">
        <v>30</v>
      </c>
      <c r="D294" s="12"/>
      <c r="E294" s="12">
        <v>47209</v>
      </c>
      <c r="G294" s="1">
        <v>1998864</v>
      </c>
      <c r="I294" s="1">
        <v>844845</v>
      </c>
      <c r="K294" s="1">
        <v>141408</v>
      </c>
      <c r="M294" s="1">
        <v>627355</v>
      </c>
      <c r="O294" s="1">
        <v>108045</v>
      </c>
      <c r="Q294" s="1">
        <v>101223</v>
      </c>
      <c r="S294" s="1">
        <v>24201</v>
      </c>
      <c r="U294" s="1">
        <v>604854</v>
      </c>
      <c r="W294" s="1">
        <v>192969</v>
      </c>
      <c r="Y294" s="1">
        <v>0</v>
      </c>
      <c r="AA294" s="1">
        <v>573950</v>
      </c>
      <c r="AC294" s="1">
        <v>551397</v>
      </c>
      <c r="AE294" s="1">
        <v>0</v>
      </c>
      <c r="AG294" s="1">
        <v>0</v>
      </c>
      <c r="AI294" s="1">
        <v>1881</v>
      </c>
      <c r="AJ294" s="12" t="s">
        <v>354</v>
      </c>
      <c r="AK294" s="12"/>
      <c r="AL294" s="12" t="s">
        <v>30</v>
      </c>
      <c r="AN294" s="1">
        <v>87647</v>
      </c>
      <c r="AP294" s="1">
        <v>93</v>
      </c>
      <c r="AR294" s="1">
        <v>0</v>
      </c>
      <c r="AT294" s="1">
        <v>0</v>
      </c>
      <c r="AV294" s="1">
        <v>0</v>
      </c>
      <c r="AX294" s="1">
        <v>0</v>
      </c>
      <c r="AZ294" s="1">
        <f t="shared" ref="AZ294:AZ306" si="27">SUM(G294:AX294)</f>
        <v>5858732</v>
      </c>
      <c r="BB294" s="1">
        <v>22302</v>
      </c>
      <c r="BH294" s="1">
        <v>0</v>
      </c>
      <c r="BJ294" s="1">
        <f>+AZ294+BB294+BD294+BH294</f>
        <v>5881034</v>
      </c>
      <c r="BL294" s="1">
        <f>+GenRev!AM294-GenExp!BJ294</f>
        <v>-951415</v>
      </c>
      <c r="BN294" s="1">
        <v>249625</v>
      </c>
      <c r="BP294" s="1">
        <v>0</v>
      </c>
      <c r="BQ294" s="1">
        <v>0</v>
      </c>
      <c r="BS294" s="1">
        <f t="shared" si="26"/>
        <v>-701790</v>
      </c>
      <c r="BU294" s="20">
        <f>+BS294-'Gen Fd BS'!AA294+BQ294</f>
        <v>0</v>
      </c>
    </row>
    <row r="295" spans="1:73" hidden="1">
      <c r="A295" s="12" t="s">
        <v>941</v>
      </c>
      <c r="B295" s="12"/>
      <c r="C295" s="12" t="s">
        <v>114</v>
      </c>
      <c r="D295" s="12"/>
      <c r="E295" s="13"/>
      <c r="AJ295" s="12" t="s">
        <v>941</v>
      </c>
      <c r="AK295" s="17"/>
      <c r="AL295" s="17" t="s">
        <v>114</v>
      </c>
      <c r="AZ295" s="1">
        <f t="shared" ref="AZ295" si="28">SUM(G295:AX295)</f>
        <v>0</v>
      </c>
      <c r="BJ295" s="1">
        <f>+AZ295+BB295+BD295+BH295</f>
        <v>0</v>
      </c>
      <c r="BL295" s="1">
        <f>+GenRev!AM295-GenExp!BJ295</f>
        <v>0</v>
      </c>
      <c r="BS295" s="1">
        <f t="shared" ref="BS295" si="29">+BN295+BL295-BP295</f>
        <v>0</v>
      </c>
      <c r="BU295" s="20">
        <f>+BS295-'Gen Fd BS'!AA295+BQ295</f>
        <v>0</v>
      </c>
    </row>
    <row r="296" spans="1:73" hidden="1">
      <c r="A296" s="17" t="s">
        <v>843</v>
      </c>
      <c r="B296" s="12"/>
      <c r="C296" s="12" t="s">
        <v>542</v>
      </c>
      <c r="D296" s="12"/>
      <c r="E296" s="13">
        <v>49353</v>
      </c>
      <c r="AJ296" s="17" t="s">
        <v>843</v>
      </c>
      <c r="AK296" s="12"/>
      <c r="AL296" s="12" t="s">
        <v>542</v>
      </c>
      <c r="AZ296" s="1">
        <f t="shared" si="27"/>
        <v>0</v>
      </c>
      <c r="BJ296" s="1">
        <f>+AZ296+BB296+BD296+BH296</f>
        <v>0</v>
      </c>
      <c r="BL296" s="1">
        <f>+GenRev!AM296-GenExp!BJ296</f>
        <v>0</v>
      </c>
      <c r="BS296" s="1">
        <f t="shared" si="26"/>
        <v>0</v>
      </c>
      <c r="BU296" s="20">
        <f>+BS296-'Gen Fd BS'!AA296+BQ296</f>
        <v>0</v>
      </c>
    </row>
    <row r="297" spans="1:73" hidden="1">
      <c r="A297" s="12" t="s">
        <v>942</v>
      </c>
      <c r="B297" s="12"/>
      <c r="C297" s="12" t="s">
        <v>112</v>
      </c>
      <c r="D297" s="12"/>
      <c r="E297" s="13">
        <v>49437</v>
      </c>
      <c r="AJ297" s="12" t="s">
        <v>942</v>
      </c>
      <c r="AK297" s="12"/>
      <c r="AL297" s="12" t="s">
        <v>112</v>
      </c>
      <c r="AZ297" s="1">
        <f t="shared" si="27"/>
        <v>0</v>
      </c>
      <c r="BJ297" s="1">
        <f t="shared" ref="BJ297:BJ361" si="30">+AZ297+BB297+BD297+BH297</f>
        <v>0</v>
      </c>
      <c r="BL297" s="1">
        <f>+GenRev!AM297-GenExp!BJ297</f>
        <v>0</v>
      </c>
      <c r="BS297" s="1">
        <f t="shared" si="26"/>
        <v>0</v>
      </c>
      <c r="BU297" s="20">
        <f>+BS297-'Gen Fd BS'!AA297+BQ297</f>
        <v>0</v>
      </c>
    </row>
    <row r="298" spans="1:73">
      <c r="A298" s="12" t="s">
        <v>391</v>
      </c>
      <c r="B298" s="12"/>
      <c r="C298" s="12" t="s">
        <v>34</v>
      </c>
      <c r="D298" s="12"/>
      <c r="E298" s="13">
        <v>47589</v>
      </c>
      <c r="G298" s="1">
        <v>4066812</v>
      </c>
      <c r="I298" s="1">
        <v>1730661</v>
      </c>
      <c r="K298" s="1">
        <v>243094</v>
      </c>
      <c r="M298" s="1">
        <f>55560+280282</f>
        <v>335842</v>
      </c>
      <c r="O298" s="1">
        <v>714593</v>
      </c>
      <c r="Q298" s="1">
        <v>511334</v>
      </c>
      <c r="S298" s="1">
        <v>76919</v>
      </c>
      <c r="U298" s="1">
        <v>767354</v>
      </c>
      <c r="W298" s="1">
        <v>297559</v>
      </c>
      <c r="Y298" s="1">
        <v>0</v>
      </c>
      <c r="AA298" s="1">
        <v>757686</v>
      </c>
      <c r="AC298" s="1">
        <v>471927</v>
      </c>
      <c r="AE298" s="1">
        <v>97410</v>
      </c>
      <c r="AG298" s="1">
        <v>0</v>
      </c>
      <c r="AI298" s="1">
        <v>0</v>
      </c>
      <c r="AJ298" s="12" t="s">
        <v>391</v>
      </c>
      <c r="AK298" s="12"/>
      <c r="AL298" s="12" t="s">
        <v>34</v>
      </c>
      <c r="AN298" s="1">
        <v>315123</v>
      </c>
      <c r="AP298" s="1">
        <v>25984</v>
      </c>
      <c r="AR298" s="1">
        <v>0</v>
      </c>
      <c r="AT298" s="1">
        <v>62418</v>
      </c>
      <c r="AV298" s="1">
        <v>0</v>
      </c>
      <c r="AX298" s="1">
        <v>0</v>
      </c>
      <c r="AZ298" s="1">
        <f t="shared" si="27"/>
        <v>10474716</v>
      </c>
      <c r="BB298" s="1">
        <v>0</v>
      </c>
      <c r="BH298" s="1">
        <v>0</v>
      </c>
      <c r="BJ298" s="1">
        <f t="shared" si="30"/>
        <v>10474716</v>
      </c>
      <c r="BL298" s="1">
        <f>+GenRev!AM298-GenExp!BJ298</f>
        <v>1072336</v>
      </c>
      <c r="BN298" s="1">
        <v>3582218</v>
      </c>
      <c r="BP298" s="1">
        <v>0</v>
      </c>
      <c r="BQ298" s="1">
        <v>0</v>
      </c>
      <c r="BS298" s="1">
        <f t="shared" si="26"/>
        <v>4654554</v>
      </c>
      <c r="BU298" s="20">
        <f>+BS298-'Gen Fd BS'!AA298+BQ298</f>
        <v>0</v>
      </c>
    </row>
    <row r="299" spans="1:73">
      <c r="A299" s="17" t="s">
        <v>844</v>
      </c>
      <c r="B299" s="12"/>
      <c r="C299" s="12" t="s">
        <v>64</v>
      </c>
      <c r="D299" s="12"/>
      <c r="E299" s="13">
        <v>50195</v>
      </c>
      <c r="G299" s="1">
        <v>9219772</v>
      </c>
      <c r="I299" s="1">
        <v>881079</v>
      </c>
      <c r="K299" s="1">
        <v>83076</v>
      </c>
      <c r="M299" s="1">
        <v>0</v>
      </c>
      <c r="O299" s="1">
        <v>631472</v>
      </c>
      <c r="Q299" s="1">
        <v>310806</v>
      </c>
      <c r="S299" s="1">
        <v>9873</v>
      </c>
      <c r="U299" s="1">
        <v>955888</v>
      </c>
      <c r="W299" s="1">
        <v>1942835</v>
      </c>
      <c r="Y299" s="1">
        <v>626</v>
      </c>
      <c r="AA299" s="1">
        <v>1406746</v>
      </c>
      <c r="AC299" s="1">
        <v>793168</v>
      </c>
      <c r="AE299" s="1">
        <v>61328</v>
      </c>
      <c r="AG299" s="1">
        <v>0</v>
      </c>
      <c r="AI299" s="1">
        <v>7317</v>
      </c>
      <c r="AJ299" s="17" t="s">
        <v>844</v>
      </c>
      <c r="AK299" s="12"/>
      <c r="AL299" s="12" t="s">
        <v>64</v>
      </c>
      <c r="AN299" s="1">
        <v>345244</v>
      </c>
      <c r="AP299" s="1">
        <v>0</v>
      </c>
      <c r="AR299" s="1">
        <v>0</v>
      </c>
      <c r="AT299" s="1">
        <v>0</v>
      </c>
      <c r="AV299" s="1">
        <v>66421</v>
      </c>
      <c r="AX299" s="1">
        <v>0</v>
      </c>
      <c r="AZ299" s="1">
        <f t="shared" si="27"/>
        <v>16715651</v>
      </c>
      <c r="BB299" s="1">
        <v>424370</v>
      </c>
      <c r="BH299" s="1">
        <v>0</v>
      </c>
      <c r="BJ299" s="1">
        <f t="shared" si="30"/>
        <v>17140021</v>
      </c>
      <c r="BL299" s="1">
        <f>+GenRev!AM299-GenExp!BJ299</f>
        <v>-667753</v>
      </c>
      <c r="BN299" s="1">
        <v>-2570851</v>
      </c>
      <c r="BP299" s="1">
        <v>2381</v>
      </c>
      <c r="BQ299" s="1">
        <v>0</v>
      </c>
      <c r="BS299" s="1">
        <f t="shared" si="26"/>
        <v>-3240985</v>
      </c>
      <c r="BU299" s="20">
        <f>+BS299-'Gen Fd BS'!AA299+BQ299</f>
        <v>0</v>
      </c>
    </row>
    <row r="300" spans="1:73">
      <c r="A300" s="12" t="s">
        <v>768</v>
      </c>
      <c r="B300" s="12"/>
      <c r="C300" s="12" t="s">
        <v>25</v>
      </c>
      <c r="D300" s="12"/>
      <c r="E300" s="13">
        <v>46888</v>
      </c>
      <c r="G300" s="1">
        <v>4901055</v>
      </c>
      <c r="I300" s="1">
        <v>912748</v>
      </c>
      <c r="K300" s="1">
        <v>421335</v>
      </c>
      <c r="M300" s="1">
        <v>77921</v>
      </c>
      <c r="O300" s="1">
        <v>655094</v>
      </c>
      <c r="Q300" s="1">
        <v>600068</v>
      </c>
      <c r="S300" s="1">
        <v>87247</v>
      </c>
      <c r="U300" s="1">
        <v>1000687</v>
      </c>
      <c r="W300" s="1">
        <v>582395</v>
      </c>
      <c r="Y300" s="1">
        <v>0</v>
      </c>
      <c r="AA300" s="1">
        <v>1330039</v>
      </c>
      <c r="AC300" s="1">
        <v>750056</v>
      </c>
      <c r="AE300" s="1">
        <v>0</v>
      </c>
      <c r="AG300" s="1">
        <v>0</v>
      </c>
      <c r="AI300" s="1">
        <v>0</v>
      </c>
      <c r="AJ300" s="12" t="s">
        <v>768</v>
      </c>
      <c r="AK300" s="12"/>
      <c r="AL300" s="12" t="s">
        <v>25</v>
      </c>
      <c r="AN300" s="1">
        <v>297559</v>
      </c>
      <c r="AP300" s="1">
        <v>16277</v>
      </c>
      <c r="AR300" s="1">
        <v>0</v>
      </c>
      <c r="AT300" s="1">
        <v>18709</v>
      </c>
      <c r="AV300" s="1">
        <v>5489</v>
      </c>
      <c r="AX300" s="1">
        <v>0</v>
      </c>
      <c r="AZ300" s="1">
        <f t="shared" si="27"/>
        <v>11656679</v>
      </c>
      <c r="BB300" s="1">
        <v>0</v>
      </c>
      <c r="BH300" s="1">
        <v>0</v>
      </c>
      <c r="BJ300" s="1">
        <f t="shared" si="30"/>
        <v>11656679</v>
      </c>
      <c r="BL300" s="1">
        <f>+GenRev!AM300-GenExp!BJ300</f>
        <v>309608</v>
      </c>
      <c r="BN300" s="1">
        <v>4026563</v>
      </c>
      <c r="BP300" s="1">
        <v>0</v>
      </c>
      <c r="BQ300" s="1">
        <v>0</v>
      </c>
      <c r="BS300" s="1">
        <f t="shared" si="26"/>
        <v>4336171</v>
      </c>
      <c r="BU300" s="20">
        <f>+BS300-'Gen Fd BS'!AA300+BQ300</f>
        <v>0</v>
      </c>
    </row>
    <row r="301" spans="1:73">
      <c r="A301" s="12" t="s">
        <v>381</v>
      </c>
      <c r="B301" s="12"/>
      <c r="C301" s="12" t="s">
        <v>33</v>
      </c>
      <c r="D301" s="12"/>
      <c r="E301" s="13">
        <v>47449</v>
      </c>
      <c r="F301" s="8"/>
      <c r="G301" s="1">
        <v>5690078</v>
      </c>
      <c r="I301" s="1">
        <v>1136644</v>
      </c>
      <c r="K301" s="1">
        <v>358768</v>
      </c>
      <c r="M301" s="1">
        <v>0</v>
      </c>
      <c r="O301" s="1">
        <v>773647</v>
      </c>
      <c r="Q301" s="1">
        <v>338850</v>
      </c>
      <c r="S301" s="1">
        <v>13261</v>
      </c>
      <c r="U301" s="1">
        <v>843390</v>
      </c>
      <c r="W301" s="1">
        <v>297437</v>
      </c>
      <c r="Y301" s="1">
        <v>2035</v>
      </c>
      <c r="AA301" s="1">
        <v>825915</v>
      </c>
      <c r="AC301" s="1">
        <v>448143</v>
      </c>
      <c r="AE301" s="1">
        <v>99922</v>
      </c>
      <c r="AG301" s="1">
        <v>0</v>
      </c>
      <c r="AI301" s="1">
        <v>0</v>
      </c>
      <c r="AJ301" s="12" t="s">
        <v>381</v>
      </c>
      <c r="AK301" s="12"/>
      <c r="AL301" s="12" t="s">
        <v>33</v>
      </c>
      <c r="AN301" s="1">
        <v>288970</v>
      </c>
      <c r="AP301" s="1">
        <v>18141</v>
      </c>
      <c r="AR301" s="1">
        <v>0</v>
      </c>
      <c r="AT301" s="1">
        <v>0</v>
      </c>
      <c r="AV301" s="1">
        <v>0</v>
      </c>
      <c r="AX301" s="1">
        <v>0</v>
      </c>
      <c r="AZ301" s="1">
        <f t="shared" si="27"/>
        <v>11135201</v>
      </c>
      <c r="BB301" s="1">
        <v>208908</v>
      </c>
      <c r="BH301" s="1">
        <v>0</v>
      </c>
      <c r="BJ301" s="1">
        <f t="shared" si="30"/>
        <v>11344109</v>
      </c>
      <c r="BL301" s="1">
        <f>+GenRev!AM301-GenExp!BJ301</f>
        <v>147417</v>
      </c>
      <c r="BN301" s="1">
        <v>3618653</v>
      </c>
      <c r="BP301" s="1">
        <v>0</v>
      </c>
      <c r="BQ301" s="1">
        <v>0</v>
      </c>
      <c r="BS301" s="1">
        <f t="shared" ref="BS301:BS321" si="31">+BN301+BL301-BP301</f>
        <v>3766070</v>
      </c>
      <c r="BU301" s="20">
        <f>+BS301-'Gen Fd BS'!AA301+BQ301</f>
        <v>0</v>
      </c>
    </row>
    <row r="302" spans="1:73">
      <c r="A302" s="12" t="s">
        <v>429</v>
      </c>
      <c r="B302" s="12"/>
      <c r="C302" s="12" t="s">
        <v>42</v>
      </c>
      <c r="D302" s="12"/>
      <c r="E302" s="13">
        <v>48009</v>
      </c>
      <c r="G302" s="1">
        <v>11995768</v>
      </c>
      <c r="I302" s="1">
        <v>2818838</v>
      </c>
      <c r="K302" s="1">
        <v>297015</v>
      </c>
      <c r="M302" s="1">
        <v>301406</v>
      </c>
      <c r="O302" s="1">
        <v>1084609</v>
      </c>
      <c r="Q302" s="1">
        <v>1213816</v>
      </c>
      <c r="S302" s="1">
        <v>72287</v>
      </c>
      <c r="U302" s="1">
        <v>1891608</v>
      </c>
      <c r="W302" s="1">
        <v>606758</v>
      </c>
      <c r="Y302" s="1">
        <v>0</v>
      </c>
      <c r="AA302" s="1">
        <v>2821556</v>
      </c>
      <c r="AC302" s="1">
        <v>2119170</v>
      </c>
      <c r="AE302" s="1">
        <v>110126</v>
      </c>
      <c r="AG302" s="1">
        <v>0</v>
      </c>
      <c r="AI302" s="1">
        <v>0</v>
      </c>
      <c r="AJ302" s="12" t="s">
        <v>429</v>
      </c>
      <c r="AK302" s="12"/>
      <c r="AL302" s="12" t="s">
        <v>42</v>
      </c>
      <c r="AN302" s="1">
        <v>364469</v>
      </c>
      <c r="AP302" s="1">
        <v>0</v>
      </c>
      <c r="AR302" s="1">
        <v>0</v>
      </c>
      <c r="AT302" s="1">
        <v>9815</v>
      </c>
      <c r="AV302" s="1">
        <v>1693</v>
      </c>
      <c r="AX302" s="1">
        <v>0</v>
      </c>
      <c r="AZ302" s="1">
        <f t="shared" si="27"/>
        <v>25708934</v>
      </c>
      <c r="BB302" s="1">
        <v>0</v>
      </c>
      <c r="BH302" s="1">
        <v>0</v>
      </c>
      <c r="BJ302" s="1">
        <f t="shared" si="30"/>
        <v>25708934</v>
      </c>
      <c r="BL302" s="1">
        <f>+GenRev!AM302-GenExp!BJ302</f>
        <v>363730</v>
      </c>
      <c r="BN302" s="1">
        <v>3222091</v>
      </c>
      <c r="BP302" s="1">
        <v>0</v>
      </c>
      <c r="BQ302" s="1">
        <v>0</v>
      </c>
      <c r="BS302" s="1">
        <f t="shared" si="31"/>
        <v>3585821</v>
      </c>
      <c r="BU302" s="20">
        <f>+BS302-'Gen Fd BS'!AA302+BQ302</f>
        <v>0</v>
      </c>
    </row>
    <row r="303" spans="1:73">
      <c r="A303" s="12" t="s">
        <v>430</v>
      </c>
      <c r="B303" s="12"/>
      <c r="C303" s="12" t="s">
        <v>42</v>
      </c>
      <c r="D303" s="12"/>
      <c r="E303" s="13">
        <v>48017</v>
      </c>
      <c r="F303" s="8"/>
      <c r="G303" s="1">
        <v>5978729</v>
      </c>
      <c r="I303" s="1">
        <v>1004270</v>
      </c>
      <c r="K303" s="1">
        <v>295293</v>
      </c>
      <c r="M303" s="1">
        <v>36698</v>
      </c>
      <c r="O303" s="1">
        <v>485468</v>
      </c>
      <c r="Q303" s="1">
        <v>770599</v>
      </c>
      <c r="S303" s="1">
        <v>30201</v>
      </c>
      <c r="U303" s="1">
        <v>1688889</v>
      </c>
      <c r="W303" s="1">
        <v>449062</v>
      </c>
      <c r="Y303" s="1">
        <v>64765</v>
      </c>
      <c r="AA303" s="1">
        <v>1541686</v>
      </c>
      <c r="AC303" s="1">
        <v>1254413</v>
      </c>
      <c r="AE303" s="1">
        <v>145739</v>
      </c>
      <c r="AG303" s="1">
        <v>0</v>
      </c>
      <c r="AI303" s="1">
        <v>600</v>
      </c>
      <c r="AJ303" s="12" t="s">
        <v>430</v>
      </c>
      <c r="AK303" s="12"/>
      <c r="AL303" s="12" t="s">
        <v>42</v>
      </c>
      <c r="AN303" s="1">
        <v>240293</v>
      </c>
      <c r="AP303" s="1">
        <v>78662</v>
      </c>
      <c r="AR303" s="1">
        <v>0</v>
      </c>
      <c r="AT303" s="1">
        <v>415012</v>
      </c>
      <c r="AV303" s="1">
        <v>94895</v>
      </c>
      <c r="AX303" s="1">
        <v>0</v>
      </c>
      <c r="AZ303" s="1">
        <f t="shared" si="27"/>
        <v>14575274</v>
      </c>
      <c r="BB303" s="1">
        <v>88529</v>
      </c>
      <c r="BH303" s="1">
        <v>0</v>
      </c>
      <c r="BJ303" s="1">
        <f t="shared" si="30"/>
        <v>14663803</v>
      </c>
      <c r="BL303" s="1">
        <f>+GenRev!AM303-GenExp!BJ303</f>
        <v>1755837</v>
      </c>
      <c r="BN303" s="1">
        <v>3860887</v>
      </c>
      <c r="BP303" s="1">
        <v>0</v>
      </c>
      <c r="BQ303" s="1">
        <v>0</v>
      </c>
      <c r="BS303" s="1">
        <f t="shared" si="31"/>
        <v>5616724</v>
      </c>
      <c r="BU303" s="20">
        <f>+BS303-'Gen Fd BS'!AA303+BQ303</f>
        <v>0</v>
      </c>
    </row>
    <row r="304" spans="1:73" hidden="1">
      <c r="A304" s="12" t="s">
        <v>845</v>
      </c>
      <c r="B304" s="12"/>
      <c r="C304" s="12" t="s">
        <v>10</v>
      </c>
      <c r="D304" s="12"/>
      <c r="E304" s="13"/>
      <c r="F304" s="8"/>
      <c r="AJ304" s="12" t="s">
        <v>845</v>
      </c>
      <c r="AK304" s="12"/>
      <c r="AL304" s="12" t="s">
        <v>10</v>
      </c>
      <c r="AZ304" s="1">
        <f t="shared" si="27"/>
        <v>0</v>
      </c>
      <c r="BJ304" s="1">
        <f t="shared" si="30"/>
        <v>0</v>
      </c>
      <c r="BL304" s="1">
        <f>+GenRev!AM304-GenExp!BJ304</f>
        <v>0</v>
      </c>
      <c r="BS304" s="1">
        <f t="shared" si="31"/>
        <v>0</v>
      </c>
      <c r="BU304" s="20">
        <f>+BS304-'Gen Fd BS'!AA304+BQ304</f>
        <v>0</v>
      </c>
    </row>
    <row r="305" spans="1:73">
      <c r="A305" s="12" t="s">
        <v>628</v>
      </c>
      <c r="B305" s="12"/>
      <c r="C305" s="12" t="s">
        <v>67</v>
      </c>
      <c r="D305" s="12"/>
      <c r="E305" s="13">
        <v>50369</v>
      </c>
      <c r="G305" s="1">
        <v>3290363</v>
      </c>
      <c r="I305" s="1">
        <v>1211356</v>
      </c>
      <c r="K305" s="1">
        <v>157098</v>
      </c>
      <c r="M305" s="1">
        <v>701667</v>
      </c>
      <c r="O305" s="1">
        <v>139727</v>
      </c>
      <c r="Q305" s="1">
        <v>307660</v>
      </c>
      <c r="S305" s="1">
        <v>30648</v>
      </c>
      <c r="U305" s="1">
        <v>650892</v>
      </c>
      <c r="W305" s="1">
        <v>252718</v>
      </c>
      <c r="Y305" s="1">
        <v>0</v>
      </c>
      <c r="AA305" s="1">
        <v>556175</v>
      </c>
      <c r="AC305" s="1">
        <v>333377</v>
      </c>
      <c r="AE305" s="1">
        <v>10741</v>
      </c>
      <c r="AG305" s="1">
        <v>0</v>
      </c>
      <c r="AI305" s="1">
        <v>0</v>
      </c>
      <c r="AJ305" s="12" t="s">
        <v>628</v>
      </c>
      <c r="AK305" s="12"/>
      <c r="AL305" s="12" t="s">
        <v>67</v>
      </c>
      <c r="AN305" s="1">
        <v>128062</v>
      </c>
      <c r="AP305" s="1">
        <v>0</v>
      </c>
      <c r="AR305" s="1">
        <v>0</v>
      </c>
      <c r="AT305" s="1">
        <v>0</v>
      </c>
      <c r="AV305" s="1">
        <v>0</v>
      </c>
      <c r="AX305" s="1">
        <v>0</v>
      </c>
      <c r="AZ305" s="1">
        <f t="shared" si="27"/>
        <v>7770484</v>
      </c>
      <c r="BB305" s="1">
        <v>0</v>
      </c>
      <c r="BH305" s="1">
        <v>0</v>
      </c>
      <c r="BJ305" s="1">
        <f t="shared" si="30"/>
        <v>7770484</v>
      </c>
      <c r="BL305" s="1">
        <f>+GenRev!AM305-GenExp!BJ305</f>
        <v>672842</v>
      </c>
      <c r="BN305" s="1">
        <v>7859553</v>
      </c>
      <c r="BP305" s="1">
        <v>0</v>
      </c>
      <c r="BQ305" s="1">
        <v>0</v>
      </c>
      <c r="BS305" s="1">
        <f t="shared" si="31"/>
        <v>8532395</v>
      </c>
      <c r="BU305" s="20">
        <f>+BS305-'Gen Fd BS'!AA305+BQ305</f>
        <v>0</v>
      </c>
    </row>
    <row r="306" spans="1:73">
      <c r="A306" s="12" t="s">
        <v>268</v>
      </c>
      <c r="B306" s="12"/>
      <c r="C306" s="12" t="s">
        <v>114</v>
      </c>
      <c r="D306" s="12"/>
      <c r="E306" s="13">
        <v>45450</v>
      </c>
      <c r="G306" s="1">
        <v>4198912</v>
      </c>
      <c r="I306" s="1">
        <v>391437</v>
      </c>
      <c r="K306" s="1">
        <v>87485</v>
      </c>
      <c r="M306" s="1">
        <v>195514</v>
      </c>
      <c r="O306" s="1">
        <v>501551</v>
      </c>
      <c r="Q306" s="1">
        <v>140067</v>
      </c>
      <c r="S306" s="1">
        <v>31119</v>
      </c>
      <c r="U306" s="1">
        <v>759860</v>
      </c>
      <c r="W306" s="1">
        <v>263562</v>
      </c>
      <c r="Y306" s="1">
        <v>0</v>
      </c>
      <c r="AA306" s="1">
        <v>669253</v>
      </c>
      <c r="AC306" s="1">
        <v>369477</v>
      </c>
      <c r="AE306" s="1">
        <v>43168</v>
      </c>
      <c r="AG306" s="1">
        <v>0</v>
      </c>
      <c r="AI306" s="1">
        <v>0</v>
      </c>
      <c r="AJ306" s="12" t="s">
        <v>268</v>
      </c>
      <c r="AK306" s="12"/>
      <c r="AL306" s="12" t="s">
        <v>114</v>
      </c>
      <c r="AN306" s="1">
        <v>159215</v>
      </c>
      <c r="AP306" s="1">
        <v>0</v>
      </c>
      <c r="AR306" s="1">
        <v>0</v>
      </c>
      <c r="AT306" s="1">
        <v>0</v>
      </c>
      <c r="AV306" s="1">
        <v>0</v>
      </c>
      <c r="AX306" s="1">
        <v>0</v>
      </c>
      <c r="AZ306" s="1">
        <f t="shared" si="27"/>
        <v>7810620</v>
      </c>
      <c r="BB306" s="1">
        <v>0</v>
      </c>
      <c r="BH306" s="1">
        <v>0</v>
      </c>
      <c r="BJ306" s="1">
        <f t="shared" si="30"/>
        <v>7810620</v>
      </c>
      <c r="BL306" s="1">
        <f>+GenRev!AM306-GenExp!BJ306</f>
        <v>585560</v>
      </c>
      <c r="BN306" s="1">
        <v>2657711</v>
      </c>
      <c r="BP306" s="1">
        <v>0</v>
      </c>
      <c r="BQ306" s="1">
        <v>0</v>
      </c>
      <c r="BS306" s="1">
        <f t="shared" si="31"/>
        <v>3243271</v>
      </c>
      <c r="BU306" s="20">
        <f>+BS306-'Gen Fd BS'!AA306+BQ306</f>
        <v>0</v>
      </c>
    </row>
    <row r="307" spans="1:73">
      <c r="A307" s="12" t="s">
        <v>634</v>
      </c>
      <c r="B307" s="12"/>
      <c r="C307" s="12" t="s">
        <v>69</v>
      </c>
      <c r="D307" s="12"/>
      <c r="E307" s="13">
        <v>50443</v>
      </c>
      <c r="G307" s="1">
        <v>14439239</v>
      </c>
      <c r="I307" s="1">
        <v>3480046</v>
      </c>
      <c r="K307" s="1">
        <v>0</v>
      </c>
      <c r="M307" s="1">
        <v>1622023</v>
      </c>
      <c r="O307" s="1">
        <v>1084625</v>
      </c>
      <c r="Q307" s="1">
        <v>428669</v>
      </c>
      <c r="S307" s="1">
        <v>22205</v>
      </c>
      <c r="U307" s="1">
        <v>2335625</v>
      </c>
      <c r="W307" s="1">
        <v>612032</v>
      </c>
      <c r="Y307" s="1">
        <v>223148</v>
      </c>
      <c r="AA307" s="1">
        <v>2054511</v>
      </c>
      <c r="AC307" s="1">
        <v>2280765</v>
      </c>
      <c r="AE307" s="1">
        <v>129345</v>
      </c>
      <c r="AG307" s="1">
        <v>0</v>
      </c>
      <c r="AI307" s="1">
        <v>0</v>
      </c>
      <c r="AJ307" s="12" t="s">
        <v>634</v>
      </c>
      <c r="AK307" s="12"/>
      <c r="AL307" s="12" t="s">
        <v>69</v>
      </c>
      <c r="AN307" s="1">
        <v>415462</v>
      </c>
      <c r="AP307" s="1">
        <v>0</v>
      </c>
      <c r="AR307" s="1">
        <v>0</v>
      </c>
      <c r="AT307" s="1">
        <v>0</v>
      </c>
      <c r="AV307" s="1">
        <v>0</v>
      </c>
      <c r="AX307" s="1">
        <v>0</v>
      </c>
      <c r="AZ307" s="1">
        <f t="shared" ref="AZ307:AZ370" si="32">SUM(G307:AX307)</f>
        <v>29127695</v>
      </c>
      <c r="BB307" s="1">
        <v>67500</v>
      </c>
      <c r="BH307" s="1">
        <v>0</v>
      </c>
      <c r="BJ307" s="1">
        <f t="shared" si="30"/>
        <v>29195195</v>
      </c>
      <c r="BL307" s="1">
        <f>+GenRev!AM307-GenExp!BJ307</f>
        <v>-1968608</v>
      </c>
      <c r="BN307" s="1">
        <v>-3132839</v>
      </c>
      <c r="BP307" s="1">
        <v>0</v>
      </c>
      <c r="BQ307" s="1">
        <v>0</v>
      </c>
      <c r="BS307" s="1">
        <f t="shared" si="31"/>
        <v>-5101447</v>
      </c>
      <c r="BU307" s="20">
        <f>+BS307-'Gen Fd BS'!AA307+BQ307</f>
        <v>0</v>
      </c>
    </row>
    <row r="308" spans="1:73" hidden="1">
      <c r="A308" s="17" t="s">
        <v>944</v>
      </c>
      <c r="B308" s="12"/>
      <c r="C308" s="12" t="s">
        <v>32</v>
      </c>
      <c r="D308" s="12"/>
      <c r="E308" s="13">
        <v>44230</v>
      </c>
      <c r="AJ308" s="17" t="s">
        <v>944</v>
      </c>
      <c r="AK308" s="12"/>
      <c r="AL308" s="12" t="s">
        <v>32</v>
      </c>
      <c r="AT308" s="1">
        <v>0</v>
      </c>
      <c r="AZ308" s="1">
        <f t="shared" si="32"/>
        <v>0</v>
      </c>
      <c r="BJ308" s="1">
        <f t="shared" si="30"/>
        <v>0</v>
      </c>
      <c r="BL308" s="1">
        <f>+GenRev!AM308-GenExp!BJ308</f>
        <v>0</v>
      </c>
      <c r="BS308" s="1">
        <f t="shared" si="31"/>
        <v>0</v>
      </c>
      <c r="BU308" s="20">
        <f>+BS308-'Gen Fd BS'!AA308+BQ308</f>
        <v>0</v>
      </c>
    </row>
    <row r="309" spans="1:73">
      <c r="A309" s="12" t="s">
        <v>526</v>
      </c>
      <c r="B309" s="12"/>
      <c r="C309" s="12" t="s">
        <v>54</v>
      </c>
      <c r="D309" s="12"/>
      <c r="E309" s="13">
        <v>49080</v>
      </c>
      <c r="G309" s="1">
        <v>9338040</v>
      </c>
      <c r="I309" s="1">
        <v>1577331</v>
      </c>
      <c r="K309" s="1">
        <v>11614</v>
      </c>
      <c r="M309" s="1">
        <v>107169</v>
      </c>
      <c r="O309" s="1">
        <v>856506</v>
      </c>
      <c r="Q309" s="1">
        <v>1027292</v>
      </c>
      <c r="S309" s="1">
        <v>105970</v>
      </c>
      <c r="U309" s="1">
        <v>1417397</v>
      </c>
      <c r="W309" s="1">
        <v>497305</v>
      </c>
      <c r="Y309" s="1">
        <v>3776</v>
      </c>
      <c r="AA309" s="1">
        <v>1837831</v>
      </c>
      <c r="AC309" s="1">
        <v>1519850</v>
      </c>
      <c r="AE309" s="1">
        <v>248474</v>
      </c>
      <c r="AG309" s="1">
        <v>0</v>
      </c>
      <c r="AI309" s="1">
        <v>0</v>
      </c>
      <c r="AJ309" s="12" t="s">
        <v>526</v>
      </c>
      <c r="AK309" s="12"/>
      <c r="AL309" s="12" t="s">
        <v>54</v>
      </c>
      <c r="AN309" s="1">
        <v>278704</v>
      </c>
      <c r="AP309" s="1">
        <v>0</v>
      </c>
      <c r="AR309" s="1">
        <v>0</v>
      </c>
      <c r="AT309" s="1">
        <v>0</v>
      </c>
      <c r="AV309" s="1">
        <v>0</v>
      </c>
      <c r="AX309" s="1">
        <v>0</v>
      </c>
      <c r="AZ309" s="1">
        <f t="shared" si="32"/>
        <v>18827259</v>
      </c>
      <c r="BB309" s="1">
        <v>0</v>
      </c>
      <c r="BH309" s="1">
        <v>0</v>
      </c>
      <c r="BJ309" s="1">
        <f t="shared" si="30"/>
        <v>18827259</v>
      </c>
      <c r="BL309" s="1">
        <f>+GenRev!AM309-GenExp!BJ309</f>
        <v>1539545</v>
      </c>
      <c r="BN309" s="1">
        <v>6397574</v>
      </c>
      <c r="BP309" s="1">
        <v>0</v>
      </c>
      <c r="BQ309" s="1">
        <v>0</v>
      </c>
      <c r="BS309" s="1">
        <f t="shared" si="31"/>
        <v>7937119</v>
      </c>
      <c r="BU309" s="20">
        <f>+BS309-'Gen Fd BS'!AA309+BQ309</f>
        <v>0</v>
      </c>
    </row>
    <row r="310" spans="1:73">
      <c r="A310" s="12" t="s">
        <v>400</v>
      </c>
      <c r="B310" s="12"/>
      <c r="C310" s="12" t="s">
        <v>35</v>
      </c>
      <c r="D310" s="12"/>
      <c r="E310" s="13">
        <v>44248</v>
      </c>
      <c r="G310" s="1">
        <v>13046211</v>
      </c>
      <c r="I310" s="1">
        <v>3340535</v>
      </c>
      <c r="K310" s="1">
        <v>511927</v>
      </c>
      <c r="M310" s="1">
        <v>47433</v>
      </c>
      <c r="O310" s="1">
        <v>2173998</v>
      </c>
      <c r="Q310" s="1">
        <v>1015299</v>
      </c>
      <c r="S310" s="1">
        <v>80547</v>
      </c>
      <c r="U310" s="1">
        <v>2401178</v>
      </c>
      <c r="W310" s="1">
        <v>945614</v>
      </c>
      <c r="Y310" s="1">
        <v>0</v>
      </c>
      <c r="AA310" s="1">
        <v>3525460</v>
      </c>
      <c r="AC310" s="1">
        <v>2536207</v>
      </c>
      <c r="AE310" s="1">
        <v>0</v>
      </c>
      <c r="AG310" s="1">
        <v>0</v>
      </c>
      <c r="AI310" s="1">
        <v>8714</v>
      </c>
      <c r="AJ310" s="12" t="s">
        <v>400</v>
      </c>
      <c r="AK310" s="12"/>
      <c r="AL310" s="12" t="s">
        <v>35</v>
      </c>
      <c r="AN310" s="1">
        <v>473658</v>
      </c>
      <c r="AP310" s="1">
        <v>0</v>
      </c>
      <c r="AR310" s="1">
        <v>0</v>
      </c>
      <c r="AT310" s="1">
        <v>0</v>
      </c>
      <c r="AV310" s="1">
        <v>0</v>
      </c>
      <c r="AX310" s="1">
        <v>0</v>
      </c>
      <c r="AZ310" s="1">
        <f t="shared" si="32"/>
        <v>30106781</v>
      </c>
      <c r="BB310" s="1">
        <v>365210</v>
      </c>
      <c r="BH310" s="1">
        <v>0</v>
      </c>
      <c r="BJ310" s="1">
        <f t="shared" si="30"/>
        <v>30471991</v>
      </c>
      <c r="BL310" s="1">
        <f>+GenRev!AM310-GenExp!BJ310</f>
        <v>2390275</v>
      </c>
      <c r="BN310" s="1">
        <v>3044806</v>
      </c>
      <c r="BP310" s="1">
        <v>17788</v>
      </c>
      <c r="BQ310" s="1">
        <v>0</v>
      </c>
      <c r="BS310" s="1">
        <f t="shared" si="31"/>
        <v>5417293</v>
      </c>
      <c r="BU310" s="20">
        <f>+BS310-'Gen Fd BS'!AA310+BQ310</f>
        <v>0</v>
      </c>
    </row>
    <row r="311" spans="1:73">
      <c r="A311" s="12" t="s">
        <v>460</v>
      </c>
      <c r="B311" s="12"/>
      <c r="C311" s="12" t="s">
        <v>458</v>
      </c>
      <c r="D311" s="12"/>
      <c r="E311" s="13">
        <v>44255</v>
      </c>
      <c r="G311" s="1">
        <v>9333259</v>
      </c>
      <c r="I311" s="1">
        <v>2812631</v>
      </c>
      <c r="K311" s="1">
        <v>392652</v>
      </c>
      <c r="M311" s="1">
        <v>0</v>
      </c>
      <c r="O311" s="1">
        <v>737570</v>
      </c>
      <c r="Q311" s="1">
        <v>1177985</v>
      </c>
      <c r="S311" s="1">
        <v>172366</v>
      </c>
      <c r="U311" s="1">
        <v>1958906</v>
      </c>
      <c r="W311" s="1">
        <v>617510</v>
      </c>
      <c r="Y311" s="1">
        <v>0</v>
      </c>
      <c r="AA311" s="1">
        <v>2374473</v>
      </c>
      <c r="AC311" s="1">
        <v>1003546</v>
      </c>
      <c r="AE311" s="1">
        <v>295462</v>
      </c>
      <c r="AG311" s="1">
        <v>0</v>
      </c>
      <c r="AI311" s="1">
        <v>512109</v>
      </c>
      <c r="AJ311" s="12" t="s">
        <v>460</v>
      </c>
      <c r="AK311" s="12"/>
      <c r="AL311" s="12" t="s">
        <v>458</v>
      </c>
      <c r="AN311" s="1">
        <v>0</v>
      </c>
      <c r="AP311" s="1">
        <v>257337</v>
      </c>
      <c r="AR311" s="1">
        <v>0</v>
      </c>
      <c r="AT311" s="1">
        <v>140894</v>
      </c>
      <c r="AV311" s="1">
        <v>41097</v>
      </c>
      <c r="AX311" s="1">
        <v>0</v>
      </c>
      <c r="AZ311" s="1">
        <f t="shared" si="32"/>
        <v>21827797</v>
      </c>
      <c r="BB311" s="1">
        <v>630411</v>
      </c>
      <c r="BH311" s="1">
        <v>0</v>
      </c>
      <c r="BJ311" s="1">
        <f t="shared" si="30"/>
        <v>22458208</v>
      </c>
      <c r="BL311" s="1">
        <f>+GenRev!AM311-GenExp!BJ311</f>
        <v>-255720</v>
      </c>
      <c r="BN311" s="1">
        <v>1512193</v>
      </c>
      <c r="BP311" s="1">
        <v>0</v>
      </c>
      <c r="BQ311" s="1">
        <v>0</v>
      </c>
      <c r="BS311" s="1">
        <f t="shared" si="31"/>
        <v>1256473</v>
      </c>
      <c r="BU311" s="20">
        <f>+BS311-'Gen Fd BS'!AA311+BQ311</f>
        <v>0</v>
      </c>
    </row>
    <row r="312" spans="1:73">
      <c r="A312" s="12" t="s">
        <v>443</v>
      </c>
      <c r="B312" s="12"/>
      <c r="C312" s="12" t="s">
        <v>44</v>
      </c>
      <c r="D312" s="12"/>
      <c r="E312" s="13">
        <v>44263</v>
      </c>
      <c r="G312" s="1">
        <v>30439573</v>
      </c>
      <c r="I312" s="1">
        <v>8155006</v>
      </c>
      <c r="K312" s="1">
        <v>3378970</v>
      </c>
      <c r="M312" s="1">
        <f>1421397+15966124</f>
        <v>17387521</v>
      </c>
      <c r="O312" s="1">
        <v>2913236</v>
      </c>
      <c r="Q312" s="1">
        <v>876221</v>
      </c>
      <c r="S312" s="1">
        <v>57755</v>
      </c>
      <c r="U312" s="1">
        <v>6890525</v>
      </c>
      <c r="W312" s="1">
        <v>1393056</v>
      </c>
      <c r="Y312" s="1">
        <v>459920</v>
      </c>
      <c r="AA312" s="1">
        <v>8037002</v>
      </c>
      <c r="AC312" s="1">
        <v>2577585</v>
      </c>
      <c r="AE312" s="1">
        <v>1145692</v>
      </c>
      <c r="AG312" s="1">
        <v>0</v>
      </c>
      <c r="AI312" s="1">
        <v>92849</v>
      </c>
      <c r="AJ312" s="12" t="s">
        <v>443</v>
      </c>
      <c r="AK312" s="12"/>
      <c r="AL312" s="12" t="s">
        <v>44</v>
      </c>
      <c r="AN312" s="1">
        <v>1451948</v>
      </c>
      <c r="AP312" s="1">
        <v>49955</v>
      </c>
      <c r="AR312" s="1">
        <v>0</v>
      </c>
      <c r="AT312" s="1">
        <v>1080000</v>
      </c>
      <c r="AV312" s="1">
        <v>128250</v>
      </c>
      <c r="AX312" s="1">
        <v>0</v>
      </c>
      <c r="AZ312" s="1">
        <f t="shared" si="32"/>
        <v>86515064</v>
      </c>
      <c r="BB312" s="1">
        <v>521416</v>
      </c>
      <c r="BH312" s="1">
        <v>0</v>
      </c>
      <c r="BJ312" s="1">
        <f t="shared" si="30"/>
        <v>87036480</v>
      </c>
      <c r="BL312" s="1">
        <f>+GenRev!AM312-GenExp!BJ312</f>
        <v>-1816122</v>
      </c>
      <c r="BN312" s="1">
        <v>3574256</v>
      </c>
      <c r="BP312" s="1">
        <v>0</v>
      </c>
      <c r="BQ312" s="1">
        <v>0</v>
      </c>
      <c r="BS312" s="1">
        <f t="shared" si="31"/>
        <v>1758134</v>
      </c>
      <c r="BU312" s="20">
        <f>+BS312-'Gen Fd BS'!AA312+BQ312</f>
        <v>0</v>
      </c>
    </row>
    <row r="313" spans="1:73">
      <c r="A313" s="12" t="s">
        <v>610</v>
      </c>
      <c r="B313" s="12"/>
      <c r="C313" s="12" t="s">
        <v>64</v>
      </c>
      <c r="D313" s="12"/>
      <c r="E313" s="13">
        <v>50203</v>
      </c>
      <c r="G313" s="1">
        <v>3003099</v>
      </c>
      <c r="I313" s="1">
        <v>513258</v>
      </c>
      <c r="K313" s="1">
        <v>44146</v>
      </c>
      <c r="M313" s="1">
        <v>232064</v>
      </c>
      <c r="O313" s="1">
        <v>173503</v>
      </c>
      <c r="Q313" s="1">
        <v>206815</v>
      </c>
      <c r="S313" s="1">
        <v>127461</v>
      </c>
      <c r="U313" s="1">
        <v>565957</v>
      </c>
      <c r="W313" s="1">
        <v>312526</v>
      </c>
      <c r="Y313" s="1">
        <v>35749</v>
      </c>
      <c r="AA313" s="1">
        <v>1216256</v>
      </c>
      <c r="AC313" s="1">
        <v>264336</v>
      </c>
      <c r="AE313" s="1">
        <v>44507</v>
      </c>
      <c r="AG313" s="1">
        <v>0</v>
      </c>
      <c r="AI313" s="1">
        <v>0</v>
      </c>
      <c r="AJ313" s="12" t="s">
        <v>610</v>
      </c>
      <c r="AK313" s="12"/>
      <c r="AL313" s="12" t="s">
        <v>64</v>
      </c>
      <c r="AN313" s="1">
        <v>176683</v>
      </c>
      <c r="AP313" s="1">
        <v>0</v>
      </c>
      <c r="AR313" s="1">
        <v>0</v>
      </c>
      <c r="AT313" s="1">
        <v>65328</v>
      </c>
      <c r="AV313" s="1">
        <v>3978</v>
      </c>
      <c r="AX313" s="1">
        <v>0</v>
      </c>
      <c r="AZ313" s="1">
        <f t="shared" si="32"/>
        <v>6985666</v>
      </c>
      <c r="BB313" s="1">
        <v>0</v>
      </c>
      <c r="BH313" s="1">
        <v>0</v>
      </c>
      <c r="BJ313" s="1">
        <f t="shared" si="30"/>
        <v>6985666</v>
      </c>
      <c r="BL313" s="1">
        <f>+GenRev!AM313-GenExp!BJ313</f>
        <v>-490043</v>
      </c>
      <c r="BN313" s="1">
        <v>1402390</v>
      </c>
      <c r="BP313" s="1">
        <v>0</v>
      </c>
      <c r="BQ313" s="1">
        <v>0</v>
      </c>
      <c r="BS313" s="1">
        <f t="shared" si="31"/>
        <v>912347</v>
      </c>
      <c r="BU313" s="20">
        <f>+BS313-'Gen Fd BS'!AA313+BQ313</f>
        <v>0</v>
      </c>
    </row>
    <row r="314" spans="1:73">
      <c r="A314" s="17" t="s">
        <v>846</v>
      </c>
      <c r="B314" s="12"/>
      <c r="C314" s="12" t="s">
        <v>11</v>
      </c>
      <c r="D314" s="12"/>
      <c r="E314" s="13">
        <v>45468</v>
      </c>
      <c r="G314" s="1">
        <v>4742801</v>
      </c>
      <c r="I314" s="1">
        <v>535261</v>
      </c>
      <c r="K314" s="1">
        <v>386308</v>
      </c>
      <c r="M314" s="1">
        <v>778494</v>
      </c>
      <c r="O314" s="1">
        <v>732728</v>
      </c>
      <c r="Q314" s="1">
        <v>770952</v>
      </c>
      <c r="S314" s="1">
        <v>27635</v>
      </c>
      <c r="U314" s="1">
        <v>980472</v>
      </c>
      <c r="W314" s="1">
        <v>330178</v>
      </c>
      <c r="Y314" s="1">
        <v>11228</v>
      </c>
      <c r="AA314" s="1">
        <v>957703</v>
      </c>
      <c r="AC314" s="1">
        <v>690451</v>
      </c>
      <c r="AE314" s="1">
        <v>77750</v>
      </c>
      <c r="AG314" s="1">
        <v>0</v>
      </c>
      <c r="AI314" s="1">
        <v>76150</v>
      </c>
      <c r="AJ314" s="17" t="s">
        <v>846</v>
      </c>
      <c r="AK314" s="12"/>
      <c r="AL314" s="12" t="s">
        <v>11</v>
      </c>
      <c r="AN314" s="1">
        <v>313076</v>
      </c>
      <c r="AP314" s="1">
        <v>18814</v>
      </c>
      <c r="AR314" s="1">
        <v>0</v>
      </c>
      <c r="AT314" s="1">
        <v>64940</v>
      </c>
      <c r="AV314" s="1">
        <v>53348</v>
      </c>
      <c r="AX314" s="1">
        <v>0</v>
      </c>
      <c r="AZ314" s="1">
        <f t="shared" si="32"/>
        <v>11548289</v>
      </c>
      <c r="BB314" s="1">
        <v>0</v>
      </c>
      <c r="BH314" s="1">
        <v>0</v>
      </c>
      <c r="BJ314" s="1">
        <f t="shared" si="30"/>
        <v>11548289</v>
      </c>
      <c r="BL314" s="1">
        <f>+GenRev!AM314-GenExp!BJ314</f>
        <v>265398</v>
      </c>
      <c r="BN314" s="1">
        <v>3645345</v>
      </c>
      <c r="BP314" s="1">
        <v>0</v>
      </c>
      <c r="BQ314" s="1">
        <v>0</v>
      </c>
      <c r="BS314" s="1">
        <f t="shared" si="31"/>
        <v>3910743</v>
      </c>
      <c r="BU314" s="20">
        <f>+BS314-'Gen Fd BS'!AA314+BQ314</f>
        <v>0</v>
      </c>
    </row>
    <row r="315" spans="1:73">
      <c r="A315" s="12" t="s">
        <v>578</v>
      </c>
      <c r="B315" s="12"/>
      <c r="C315" s="12" t="s">
        <v>62</v>
      </c>
      <c r="D315" s="12"/>
      <c r="E315" s="13">
        <v>49874</v>
      </c>
      <c r="G315" s="1">
        <v>10533760</v>
      </c>
      <c r="I315" s="1">
        <v>2315558</v>
      </c>
      <c r="K315" s="1">
        <v>343813</v>
      </c>
      <c r="M315" s="1">
        <v>853075</v>
      </c>
      <c r="O315" s="1">
        <v>1273141</v>
      </c>
      <c r="Q315" s="1">
        <v>808192</v>
      </c>
      <c r="S315" s="1">
        <v>58653</v>
      </c>
      <c r="U315" s="1">
        <v>1561593</v>
      </c>
      <c r="W315" s="1">
        <v>468065</v>
      </c>
      <c r="Y315" s="1">
        <v>111780</v>
      </c>
      <c r="AA315" s="1">
        <v>2168225</v>
      </c>
      <c r="AC315" s="1">
        <v>1058345</v>
      </c>
      <c r="AE315" s="1">
        <v>14840</v>
      </c>
      <c r="AG315" s="1">
        <v>0</v>
      </c>
      <c r="AI315" s="1">
        <v>9963</v>
      </c>
      <c r="AJ315" s="12" t="s">
        <v>578</v>
      </c>
      <c r="AK315" s="12"/>
      <c r="AL315" s="12" t="s">
        <v>62</v>
      </c>
      <c r="AN315" s="1">
        <v>536005</v>
      </c>
      <c r="AP315" s="1">
        <v>72965</v>
      </c>
      <c r="AR315" s="1">
        <v>0</v>
      </c>
      <c r="AT315" s="1">
        <v>0</v>
      </c>
      <c r="AV315" s="1">
        <v>0</v>
      </c>
      <c r="AX315" s="1">
        <v>0</v>
      </c>
      <c r="AZ315" s="1">
        <f t="shared" si="32"/>
        <v>22187973</v>
      </c>
      <c r="BB315" s="1">
        <v>54912</v>
      </c>
      <c r="BH315" s="1">
        <v>0</v>
      </c>
      <c r="BJ315" s="1">
        <f t="shared" si="30"/>
        <v>22242885</v>
      </c>
      <c r="BL315" s="1">
        <f>+GenRev!AM315-GenExp!BJ315</f>
        <v>1195694</v>
      </c>
      <c r="BN315" s="1">
        <v>1769024</v>
      </c>
      <c r="BP315" s="1">
        <v>0</v>
      </c>
      <c r="BQ315" s="1">
        <v>0</v>
      </c>
      <c r="BS315" s="1">
        <f t="shared" si="31"/>
        <v>2964718</v>
      </c>
      <c r="BU315" s="20">
        <f>+BS315-'Gen Fd BS'!AA315+BQ315</f>
        <v>0</v>
      </c>
    </row>
    <row r="316" spans="1:73">
      <c r="A316" s="12" t="s">
        <v>366</v>
      </c>
      <c r="B316" s="12"/>
      <c r="C316" s="12" t="s">
        <v>32</v>
      </c>
      <c r="D316" s="12"/>
      <c r="E316" s="13">
        <v>44271</v>
      </c>
      <c r="G316" s="1">
        <v>18320694</v>
      </c>
      <c r="I316" s="1">
        <v>4732398</v>
      </c>
      <c r="K316" s="1">
        <v>167404</v>
      </c>
      <c r="M316" s="1">
        <v>654097</v>
      </c>
      <c r="O316" s="1">
        <v>2174356</v>
      </c>
      <c r="Q316" s="1">
        <v>989997</v>
      </c>
      <c r="S316" s="1">
        <v>69219</v>
      </c>
      <c r="U316" s="1">
        <v>2982527</v>
      </c>
      <c r="W316" s="1">
        <v>939168</v>
      </c>
      <c r="Y316" s="1">
        <v>230574</v>
      </c>
      <c r="AA316" s="1">
        <v>2496250</v>
      </c>
      <c r="AC316" s="1">
        <v>2593303</v>
      </c>
      <c r="AE316" s="1">
        <v>559303</v>
      </c>
      <c r="AG316" s="1">
        <v>0</v>
      </c>
      <c r="AI316" s="1">
        <v>32676</v>
      </c>
      <c r="AJ316" s="12" t="s">
        <v>366</v>
      </c>
      <c r="AK316" s="12"/>
      <c r="AL316" s="12" t="s">
        <v>32</v>
      </c>
      <c r="AN316" s="1">
        <v>715006</v>
      </c>
      <c r="AP316" s="1">
        <v>28456</v>
      </c>
      <c r="AR316" s="1">
        <v>0</v>
      </c>
      <c r="AT316" s="1">
        <v>205000</v>
      </c>
      <c r="AV316" s="1">
        <v>0</v>
      </c>
      <c r="AX316" s="1">
        <v>0</v>
      </c>
      <c r="AZ316" s="1">
        <f t="shared" si="32"/>
        <v>37890428</v>
      </c>
      <c r="BB316" s="1">
        <v>0</v>
      </c>
      <c r="BH316" s="1">
        <v>0</v>
      </c>
      <c r="BJ316" s="1">
        <f t="shared" si="30"/>
        <v>37890428</v>
      </c>
      <c r="BL316" s="1">
        <f>+GenRev!AM316-GenExp!BJ316</f>
        <v>1450064</v>
      </c>
      <c r="BN316" s="1">
        <v>5894964</v>
      </c>
      <c r="BP316" s="1">
        <v>0</v>
      </c>
      <c r="BQ316" s="1">
        <v>0</v>
      </c>
      <c r="BS316" s="1">
        <f t="shared" si="31"/>
        <v>7345028</v>
      </c>
      <c r="BU316" s="20">
        <f>+BS316-'Gen Fd BS'!AA316+BQ316</f>
        <v>0</v>
      </c>
    </row>
    <row r="317" spans="1:73">
      <c r="A317" s="12" t="s">
        <v>466</v>
      </c>
      <c r="B317" s="12"/>
      <c r="C317" s="12" t="s">
        <v>45</v>
      </c>
      <c r="D317" s="12"/>
      <c r="E317" s="13">
        <v>48330</v>
      </c>
      <c r="G317" s="1">
        <v>2494209</v>
      </c>
      <c r="I317" s="1">
        <v>107776</v>
      </c>
      <c r="K317" s="1">
        <v>30234</v>
      </c>
      <c r="M317" s="1">
        <v>1404</v>
      </c>
      <c r="O317" s="1">
        <v>83085</v>
      </c>
      <c r="Q317" s="1">
        <v>246101</v>
      </c>
      <c r="S317" s="1">
        <v>15255</v>
      </c>
      <c r="U317" s="1">
        <v>276475</v>
      </c>
      <c r="W317" s="1">
        <v>150847</v>
      </c>
      <c r="Y317" s="1">
        <v>0</v>
      </c>
      <c r="AA317" s="1">
        <v>280480</v>
      </c>
      <c r="AC317" s="1">
        <v>135232</v>
      </c>
      <c r="AE317" s="1">
        <v>14471</v>
      </c>
      <c r="AG317" s="1">
        <v>0</v>
      </c>
      <c r="AI317" s="1">
        <v>0</v>
      </c>
      <c r="AJ317" s="12" t="s">
        <v>466</v>
      </c>
      <c r="AK317" s="12"/>
      <c r="AL317" s="12" t="s">
        <v>45</v>
      </c>
      <c r="AN317" s="1">
        <v>193242</v>
      </c>
      <c r="AP317" s="1">
        <v>0</v>
      </c>
      <c r="AR317" s="1">
        <v>0</v>
      </c>
      <c r="AT317" s="1">
        <v>0</v>
      </c>
      <c r="AV317" s="1">
        <v>0</v>
      </c>
      <c r="AX317" s="1">
        <v>0</v>
      </c>
      <c r="AZ317" s="1">
        <f t="shared" si="32"/>
        <v>4028811</v>
      </c>
      <c r="BB317" s="1">
        <v>26344</v>
      </c>
      <c r="BH317" s="1">
        <v>0</v>
      </c>
      <c r="BJ317" s="1">
        <f t="shared" si="30"/>
        <v>4055155</v>
      </c>
      <c r="BL317" s="1">
        <f>+GenRev!AM317-GenExp!BJ317</f>
        <v>667988</v>
      </c>
      <c r="BN317" s="1">
        <v>1331452</v>
      </c>
      <c r="BP317" s="1">
        <v>0</v>
      </c>
      <c r="BQ317" s="1">
        <v>0</v>
      </c>
      <c r="BS317" s="1">
        <f t="shared" si="31"/>
        <v>1999440</v>
      </c>
      <c r="BU317" s="20">
        <f>+BS317-'Gen Fd BS'!AA317+BQ317</f>
        <v>0</v>
      </c>
    </row>
    <row r="318" spans="1:73">
      <c r="A318" s="12" t="s">
        <v>544</v>
      </c>
      <c r="B318" s="12"/>
      <c r="C318" s="12" t="s">
        <v>112</v>
      </c>
      <c r="D318" s="12"/>
      <c r="E318" s="13">
        <v>49445</v>
      </c>
      <c r="F318" s="8"/>
      <c r="G318" s="1">
        <v>2047529</v>
      </c>
      <c r="I318" s="1">
        <v>383180</v>
      </c>
      <c r="K318" s="1">
        <v>72</v>
      </c>
      <c r="M318" s="1">
        <v>442187</v>
      </c>
      <c r="O318" s="1">
        <v>85586</v>
      </c>
      <c r="Q318" s="1">
        <v>226730</v>
      </c>
      <c r="S318" s="1">
        <v>20523</v>
      </c>
      <c r="U318" s="1">
        <v>479222</v>
      </c>
      <c r="W318" s="1">
        <v>219989</v>
      </c>
      <c r="Y318" s="1">
        <v>0</v>
      </c>
      <c r="AA318" s="1">
        <v>543605</v>
      </c>
      <c r="AC318" s="1">
        <v>280022</v>
      </c>
      <c r="AE318" s="1">
        <v>61445</v>
      </c>
      <c r="AG318" s="1">
        <v>0</v>
      </c>
      <c r="AI318" s="1">
        <v>1544</v>
      </c>
      <c r="AJ318" s="12" t="s">
        <v>544</v>
      </c>
      <c r="AK318" s="12"/>
      <c r="AL318" s="12" t="s">
        <v>112</v>
      </c>
      <c r="AN318" s="1">
        <v>106122</v>
      </c>
      <c r="AP318" s="1">
        <v>0</v>
      </c>
      <c r="AR318" s="1">
        <v>0</v>
      </c>
      <c r="AT318" s="1">
        <v>0</v>
      </c>
      <c r="AV318" s="1">
        <v>0</v>
      </c>
      <c r="AX318" s="1">
        <v>0</v>
      </c>
      <c r="AZ318" s="1">
        <f t="shared" si="32"/>
        <v>4897756</v>
      </c>
      <c r="BB318" s="1">
        <v>25000</v>
      </c>
      <c r="BH318" s="1">
        <v>0</v>
      </c>
      <c r="BJ318" s="1">
        <f t="shared" si="30"/>
        <v>4922756</v>
      </c>
      <c r="BL318" s="1">
        <f>+GenRev!AM318-GenExp!BJ318</f>
        <v>195588</v>
      </c>
      <c r="BN318" s="1">
        <v>2652152</v>
      </c>
      <c r="BP318" s="1">
        <v>0</v>
      </c>
      <c r="BQ318" s="1">
        <v>0</v>
      </c>
      <c r="BS318" s="1">
        <f t="shared" si="31"/>
        <v>2847740</v>
      </c>
      <c r="BU318" s="20">
        <f>+BS318-'Gen Fd BS'!AA318+BQ318</f>
        <v>0</v>
      </c>
    </row>
    <row r="319" spans="1:73" s="16" customFormat="1">
      <c r="A319" s="14" t="s">
        <v>399</v>
      </c>
      <c r="B319" s="14"/>
      <c r="C319" s="14" t="s">
        <v>395</v>
      </c>
      <c r="D319" s="14"/>
      <c r="E319" s="14">
        <v>47639</v>
      </c>
      <c r="G319" s="1">
        <v>5428521</v>
      </c>
      <c r="H319" s="1"/>
      <c r="I319" s="1">
        <v>889558</v>
      </c>
      <c r="J319" s="1"/>
      <c r="K319" s="1">
        <v>191407</v>
      </c>
      <c r="L319" s="1"/>
      <c r="M319" s="1">
        <v>7042</v>
      </c>
      <c r="N319" s="1"/>
      <c r="O319" s="1">
        <v>385454</v>
      </c>
      <c r="P319" s="1"/>
      <c r="Q319" s="1">
        <v>482902</v>
      </c>
      <c r="R319" s="1"/>
      <c r="S319" s="1">
        <v>39717</v>
      </c>
      <c r="T319" s="1"/>
      <c r="U319" s="1">
        <v>1040256</v>
      </c>
      <c r="V319" s="1"/>
      <c r="W319" s="1">
        <v>311685</v>
      </c>
      <c r="X319" s="1"/>
      <c r="Y319" s="1">
        <v>37191</v>
      </c>
      <c r="Z319" s="1"/>
      <c r="AA319" s="1">
        <v>937557</v>
      </c>
      <c r="AB319" s="1"/>
      <c r="AC319" s="1">
        <v>808458</v>
      </c>
      <c r="AD319" s="1"/>
      <c r="AE319" s="1">
        <v>1000</v>
      </c>
      <c r="AF319" s="1"/>
      <c r="AG319" s="1">
        <v>421</v>
      </c>
      <c r="AH319" s="1"/>
      <c r="AI319" s="1">
        <v>0</v>
      </c>
      <c r="AJ319" s="14" t="s">
        <v>399</v>
      </c>
      <c r="AK319" s="14"/>
      <c r="AL319" s="14" t="s">
        <v>395</v>
      </c>
      <c r="AN319" s="1">
        <v>118492</v>
      </c>
      <c r="AO319" s="1"/>
      <c r="AP319" s="1">
        <v>0</v>
      </c>
      <c r="AQ319" s="1"/>
      <c r="AR319" s="1">
        <v>0</v>
      </c>
      <c r="AS319" s="1"/>
      <c r="AT319" s="1">
        <v>0</v>
      </c>
      <c r="AU319" s="1"/>
      <c r="AV319" s="1">
        <v>0</v>
      </c>
      <c r="AW319" s="1"/>
      <c r="AX319" s="1">
        <v>0</v>
      </c>
      <c r="AY319" s="1"/>
      <c r="AZ319" s="1">
        <f t="shared" si="32"/>
        <v>10679661</v>
      </c>
      <c r="BA319" s="1"/>
      <c r="BB319" s="1">
        <v>106938</v>
      </c>
      <c r="BC319" s="1"/>
      <c r="BD319" s="1"/>
      <c r="BE319" s="1"/>
      <c r="BF319" s="1"/>
      <c r="BG319" s="1"/>
      <c r="BH319" s="1">
        <v>0</v>
      </c>
      <c r="BI319" s="1"/>
      <c r="BJ319" s="1">
        <f t="shared" si="30"/>
        <v>10786599</v>
      </c>
      <c r="BK319" s="1"/>
      <c r="BL319" s="1">
        <f>+GenRev!AM319-GenExp!BJ319</f>
        <v>-8048</v>
      </c>
      <c r="BM319" s="1"/>
      <c r="BN319" s="1">
        <v>6611609</v>
      </c>
      <c r="BO319" s="1"/>
      <c r="BP319" s="1">
        <v>0</v>
      </c>
      <c r="BQ319" s="1">
        <v>0</v>
      </c>
      <c r="BR319" s="1"/>
      <c r="BS319" s="1">
        <f t="shared" si="31"/>
        <v>6603561</v>
      </c>
      <c r="BT319" s="1"/>
      <c r="BU319" s="20">
        <f>+BS319-'Gen Fd BS'!AA319+BQ319</f>
        <v>0</v>
      </c>
    </row>
    <row r="320" spans="1:73">
      <c r="A320" s="12" t="s">
        <v>914</v>
      </c>
      <c r="B320" s="12"/>
      <c r="C320" s="12" t="s">
        <v>50</v>
      </c>
      <c r="D320" s="12"/>
      <c r="E320" s="13">
        <v>48702</v>
      </c>
      <c r="G320" s="1">
        <v>14857481</v>
      </c>
      <c r="I320" s="1">
        <v>2563351</v>
      </c>
      <c r="K320" s="1">
        <v>1595678</v>
      </c>
      <c r="M320" s="1">
        <f>28546+1173491</f>
        <v>1202037</v>
      </c>
      <c r="O320" s="1">
        <v>2462921</v>
      </c>
      <c r="Q320" s="1">
        <v>2374738</v>
      </c>
      <c r="S320" s="1">
        <v>75920</v>
      </c>
      <c r="U320" s="1">
        <v>2850437</v>
      </c>
      <c r="W320" s="1">
        <v>672097</v>
      </c>
      <c r="Y320" s="1">
        <v>8543</v>
      </c>
      <c r="AA320" s="1">
        <v>3155547</v>
      </c>
      <c r="AC320" s="1">
        <v>1428600</v>
      </c>
      <c r="AE320" s="1">
        <v>370269</v>
      </c>
      <c r="AG320" s="1">
        <v>0</v>
      </c>
      <c r="AI320" s="1">
        <v>17884</v>
      </c>
      <c r="AJ320" s="12" t="s">
        <v>914</v>
      </c>
      <c r="AK320" s="12"/>
      <c r="AL320" s="12" t="s">
        <v>50</v>
      </c>
      <c r="AN320" s="1">
        <v>430198</v>
      </c>
      <c r="AP320" s="1">
        <v>0</v>
      </c>
      <c r="AR320" s="1">
        <v>0</v>
      </c>
      <c r="AT320" s="1">
        <v>173516</v>
      </c>
      <c r="AV320" s="1">
        <v>85344</v>
      </c>
      <c r="AX320" s="1">
        <v>0</v>
      </c>
      <c r="AZ320" s="1">
        <f t="shared" si="32"/>
        <v>34324561</v>
      </c>
      <c r="BB320" s="1">
        <v>200000</v>
      </c>
      <c r="BH320" s="1">
        <v>0</v>
      </c>
      <c r="BJ320" s="1">
        <f t="shared" si="30"/>
        <v>34524561</v>
      </c>
      <c r="BL320" s="1">
        <f>+GenRev!AM320-GenExp!BJ320</f>
        <v>-957007</v>
      </c>
      <c r="BN320" s="1">
        <v>10785415</v>
      </c>
      <c r="BP320" s="1">
        <v>0</v>
      </c>
      <c r="BQ320" s="1">
        <v>0</v>
      </c>
      <c r="BS320" s="1">
        <f t="shared" si="31"/>
        <v>9828408</v>
      </c>
      <c r="BU320" s="20">
        <f>+BS320-'Gen Fd BS'!AA320+BQ320</f>
        <v>0</v>
      </c>
    </row>
    <row r="321" spans="1:73">
      <c r="A321" s="12" t="s">
        <v>367</v>
      </c>
      <c r="B321" s="12"/>
      <c r="C321" s="12" t="s">
        <v>32</v>
      </c>
      <c r="D321" s="12"/>
      <c r="E321" s="13">
        <v>44289</v>
      </c>
      <c r="G321" s="1">
        <v>7428979</v>
      </c>
      <c r="I321" s="1">
        <v>1703199</v>
      </c>
      <c r="K321" s="1">
        <v>0</v>
      </c>
      <c r="M321" s="1">
        <v>74527</v>
      </c>
      <c r="O321" s="1">
        <v>1042650</v>
      </c>
      <c r="Q321" s="1">
        <v>311684</v>
      </c>
      <c r="S321" s="1">
        <v>41362</v>
      </c>
      <c r="U321" s="1">
        <v>1105728</v>
      </c>
      <c r="W321" s="1">
        <v>476721</v>
      </c>
      <c r="Y321" s="1">
        <v>50050</v>
      </c>
      <c r="AA321" s="1">
        <v>1486470</v>
      </c>
      <c r="AC321" s="1">
        <v>766659</v>
      </c>
      <c r="AE321" s="1">
        <v>504394</v>
      </c>
      <c r="AG321" s="1">
        <v>0</v>
      </c>
      <c r="AI321" s="1">
        <v>0</v>
      </c>
      <c r="AJ321" s="12" t="s">
        <v>367</v>
      </c>
      <c r="AK321" s="12"/>
      <c r="AL321" s="12" t="s">
        <v>32</v>
      </c>
      <c r="AN321" s="1">
        <v>286594</v>
      </c>
      <c r="AP321" s="1">
        <v>0</v>
      </c>
      <c r="AR321" s="1">
        <v>0</v>
      </c>
      <c r="AT321" s="1">
        <v>184978</v>
      </c>
      <c r="AV321" s="1">
        <v>14581</v>
      </c>
      <c r="AX321" s="1">
        <v>0</v>
      </c>
      <c r="AZ321" s="1">
        <f t="shared" si="32"/>
        <v>15478576</v>
      </c>
      <c r="BB321" s="1">
        <v>2500</v>
      </c>
      <c r="BH321" s="1">
        <v>0</v>
      </c>
      <c r="BJ321" s="1">
        <f t="shared" si="30"/>
        <v>15481076</v>
      </c>
      <c r="BL321" s="1">
        <f>+GenRev!AM321-GenExp!BJ321</f>
        <v>638873</v>
      </c>
      <c r="BN321" s="1">
        <v>6781409</v>
      </c>
      <c r="BP321" s="1">
        <v>0</v>
      </c>
      <c r="BQ321" s="1">
        <v>0</v>
      </c>
      <c r="BS321" s="1">
        <f t="shared" si="31"/>
        <v>7420282</v>
      </c>
      <c r="BU321" s="20">
        <f>+BS321-'Gen Fd BS'!AA321+BQ321</f>
        <v>0</v>
      </c>
    </row>
    <row r="322" spans="1:73">
      <c r="A322" s="12" t="s">
        <v>231</v>
      </c>
      <c r="B322" s="12"/>
      <c r="C322" s="12" t="s">
        <v>227</v>
      </c>
      <c r="D322" s="12"/>
      <c r="E322" s="13">
        <v>46128</v>
      </c>
      <c r="F322" s="8"/>
      <c r="G322" s="1">
        <v>5097548</v>
      </c>
      <c r="I322" s="1">
        <v>975755</v>
      </c>
      <c r="K322" s="1">
        <v>801</v>
      </c>
      <c r="M322" s="1">
        <v>507724</v>
      </c>
      <c r="O322" s="1">
        <v>639690</v>
      </c>
      <c r="Q322" s="1">
        <v>477778</v>
      </c>
      <c r="S322" s="1">
        <v>83741</v>
      </c>
      <c r="U322" s="1">
        <v>1106418</v>
      </c>
      <c r="W322" s="1">
        <v>310388</v>
      </c>
      <c r="Y322" s="1">
        <v>4796</v>
      </c>
      <c r="AA322" s="1">
        <v>1478999</v>
      </c>
      <c r="AC322" s="1">
        <v>843602</v>
      </c>
      <c r="AE322" s="1">
        <v>364824</v>
      </c>
      <c r="AG322" s="1">
        <v>0</v>
      </c>
      <c r="AI322" s="1">
        <v>1720</v>
      </c>
      <c r="AJ322" s="12" t="s">
        <v>231</v>
      </c>
      <c r="AK322" s="12"/>
      <c r="AL322" s="12" t="s">
        <v>227</v>
      </c>
      <c r="AN322" s="1">
        <v>234092</v>
      </c>
      <c r="AP322" s="1">
        <v>9143</v>
      </c>
      <c r="AR322" s="1">
        <v>0</v>
      </c>
      <c r="AT322" s="1">
        <v>0</v>
      </c>
      <c r="AV322" s="1">
        <v>0</v>
      </c>
      <c r="AX322" s="1">
        <v>0</v>
      </c>
      <c r="AZ322" s="1">
        <f t="shared" si="32"/>
        <v>12137019</v>
      </c>
      <c r="BB322" s="1">
        <v>68</v>
      </c>
      <c r="BH322" s="1">
        <v>0</v>
      </c>
      <c r="BJ322" s="1">
        <f t="shared" si="30"/>
        <v>12137087</v>
      </c>
      <c r="BL322" s="1">
        <f>+GenRev!AM322-GenExp!BJ322</f>
        <v>-144864</v>
      </c>
      <c r="BN322" s="1">
        <v>2704083</v>
      </c>
      <c r="BP322" s="1">
        <v>0</v>
      </c>
      <c r="BQ322" s="1">
        <v>0</v>
      </c>
      <c r="BS322" s="1">
        <f t="shared" ref="BS322:BS367" si="33">+BN322+BL322-BP322</f>
        <v>2559219</v>
      </c>
      <c r="BU322" s="20">
        <f>+BS322-'Gen Fd BS'!AA322+BQ322</f>
        <v>0</v>
      </c>
    </row>
    <row r="323" spans="1:73" hidden="1">
      <c r="A323" s="17" t="s">
        <v>848</v>
      </c>
      <c r="B323" s="17"/>
      <c r="C323" s="17" t="s">
        <v>41</v>
      </c>
      <c r="D323" s="12"/>
      <c r="E323" s="13"/>
      <c r="F323" s="8"/>
      <c r="AJ323" s="17" t="s">
        <v>848</v>
      </c>
      <c r="AK323" s="17"/>
      <c r="AL323" s="17" t="s">
        <v>41</v>
      </c>
      <c r="AZ323" s="1">
        <f t="shared" si="32"/>
        <v>0</v>
      </c>
      <c r="BJ323" s="1">
        <f t="shared" si="30"/>
        <v>0</v>
      </c>
      <c r="BL323" s="1">
        <f>+GenRev!AM323-GenExp!BJ323</f>
        <v>0</v>
      </c>
      <c r="BS323" s="1">
        <f t="shared" si="33"/>
        <v>0</v>
      </c>
      <c r="BU323" s="20">
        <f>+BS323-'Gen Fd BS'!AA323+BQ323</f>
        <v>0</v>
      </c>
    </row>
    <row r="324" spans="1:73">
      <c r="A324" s="12" t="s">
        <v>231</v>
      </c>
      <c r="B324" s="12"/>
      <c r="C324" s="12" t="s">
        <v>112</v>
      </c>
      <c r="D324" s="12"/>
      <c r="E324" s="13">
        <v>49452</v>
      </c>
      <c r="G324" s="1">
        <v>11256434</v>
      </c>
      <c r="I324" s="1">
        <v>2680153</v>
      </c>
      <c r="K324" s="1">
        <v>3121217</v>
      </c>
      <c r="M324" s="1">
        <v>2035974</v>
      </c>
      <c r="O324" s="1">
        <v>948517</v>
      </c>
      <c r="Q324" s="1">
        <v>1462697</v>
      </c>
      <c r="S324" s="1">
        <v>37308</v>
      </c>
      <c r="U324" s="1">
        <v>2244039</v>
      </c>
      <c r="W324" s="1">
        <v>515141</v>
      </c>
      <c r="Y324" s="1">
        <v>69713</v>
      </c>
      <c r="AA324" s="1">
        <v>3005595</v>
      </c>
      <c r="AC324" s="1">
        <v>1423845</v>
      </c>
      <c r="AE324" s="1">
        <v>133604</v>
      </c>
      <c r="AG324" s="1">
        <v>0</v>
      </c>
      <c r="AI324" s="1">
        <v>0</v>
      </c>
      <c r="AJ324" s="12" t="s">
        <v>231</v>
      </c>
      <c r="AK324" s="12"/>
      <c r="AL324" s="12" t="s">
        <v>112</v>
      </c>
      <c r="AN324" s="1">
        <v>467171</v>
      </c>
      <c r="AP324" s="1">
        <v>426884</v>
      </c>
      <c r="AR324" s="1">
        <v>0</v>
      </c>
      <c r="AT324" s="1">
        <v>0</v>
      </c>
      <c r="AV324" s="1">
        <v>0</v>
      </c>
      <c r="AX324" s="1">
        <v>0</v>
      </c>
      <c r="AZ324" s="1">
        <f t="shared" si="32"/>
        <v>29828292</v>
      </c>
      <c r="BB324" s="1">
        <v>204725</v>
      </c>
      <c r="BH324" s="1">
        <v>0</v>
      </c>
      <c r="BJ324" s="1">
        <f t="shared" si="30"/>
        <v>30033017</v>
      </c>
      <c r="BL324" s="1">
        <f>+GenRev!AM324-GenExp!BJ324</f>
        <v>-1316076</v>
      </c>
      <c r="BN324" s="1">
        <v>8413722</v>
      </c>
      <c r="BP324" s="1">
        <v>0</v>
      </c>
      <c r="BQ324" s="1">
        <v>0</v>
      </c>
      <c r="BS324" s="1">
        <f t="shared" si="33"/>
        <v>7097646</v>
      </c>
      <c r="BU324" s="20">
        <f>+BS324-'Gen Fd BS'!AA324+BQ324</f>
        <v>0</v>
      </c>
    </row>
    <row r="325" spans="1:73">
      <c r="A325" s="17" t="s">
        <v>864</v>
      </c>
      <c r="B325" s="17"/>
      <c r="C325" s="17" t="s">
        <v>458</v>
      </c>
      <c r="D325" s="12"/>
      <c r="E325" s="13"/>
      <c r="G325" s="1">
        <v>6724615</v>
      </c>
      <c r="I325" s="1">
        <v>508741</v>
      </c>
      <c r="K325" s="1">
        <v>413860</v>
      </c>
      <c r="M325" s="1">
        <v>0</v>
      </c>
      <c r="O325" s="1">
        <v>382391</v>
      </c>
      <c r="Q325" s="1">
        <v>418966</v>
      </c>
      <c r="S325" s="1">
        <v>64329</v>
      </c>
      <c r="U325" s="1">
        <v>1305007</v>
      </c>
      <c r="W325" s="1">
        <v>469017</v>
      </c>
      <c r="Y325" s="1">
        <v>3109</v>
      </c>
      <c r="AA325" s="1">
        <v>835839</v>
      </c>
      <c r="AC325" s="1">
        <v>900166</v>
      </c>
      <c r="AE325" s="1">
        <v>178662</v>
      </c>
      <c r="AG325" s="1">
        <v>412</v>
      </c>
      <c r="AI325" s="1">
        <v>0</v>
      </c>
      <c r="AJ325" s="17" t="s">
        <v>864</v>
      </c>
      <c r="AK325" s="17"/>
      <c r="AL325" s="17" t="s">
        <v>458</v>
      </c>
      <c r="AN325" s="1">
        <v>291099</v>
      </c>
      <c r="AP325" s="1">
        <v>276870</v>
      </c>
      <c r="AR325" s="1">
        <v>0</v>
      </c>
      <c r="AT325" s="1">
        <v>0</v>
      </c>
      <c r="AV325" s="1">
        <v>0</v>
      </c>
      <c r="AX325" s="1">
        <v>0</v>
      </c>
      <c r="AZ325" s="1">
        <f t="shared" si="32"/>
        <v>12773083</v>
      </c>
      <c r="BB325" s="1">
        <v>0</v>
      </c>
      <c r="BH325" s="1">
        <v>0</v>
      </c>
      <c r="BJ325" s="1">
        <f t="shared" si="30"/>
        <v>12773083</v>
      </c>
      <c r="BL325" s="1">
        <f>+GenRev!AM325-GenExp!BJ325</f>
        <v>2736243</v>
      </c>
      <c r="BN325" s="1">
        <v>7230483</v>
      </c>
      <c r="BP325" s="1">
        <v>0</v>
      </c>
      <c r="BQ325" s="1">
        <v>0</v>
      </c>
      <c r="BS325" s="1">
        <f t="shared" si="33"/>
        <v>9966726</v>
      </c>
      <c r="BU325" s="20">
        <f>+BS325-'Gen Fd BS'!AA325+BQ325</f>
        <v>0</v>
      </c>
    </row>
    <row r="326" spans="1:73">
      <c r="A326" s="12" t="s">
        <v>722</v>
      </c>
      <c r="B326" s="12"/>
      <c r="C326" s="12" t="s">
        <v>203</v>
      </c>
      <c r="D326" s="12"/>
      <c r="E326" s="13"/>
      <c r="G326" s="1">
        <v>4232322</v>
      </c>
      <c r="I326" s="1">
        <v>999353</v>
      </c>
      <c r="K326" s="1">
        <v>693303</v>
      </c>
      <c r="M326" s="1">
        <v>22660</v>
      </c>
      <c r="O326" s="1">
        <v>387186</v>
      </c>
      <c r="Q326" s="1">
        <v>461244</v>
      </c>
      <c r="S326" s="1">
        <v>79503</v>
      </c>
      <c r="U326" s="1">
        <v>782938</v>
      </c>
      <c r="W326" s="1">
        <v>395728</v>
      </c>
      <c r="Y326" s="1">
        <v>0</v>
      </c>
      <c r="AA326" s="1">
        <v>1107653</v>
      </c>
      <c r="AC326" s="1">
        <v>473002</v>
      </c>
      <c r="AE326" s="1">
        <v>0</v>
      </c>
      <c r="AG326" s="1">
        <v>0</v>
      </c>
      <c r="AI326" s="1">
        <v>1267</v>
      </c>
      <c r="AJ326" s="12" t="s">
        <v>722</v>
      </c>
      <c r="AK326" s="12"/>
      <c r="AL326" s="12" t="s">
        <v>203</v>
      </c>
      <c r="AN326" s="1">
        <v>124397</v>
      </c>
      <c r="AP326" s="1">
        <v>13888</v>
      </c>
      <c r="AR326" s="1">
        <v>0</v>
      </c>
      <c r="AT326" s="1">
        <v>0</v>
      </c>
      <c r="AV326" s="1">
        <v>0</v>
      </c>
      <c r="AX326" s="1">
        <v>0</v>
      </c>
      <c r="AZ326" s="1">
        <f t="shared" si="32"/>
        <v>9774444</v>
      </c>
      <c r="BB326" s="1">
        <v>2670752</v>
      </c>
      <c r="BH326" s="1">
        <v>0</v>
      </c>
      <c r="BJ326" s="1">
        <f t="shared" si="30"/>
        <v>12445196</v>
      </c>
      <c r="BL326" s="1">
        <f>+GenRev!AM326-GenExp!BJ326</f>
        <v>706941</v>
      </c>
      <c r="BN326" s="1">
        <v>2168529</v>
      </c>
      <c r="BP326" s="1">
        <v>0</v>
      </c>
      <c r="BQ326" s="1">
        <v>0</v>
      </c>
      <c r="BS326" s="1">
        <f t="shared" si="33"/>
        <v>2875470</v>
      </c>
      <c r="BU326" s="20">
        <f>+BS326-'Gen Fd BS'!AA326+BQ326</f>
        <v>0</v>
      </c>
    </row>
    <row r="327" spans="1:73">
      <c r="A327" s="12" t="s">
        <v>545</v>
      </c>
      <c r="B327" s="12"/>
      <c r="C327" s="12" t="s">
        <v>112</v>
      </c>
      <c r="D327" s="12"/>
      <c r="E327" s="13">
        <v>44297</v>
      </c>
      <c r="G327" s="1">
        <v>16491266</v>
      </c>
      <c r="I327" s="1">
        <v>4303816</v>
      </c>
      <c r="K327" s="1">
        <v>1209317</v>
      </c>
      <c r="M327" s="1">
        <v>11140216</v>
      </c>
      <c r="O327" s="1">
        <v>3319837</v>
      </c>
      <c r="Q327" s="1">
        <v>1579875</v>
      </c>
      <c r="S327" s="1">
        <v>41808</v>
      </c>
      <c r="U327" s="1">
        <v>3455364</v>
      </c>
      <c r="W327" s="1">
        <v>710586</v>
      </c>
      <c r="Y327" s="1">
        <v>687794</v>
      </c>
      <c r="AA327" s="1">
        <v>4065415</v>
      </c>
      <c r="AC327" s="1">
        <v>2026015</v>
      </c>
      <c r="AE327" s="1">
        <v>876521</v>
      </c>
      <c r="AG327" s="1">
        <v>0</v>
      </c>
      <c r="AI327" s="1">
        <v>1334125</v>
      </c>
      <c r="AJ327" s="12" t="s">
        <v>545</v>
      </c>
      <c r="AK327" s="12"/>
      <c r="AL327" s="12" t="s">
        <v>112</v>
      </c>
      <c r="AN327" s="1">
        <v>488323</v>
      </c>
      <c r="AP327" s="1">
        <v>0</v>
      </c>
      <c r="AR327" s="1">
        <v>0</v>
      </c>
      <c r="AT327" s="1">
        <v>0</v>
      </c>
      <c r="AV327" s="1">
        <v>0</v>
      </c>
      <c r="AX327" s="1">
        <v>0</v>
      </c>
      <c r="AZ327" s="1">
        <f t="shared" si="32"/>
        <v>51730278</v>
      </c>
      <c r="BB327" s="1">
        <v>36900</v>
      </c>
      <c r="BH327" s="1">
        <v>0</v>
      </c>
      <c r="BJ327" s="1">
        <f t="shared" si="30"/>
        <v>51767178</v>
      </c>
      <c r="BL327" s="1">
        <f>+GenRev!AM327-GenExp!BJ327</f>
        <v>-275038</v>
      </c>
      <c r="BN327" s="1">
        <v>-873040</v>
      </c>
      <c r="BP327" s="1">
        <v>0</v>
      </c>
      <c r="BQ327" s="1">
        <v>0</v>
      </c>
      <c r="BS327" s="1">
        <f t="shared" si="33"/>
        <v>-1148078</v>
      </c>
      <c r="BU327" s="20">
        <f>+BS327-'Gen Fd BS'!AA327+BQ327</f>
        <v>0</v>
      </c>
    </row>
    <row r="328" spans="1:73">
      <c r="A328" s="17" t="s">
        <v>907</v>
      </c>
      <c r="B328" s="12"/>
      <c r="C328" s="12" t="s">
        <v>20</v>
      </c>
      <c r="D328" s="12"/>
      <c r="E328" s="13">
        <v>44305</v>
      </c>
      <c r="G328" s="1">
        <v>17358031</v>
      </c>
      <c r="I328" s="1">
        <v>3272820</v>
      </c>
      <c r="K328" s="1">
        <v>1403317</v>
      </c>
      <c r="M328" s="1">
        <v>0</v>
      </c>
      <c r="O328" s="1">
        <v>2195209</v>
      </c>
      <c r="Q328" s="1">
        <v>839334</v>
      </c>
      <c r="S328" s="1">
        <v>80546</v>
      </c>
      <c r="U328" s="1">
        <v>3961182</v>
      </c>
      <c r="W328" s="1">
        <v>1554002</v>
      </c>
      <c r="Y328" s="1">
        <v>619762</v>
      </c>
      <c r="AA328" s="1">
        <v>4402626</v>
      </c>
      <c r="AC328" s="1">
        <v>1542839</v>
      </c>
      <c r="AE328" s="1">
        <v>19912</v>
      </c>
      <c r="AG328" s="1">
        <v>420</v>
      </c>
      <c r="AI328" s="1">
        <v>0</v>
      </c>
      <c r="AJ328" s="17" t="s">
        <v>907</v>
      </c>
      <c r="AK328" s="12"/>
      <c r="AL328" s="12" t="s">
        <v>20</v>
      </c>
      <c r="AN328" s="1">
        <v>713962</v>
      </c>
      <c r="AP328" s="1">
        <v>51009</v>
      </c>
      <c r="AR328" s="1">
        <v>0</v>
      </c>
      <c r="AT328" s="1">
        <v>54735</v>
      </c>
      <c r="AV328" s="1">
        <v>1496</v>
      </c>
      <c r="AX328" s="1">
        <v>0</v>
      </c>
      <c r="AZ328" s="1">
        <f t="shared" si="32"/>
        <v>38071202</v>
      </c>
      <c r="BB328" s="1">
        <v>282252</v>
      </c>
      <c r="BH328" s="1">
        <v>0</v>
      </c>
      <c r="BJ328" s="1">
        <f t="shared" si="30"/>
        <v>38353454</v>
      </c>
      <c r="BL328" s="1">
        <f>+GenRev!AM328-GenExp!BJ328</f>
        <v>-2916984</v>
      </c>
      <c r="BN328" s="1">
        <v>2784383</v>
      </c>
      <c r="BP328" s="1">
        <v>0</v>
      </c>
      <c r="BQ328" s="1">
        <v>0</v>
      </c>
      <c r="BS328" s="1">
        <f t="shared" si="33"/>
        <v>-132601</v>
      </c>
      <c r="BU328" s="20">
        <f>+BS328-'Gen Fd BS'!AA328+BQ328</f>
        <v>0</v>
      </c>
    </row>
    <row r="329" spans="1:73">
      <c r="A329" s="12" t="s">
        <v>208</v>
      </c>
      <c r="B329" s="12"/>
      <c r="C329" s="12" t="s">
        <v>11</v>
      </c>
      <c r="D329" s="12"/>
      <c r="E329" s="13">
        <v>45831</v>
      </c>
      <c r="G329" s="1">
        <v>3002588</v>
      </c>
      <c r="I329" s="1">
        <v>436492</v>
      </c>
      <c r="K329" s="1">
        <v>81467</v>
      </c>
      <c r="M329" s="1">
        <v>809128</v>
      </c>
      <c r="O329" s="1">
        <v>258220</v>
      </c>
      <c r="Q329" s="1">
        <v>315066</v>
      </c>
      <c r="S329" s="1">
        <v>58023</v>
      </c>
      <c r="U329" s="1">
        <v>591510</v>
      </c>
      <c r="W329" s="1">
        <v>268684</v>
      </c>
      <c r="Y329" s="1">
        <v>0</v>
      </c>
      <c r="AA329" s="1">
        <v>632274</v>
      </c>
      <c r="AC329" s="1">
        <v>508144</v>
      </c>
      <c r="AE329" s="1">
        <v>100641</v>
      </c>
      <c r="AG329" s="1">
        <v>0</v>
      </c>
      <c r="AI329" s="1">
        <v>0</v>
      </c>
      <c r="AJ329" s="12" t="s">
        <v>208</v>
      </c>
      <c r="AK329" s="12"/>
      <c r="AL329" s="12" t="s">
        <v>11</v>
      </c>
      <c r="AN329" s="1">
        <v>175933</v>
      </c>
      <c r="AP329" s="1">
        <v>500</v>
      </c>
      <c r="AR329" s="1">
        <v>0</v>
      </c>
      <c r="AT329" s="1">
        <v>14790</v>
      </c>
      <c r="AV329" s="1">
        <v>1320</v>
      </c>
      <c r="AX329" s="1">
        <v>0</v>
      </c>
      <c r="AZ329" s="1">
        <f t="shared" si="32"/>
        <v>7254780</v>
      </c>
      <c r="BB329" s="1">
        <v>25000</v>
      </c>
      <c r="BH329" s="1">
        <v>0</v>
      </c>
      <c r="BJ329" s="1">
        <f t="shared" si="30"/>
        <v>7279780</v>
      </c>
      <c r="BL329" s="1">
        <f>+GenRev!AM329-GenExp!BJ329</f>
        <v>465899</v>
      </c>
      <c r="BN329" s="1">
        <v>1226014</v>
      </c>
      <c r="BP329" s="1">
        <v>0</v>
      </c>
      <c r="BQ329" s="1">
        <v>0</v>
      </c>
      <c r="BS329" s="1">
        <f t="shared" si="33"/>
        <v>1691913</v>
      </c>
      <c r="BU329" s="20">
        <f>+BS329-'Gen Fd BS'!AA329+BQ329</f>
        <v>0</v>
      </c>
    </row>
    <row r="330" spans="1:73">
      <c r="A330" s="12" t="s">
        <v>611</v>
      </c>
      <c r="B330" s="12"/>
      <c r="C330" s="12" t="s">
        <v>64</v>
      </c>
      <c r="D330" s="12"/>
      <c r="E330" s="13">
        <v>50211</v>
      </c>
      <c r="G330" s="1">
        <v>4445854</v>
      </c>
      <c r="I330" s="1">
        <v>365132</v>
      </c>
      <c r="K330" s="1">
        <v>39961</v>
      </c>
      <c r="M330" s="1">
        <v>0</v>
      </c>
      <c r="O330" s="1">
        <v>345120</v>
      </c>
      <c r="Q330" s="1">
        <v>114630</v>
      </c>
      <c r="S330" s="1">
        <v>32559</v>
      </c>
      <c r="U330" s="1">
        <v>557454</v>
      </c>
      <c r="W330" s="1">
        <v>296510</v>
      </c>
      <c r="Y330" s="1">
        <v>61530</v>
      </c>
      <c r="AA330" s="1">
        <v>959337</v>
      </c>
      <c r="AC330" s="1">
        <v>545586</v>
      </c>
      <c r="AE330" s="1">
        <v>39294</v>
      </c>
      <c r="AG330" s="1">
        <v>0</v>
      </c>
      <c r="AI330" s="1">
        <v>0</v>
      </c>
      <c r="AJ330" s="12" t="s">
        <v>611</v>
      </c>
      <c r="AK330" s="12"/>
      <c r="AL330" s="12" t="s">
        <v>64</v>
      </c>
      <c r="AN330" s="1">
        <v>161557</v>
      </c>
      <c r="AP330" s="1">
        <v>0</v>
      </c>
      <c r="AR330" s="1">
        <v>0</v>
      </c>
      <c r="AT330" s="1">
        <v>0</v>
      </c>
      <c r="AV330" s="1">
        <v>12500</v>
      </c>
      <c r="AX330" s="1">
        <v>0</v>
      </c>
      <c r="AZ330" s="1">
        <f t="shared" si="32"/>
        <v>7977024</v>
      </c>
      <c r="BB330" s="1">
        <v>0</v>
      </c>
      <c r="BH330" s="1">
        <v>0</v>
      </c>
      <c r="BJ330" s="1">
        <f t="shared" si="30"/>
        <v>7977024</v>
      </c>
      <c r="BL330" s="1">
        <f>+GenRev!AM330-GenExp!BJ330</f>
        <v>401988</v>
      </c>
      <c r="BN330" s="1">
        <v>1336276</v>
      </c>
      <c r="BP330" s="1">
        <v>0</v>
      </c>
      <c r="BQ330" s="1">
        <v>0</v>
      </c>
      <c r="BS330" s="1">
        <f t="shared" si="33"/>
        <v>1738264</v>
      </c>
      <c r="BU330" s="20">
        <f>+BS330-'Gen Fd BS'!AA330+BQ330</f>
        <v>0</v>
      </c>
    </row>
    <row r="331" spans="1:73">
      <c r="A331" s="12" t="s">
        <v>317</v>
      </c>
      <c r="B331" s="12"/>
      <c r="C331" s="12" t="s">
        <v>24</v>
      </c>
      <c r="D331" s="12"/>
      <c r="E331" s="13">
        <v>46805</v>
      </c>
      <c r="G331" s="1">
        <v>4880602</v>
      </c>
      <c r="I331" s="1">
        <v>1084435</v>
      </c>
      <c r="K331" s="1">
        <v>266087</v>
      </c>
      <c r="M331" s="1">
        <v>22938</v>
      </c>
      <c r="O331" s="1">
        <v>520852</v>
      </c>
      <c r="Q331" s="1">
        <v>607631</v>
      </c>
      <c r="S331" s="1">
        <v>179472</v>
      </c>
      <c r="U331" s="1">
        <v>949140</v>
      </c>
      <c r="W331" s="1">
        <v>403804</v>
      </c>
      <c r="Y331" s="1">
        <v>0</v>
      </c>
      <c r="AA331" s="1">
        <v>1168404</v>
      </c>
      <c r="AC331" s="1">
        <v>994024</v>
      </c>
      <c r="AE331" s="1">
        <v>68808</v>
      </c>
      <c r="AG331" s="1">
        <v>0</v>
      </c>
      <c r="AI331" s="1">
        <v>20981</v>
      </c>
      <c r="AJ331" s="12" t="s">
        <v>317</v>
      </c>
      <c r="AK331" s="12"/>
      <c r="AL331" s="12" t="s">
        <v>24</v>
      </c>
      <c r="AN331" s="1">
        <v>261557</v>
      </c>
      <c r="AP331" s="1">
        <v>0</v>
      </c>
      <c r="AR331" s="1">
        <v>0</v>
      </c>
      <c r="AT331" s="1">
        <v>89000</v>
      </c>
      <c r="AV331" s="1">
        <v>110770</v>
      </c>
      <c r="AX331" s="1">
        <v>0</v>
      </c>
      <c r="AZ331" s="1">
        <f t="shared" si="32"/>
        <v>11628505</v>
      </c>
      <c r="BB331" s="1">
        <v>81841</v>
      </c>
      <c r="BH331" s="1">
        <v>0</v>
      </c>
      <c r="BJ331" s="1">
        <f t="shared" si="30"/>
        <v>11710346</v>
      </c>
      <c r="BL331" s="1">
        <f>+GenRev!AM331-GenExp!BJ331</f>
        <v>-355896</v>
      </c>
      <c r="BN331" s="1">
        <v>-123306</v>
      </c>
      <c r="BP331" s="1">
        <v>0</v>
      </c>
      <c r="BQ331" s="1">
        <v>0</v>
      </c>
      <c r="BS331" s="1">
        <f t="shared" si="33"/>
        <v>-479202</v>
      </c>
      <c r="BU331" s="20">
        <f>+BS331-'Gen Fd BS'!AA331+BQ331</f>
        <v>0</v>
      </c>
    </row>
    <row r="332" spans="1:73">
      <c r="A332" s="12" t="s">
        <v>368</v>
      </c>
      <c r="B332" s="12"/>
      <c r="C332" s="12" t="s">
        <v>32</v>
      </c>
      <c r="D332" s="12"/>
      <c r="E332" s="13">
        <v>44313</v>
      </c>
      <c r="F332" s="8"/>
      <c r="G332" s="1">
        <v>9522126</v>
      </c>
      <c r="I332" s="1">
        <v>1570396</v>
      </c>
      <c r="K332" s="1">
        <v>0</v>
      </c>
      <c r="M332" s="1">
        <v>74890</v>
      </c>
      <c r="O332" s="1">
        <v>1432882</v>
      </c>
      <c r="Q332" s="1">
        <v>1170048</v>
      </c>
      <c r="S332" s="1">
        <v>16418</v>
      </c>
      <c r="U332" s="1">
        <v>1721117</v>
      </c>
      <c r="W332" s="1">
        <v>515077</v>
      </c>
      <c r="Y332" s="1">
        <v>53874</v>
      </c>
      <c r="AA332" s="1">
        <v>2018155</v>
      </c>
      <c r="AC332" s="1">
        <v>586070</v>
      </c>
      <c r="AE332" s="1">
        <v>195018</v>
      </c>
      <c r="AG332" s="1">
        <v>0</v>
      </c>
      <c r="AI332" s="1">
        <v>0</v>
      </c>
      <c r="AJ332" s="12" t="s">
        <v>368</v>
      </c>
      <c r="AK332" s="12"/>
      <c r="AL332" s="12" t="s">
        <v>32</v>
      </c>
      <c r="AN332" s="1">
        <v>419274</v>
      </c>
      <c r="AP332" s="1">
        <v>736834</v>
      </c>
      <c r="AR332" s="1">
        <v>0</v>
      </c>
      <c r="AT332" s="1">
        <v>168371</v>
      </c>
      <c r="AV332" s="1">
        <v>96628</v>
      </c>
      <c r="AX332" s="1">
        <v>0</v>
      </c>
      <c r="AZ332" s="1">
        <f t="shared" si="32"/>
        <v>20297178</v>
      </c>
      <c r="BB332" s="1">
        <v>442500</v>
      </c>
      <c r="BH332" s="1">
        <v>0</v>
      </c>
      <c r="BJ332" s="1">
        <f t="shared" si="30"/>
        <v>20739678</v>
      </c>
      <c r="BL332" s="1">
        <f>+GenRev!AM332-GenExp!BJ332</f>
        <v>470689</v>
      </c>
      <c r="BN332" s="1">
        <v>8310077</v>
      </c>
      <c r="BP332" s="1">
        <v>0</v>
      </c>
      <c r="BQ332" s="1">
        <v>0</v>
      </c>
      <c r="BS332" s="1">
        <f t="shared" si="33"/>
        <v>8780766</v>
      </c>
      <c r="BU332" s="20">
        <f>+BS332-'Gen Fd BS'!AA332+BQ332</f>
        <v>0</v>
      </c>
    </row>
    <row r="333" spans="1:73" hidden="1">
      <c r="A333" s="17" t="s">
        <v>733</v>
      </c>
      <c r="B333" s="12"/>
      <c r="C333" s="12" t="s">
        <v>70</v>
      </c>
      <c r="D333" s="12"/>
      <c r="E333" s="13">
        <v>44321</v>
      </c>
      <c r="AJ333" s="17" t="s">
        <v>733</v>
      </c>
      <c r="AK333" s="12"/>
      <c r="AL333" s="12" t="s">
        <v>70</v>
      </c>
      <c r="AZ333" s="1">
        <f t="shared" si="32"/>
        <v>0</v>
      </c>
      <c r="BJ333" s="1">
        <f t="shared" si="30"/>
        <v>0</v>
      </c>
      <c r="BL333" s="1">
        <f>+GenRev!AM333-GenExp!BJ333</f>
        <v>0</v>
      </c>
      <c r="BS333" s="1">
        <f t="shared" si="33"/>
        <v>0</v>
      </c>
      <c r="BU333" s="20">
        <f>+BS333-'Gen Fd BS'!AA333+BQ333</f>
        <v>0</v>
      </c>
    </row>
    <row r="334" spans="1:73">
      <c r="A334" s="12" t="s">
        <v>474</v>
      </c>
      <c r="B334" s="12"/>
      <c r="C334" s="12" t="s">
        <v>46</v>
      </c>
      <c r="D334" s="12"/>
      <c r="E334" s="13">
        <v>44339</v>
      </c>
      <c r="G334" s="1">
        <v>22718668</v>
      </c>
      <c r="I334" s="1">
        <v>4944206</v>
      </c>
      <c r="K334" s="1">
        <v>521365</v>
      </c>
      <c r="M334" s="1">
        <v>12829</v>
      </c>
      <c r="O334" s="1">
        <v>2230859</v>
      </c>
      <c r="Q334" s="1">
        <v>1129815</v>
      </c>
      <c r="S334" s="1">
        <v>40943</v>
      </c>
      <c r="U334" s="1">
        <v>2921676</v>
      </c>
      <c r="W334" s="1">
        <v>685924</v>
      </c>
      <c r="Y334" s="1">
        <v>400568</v>
      </c>
      <c r="AA334" s="1">
        <v>3956463</v>
      </c>
      <c r="AC334" s="1">
        <v>1124305</v>
      </c>
      <c r="AE334" s="1">
        <v>0</v>
      </c>
      <c r="AG334" s="1">
        <v>0</v>
      </c>
      <c r="AI334" s="1">
        <v>2048405</v>
      </c>
      <c r="AJ334" s="12" t="s">
        <v>474</v>
      </c>
      <c r="AK334" s="12"/>
      <c r="AL334" s="12" t="s">
        <v>46</v>
      </c>
      <c r="AN334" s="1">
        <v>616449</v>
      </c>
      <c r="AP334" s="1">
        <v>35301</v>
      </c>
      <c r="AR334" s="1">
        <v>0</v>
      </c>
      <c r="AT334" s="1">
        <v>31062</v>
      </c>
      <c r="AV334" s="1">
        <v>4140</v>
      </c>
      <c r="AX334" s="1">
        <v>0</v>
      </c>
      <c r="AZ334" s="1">
        <f t="shared" si="32"/>
        <v>43422978</v>
      </c>
      <c r="BB334" s="1">
        <v>75000</v>
      </c>
      <c r="BH334" s="1">
        <v>0</v>
      </c>
      <c r="BJ334" s="1">
        <f t="shared" si="30"/>
        <v>43497978</v>
      </c>
      <c r="BL334" s="1">
        <f>+GenRev!AM334-GenExp!BJ334</f>
        <v>706215</v>
      </c>
      <c r="BN334" s="1">
        <v>13445184</v>
      </c>
      <c r="BP334" s="1">
        <v>0</v>
      </c>
      <c r="BQ334" s="1">
        <v>0</v>
      </c>
      <c r="BS334" s="1">
        <f t="shared" si="33"/>
        <v>14151399</v>
      </c>
      <c r="BU334" s="20">
        <f>+BS334-'Gen Fd BS'!AA334+BQ334</f>
        <v>0</v>
      </c>
    </row>
    <row r="335" spans="1:73" hidden="1">
      <c r="A335" s="17" t="s">
        <v>850</v>
      </c>
      <c r="B335" s="17"/>
      <c r="C335" s="17" t="s">
        <v>486</v>
      </c>
      <c r="D335" s="12"/>
      <c r="E335" s="13"/>
      <c r="AJ335" s="17" t="s">
        <v>850</v>
      </c>
      <c r="AK335" s="17"/>
      <c r="AL335" s="17" t="s">
        <v>486</v>
      </c>
      <c r="AZ335" s="1">
        <f t="shared" si="32"/>
        <v>0</v>
      </c>
      <c r="BJ335" s="1">
        <f t="shared" si="30"/>
        <v>0</v>
      </c>
      <c r="BL335" s="1">
        <f>+GenRev!AM335-GenExp!BJ335</f>
        <v>0</v>
      </c>
      <c r="BS335" s="1">
        <f t="shared" si="33"/>
        <v>0</v>
      </c>
      <c r="BU335" s="20">
        <f>+BS335-'Gen Fd BS'!AA335+BQ335</f>
        <v>0</v>
      </c>
    </row>
    <row r="336" spans="1:73">
      <c r="A336" s="12" t="s">
        <v>579</v>
      </c>
      <c r="B336" s="12"/>
      <c r="C336" s="12" t="s">
        <v>62</v>
      </c>
      <c r="D336" s="12"/>
      <c r="E336" s="13">
        <v>49882</v>
      </c>
      <c r="G336" s="1">
        <v>7781685</v>
      </c>
      <c r="I336" s="1">
        <v>2293446</v>
      </c>
      <c r="K336" s="1">
        <v>836361</v>
      </c>
      <c r="M336" s="1">
        <v>631206</v>
      </c>
      <c r="O336" s="1">
        <v>502047</v>
      </c>
      <c r="Q336" s="1">
        <v>1053642</v>
      </c>
      <c r="S336" s="1">
        <v>19647</v>
      </c>
      <c r="U336" s="1">
        <v>1754984</v>
      </c>
      <c r="W336" s="1">
        <v>535967</v>
      </c>
      <c r="Y336" s="1">
        <v>120138</v>
      </c>
      <c r="AA336" s="1">
        <v>1846416</v>
      </c>
      <c r="AC336" s="1">
        <v>1220497</v>
      </c>
      <c r="AE336" s="1">
        <v>34658</v>
      </c>
      <c r="AG336" s="1">
        <v>0</v>
      </c>
      <c r="AI336" s="1">
        <v>715</v>
      </c>
      <c r="AJ336" s="12" t="s">
        <v>579</v>
      </c>
      <c r="AK336" s="12"/>
      <c r="AL336" s="12" t="s">
        <v>62</v>
      </c>
      <c r="AN336" s="1">
        <v>428290</v>
      </c>
      <c r="AP336" s="1">
        <v>0</v>
      </c>
      <c r="AR336" s="1">
        <v>0</v>
      </c>
      <c r="AT336" s="1">
        <v>115371</v>
      </c>
      <c r="AV336" s="1">
        <v>20355</v>
      </c>
      <c r="AX336" s="1">
        <v>0</v>
      </c>
      <c r="AZ336" s="1">
        <f t="shared" si="32"/>
        <v>19195425</v>
      </c>
      <c r="BB336" s="1">
        <v>285879</v>
      </c>
      <c r="BH336" s="1">
        <v>0</v>
      </c>
      <c r="BJ336" s="1">
        <f t="shared" si="30"/>
        <v>19481304</v>
      </c>
      <c r="BL336" s="1">
        <f>+GenRev!AM336-GenExp!BJ336</f>
        <v>1095628</v>
      </c>
      <c r="BN336" s="1">
        <v>4940620</v>
      </c>
      <c r="BP336" s="1">
        <v>8867</v>
      </c>
      <c r="BQ336" s="1">
        <v>0</v>
      </c>
      <c r="BS336" s="1">
        <f t="shared" si="33"/>
        <v>6027381</v>
      </c>
      <c r="BU336" s="20">
        <f>+BS336-'Gen Fd BS'!AA336+BQ336</f>
        <v>0</v>
      </c>
    </row>
    <row r="337" spans="1:73">
      <c r="A337" s="12" t="s">
        <v>221</v>
      </c>
      <c r="B337" s="12"/>
      <c r="C337" s="12" t="s">
        <v>15</v>
      </c>
      <c r="D337" s="12"/>
      <c r="E337" s="13">
        <v>44347</v>
      </c>
      <c r="G337" s="1">
        <v>6064997</v>
      </c>
      <c r="I337" s="1">
        <v>1135379</v>
      </c>
      <c r="K337" s="1">
        <v>377022</v>
      </c>
      <c r="M337" s="1">
        <v>67786</v>
      </c>
      <c r="O337" s="1">
        <v>563140</v>
      </c>
      <c r="Q337" s="1">
        <v>261375</v>
      </c>
      <c r="S337" s="1">
        <v>38219</v>
      </c>
      <c r="U337" s="1">
        <v>1076554</v>
      </c>
      <c r="W337" s="1">
        <v>292442</v>
      </c>
      <c r="Y337" s="1">
        <v>0</v>
      </c>
      <c r="AA337" s="1">
        <v>1058082</v>
      </c>
      <c r="AC337" s="1">
        <v>620939</v>
      </c>
      <c r="AE337" s="1">
        <v>68581</v>
      </c>
      <c r="AG337" s="1">
        <v>0</v>
      </c>
      <c r="AI337" s="1">
        <v>0</v>
      </c>
      <c r="AJ337" s="12" t="s">
        <v>221</v>
      </c>
      <c r="AK337" s="12"/>
      <c r="AL337" s="12" t="s">
        <v>15</v>
      </c>
      <c r="AN337" s="1">
        <v>210597</v>
      </c>
      <c r="AP337" s="1">
        <v>0</v>
      </c>
      <c r="AR337" s="1">
        <v>0</v>
      </c>
      <c r="AT337" s="1">
        <v>130523</v>
      </c>
      <c r="AV337" s="1">
        <v>150889</v>
      </c>
      <c r="AX337" s="1">
        <v>0</v>
      </c>
      <c r="AZ337" s="1">
        <f t="shared" si="32"/>
        <v>12116525</v>
      </c>
      <c r="BB337" s="1">
        <v>0</v>
      </c>
      <c r="BH337" s="1">
        <v>0</v>
      </c>
      <c r="BJ337" s="1">
        <f t="shared" si="30"/>
        <v>12116525</v>
      </c>
      <c r="BL337" s="1">
        <f>+GenRev!AM337-GenExp!BJ337</f>
        <v>-329146</v>
      </c>
      <c r="BN337" s="1">
        <v>-2145817</v>
      </c>
      <c r="BP337" s="1">
        <v>0</v>
      </c>
      <c r="BQ337" s="1">
        <v>0</v>
      </c>
      <c r="BS337" s="1">
        <f t="shared" si="33"/>
        <v>-2474963</v>
      </c>
      <c r="BU337" s="20">
        <f>+BS337-'Gen Fd BS'!AA337+BQ337</f>
        <v>0</v>
      </c>
    </row>
    <row r="338" spans="1:73">
      <c r="A338" s="12" t="s">
        <v>626</v>
      </c>
      <c r="B338" s="12"/>
      <c r="C338" s="12" t="s">
        <v>66</v>
      </c>
      <c r="D338" s="12"/>
      <c r="E338" s="13">
        <v>45476</v>
      </c>
      <c r="G338" s="1">
        <v>25444466</v>
      </c>
      <c r="I338" s="1">
        <v>0</v>
      </c>
      <c r="K338" s="1">
        <v>0</v>
      </c>
      <c r="M338" s="1">
        <v>0</v>
      </c>
      <c r="O338" s="1">
        <v>2989678</v>
      </c>
      <c r="Q338" s="1">
        <v>3210747</v>
      </c>
      <c r="S338" s="1">
        <v>26410</v>
      </c>
      <c r="U338" s="1">
        <v>2912563</v>
      </c>
      <c r="W338" s="1">
        <v>1216703</v>
      </c>
      <c r="Y338" s="1">
        <v>830018</v>
      </c>
      <c r="AA338" s="1">
        <v>4389027</v>
      </c>
      <c r="AC338" s="1">
        <v>2125351</v>
      </c>
      <c r="AE338" s="1">
        <v>821015</v>
      </c>
      <c r="AG338" s="1">
        <v>0</v>
      </c>
      <c r="AI338" s="1">
        <v>1728</v>
      </c>
      <c r="AJ338" s="12" t="s">
        <v>626</v>
      </c>
      <c r="AK338" s="12"/>
      <c r="AL338" s="12" t="s">
        <v>66</v>
      </c>
      <c r="AN338" s="1">
        <v>864068</v>
      </c>
      <c r="AP338" s="1">
        <v>0</v>
      </c>
      <c r="AR338" s="1">
        <v>0</v>
      </c>
      <c r="AT338" s="1">
        <v>65000</v>
      </c>
      <c r="AV338" s="1">
        <v>26431</v>
      </c>
      <c r="AX338" s="1">
        <v>0</v>
      </c>
      <c r="AZ338" s="1">
        <f t="shared" si="32"/>
        <v>44923205</v>
      </c>
      <c r="BB338" s="1">
        <v>69926</v>
      </c>
      <c r="BH338" s="1">
        <v>0</v>
      </c>
      <c r="BJ338" s="1">
        <f t="shared" si="30"/>
        <v>44993131</v>
      </c>
      <c r="BL338" s="1">
        <f>+GenRev!AM338-GenExp!BJ338</f>
        <v>2626755</v>
      </c>
      <c r="BN338" s="1">
        <v>-2317662</v>
      </c>
      <c r="BP338" s="1">
        <v>0</v>
      </c>
      <c r="BQ338" s="1">
        <v>0</v>
      </c>
      <c r="BS338" s="1">
        <f t="shared" si="33"/>
        <v>309093</v>
      </c>
      <c r="BU338" s="20">
        <f>+BS338-'Gen Fd BS'!AA338+BQ338</f>
        <v>0</v>
      </c>
    </row>
    <row r="339" spans="1:73">
      <c r="A339" s="12" t="s">
        <v>635</v>
      </c>
      <c r="B339" s="12"/>
      <c r="C339" s="12" t="s">
        <v>69</v>
      </c>
      <c r="D339" s="12"/>
      <c r="E339" s="13">
        <v>50450</v>
      </c>
      <c r="G339" s="1">
        <v>45607888</v>
      </c>
      <c r="I339" s="1">
        <v>9201565</v>
      </c>
      <c r="K339" s="1">
        <v>0</v>
      </c>
      <c r="M339" s="1">
        <v>721115</v>
      </c>
      <c r="O339" s="1">
        <v>5310908</v>
      </c>
      <c r="Q339" s="1">
        <v>5869124</v>
      </c>
      <c r="S339" s="1">
        <v>46528</v>
      </c>
      <c r="U339" s="1">
        <v>5295777</v>
      </c>
      <c r="W339" s="1">
        <v>1782814</v>
      </c>
      <c r="Y339" s="1">
        <v>304547</v>
      </c>
      <c r="AA339" s="1">
        <v>9880753</v>
      </c>
      <c r="AC339" s="1">
        <v>6490421</v>
      </c>
      <c r="AE339" s="1">
        <v>3218649</v>
      </c>
      <c r="AG339" s="1">
        <v>0</v>
      </c>
      <c r="AI339" s="1">
        <v>12815</v>
      </c>
      <c r="AJ339" s="12" t="s">
        <v>635</v>
      </c>
      <c r="AK339" s="12"/>
      <c r="AL339" s="12" t="s">
        <v>69</v>
      </c>
      <c r="AN339" s="1">
        <v>1706796</v>
      </c>
      <c r="AP339" s="1">
        <v>0</v>
      </c>
      <c r="AR339" s="1">
        <v>0</v>
      </c>
      <c r="AT339" s="1">
        <v>0</v>
      </c>
      <c r="AV339" s="1">
        <v>0</v>
      </c>
      <c r="AX339" s="1">
        <v>0</v>
      </c>
      <c r="AZ339" s="1">
        <f t="shared" si="32"/>
        <v>95449700</v>
      </c>
      <c r="BB339" s="1">
        <v>124755</v>
      </c>
      <c r="BH339" s="1">
        <v>0</v>
      </c>
      <c r="BJ339" s="1">
        <f t="shared" si="30"/>
        <v>95574455</v>
      </c>
      <c r="BL339" s="1">
        <f>+GenRev!AM339-GenExp!BJ339</f>
        <v>-3121969</v>
      </c>
      <c r="BN339" s="1">
        <v>45101718</v>
      </c>
      <c r="BP339" s="1">
        <v>0</v>
      </c>
      <c r="BQ339" s="1">
        <v>0</v>
      </c>
      <c r="BS339" s="1">
        <f t="shared" si="33"/>
        <v>41979749</v>
      </c>
      <c r="BU339" s="20">
        <f>+BS339-'Gen Fd BS'!AA339+BQ339</f>
        <v>0</v>
      </c>
    </row>
    <row r="340" spans="1:73">
      <c r="A340" s="12" t="s">
        <v>580</v>
      </c>
      <c r="B340" s="12"/>
      <c r="C340" s="12" t="s">
        <v>62</v>
      </c>
      <c r="D340" s="12"/>
      <c r="E340" s="13">
        <v>44354</v>
      </c>
      <c r="G340" s="1">
        <v>18422141</v>
      </c>
      <c r="I340" s="1">
        <v>3950408</v>
      </c>
      <c r="K340" s="1">
        <v>1959321</v>
      </c>
      <c r="M340" s="1">
        <f>170986+490657</f>
        <v>661643</v>
      </c>
      <c r="O340" s="1">
        <v>2637470</v>
      </c>
      <c r="Q340" s="1">
        <v>1334562</v>
      </c>
      <c r="S340" s="1">
        <v>358126</v>
      </c>
      <c r="U340" s="1">
        <v>2759574</v>
      </c>
      <c r="W340" s="1">
        <v>944264</v>
      </c>
      <c r="Y340" s="1">
        <v>12233</v>
      </c>
      <c r="AA340" s="1">
        <v>4672409</v>
      </c>
      <c r="AC340" s="1">
        <v>1693776</v>
      </c>
      <c r="AE340" s="1">
        <v>650799</v>
      </c>
      <c r="AG340" s="1">
        <v>0</v>
      </c>
      <c r="AI340" s="1">
        <v>442</v>
      </c>
      <c r="AJ340" s="12" t="s">
        <v>580</v>
      </c>
      <c r="AK340" s="12"/>
      <c r="AL340" s="12" t="s">
        <v>62</v>
      </c>
      <c r="AN340" s="1">
        <v>888072</v>
      </c>
      <c r="AP340" s="1">
        <v>75212</v>
      </c>
      <c r="AR340" s="1">
        <v>0</v>
      </c>
      <c r="AT340" s="1">
        <v>55205</v>
      </c>
      <c r="AV340" s="1">
        <v>9222</v>
      </c>
      <c r="AX340" s="1">
        <v>0</v>
      </c>
      <c r="AZ340" s="1">
        <f t="shared" si="32"/>
        <v>41084879</v>
      </c>
      <c r="BB340" s="1">
        <v>51856</v>
      </c>
      <c r="BH340" s="1">
        <v>0</v>
      </c>
      <c r="BJ340" s="1">
        <f t="shared" si="30"/>
        <v>41136735</v>
      </c>
      <c r="BL340" s="1">
        <f>+GenRev!AM340-GenExp!BJ340</f>
        <v>-2727497</v>
      </c>
      <c r="BN340" s="1">
        <v>6246704</v>
      </c>
      <c r="BP340" s="1">
        <v>0</v>
      </c>
      <c r="BQ340" s="1">
        <v>0</v>
      </c>
      <c r="BS340" s="1">
        <f t="shared" si="33"/>
        <v>3519207</v>
      </c>
      <c r="BU340" s="20">
        <f>+BS340-'Gen Fd BS'!AA340+BQ340</f>
        <v>0</v>
      </c>
    </row>
    <row r="341" spans="1:73">
      <c r="A341" s="12"/>
      <c r="B341" s="12"/>
      <c r="C341" s="12"/>
      <c r="D341" s="12"/>
      <c r="E341" s="13"/>
      <c r="AJ341" s="12"/>
      <c r="AK341" s="12"/>
      <c r="AL341" s="12"/>
    </row>
    <row r="342" spans="1:73">
      <c r="A342" s="12"/>
      <c r="B342" s="12"/>
      <c r="C342" s="12"/>
      <c r="D342" s="12"/>
      <c r="E342" s="13"/>
      <c r="AI342" s="20" t="s">
        <v>709</v>
      </c>
      <c r="AJ342" s="12"/>
      <c r="AK342" s="12"/>
      <c r="AL342" s="12"/>
      <c r="BS342" s="41" t="s">
        <v>709</v>
      </c>
    </row>
    <row r="343" spans="1:73">
      <c r="A343" s="12"/>
      <c r="B343" s="12"/>
      <c r="C343" s="12"/>
      <c r="D343" s="12"/>
      <c r="E343" s="13"/>
      <c r="AJ343" s="12"/>
      <c r="AK343" s="12"/>
      <c r="AL343" s="12"/>
    </row>
    <row r="344" spans="1:73">
      <c r="A344" s="12" t="s">
        <v>612</v>
      </c>
      <c r="B344" s="12"/>
      <c r="C344" s="12" t="s">
        <v>64</v>
      </c>
      <c r="D344" s="12"/>
      <c r="E344" s="12">
        <v>50153</v>
      </c>
      <c r="G344" s="16">
        <v>3941052</v>
      </c>
      <c r="H344" s="16"/>
      <c r="I344" s="16">
        <v>775518</v>
      </c>
      <c r="J344" s="16"/>
      <c r="K344" s="16">
        <v>70616</v>
      </c>
      <c r="L344" s="16"/>
      <c r="M344" s="16">
        <v>30206</v>
      </c>
      <c r="N344" s="16"/>
      <c r="O344" s="16">
        <v>431538</v>
      </c>
      <c r="P344" s="16"/>
      <c r="Q344" s="16">
        <v>192848</v>
      </c>
      <c r="R344" s="16"/>
      <c r="S344" s="16">
        <v>63008</v>
      </c>
      <c r="T344" s="16"/>
      <c r="U344" s="16">
        <v>692427</v>
      </c>
      <c r="V344" s="16"/>
      <c r="W344" s="16">
        <v>294958</v>
      </c>
      <c r="X344" s="16"/>
      <c r="Y344" s="16">
        <v>0</v>
      </c>
      <c r="Z344" s="16"/>
      <c r="AA344" s="16">
        <v>872530</v>
      </c>
      <c r="AB344" s="16"/>
      <c r="AC344" s="16">
        <v>503207</v>
      </c>
      <c r="AD344" s="16"/>
      <c r="AE344" s="16">
        <v>75202</v>
      </c>
      <c r="AF344" s="16"/>
      <c r="AG344" s="16">
        <v>0</v>
      </c>
      <c r="AH344" s="16"/>
      <c r="AI344" s="16">
        <v>0</v>
      </c>
      <c r="AJ344" s="12" t="s">
        <v>612</v>
      </c>
      <c r="AK344" s="12"/>
      <c r="AL344" s="12" t="s">
        <v>64</v>
      </c>
      <c r="AN344" s="16">
        <v>24592</v>
      </c>
      <c r="AO344" s="16"/>
      <c r="AP344" s="16">
        <v>0</v>
      </c>
      <c r="AQ344" s="16"/>
      <c r="AR344" s="16">
        <v>0</v>
      </c>
      <c r="AS344" s="16"/>
      <c r="AT344" s="16">
        <v>0</v>
      </c>
      <c r="AU344" s="16"/>
      <c r="AV344" s="16">
        <v>0</v>
      </c>
      <c r="AW344" s="16"/>
      <c r="AX344" s="16">
        <v>0</v>
      </c>
      <c r="AY344" s="16"/>
      <c r="AZ344" s="16">
        <f t="shared" si="32"/>
        <v>7967702</v>
      </c>
      <c r="BA344" s="16"/>
      <c r="BB344" s="16">
        <v>235917</v>
      </c>
      <c r="BC344" s="16"/>
      <c r="BD344" s="16"/>
      <c r="BE344" s="16"/>
      <c r="BF344" s="16"/>
      <c r="BG344" s="16"/>
      <c r="BH344" s="16">
        <v>0</v>
      </c>
      <c r="BI344" s="16"/>
      <c r="BJ344" s="16">
        <f t="shared" si="30"/>
        <v>8203619</v>
      </c>
      <c r="BK344" s="16"/>
      <c r="BL344" s="16">
        <f>+GenRev!AM344-GenExp!BJ344</f>
        <v>104884</v>
      </c>
      <c r="BM344" s="16"/>
      <c r="BN344" s="16">
        <v>646687</v>
      </c>
      <c r="BO344" s="16"/>
      <c r="BP344" s="16">
        <v>0</v>
      </c>
      <c r="BQ344" s="16">
        <v>0</v>
      </c>
      <c r="BR344" s="16"/>
      <c r="BS344" s="16">
        <f t="shared" si="33"/>
        <v>751571</v>
      </c>
      <c r="BT344" s="16"/>
      <c r="BU344" s="72">
        <f>+BS344-'Gen Fd BS'!AA344+BQ344</f>
        <v>0</v>
      </c>
    </row>
    <row r="345" spans="1:73">
      <c r="A345" s="12" t="s">
        <v>450</v>
      </c>
      <c r="B345" s="12"/>
      <c r="C345" s="12" t="s">
        <v>117</v>
      </c>
      <c r="D345" s="12"/>
      <c r="E345" s="13">
        <v>44362</v>
      </c>
      <c r="F345" s="8"/>
      <c r="G345" s="1">
        <v>14050702</v>
      </c>
      <c r="I345" s="1">
        <v>2568607</v>
      </c>
      <c r="K345" s="1">
        <v>311888</v>
      </c>
      <c r="M345" s="1">
        <f>469+456925</f>
        <v>457394</v>
      </c>
      <c r="O345" s="1">
        <v>1370676</v>
      </c>
      <c r="Q345" s="1">
        <v>502432</v>
      </c>
      <c r="S345" s="1">
        <v>39302</v>
      </c>
      <c r="U345" s="1">
        <v>2343269</v>
      </c>
      <c r="W345" s="1">
        <v>648985</v>
      </c>
      <c r="Y345" s="1">
        <v>39537</v>
      </c>
      <c r="AA345" s="1">
        <v>3016766</v>
      </c>
      <c r="AC345" s="1">
        <v>910716</v>
      </c>
      <c r="AE345" s="1">
        <v>153667</v>
      </c>
      <c r="AG345" s="1">
        <v>0</v>
      </c>
      <c r="AI345" s="1">
        <v>2437</v>
      </c>
      <c r="AJ345" s="12" t="s">
        <v>450</v>
      </c>
      <c r="AK345" s="12"/>
      <c r="AL345" s="12" t="s">
        <v>117</v>
      </c>
      <c r="AN345" s="1">
        <v>758036</v>
      </c>
      <c r="AP345" s="1">
        <v>0</v>
      </c>
      <c r="AR345" s="1">
        <v>0</v>
      </c>
      <c r="AT345" s="1">
        <v>0</v>
      </c>
      <c r="AV345" s="1">
        <v>0</v>
      </c>
      <c r="AX345" s="1">
        <v>0</v>
      </c>
      <c r="AZ345" s="1">
        <f t="shared" si="32"/>
        <v>27174414</v>
      </c>
      <c r="BB345" s="1">
        <v>88352</v>
      </c>
      <c r="BH345" s="1">
        <v>0</v>
      </c>
      <c r="BJ345" s="1">
        <f t="shared" si="30"/>
        <v>27262766</v>
      </c>
      <c r="BL345" s="1">
        <f>+GenRev!AM345-GenExp!BJ345</f>
        <v>-90022</v>
      </c>
      <c r="BN345" s="1">
        <v>-1537266</v>
      </c>
      <c r="BP345" s="1">
        <v>11759</v>
      </c>
      <c r="BQ345" s="1">
        <v>0</v>
      </c>
      <c r="BS345" s="1">
        <f t="shared" si="33"/>
        <v>-1639047</v>
      </c>
      <c r="BU345" s="20">
        <f>+BS345-'Gen Fd BS'!AA345+BQ345</f>
        <v>0</v>
      </c>
    </row>
    <row r="346" spans="1:73">
      <c r="A346" s="17" t="s">
        <v>893</v>
      </c>
      <c r="B346" s="12"/>
      <c r="C346" s="12" t="s">
        <v>20</v>
      </c>
      <c r="D346" s="12"/>
      <c r="E346" s="13">
        <v>44370</v>
      </c>
      <c r="G346" s="1">
        <v>22282655</v>
      </c>
      <c r="I346" s="1">
        <v>7638275</v>
      </c>
      <c r="K346" s="1">
        <v>1370487</v>
      </c>
      <c r="M346" s="1">
        <f>440807+118950</f>
        <v>559757</v>
      </c>
      <c r="O346" s="1">
        <v>3735106</v>
      </c>
      <c r="Q346" s="1">
        <v>3489141</v>
      </c>
      <c r="S346" s="1">
        <v>47506</v>
      </c>
      <c r="U346" s="1">
        <v>3282806</v>
      </c>
      <c r="W346" s="1">
        <v>1844470</v>
      </c>
      <c r="Y346" s="1">
        <v>242583</v>
      </c>
      <c r="AA346" s="1">
        <v>5813105</v>
      </c>
      <c r="AC346" s="1">
        <v>4077144</v>
      </c>
      <c r="AE346" s="1">
        <v>624475</v>
      </c>
      <c r="AG346" s="1">
        <v>59475</v>
      </c>
      <c r="AI346" s="1">
        <v>11755</v>
      </c>
      <c r="AJ346" s="17" t="s">
        <v>893</v>
      </c>
      <c r="AK346" s="12"/>
      <c r="AL346" s="12" t="s">
        <v>20</v>
      </c>
      <c r="AN346" s="1">
        <v>1021702</v>
      </c>
      <c r="AP346" s="1">
        <v>193968</v>
      </c>
      <c r="AR346" s="1">
        <v>0</v>
      </c>
      <c r="AT346" s="1">
        <v>79348</v>
      </c>
      <c r="AV346" s="1">
        <v>8792</v>
      </c>
      <c r="AX346" s="1">
        <v>0</v>
      </c>
      <c r="AZ346" s="1">
        <f t="shared" si="32"/>
        <v>56382550</v>
      </c>
      <c r="BB346" s="1">
        <v>249901</v>
      </c>
      <c r="BH346" s="1">
        <v>0</v>
      </c>
      <c r="BJ346" s="1">
        <f t="shared" si="30"/>
        <v>56632451</v>
      </c>
      <c r="BL346" s="1">
        <f>+GenRev!AM346-GenExp!BJ346</f>
        <v>4801712</v>
      </c>
      <c r="BN346" s="1">
        <v>18018899</v>
      </c>
      <c r="BP346" s="1">
        <v>0</v>
      </c>
      <c r="BQ346" s="1">
        <v>0</v>
      </c>
      <c r="BS346" s="1">
        <f t="shared" si="33"/>
        <v>22820611</v>
      </c>
      <c r="BU346" s="20">
        <f>+BS346-'Gen Fd BS'!AA346+BQ346</f>
        <v>0</v>
      </c>
    </row>
    <row r="347" spans="1:73">
      <c r="A347" s="12" t="s">
        <v>513</v>
      </c>
      <c r="B347" s="12"/>
      <c r="C347" s="12" t="s">
        <v>51</v>
      </c>
      <c r="D347" s="12"/>
      <c r="E347" s="13">
        <v>48850</v>
      </c>
      <c r="G347" s="1">
        <v>9065266</v>
      </c>
      <c r="I347" s="1">
        <v>1008214</v>
      </c>
      <c r="K347" s="1">
        <v>67204</v>
      </c>
      <c r="M347" s="1">
        <v>224748</v>
      </c>
      <c r="O347" s="1">
        <v>628455</v>
      </c>
      <c r="Q347" s="1">
        <v>1082252</v>
      </c>
      <c r="S347" s="1">
        <v>26969</v>
      </c>
      <c r="U347" s="1">
        <v>1639524</v>
      </c>
      <c r="W347" s="1">
        <v>386664</v>
      </c>
      <c r="Y347" s="1">
        <v>0</v>
      </c>
      <c r="AA347" s="1">
        <v>1590076</v>
      </c>
      <c r="AC347" s="1">
        <v>1053445</v>
      </c>
      <c r="AE347" s="1">
        <v>35877</v>
      </c>
      <c r="AG347" s="1">
        <v>0</v>
      </c>
      <c r="AI347" s="1">
        <v>0</v>
      </c>
      <c r="AJ347" s="12" t="s">
        <v>513</v>
      </c>
      <c r="AK347" s="12"/>
      <c r="AL347" s="12" t="s">
        <v>51</v>
      </c>
      <c r="AN347" s="1">
        <v>353546</v>
      </c>
      <c r="AP347" s="1">
        <v>34464</v>
      </c>
      <c r="AR347" s="1">
        <v>0</v>
      </c>
      <c r="AT347" s="1">
        <v>38212</v>
      </c>
      <c r="AV347" s="1">
        <v>7844</v>
      </c>
      <c r="AX347" s="1">
        <v>0</v>
      </c>
      <c r="AZ347" s="1">
        <f t="shared" si="32"/>
        <v>17242760</v>
      </c>
      <c r="BB347" s="1">
        <v>300000</v>
      </c>
      <c r="BH347" s="1">
        <v>0</v>
      </c>
      <c r="BJ347" s="1">
        <f t="shared" si="30"/>
        <v>17542760</v>
      </c>
      <c r="BL347" s="1">
        <f>+GenRev!AM347-GenExp!BJ347</f>
        <v>-431884</v>
      </c>
      <c r="BN347" s="1">
        <v>652096</v>
      </c>
      <c r="BP347" s="1">
        <v>0</v>
      </c>
      <c r="BQ347" s="1">
        <v>0</v>
      </c>
      <c r="BS347" s="1">
        <f t="shared" si="33"/>
        <v>220212</v>
      </c>
      <c r="BU347" s="20">
        <f>+BS347-'Gen Fd BS'!AA347+BQ347</f>
        <v>0</v>
      </c>
    </row>
    <row r="348" spans="1:73" hidden="1">
      <c r="A348" s="17" t="s">
        <v>783</v>
      </c>
      <c r="B348" s="12"/>
      <c r="C348" s="12" t="s">
        <v>33</v>
      </c>
      <c r="D348" s="12"/>
      <c r="E348" s="13">
        <v>47456</v>
      </c>
      <c r="AJ348" s="17" t="s">
        <v>783</v>
      </c>
      <c r="AK348" s="12"/>
      <c r="AL348" s="12" t="s">
        <v>33</v>
      </c>
      <c r="AZ348" s="1">
        <f t="shared" si="32"/>
        <v>0</v>
      </c>
      <c r="BJ348" s="1">
        <f t="shared" si="30"/>
        <v>0</v>
      </c>
      <c r="BL348" s="1">
        <f>+GenRev!AM348-GenExp!BJ348</f>
        <v>0</v>
      </c>
      <c r="BS348" s="1">
        <f t="shared" si="33"/>
        <v>0</v>
      </c>
      <c r="BU348" s="20">
        <f>+BS348-'Gen Fd BS'!AA348+BQ348</f>
        <v>0</v>
      </c>
    </row>
    <row r="349" spans="1:73">
      <c r="A349" s="12" t="s">
        <v>780</v>
      </c>
      <c r="B349" s="12"/>
      <c r="C349" s="12" t="s">
        <v>64</v>
      </c>
      <c r="D349" s="12"/>
      <c r="E349" s="13">
        <v>50229</v>
      </c>
      <c r="G349" s="1">
        <v>3647139</v>
      </c>
      <c r="I349" s="1">
        <v>484765</v>
      </c>
      <c r="K349" s="1">
        <v>50304</v>
      </c>
      <c r="M349" s="1">
        <v>0</v>
      </c>
      <c r="O349" s="1">
        <v>251994</v>
      </c>
      <c r="Q349" s="1">
        <v>74670</v>
      </c>
      <c r="S349" s="1">
        <v>22332</v>
      </c>
      <c r="U349" s="1">
        <v>476536</v>
      </c>
      <c r="W349" s="1">
        <v>313755</v>
      </c>
      <c r="Y349" s="1">
        <v>0</v>
      </c>
      <c r="AA349" s="1">
        <v>422208</v>
      </c>
      <c r="AC349" s="1">
        <v>130042</v>
      </c>
      <c r="AE349" s="1">
        <v>24046</v>
      </c>
      <c r="AG349" s="1">
        <v>0</v>
      </c>
      <c r="AI349" s="1">
        <v>0</v>
      </c>
      <c r="AJ349" s="12" t="s">
        <v>780</v>
      </c>
      <c r="AK349" s="12"/>
      <c r="AL349" s="12" t="s">
        <v>64</v>
      </c>
      <c r="AN349" s="1">
        <v>145206</v>
      </c>
      <c r="AP349" s="1">
        <v>0</v>
      </c>
      <c r="AR349" s="1">
        <v>0</v>
      </c>
      <c r="AT349" s="1">
        <v>27135</v>
      </c>
      <c r="AV349" s="1">
        <v>35159</v>
      </c>
      <c r="AX349" s="1">
        <v>0</v>
      </c>
      <c r="AZ349" s="1">
        <f t="shared" si="32"/>
        <v>6105291</v>
      </c>
      <c r="BB349" s="1">
        <v>0</v>
      </c>
      <c r="BH349" s="1">
        <v>0</v>
      </c>
      <c r="BJ349" s="1">
        <f t="shared" si="30"/>
        <v>6105291</v>
      </c>
      <c r="BL349" s="1">
        <f>+GenRev!AM349-GenExp!BJ349</f>
        <v>-142536</v>
      </c>
      <c r="BN349" s="1">
        <v>-2320110</v>
      </c>
      <c r="BP349" s="1">
        <v>0</v>
      </c>
      <c r="BQ349" s="1">
        <v>0</v>
      </c>
      <c r="BS349" s="1">
        <f t="shared" si="33"/>
        <v>-2462646</v>
      </c>
      <c r="BU349" s="20">
        <f>+BS349-'Gen Fd BS'!AA349+BQ349</f>
        <v>0</v>
      </c>
    </row>
    <row r="350" spans="1:73">
      <c r="A350" s="12" t="s">
        <v>241</v>
      </c>
      <c r="B350" s="12"/>
      <c r="C350" s="12" t="s">
        <v>240</v>
      </c>
      <c r="D350" s="12"/>
      <c r="E350" s="13">
        <v>45484</v>
      </c>
      <c r="G350" s="1">
        <v>3798208</v>
      </c>
      <c r="I350" s="1">
        <v>991492</v>
      </c>
      <c r="K350" s="1">
        <v>156367</v>
      </c>
      <c r="M350" s="1">
        <v>0</v>
      </c>
      <c r="O350" s="1">
        <v>337900</v>
      </c>
      <c r="Q350" s="1">
        <v>278364</v>
      </c>
      <c r="S350" s="1">
        <v>66657</v>
      </c>
      <c r="U350" s="1">
        <v>889681</v>
      </c>
      <c r="W350" s="1">
        <v>297830</v>
      </c>
      <c r="Y350" s="1">
        <v>0</v>
      </c>
      <c r="AA350" s="1">
        <v>1028929</v>
      </c>
      <c r="AC350" s="1">
        <v>747368</v>
      </c>
      <c r="AE350" s="1">
        <v>116831</v>
      </c>
      <c r="AG350" s="1">
        <v>0</v>
      </c>
      <c r="AI350" s="1">
        <v>0</v>
      </c>
      <c r="AJ350" s="12" t="s">
        <v>241</v>
      </c>
      <c r="AK350" s="12"/>
      <c r="AL350" s="12" t="s">
        <v>240</v>
      </c>
      <c r="AN350" s="1">
        <v>197340</v>
      </c>
      <c r="AP350" s="1">
        <v>0</v>
      </c>
      <c r="AR350" s="1">
        <v>0</v>
      </c>
      <c r="AT350" s="1">
        <v>0</v>
      </c>
      <c r="AV350" s="1">
        <v>0</v>
      </c>
      <c r="AX350" s="1">
        <v>0</v>
      </c>
      <c r="AZ350" s="1">
        <f t="shared" si="32"/>
        <v>8906967</v>
      </c>
      <c r="BB350" s="1">
        <v>39204</v>
      </c>
      <c r="BH350" s="1">
        <v>0</v>
      </c>
      <c r="BJ350" s="1">
        <f t="shared" si="30"/>
        <v>8946171</v>
      </c>
      <c r="BL350" s="1">
        <f>+GenRev!AM350-GenExp!BJ350</f>
        <v>-790515</v>
      </c>
      <c r="BN350" s="1">
        <v>1949130</v>
      </c>
      <c r="BP350" s="1">
        <v>0</v>
      </c>
      <c r="BQ350" s="1">
        <v>0</v>
      </c>
      <c r="BS350" s="1">
        <f t="shared" si="33"/>
        <v>1158615</v>
      </c>
      <c r="BU350" s="20">
        <f>+BS350-'Gen Fd BS'!AA350+BQ350</f>
        <v>0</v>
      </c>
    </row>
    <row r="351" spans="1:73">
      <c r="A351" s="12" t="s">
        <v>482</v>
      </c>
      <c r="B351" s="12"/>
      <c r="C351" s="12" t="s">
        <v>47</v>
      </c>
      <c r="D351" s="12"/>
      <c r="E351" s="13">
        <v>44388</v>
      </c>
      <c r="G351" s="1">
        <v>37913393</v>
      </c>
      <c r="I351" s="1">
        <v>7509983</v>
      </c>
      <c r="K351" s="1">
        <v>548059</v>
      </c>
      <c r="M351" s="1">
        <v>176667</v>
      </c>
      <c r="O351" s="1">
        <v>3820656</v>
      </c>
      <c r="Q351" s="1">
        <v>5021245</v>
      </c>
      <c r="S351" s="1">
        <v>38526</v>
      </c>
      <c r="U351" s="1">
        <v>5081627</v>
      </c>
      <c r="W351" s="1">
        <v>1189270</v>
      </c>
      <c r="Y351" s="1">
        <v>502961</v>
      </c>
      <c r="AA351" s="1">
        <v>6863872</v>
      </c>
      <c r="AC351" s="1">
        <v>2771151</v>
      </c>
      <c r="AE351" s="1">
        <v>399421</v>
      </c>
      <c r="AG351" s="1">
        <v>0</v>
      </c>
      <c r="AI351" s="1">
        <v>93691</v>
      </c>
      <c r="AJ351" s="12" t="s">
        <v>482</v>
      </c>
      <c r="AK351" s="12"/>
      <c r="AL351" s="12" t="s">
        <v>47</v>
      </c>
      <c r="AN351" s="1">
        <v>1310030</v>
      </c>
      <c r="AP351" s="1">
        <v>266356</v>
      </c>
      <c r="AR351" s="1">
        <v>0</v>
      </c>
      <c r="AT351" s="1">
        <v>163142</v>
      </c>
      <c r="AV351" s="1">
        <v>22877</v>
      </c>
      <c r="AX351" s="1">
        <v>0</v>
      </c>
      <c r="AZ351" s="1">
        <f t="shared" si="32"/>
        <v>73692927</v>
      </c>
      <c r="BB351" s="1">
        <v>406630</v>
      </c>
      <c r="BH351" s="1">
        <v>0</v>
      </c>
      <c r="BJ351" s="1">
        <f t="shared" si="30"/>
        <v>74099557</v>
      </c>
      <c r="BL351" s="1">
        <f>+GenRev!AM351-GenExp!BJ351</f>
        <v>-1826404</v>
      </c>
      <c r="BN351" s="1">
        <v>11241019</v>
      </c>
      <c r="BP351" s="1">
        <v>0</v>
      </c>
      <c r="BQ351" s="1">
        <v>0</v>
      </c>
      <c r="BS351" s="1">
        <f t="shared" si="33"/>
        <v>9414615</v>
      </c>
      <c r="BU351" s="20">
        <f>+BS351-'Gen Fd BS'!AA351+BQ351</f>
        <v>0</v>
      </c>
    </row>
    <row r="352" spans="1:73">
      <c r="A352" s="12" t="s">
        <v>485</v>
      </c>
      <c r="B352" s="12"/>
      <c r="C352" s="12" t="s">
        <v>484</v>
      </c>
      <c r="D352" s="12"/>
      <c r="E352" s="13">
        <v>48520</v>
      </c>
      <c r="G352" s="1">
        <v>6497379</v>
      </c>
      <c r="I352" s="1">
        <v>832064</v>
      </c>
      <c r="K352" s="1">
        <v>1339175</v>
      </c>
      <c r="M352" s="1">
        <f>6500+61931+1407779</f>
        <v>1476210</v>
      </c>
      <c r="O352" s="1">
        <v>379928</v>
      </c>
      <c r="Q352" s="1">
        <v>400485</v>
      </c>
      <c r="S352" s="1">
        <v>50528</v>
      </c>
      <c r="U352" s="1">
        <v>1226981</v>
      </c>
      <c r="W352" s="1">
        <v>470817</v>
      </c>
      <c r="Y352" s="1">
        <v>0</v>
      </c>
      <c r="AA352" s="1">
        <v>1693939</v>
      </c>
      <c r="AC352" s="1">
        <v>1572730</v>
      </c>
      <c r="AE352" s="1">
        <v>0</v>
      </c>
      <c r="AG352" s="1">
        <v>0</v>
      </c>
      <c r="AI352" s="1">
        <v>0</v>
      </c>
      <c r="AJ352" s="12" t="s">
        <v>485</v>
      </c>
      <c r="AK352" s="12"/>
      <c r="AL352" s="12" t="s">
        <v>484</v>
      </c>
      <c r="AN352" s="1">
        <v>181815</v>
      </c>
      <c r="AP352" s="1">
        <v>5500</v>
      </c>
      <c r="AR352" s="1">
        <v>0</v>
      </c>
      <c r="AT352" s="1">
        <v>0</v>
      </c>
      <c r="AV352" s="1">
        <v>0</v>
      </c>
      <c r="AX352" s="1">
        <v>0</v>
      </c>
      <c r="AZ352" s="1">
        <f t="shared" si="32"/>
        <v>16127551</v>
      </c>
      <c r="BB352" s="1">
        <v>55000</v>
      </c>
      <c r="BH352" s="1">
        <v>0</v>
      </c>
      <c r="BJ352" s="1">
        <f t="shared" si="30"/>
        <v>16182551</v>
      </c>
      <c r="BL352" s="1">
        <f>+GenRev!AM352-GenExp!BJ352</f>
        <v>748580</v>
      </c>
      <c r="BN352" s="1">
        <v>-1734799</v>
      </c>
      <c r="BP352" s="1">
        <v>0</v>
      </c>
      <c r="BQ352" s="1">
        <v>0</v>
      </c>
      <c r="BS352" s="1">
        <f t="shared" si="33"/>
        <v>-986219</v>
      </c>
      <c r="BU352" s="20">
        <f>+BS352-'Gen Fd BS'!AA352+BQ352</f>
        <v>0</v>
      </c>
    </row>
    <row r="353" spans="1:73">
      <c r="A353" s="12" t="s">
        <v>416</v>
      </c>
      <c r="B353" s="12"/>
      <c r="C353" s="12" t="s">
        <v>41</v>
      </c>
      <c r="D353" s="12"/>
      <c r="E353" s="13">
        <v>45492</v>
      </c>
      <c r="F353" s="8"/>
      <c r="G353" s="1">
        <v>44128039</v>
      </c>
      <c r="I353" s="1">
        <v>10388760</v>
      </c>
      <c r="K353" s="1">
        <v>2005475</v>
      </c>
      <c r="M353" s="1">
        <v>234632</v>
      </c>
      <c r="O353" s="1">
        <v>5367154</v>
      </c>
      <c r="Q353" s="1">
        <v>5061178</v>
      </c>
      <c r="S353" s="1">
        <v>601620</v>
      </c>
      <c r="U353" s="1">
        <v>5340173</v>
      </c>
      <c r="W353" s="1">
        <v>2117955</v>
      </c>
      <c r="Y353" s="1">
        <v>672979</v>
      </c>
      <c r="AA353" s="1">
        <v>8169726</v>
      </c>
      <c r="AC353" s="1">
        <v>5898724</v>
      </c>
      <c r="AE353" s="1">
        <v>2051722</v>
      </c>
      <c r="AG353" s="1">
        <v>0</v>
      </c>
      <c r="AI353" s="1">
        <v>68901</v>
      </c>
      <c r="AJ353" s="12" t="s">
        <v>416</v>
      </c>
      <c r="AK353" s="12"/>
      <c r="AL353" s="12" t="s">
        <v>41</v>
      </c>
      <c r="AN353" s="1">
        <v>1387679</v>
      </c>
      <c r="AP353" s="1">
        <v>0</v>
      </c>
      <c r="AR353" s="1">
        <v>0</v>
      </c>
      <c r="AT353" s="1">
        <v>39615</v>
      </c>
      <c r="AV353" s="1">
        <v>17516</v>
      </c>
      <c r="AX353" s="1">
        <v>0</v>
      </c>
      <c r="AZ353" s="1">
        <f t="shared" si="32"/>
        <v>93551848</v>
      </c>
      <c r="BB353" s="1">
        <v>1665063</v>
      </c>
      <c r="BH353" s="1">
        <v>0</v>
      </c>
      <c r="BJ353" s="1">
        <f t="shared" si="30"/>
        <v>95216911</v>
      </c>
      <c r="BL353" s="1">
        <f>+GenRev!AM353-GenExp!BJ353</f>
        <v>7104168</v>
      </c>
      <c r="BN353" s="1">
        <v>41868984</v>
      </c>
      <c r="BP353" s="1">
        <v>0</v>
      </c>
      <c r="BQ353" s="1">
        <v>0</v>
      </c>
      <c r="BS353" s="1">
        <f t="shared" si="33"/>
        <v>48973152</v>
      </c>
      <c r="BU353" s="20">
        <f>+BS353-'Gen Fd BS'!AA353+BQ353</f>
        <v>0</v>
      </c>
    </row>
    <row r="354" spans="1:73">
      <c r="A354" s="12" t="s">
        <v>488</v>
      </c>
      <c r="B354" s="12"/>
      <c r="C354" s="12" t="s">
        <v>48</v>
      </c>
      <c r="D354" s="12"/>
      <c r="E354" s="13">
        <v>48629</v>
      </c>
      <c r="G354" s="1">
        <v>5816422</v>
      </c>
      <c r="I354" s="1">
        <v>570029</v>
      </c>
      <c r="K354" s="1">
        <v>124908</v>
      </c>
      <c r="M354" s="1">
        <v>11368</v>
      </c>
      <c r="O354" s="1">
        <v>293028</v>
      </c>
      <c r="Q354" s="1">
        <v>256474</v>
      </c>
      <c r="S354" s="1">
        <v>82412</v>
      </c>
      <c r="U354" s="1">
        <v>816053</v>
      </c>
      <c r="W354" s="1">
        <v>333633</v>
      </c>
      <c r="Y354" s="1">
        <v>45757</v>
      </c>
      <c r="AA354" s="1">
        <v>683018</v>
      </c>
      <c r="AC354" s="1">
        <v>740773</v>
      </c>
      <c r="AE354" s="1">
        <v>215716</v>
      </c>
      <c r="AG354" s="1">
        <v>0</v>
      </c>
      <c r="AI354" s="1">
        <v>479</v>
      </c>
      <c r="AJ354" s="12" t="s">
        <v>488</v>
      </c>
      <c r="AK354" s="12"/>
      <c r="AL354" s="12" t="s">
        <v>48</v>
      </c>
      <c r="AN354" s="1">
        <v>255143</v>
      </c>
      <c r="AP354" s="1">
        <v>14041</v>
      </c>
      <c r="AR354" s="1">
        <v>0</v>
      </c>
      <c r="AT354" s="1">
        <v>0</v>
      </c>
      <c r="AV354" s="1">
        <v>0</v>
      </c>
      <c r="AX354" s="1">
        <v>0</v>
      </c>
      <c r="AZ354" s="1">
        <f t="shared" si="32"/>
        <v>10259254</v>
      </c>
      <c r="BB354" s="1">
        <v>464087</v>
      </c>
      <c r="BH354" s="1">
        <v>0</v>
      </c>
      <c r="BJ354" s="1">
        <f t="shared" si="30"/>
        <v>10723341</v>
      </c>
      <c r="BL354" s="1">
        <f>+GenRev!AM354-GenExp!BJ354</f>
        <v>-84832</v>
      </c>
      <c r="BN354" s="1">
        <v>222197</v>
      </c>
      <c r="BP354" s="1">
        <v>0</v>
      </c>
      <c r="BQ354" s="1">
        <v>0</v>
      </c>
      <c r="BS354" s="1">
        <f t="shared" si="33"/>
        <v>137365</v>
      </c>
      <c r="BU354" s="20">
        <f>+BS354-'Gen Fd BS'!AA354+BQ354</f>
        <v>0</v>
      </c>
    </row>
    <row r="355" spans="1:73">
      <c r="A355" s="12" t="s">
        <v>327</v>
      </c>
      <c r="B355" s="12"/>
      <c r="C355" s="12" t="s">
        <v>26</v>
      </c>
      <c r="D355" s="12"/>
      <c r="E355" s="13">
        <v>46920</v>
      </c>
      <c r="F355" s="8"/>
      <c r="G355" s="1">
        <v>8366810</v>
      </c>
      <c r="I355" s="1">
        <v>1569124</v>
      </c>
      <c r="K355" s="1">
        <v>402856</v>
      </c>
      <c r="M355" s="1">
        <v>1558393</v>
      </c>
      <c r="O355" s="1">
        <v>948319</v>
      </c>
      <c r="Q355" s="1">
        <v>1450699</v>
      </c>
      <c r="S355" s="1">
        <v>28608</v>
      </c>
      <c r="U355" s="1">
        <v>1856416</v>
      </c>
      <c r="W355" s="1">
        <v>642796</v>
      </c>
      <c r="Y355" s="1">
        <v>112511</v>
      </c>
      <c r="AA355" s="1">
        <v>1887453</v>
      </c>
      <c r="AC355" s="1">
        <v>1803130</v>
      </c>
      <c r="AE355" s="1">
        <v>114037</v>
      </c>
      <c r="AG355" s="1">
        <v>0</v>
      </c>
      <c r="AI355" s="1">
        <v>0</v>
      </c>
      <c r="AJ355" s="12" t="s">
        <v>327</v>
      </c>
      <c r="AK355" s="12"/>
      <c r="AL355" s="12" t="s">
        <v>26</v>
      </c>
      <c r="AN355" s="1">
        <v>218742</v>
      </c>
      <c r="AP355" s="1">
        <v>473</v>
      </c>
      <c r="AR355" s="1">
        <v>0</v>
      </c>
      <c r="AT355" s="1">
        <v>0</v>
      </c>
      <c r="AV355" s="1">
        <v>0</v>
      </c>
      <c r="AX355" s="1">
        <v>0</v>
      </c>
      <c r="AZ355" s="1">
        <f t="shared" si="32"/>
        <v>20960367</v>
      </c>
      <c r="BB355" s="1">
        <v>88729</v>
      </c>
      <c r="BH355" s="1">
        <v>0</v>
      </c>
      <c r="BJ355" s="1">
        <f t="shared" si="30"/>
        <v>21049096</v>
      </c>
      <c r="BL355" s="1">
        <f>+GenRev!AM355-GenExp!BJ355</f>
        <v>1130812</v>
      </c>
      <c r="BN355" s="1">
        <v>6596395</v>
      </c>
      <c r="BP355" s="1">
        <v>0</v>
      </c>
      <c r="BQ355" s="1">
        <v>0</v>
      </c>
      <c r="BS355" s="1">
        <f t="shared" si="33"/>
        <v>7727207</v>
      </c>
      <c r="BU355" s="20">
        <f>+BS355-'Gen Fd BS'!AA355+BQ355</f>
        <v>0</v>
      </c>
    </row>
    <row r="356" spans="1:73">
      <c r="A356" s="12" t="s">
        <v>501</v>
      </c>
      <c r="B356" s="12"/>
      <c r="C356" s="12" t="s">
        <v>50</v>
      </c>
      <c r="D356" s="12"/>
      <c r="E356" s="13">
        <v>44396</v>
      </c>
      <c r="G356" s="1">
        <v>22742183</v>
      </c>
      <c r="I356" s="1">
        <v>6081199</v>
      </c>
      <c r="K356" s="1">
        <v>644851</v>
      </c>
      <c r="M356" s="1">
        <v>79831</v>
      </c>
      <c r="O356" s="1">
        <v>4099416</v>
      </c>
      <c r="Q356" s="1">
        <v>1128487</v>
      </c>
      <c r="S356" s="1">
        <v>30936</v>
      </c>
      <c r="U356" s="1">
        <v>2424252</v>
      </c>
      <c r="W356" s="1">
        <v>744620</v>
      </c>
      <c r="Y356" s="1">
        <v>283949</v>
      </c>
      <c r="AA356" s="1">
        <v>3572228</v>
      </c>
      <c r="AC356" s="1">
        <v>2420679</v>
      </c>
      <c r="AE356" s="1">
        <v>488408</v>
      </c>
      <c r="AG356" s="1">
        <v>0</v>
      </c>
      <c r="AI356" s="1">
        <v>0</v>
      </c>
      <c r="AJ356" s="12" t="s">
        <v>501</v>
      </c>
      <c r="AK356" s="12"/>
      <c r="AL356" s="12" t="s">
        <v>50</v>
      </c>
      <c r="AN356" s="1">
        <v>512399</v>
      </c>
      <c r="AP356" s="1">
        <v>0</v>
      </c>
      <c r="AR356" s="1">
        <v>0</v>
      </c>
      <c r="AT356" s="1">
        <v>0</v>
      </c>
      <c r="AV356" s="1">
        <v>0</v>
      </c>
      <c r="AX356" s="1">
        <v>0</v>
      </c>
      <c r="AZ356" s="1">
        <f t="shared" si="32"/>
        <v>45253438</v>
      </c>
      <c r="BB356" s="1">
        <v>213350</v>
      </c>
      <c r="BH356" s="1">
        <v>0</v>
      </c>
      <c r="BJ356" s="1">
        <f t="shared" si="30"/>
        <v>45466788</v>
      </c>
      <c r="BL356" s="1">
        <f>+GenRev!AM356-GenExp!BJ356</f>
        <v>-4151443</v>
      </c>
      <c r="BN356" s="1">
        <v>-19183</v>
      </c>
      <c r="BP356" s="1">
        <v>0</v>
      </c>
      <c r="BQ356" s="1">
        <v>0</v>
      </c>
      <c r="BS356" s="1">
        <f t="shared" si="33"/>
        <v>-4170626</v>
      </c>
      <c r="BU356" s="20">
        <f>+BS356-'Gen Fd BS'!AA356+BQ356</f>
        <v>0</v>
      </c>
    </row>
    <row r="357" spans="1:73">
      <c r="A357" s="12" t="s">
        <v>232</v>
      </c>
      <c r="B357" s="12"/>
      <c r="C357" s="12" t="s">
        <v>227</v>
      </c>
      <c r="D357" s="12"/>
      <c r="E357" s="13">
        <v>44404</v>
      </c>
      <c r="G357" s="1">
        <v>21227683</v>
      </c>
      <c r="I357" s="1">
        <v>271078</v>
      </c>
      <c r="K357" s="1">
        <v>0</v>
      </c>
      <c r="M357" s="1">
        <f>58248+886977</f>
        <v>945225</v>
      </c>
      <c r="O357" s="1">
        <v>4102482</v>
      </c>
      <c r="Q357" s="1">
        <v>1953708</v>
      </c>
      <c r="S357" s="1">
        <v>101002</v>
      </c>
      <c r="U357" s="1">
        <v>5289745</v>
      </c>
      <c r="W357" s="1">
        <v>1056515</v>
      </c>
      <c r="Y357" s="1">
        <v>485305</v>
      </c>
      <c r="AA357" s="1">
        <v>4736567</v>
      </c>
      <c r="AC357" s="1">
        <v>8775</v>
      </c>
      <c r="AE357" s="1">
        <v>500521</v>
      </c>
      <c r="AG357" s="1">
        <v>0</v>
      </c>
      <c r="AI357" s="1">
        <v>29531</v>
      </c>
      <c r="AJ357" s="12" t="s">
        <v>232</v>
      </c>
      <c r="AK357" s="12"/>
      <c r="AL357" s="12" t="s">
        <v>227</v>
      </c>
      <c r="AN357" s="1">
        <v>33321</v>
      </c>
      <c r="AP357" s="1">
        <v>217558</v>
      </c>
      <c r="AR357" s="1">
        <v>0</v>
      </c>
      <c r="AT357" s="1">
        <v>326125</v>
      </c>
      <c r="AV357" s="1">
        <v>93133</v>
      </c>
      <c r="AX357" s="1">
        <v>0</v>
      </c>
      <c r="AZ357" s="1">
        <f t="shared" si="32"/>
        <v>41378274</v>
      </c>
      <c r="BB357" s="1">
        <v>699567</v>
      </c>
      <c r="BH357" s="1">
        <v>0</v>
      </c>
      <c r="BJ357" s="1">
        <f t="shared" si="30"/>
        <v>42077841</v>
      </c>
      <c r="BL357" s="1">
        <f>+GenRev!AM357-GenExp!BJ357</f>
        <v>5694227</v>
      </c>
      <c r="BN357" s="1">
        <v>-332700</v>
      </c>
      <c r="BP357" s="1">
        <v>0</v>
      </c>
      <c r="BQ357" s="1">
        <v>0</v>
      </c>
      <c r="BS357" s="1">
        <f t="shared" si="33"/>
        <v>5361527</v>
      </c>
      <c r="BU357" s="20">
        <f>+BS357-'Gen Fd BS'!AA357+BQ357</f>
        <v>0</v>
      </c>
    </row>
    <row r="358" spans="1:73">
      <c r="A358" s="12" t="s">
        <v>444</v>
      </c>
      <c r="B358" s="12"/>
      <c r="C358" s="12" t="s">
        <v>44</v>
      </c>
      <c r="D358" s="12"/>
      <c r="E358" s="13">
        <v>48173</v>
      </c>
      <c r="G358" s="1">
        <v>11419101</v>
      </c>
      <c r="I358" s="1">
        <v>2181008</v>
      </c>
      <c r="K358" s="1">
        <v>129961</v>
      </c>
      <c r="M358" s="1">
        <v>33735</v>
      </c>
      <c r="O358" s="1">
        <v>1460500</v>
      </c>
      <c r="Q358" s="1">
        <v>445593</v>
      </c>
      <c r="S358" s="1">
        <v>946555</v>
      </c>
      <c r="U358" s="1">
        <v>2539163</v>
      </c>
      <c r="W358" s="1">
        <v>628428</v>
      </c>
      <c r="Y358" s="1">
        <v>416011</v>
      </c>
      <c r="AA358" s="1">
        <v>2233221</v>
      </c>
      <c r="AC358" s="1">
        <v>1337856</v>
      </c>
      <c r="AE358" s="1">
        <v>0</v>
      </c>
      <c r="AG358" s="1">
        <v>0</v>
      </c>
      <c r="AI358" s="1">
        <v>7481</v>
      </c>
      <c r="AJ358" s="12" t="s">
        <v>444</v>
      </c>
      <c r="AK358" s="12"/>
      <c r="AL358" s="12" t="s">
        <v>44</v>
      </c>
      <c r="AN358" s="1">
        <f>39502+331966+29454</f>
        <v>400922</v>
      </c>
      <c r="AP358" s="1">
        <v>52752</v>
      </c>
      <c r="AR358" s="1">
        <v>0</v>
      </c>
      <c r="AT358" s="1">
        <v>194407</v>
      </c>
      <c r="AV358" s="1">
        <v>2977</v>
      </c>
      <c r="AX358" s="1">
        <v>0</v>
      </c>
      <c r="AZ358" s="1">
        <f t="shared" si="32"/>
        <v>24429671</v>
      </c>
      <c r="BB358" s="1">
        <v>348658</v>
      </c>
      <c r="BH358" s="1">
        <v>0</v>
      </c>
      <c r="BJ358" s="1">
        <f t="shared" si="30"/>
        <v>24778329</v>
      </c>
      <c r="BL358" s="1">
        <f>+GenRev!AM358-GenExp!BJ358</f>
        <v>593463</v>
      </c>
      <c r="BN358" s="1">
        <v>2717591</v>
      </c>
      <c r="BP358" s="1">
        <v>0</v>
      </c>
      <c r="BQ358" s="1">
        <v>0</v>
      </c>
      <c r="BS358" s="1">
        <f t="shared" si="33"/>
        <v>3311054</v>
      </c>
      <c r="BU358" s="20">
        <f>+BS358-'Gen Fd BS'!AA358+BQ358</f>
        <v>0</v>
      </c>
    </row>
    <row r="359" spans="1:73">
      <c r="A359" s="12" t="s">
        <v>255</v>
      </c>
      <c r="B359" s="12"/>
      <c r="C359" s="12" t="s">
        <v>115</v>
      </c>
      <c r="D359" s="12"/>
      <c r="E359" s="13">
        <v>45500</v>
      </c>
      <c r="G359" s="1">
        <v>26242176</v>
      </c>
      <c r="I359" s="1">
        <v>6373683</v>
      </c>
      <c r="K359" s="1">
        <v>304311</v>
      </c>
      <c r="M359" s="1">
        <v>0</v>
      </c>
      <c r="O359" s="1">
        <v>1851714</v>
      </c>
      <c r="Q359" s="1">
        <v>3530324</v>
      </c>
      <c r="S359" s="1">
        <v>92912</v>
      </c>
      <c r="U359" s="1">
        <v>2856934</v>
      </c>
      <c r="W359" s="1">
        <v>1301562</v>
      </c>
      <c r="Y359" s="1">
        <v>406174</v>
      </c>
      <c r="AA359" s="1">
        <v>5282725</v>
      </c>
      <c r="AC359" s="1">
        <v>4777865</v>
      </c>
      <c r="AE359" s="1">
        <v>815162</v>
      </c>
      <c r="AG359" s="1">
        <v>0</v>
      </c>
      <c r="AI359" s="1">
        <v>0</v>
      </c>
      <c r="AJ359" s="12" t="s">
        <v>255</v>
      </c>
      <c r="AK359" s="12"/>
      <c r="AL359" s="12" t="s">
        <v>115</v>
      </c>
      <c r="AN359" s="1">
        <v>1090441</v>
      </c>
      <c r="AP359" s="1">
        <v>66220</v>
      </c>
      <c r="AR359" s="1">
        <v>0</v>
      </c>
      <c r="AT359" s="1">
        <v>156715</v>
      </c>
      <c r="AV359" s="1">
        <v>38703</v>
      </c>
      <c r="AX359" s="1">
        <v>0</v>
      </c>
      <c r="AZ359" s="1">
        <f t="shared" si="32"/>
        <v>55187621</v>
      </c>
      <c r="BB359" s="1">
        <v>15298</v>
      </c>
      <c r="BH359" s="1">
        <v>0</v>
      </c>
      <c r="BJ359" s="1">
        <f t="shared" si="30"/>
        <v>55202919</v>
      </c>
      <c r="BL359" s="1">
        <f>+GenRev!AM359-GenExp!BJ359</f>
        <v>4175675</v>
      </c>
      <c r="BN359" s="1">
        <v>5036111</v>
      </c>
      <c r="BP359" s="1">
        <v>0</v>
      </c>
      <c r="BQ359" s="1">
        <v>0</v>
      </c>
      <c r="BS359" s="1">
        <f t="shared" si="33"/>
        <v>9211786</v>
      </c>
      <c r="BU359" s="20">
        <f>+BS359-'Gen Fd BS'!AA359+BQ359</f>
        <v>0</v>
      </c>
    </row>
    <row r="360" spans="1:73" hidden="1">
      <c r="A360" s="17" t="s">
        <v>734</v>
      </c>
      <c r="B360" s="12"/>
      <c r="C360" s="12" t="s">
        <v>643</v>
      </c>
      <c r="D360" s="12"/>
      <c r="E360" s="13">
        <v>50633</v>
      </c>
      <c r="F360" s="8"/>
      <c r="AJ360" s="17" t="s">
        <v>734</v>
      </c>
      <c r="AK360" s="12"/>
      <c r="AL360" s="12" t="s">
        <v>643</v>
      </c>
      <c r="AZ360" s="1">
        <f t="shared" si="32"/>
        <v>0</v>
      </c>
      <c r="BJ360" s="1">
        <f t="shared" si="30"/>
        <v>0</v>
      </c>
      <c r="BL360" s="1">
        <f>+GenRev!AM360-GenExp!BJ360</f>
        <v>0</v>
      </c>
      <c r="BS360" s="1">
        <f t="shared" si="33"/>
        <v>0</v>
      </c>
      <c r="BU360" s="20">
        <f>+BS360-'Gen Fd BS'!AA360+BQ360</f>
        <v>0</v>
      </c>
    </row>
    <row r="361" spans="1:73" hidden="1">
      <c r="A361" s="12" t="s">
        <v>851</v>
      </c>
      <c r="B361" s="12"/>
      <c r="C361" s="12" t="s">
        <v>542</v>
      </c>
      <c r="D361" s="12"/>
      <c r="E361" s="13">
        <v>49361</v>
      </c>
      <c r="AJ361" s="12" t="s">
        <v>851</v>
      </c>
      <c r="AK361" s="12"/>
      <c r="AL361" s="12" t="s">
        <v>542</v>
      </c>
      <c r="AZ361" s="1">
        <f t="shared" si="32"/>
        <v>0</v>
      </c>
      <c r="BJ361" s="1">
        <f t="shared" si="30"/>
        <v>0</v>
      </c>
      <c r="BL361" s="1">
        <f>+GenRev!AM361-GenExp!BJ361</f>
        <v>0</v>
      </c>
      <c r="BS361" s="1">
        <f t="shared" si="33"/>
        <v>0</v>
      </c>
      <c r="BU361" s="20">
        <f>+BS361-'Gen Fd BS'!AA361+BQ361</f>
        <v>0</v>
      </c>
    </row>
    <row r="362" spans="1:73">
      <c r="A362" s="12" t="s">
        <v>489</v>
      </c>
      <c r="B362" s="12"/>
      <c r="C362" s="12" t="s">
        <v>48</v>
      </c>
      <c r="D362" s="12"/>
      <c r="E362" s="13">
        <v>45518</v>
      </c>
      <c r="G362" s="1">
        <v>7899276</v>
      </c>
      <c r="I362" s="1">
        <v>0</v>
      </c>
      <c r="K362" s="1">
        <v>0</v>
      </c>
      <c r="M362" s="1">
        <v>0</v>
      </c>
      <c r="O362" s="1">
        <v>792361</v>
      </c>
      <c r="Q362" s="1">
        <v>675802</v>
      </c>
      <c r="S362" s="1">
        <v>100276</v>
      </c>
      <c r="U362" s="1">
        <v>1112273</v>
      </c>
      <c r="W362" s="1">
        <v>414561</v>
      </c>
      <c r="Y362" s="1">
        <v>132804</v>
      </c>
      <c r="AA362" s="1">
        <v>692676</v>
      </c>
      <c r="AC362" s="1">
        <v>634715</v>
      </c>
      <c r="AE362" s="1">
        <v>270829</v>
      </c>
      <c r="AG362" s="1">
        <v>0</v>
      </c>
      <c r="AI362" s="1">
        <v>0</v>
      </c>
      <c r="AJ362" s="12" t="s">
        <v>489</v>
      </c>
      <c r="AK362" s="12"/>
      <c r="AL362" s="12" t="s">
        <v>48</v>
      </c>
      <c r="AN362" s="1">
        <v>44518</v>
      </c>
      <c r="AP362" s="1">
        <v>0</v>
      </c>
      <c r="AR362" s="1">
        <v>0</v>
      </c>
      <c r="AT362" s="1">
        <v>0</v>
      </c>
      <c r="AV362" s="1">
        <v>0</v>
      </c>
      <c r="AX362" s="1">
        <v>0</v>
      </c>
      <c r="AZ362" s="1">
        <f t="shared" si="32"/>
        <v>12770091</v>
      </c>
      <c r="BB362" s="1">
        <v>383000</v>
      </c>
      <c r="BH362" s="1">
        <v>0</v>
      </c>
      <c r="BJ362" s="1">
        <f t="shared" ref="BJ362:BJ375" si="34">+AZ362+BB362+BD362+BH362</f>
        <v>13153091</v>
      </c>
      <c r="BL362" s="1">
        <f>+GenRev!AM362-GenExp!BJ362</f>
        <v>233502</v>
      </c>
      <c r="BN362" s="1">
        <v>3734736</v>
      </c>
      <c r="BP362" s="1">
        <v>-824</v>
      </c>
      <c r="BQ362" s="1">
        <v>0</v>
      </c>
      <c r="BS362" s="1">
        <f t="shared" si="33"/>
        <v>3969062</v>
      </c>
      <c r="BU362" s="20">
        <f>+BS362-'Gen Fd BS'!AA362+BQ362</f>
        <v>0</v>
      </c>
    </row>
    <row r="363" spans="1:73">
      <c r="A363" s="12" t="s">
        <v>581</v>
      </c>
      <c r="B363" s="12"/>
      <c r="C363" s="12" t="s">
        <v>62</v>
      </c>
      <c r="D363" s="12"/>
      <c r="E363" s="13">
        <v>49890</v>
      </c>
      <c r="G363" s="1">
        <v>8076049</v>
      </c>
      <c r="I363" s="1">
        <v>1433724</v>
      </c>
      <c r="K363" s="1">
        <v>6398</v>
      </c>
      <c r="M363" s="1">
        <v>4628</v>
      </c>
      <c r="O363" s="1">
        <v>703742</v>
      </c>
      <c r="Q363" s="1">
        <v>841983</v>
      </c>
      <c r="S363" s="1">
        <v>91743</v>
      </c>
      <c r="U363" s="1">
        <v>1145682</v>
      </c>
      <c r="W363" s="1">
        <v>503409</v>
      </c>
      <c r="Y363" s="1">
        <v>109231</v>
      </c>
      <c r="AA363" s="1">
        <v>1224332</v>
      </c>
      <c r="AC363" s="1">
        <v>912551</v>
      </c>
      <c r="AE363" s="1">
        <v>19205</v>
      </c>
      <c r="AG363" s="1">
        <v>0</v>
      </c>
      <c r="AI363" s="1">
        <v>1494</v>
      </c>
      <c r="AJ363" s="12" t="s">
        <v>581</v>
      </c>
      <c r="AK363" s="12"/>
      <c r="AL363" s="12" t="s">
        <v>62</v>
      </c>
      <c r="AN363" s="1">
        <v>316551</v>
      </c>
      <c r="AP363" s="1">
        <v>199298</v>
      </c>
      <c r="AR363" s="1">
        <v>0</v>
      </c>
      <c r="AT363" s="1">
        <v>76520</v>
      </c>
      <c r="AV363" s="1">
        <v>498</v>
      </c>
      <c r="AX363" s="1">
        <v>4449</v>
      </c>
      <c r="AZ363" s="1">
        <f t="shared" si="32"/>
        <v>15671487</v>
      </c>
      <c r="BB363" s="1">
        <v>38224</v>
      </c>
      <c r="BH363" s="1">
        <v>0</v>
      </c>
      <c r="BJ363" s="1">
        <f t="shared" si="34"/>
        <v>15709711</v>
      </c>
      <c r="BL363" s="1">
        <f>+GenRev!AM363-GenExp!BJ363</f>
        <v>229294</v>
      </c>
      <c r="BN363" s="1">
        <v>-1820753</v>
      </c>
      <c r="BP363" s="1">
        <v>0</v>
      </c>
      <c r="BQ363" s="1">
        <v>0</v>
      </c>
      <c r="BS363" s="1">
        <f t="shared" si="33"/>
        <v>-1591459</v>
      </c>
      <c r="BU363" s="20">
        <f>+BS363-'Gen Fd BS'!AA363+BQ363</f>
        <v>0</v>
      </c>
    </row>
    <row r="364" spans="1:73">
      <c r="A364" s="12" t="s">
        <v>562</v>
      </c>
      <c r="B364" s="12"/>
      <c r="C364" s="12" t="s">
        <v>59</v>
      </c>
      <c r="D364" s="12"/>
      <c r="E364" s="13">
        <v>49627</v>
      </c>
      <c r="G364" s="1">
        <v>6824460</v>
      </c>
      <c r="I364" s="1">
        <v>1172035</v>
      </c>
      <c r="K364" s="1">
        <v>193479</v>
      </c>
      <c r="M364" s="1">
        <v>19519</v>
      </c>
      <c r="O364" s="1">
        <v>366659</v>
      </c>
      <c r="Q364" s="1">
        <v>463128</v>
      </c>
      <c r="S364" s="1">
        <v>86956</v>
      </c>
      <c r="U364" s="1">
        <v>1048192</v>
      </c>
      <c r="W364" s="1">
        <v>320824</v>
      </c>
      <c r="Y364" s="1">
        <v>0</v>
      </c>
      <c r="AA364" s="1">
        <v>917253</v>
      </c>
      <c r="AC364" s="1">
        <v>941030</v>
      </c>
      <c r="AE364" s="1">
        <v>4624</v>
      </c>
      <c r="AG364" s="1">
        <v>0</v>
      </c>
      <c r="AI364" s="1">
        <v>0</v>
      </c>
      <c r="AJ364" s="12" t="s">
        <v>562</v>
      </c>
      <c r="AK364" s="12"/>
      <c r="AL364" s="12" t="s">
        <v>59</v>
      </c>
      <c r="AN364" s="1">
        <v>405367</v>
      </c>
      <c r="AP364" s="1">
        <v>6860</v>
      </c>
      <c r="AR364" s="1">
        <v>0</v>
      </c>
      <c r="AT364" s="1">
        <v>215260</v>
      </c>
      <c r="AV364" s="1">
        <v>72447</v>
      </c>
      <c r="AX364" s="1">
        <v>0</v>
      </c>
      <c r="AZ364" s="1">
        <f t="shared" si="32"/>
        <v>13058093</v>
      </c>
      <c r="BB364" s="1">
        <v>0</v>
      </c>
      <c r="BH364" s="1">
        <v>0</v>
      </c>
      <c r="BJ364" s="1">
        <f t="shared" si="34"/>
        <v>13058093</v>
      </c>
      <c r="BL364" s="1">
        <f>+GenRev!AM364-GenExp!BJ364</f>
        <v>841201</v>
      </c>
      <c r="BN364" s="1">
        <v>-475777</v>
      </c>
      <c r="BP364" s="1">
        <v>0</v>
      </c>
      <c r="BQ364" s="1">
        <v>0</v>
      </c>
      <c r="BS364" s="1">
        <f t="shared" si="33"/>
        <v>365424</v>
      </c>
      <c r="BU364" s="20">
        <f>+BS364-'Gen Fd BS'!AA364+BQ364</f>
        <v>0</v>
      </c>
    </row>
    <row r="365" spans="1:73">
      <c r="A365" s="12" t="s">
        <v>217</v>
      </c>
      <c r="B365" s="12"/>
      <c r="C365" s="12" t="s">
        <v>14</v>
      </c>
      <c r="D365" s="12"/>
      <c r="E365" s="13">
        <v>45948</v>
      </c>
      <c r="G365" s="1">
        <v>4159748</v>
      </c>
      <c r="I365" s="1">
        <v>429194</v>
      </c>
      <c r="K365" s="1">
        <v>222299</v>
      </c>
      <c r="M365" s="1">
        <v>0</v>
      </c>
      <c r="O365" s="1">
        <v>463126</v>
      </c>
      <c r="Q365" s="1">
        <v>450244</v>
      </c>
      <c r="S365" s="1">
        <v>38112</v>
      </c>
      <c r="U365" s="1">
        <v>693889</v>
      </c>
      <c r="W365" s="1">
        <v>463441</v>
      </c>
      <c r="Y365" s="1">
        <v>0</v>
      </c>
      <c r="AA365" s="1">
        <v>792703</v>
      </c>
      <c r="AC365" s="1">
        <v>198053</v>
      </c>
      <c r="AE365" s="1">
        <v>10886</v>
      </c>
      <c r="AG365" s="1">
        <v>0</v>
      </c>
      <c r="AI365" s="1">
        <v>1228</v>
      </c>
      <c r="AJ365" s="12" t="s">
        <v>217</v>
      </c>
      <c r="AK365" s="12"/>
      <c r="AL365" s="12" t="s">
        <v>14</v>
      </c>
      <c r="AN365" s="1">
        <v>210253</v>
      </c>
      <c r="AP365" s="1">
        <v>0</v>
      </c>
      <c r="AR365" s="1">
        <v>0</v>
      </c>
      <c r="AT365" s="1">
        <v>0</v>
      </c>
      <c r="AV365" s="1">
        <v>0</v>
      </c>
      <c r="AX365" s="1">
        <v>0</v>
      </c>
      <c r="AZ365" s="1">
        <f t="shared" si="32"/>
        <v>8133176</v>
      </c>
      <c r="BB365" s="1">
        <v>134681</v>
      </c>
      <c r="BH365" s="1">
        <v>0</v>
      </c>
      <c r="BJ365" s="1">
        <f t="shared" si="34"/>
        <v>8267857</v>
      </c>
      <c r="BL365" s="1">
        <f>+GenRev!AM365-GenExp!BJ365</f>
        <v>-306854</v>
      </c>
      <c r="BN365" s="1">
        <v>571002</v>
      </c>
      <c r="BP365" s="1">
        <v>0</v>
      </c>
      <c r="BQ365" s="1">
        <v>0</v>
      </c>
      <c r="BS365" s="1">
        <f t="shared" si="33"/>
        <v>264148</v>
      </c>
      <c r="BU365" s="20">
        <f>+BS365-'Gen Fd BS'!AA365+BQ365</f>
        <v>0</v>
      </c>
    </row>
    <row r="366" spans="1:73" hidden="1">
      <c r="A366" s="17" t="s">
        <v>782</v>
      </c>
      <c r="B366" s="12"/>
      <c r="C366" s="12" t="s">
        <v>21</v>
      </c>
      <c r="D366" s="12"/>
      <c r="E366" s="13">
        <v>46672</v>
      </c>
      <c r="AJ366" s="17" t="s">
        <v>782</v>
      </c>
      <c r="AK366" s="12"/>
      <c r="AL366" s="12" t="s">
        <v>21</v>
      </c>
      <c r="AZ366" s="1">
        <f t="shared" si="32"/>
        <v>0</v>
      </c>
      <c r="BJ366" s="1">
        <f t="shared" si="34"/>
        <v>0</v>
      </c>
      <c r="BL366" s="1">
        <f>+GenRev!AM366-GenExp!BJ366</f>
        <v>0</v>
      </c>
      <c r="BS366" s="1">
        <f t="shared" si="33"/>
        <v>0</v>
      </c>
      <c r="BU366" s="20">
        <f>+BS366-'Gen Fd BS'!AA366+BQ366</f>
        <v>0</v>
      </c>
    </row>
    <row r="367" spans="1:73">
      <c r="A367" s="12" t="s">
        <v>591</v>
      </c>
      <c r="B367" s="12"/>
      <c r="C367" s="12" t="s">
        <v>63</v>
      </c>
      <c r="D367" s="12"/>
      <c r="E367" s="13">
        <v>50039</v>
      </c>
      <c r="G367" s="1">
        <v>4254139</v>
      </c>
      <c r="I367" s="1">
        <v>728112</v>
      </c>
      <c r="K367" s="1">
        <v>97077</v>
      </c>
      <c r="M367" s="1">
        <f>380016+155878</f>
        <v>535894</v>
      </c>
      <c r="O367" s="1">
        <v>446467</v>
      </c>
      <c r="Q367" s="1">
        <v>343936</v>
      </c>
      <c r="S367" s="1">
        <v>42351</v>
      </c>
      <c r="U367" s="1">
        <v>662641</v>
      </c>
      <c r="W367" s="1">
        <v>340507</v>
      </c>
      <c r="Y367" s="1">
        <v>372</v>
      </c>
      <c r="AA367" s="1">
        <v>878180</v>
      </c>
      <c r="AC367" s="1">
        <v>391251</v>
      </c>
      <c r="AE367" s="1">
        <v>14277</v>
      </c>
      <c r="AG367" s="1">
        <v>0</v>
      </c>
      <c r="AI367" s="1">
        <v>0</v>
      </c>
      <c r="AJ367" s="12" t="s">
        <v>591</v>
      </c>
      <c r="AK367" s="12"/>
      <c r="AL367" s="12" t="s">
        <v>63</v>
      </c>
      <c r="AN367" s="1">
        <v>213696</v>
      </c>
      <c r="AP367" s="1">
        <v>6500</v>
      </c>
      <c r="AR367" s="1">
        <v>0</v>
      </c>
      <c r="AT367" s="1">
        <v>0</v>
      </c>
      <c r="AV367" s="1">
        <v>0</v>
      </c>
      <c r="AX367" s="1">
        <v>0</v>
      </c>
      <c r="AZ367" s="1">
        <f t="shared" si="32"/>
        <v>8955400</v>
      </c>
      <c r="BB367" s="1">
        <v>34433</v>
      </c>
      <c r="BH367" s="1">
        <v>0</v>
      </c>
      <c r="BJ367" s="1">
        <f t="shared" si="34"/>
        <v>8989833</v>
      </c>
      <c r="BL367" s="1">
        <f>+GenRev!AM367-GenExp!BJ367</f>
        <v>-914411</v>
      </c>
      <c r="BN367" s="1">
        <v>4741071</v>
      </c>
      <c r="BP367" s="1">
        <v>0</v>
      </c>
      <c r="BQ367" s="1">
        <v>0</v>
      </c>
      <c r="BS367" s="1">
        <f t="shared" si="33"/>
        <v>3826660</v>
      </c>
      <c r="BU367" s="20">
        <f>+BS367-'Gen Fd BS'!AA367+BQ367</f>
        <v>0</v>
      </c>
    </row>
    <row r="368" spans="1:73" hidden="1">
      <c r="A368" s="17" t="s">
        <v>743</v>
      </c>
      <c r="B368" s="12"/>
      <c r="C368" s="12" t="s">
        <v>653</v>
      </c>
      <c r="D368" s="12"/>
      <c r="E368" s="13">
        <v>50740</v>
      </c>
      <c r="AJ368" s="17" t="s">
        <v>743</v>
      </c>
      <c r="AK368" s="12"/>
      <c r="AL368" s="12" t="s">
        <v>653</v>
      </c>
      <c r="AZ368" s="1">
        <f t="shared" si="32"/>
        <v>0</v>
      </c>
      <c r="BJ368" s="1">
        <f t="shared" si="34"/>
        <v>0</v>
      </c>
      <c r="BL368" s="1">
        <f>+GenRev!AM368-GenExp!BJ368</f>
        <v>0</v>
      </c>
      <c r="BS368" s="1">
        <f t="shared" ref="BS368:BS389" si="35">+BN368+BL368-BP368</f>
        <v>0</v>
      </c>
      <c r="BU368" s="20">
        <f>+BS368-'Gen Fd BS'!AA368+BQ368</f>
        <v>0</v>
      </c>
    </row>
    <row r="369" spans="1:73" ht="12.75" customHeight="1">
      <c r="A369" s="12" t="s">
        <v>233</v>
      </c>
      <c r="B369" s="12"/>
      <c r="C369" s="12" t="s">
        <v>227</v>
      </c>
      <c r="D369" s="12"/>
      <c r="E369" s="13">
        <v>139303</v>
      </c>
      <c r="G369" s="1">
        <v>8369291</v>
      </c>
      <c r="I369" s="1">
        <v>274204</v>
      </c>
      <c r="K369" s="1">
        <v>0</v>
      </c>
      <c r="M369" s="1">
        <v>19607</v>
      </c>
      <c r="O369" s="1">
        <v>806231</v>
      </c>
      <c r="Q369" s="1">
        <v>647348</v>
      </c>
      <c r="S369" s="1">
        <v>116365</v>
      </c>
      <c r="U369" s="1">
        <v>1477314</v>
      </c>
      <c r="W369" s="1">
        <v>465727</v>
      </c>
      <c r="Y369" s="1">
        <v>130234</v>
      </c>
      <c r="AA369" s="1">
        <v>1406615</v>
      </c>
      <c r="AC369" s="1">
        <v>864266</v>
      </c>
      <c r="AE369" s="1">
        <v>59570</v>
      </c>
      <c r="AG369" s="1">
        <v>0</v>
      </c>
      <c r="AI369" s="1">
        <v>51331</v>
      </c>
      <c r="AJ369" s="12" t="s">
        <v>233</v>
      </c>
      <c r="AK369" s="12"/>
      <c r="AL369" s="12" t="s">
        <v>227</v>
      </c>
      <c r="AN369" s="1">
        <v>0</v>
      </c>
      <c r="AP369" s="1">
        <v>0</v>
      </c>
      <c r="AR369" s="1">
        <v>0</v>
      </c>
      <c r="AT369" s="1">
        <v>0</v>
      </c>
      <c r="AV369" s="1">
        <v>0</v>
      </c>
      <c r="AX369" s="1">
        <v>0</v>
      </c>
      <c r="AZ369" s="1">
        <f t="shared" si="32"/>
        <v>14688103</v>
      </c>
      <c r="BB369" s="1">
        <v>178107</v>
      </c>
      <c r="BH369" s="1">
        <v>0</v>
      </c>
      <c r="BJ369" s="1">
        <f t="shared" si="34"/>
        <v>14866210</v>
      </c>
      <c r="BL369" s="1">
        <f>+GenRev!AM369-GenExp!BJ369</f>
        <v>-541941</v>
      </c>
      <c r="BN369" s="1">
        <v>-649297</v>
      </c>
      <c r="BP369" s="1">
        <v>0</v>
      </c>
      <c r="BQ369" s="1">
        <v>0</v>
      </c>
      <c r="BS369" s="1">
        <f t="shared" si="35"/>
        <v>-1191238</v>
      </c>
      <c r="BU369" s="20">
        <f>+BS369-'Gen Fd BS'!AA369+BQ369</f>
        <v>0</v>
      </c>
    </row>
    <row r="370" spans="1:73">
      <c r="A370" s="12" t="s">
        <v>404</v>
      </c>
      <c r="B370" s="12"/>
      <c r="C370" s="12" t="s">
        <v>37</v>
      </c>
      <c r="D370" s="12"/>
      <c r="E370" s="13">
        <v>47712</v>
      </c>
      <c r="G370" s="1">
        <v>3183675</v>
      </c>
      <c r="I370" s="1">
        <v>292699</v>
      </c>
      <c r="K370" s="1">
        <v>164544</v>
      </c>
      <c r="M370" s="1">
        <v>0</v>
      </c>
      <c r="O370" s="1">
        <v>211361</v>
      </c>
      <c r="Q370" s="1">
        <v>288252</v>
      </c>
      <c r="S370" s="1">
        <v>61641</v>
      </c>
      <c r="U370" s="1">
        <v>509626</v>
      </c>
      <c r="W370" s="1">
        <v>243914</v>
      </c>
      <c r="Y370" s="1">
        <v>626</v>
      </c>
      <c r="AA370" s="1">
        <v>368822</v>
      </c>
      <c r="AC370" s="1">
        <v>283010</v>
      </c>
      <c r="AE370" s="1">
        <v>2129</v>
      </c>
      <c r="AG370" s="1">
        <v>0</v>
      </c>
      <c r="AI370" s="1">
        <v>0</v>
      </c>
      <c r="AJ370" s="12" t="s">
        <v>404</v>
      </c>
      <c r="AK370" s="12"/>
      <c r="AL370" s="12" t="s">
        <v>37</v>
      </c>
      <c r="AN370" s="1">
        <v>136833</v>
      </c>
      <c r="AP370" s="1">
        <v>0</v>
      </c>
      <c r="AR370" s="1">
        <v>0</v>
      </c>
      <c r="AT370" s="1">
        <v>92712</v>
      </c>
      <c r="AV370" s="1">
        <v>9207</v>
      </c>
      <c r="AX370" s="1">
        <v>0</v>
      </c>
      <c r="AZ370" s="1">
        <f t="shared" si="32"/>
        <v>5849051</v>
      </c>
      <c r="BB370" s="1">
        <v>141</v>
      </c>
      <c r="BH370" s="1">
        <v>0</v>
      </c>
      <c r="BJ370" s="1">
        <f t="shared" si="34"/>
        <v>5849192</v>
      </c>
      <c r="BL370" s="1">
        <f>+GenRev!AM370-GenExp!BJ370</f>
        <v>-452058</v>
      </c>
      <c r="BN370" s="1">
        <v>936588</v>
      </c>
      <c r="BP370" s="1">
        <v>0</v>
      </c>
      <c r="BQ370" s="1">
        <v>0</v>
      </c>
      <c r="BS370" s="1">
        <f t="shared" si="35"/>
        <v>484530</v>
      </c>
      <c r="BU370" s="20">
        <f>+BS370-'Gen Fd BS'!AA370+BQ370</f>
        <v>0</v>
      </c>
    </row>
    <row r="371" spans="1:73" hidden="1">
      <c r="A371" s="12" t="s">
        <v>949</v>
      </c>
      <c r="B371" s="12"/>
      <c r="C371" s="12" t="s">
        <v>643</v>
      </c>
      <c r="D371" s="12"/>
      <c r="E371" s="13">
        <v>45526</v>
      </c>
      <c r="AJ371" s="12" t="s">
        <v>949</v>
      </c>
      <c r="AK371" s="12"/>
      <c r="AL371" s="12" t="s">
        <v>643</v>
      </c>
      <c r="AZ371" s="1">
        <f t="shared" ref="AZ371:AZ375" si="36">SUM(G371:AX371)</f>
        <v>0</v>
      </c>
      <c r="BJ371" s="1">
        <f t="shared" si="34"/>
        <v>0</v>
      </c>
      <c r="BL371" s="1">
        <f>+GenRev!AM371-GenExp!BJ371</f>
        <v>0</v>
      </c>
      <c r="BS371" s="1">
        <f t="shared" si="35"/>
        <v>0</v>
      </c>
      <c r="BU371" s="20">
        <f>+BS371-'Gen Fd BS'!AA371+BQ371</f>
        <v>0</v>
      </c>
    </row>
    <row r="372" spans="1:73">
      <c r="A372" s="12" t="s">
        <v>508</v>
      </c>
      <c r="B372" s="12"/>
      <c r="C372" s="12" t="s">
        <v>509</v>
      </c>
      <c r="D372" s="12"/>
      <c r="E372" s="13">
        <v>48777</v>
      </c>
      <c r="F372" s="8"/>
      <c r="G372" s="1">
        <v>7738714</v>
      </c>
      <c r="I372" s="1">
        <v>1279640</v>
      </c>
      <c r="K372" s="1">
        <v>932179</v>
      </c>
      <c r="M372" s="1">
        <v>0</v>
      </c>
      <c r="O372" s="1">
        <v>866853</v>
      </c>
      <c r="Q372" s="1">
        <v>334475</v>
      </c>
      <c r="S372" s="1">
        <v>33184</v>
      </c>
      <c r="U372" s="1">
        <v>1546383</v>
      </c>
      <c r="W372" s="1">
        <v>539660</v>
      </c>
      <c r="Y372" s="1">
        <v>223588</v>
      </c>
      <c r="AA372" s="1">
        <v>1598868</v>
      </c>
      <c r="AC372" s="1">
        <v>1900546</v>
      </c>
      <c r="AE372" s="1">
        <v>171957</v>
      </c>
      <c r="AG372" s="1">
        <v>0</v>
      </c>
      <c r="AI372" s="1">
        <v>0</v>
      </c>
      <c r="AJ372" s="12" t="s">
        <v>508</v>
      </c>
      <c r="AK372" s="12"/>
      <c r="AL372" s="12" t="s">
        <v>509</v>
      </c>
      <c r="AN372" s="1">
        <v>153569</v>
      </c>
      <c r="AP372" s="1">
        <v>2102</v>
      </c>
      <c r="AR372" s="1">
        <v>0</v>
      </c>
      <c r="AT372" s="1">
        <v>120268</v>
      </c>
      <c r="AV372" s="1">
        <v>27862</v>
      </c>
      <c r="AX372" s="1">
        <v>0</v>
      </c>
      <c r="AZ372" s="1">
        <f t="shared" si="36"/>
        <v>17469848</v>
      </c>
      <c r="BB372" s="1">
        <v>32607</v>
      </c>
      <c r="BH372" s="1">
        <v>0</v>
      </c>
      <c r="BJ372" s="1">
        <f t="shared" si="34"/>
        <v>17502455</v>
      </c>
      <c r="BL372" s="1">
        <f>+GenRev!AM372-GenExp!BJ372</f>
        <v>1880052</v>
      </c>
      <c r="BN372" s="1">
        <v>2513091</v>
      </c>
      <c r="BP372" s="1">
        <v>0</v>
      </c>
      <c r="BQ372" s="1">
        <v>0</v>
      </c>
      <c r="BS372" s="1">
        <f t="shared" si="35"/>
        <v>4393143</v>
      </c>
      <c r="BU372" s="20">
        <f>+BS372-'Gen Fd BS'!AA372+BQ372</f>
        <v>0</v>
      </c>
    </row>
    <row r="373" spans="1:73">
      <c r="A373" s="12" t="s">
        <v>757</v>
      </c>
      <c r="B373" s="12"/>
      <c r="C373" s="12" t="s">
        <v>78</v>
      </c>
      <c r="D373" s="12"/>
      <c r="E373" s="13">
        <v>45534</v>
      </c>
      <c r="G373" s="1">
        <v>4364908</v>
      </c>
      <c r="I373" s="1">
        <v>1114625</v>
      </c>
      <c r="K373" s="1">
        <v>283616</v>
      </c>
      <c r="M373" s="1">
        <v>1267343</v>
      </c>
      <c r="O373" s="1">
        <v>598439</v>
      </c>
      <c r="Q373" s="1">
        <v>357051</v>
      </c>
      <c r="S373" s="1">
        <v>55187</v>
      </c>
      <c r="U373" s="1">
        <v>709253</v>
      </c>
      <c r="W373" s="1">
        <v>378049</v>
      </c>
      <c r="Y373" s="1">
        <v>0</v>
      </c>
      <c r="AA373" s="1">
        <v>1238810</v>
      </c>
      <c r="AC373" s="1">
        <v>515100</v>
      </c>
      <c r="AE373" s="1">
        <v>19198</v>
      </c>
      <c r="AG373" s="1">
        <v>0</v>
      </c>
      <c r="AI373" s="1">
        <v>0</v>
      </c>
      <c r="AJ373" s="12" t="s">
        <v>757</v>
      </c>
      <c r="AK373" s="12"/>
      <c r="AL373" s="12" t="s">
        <v>78</v>
      </c>
      <c r="AN373" s="1">
        <v>171277</v>
      </c>
      <c r="AP373" s="1">
        <v>0</v>
      </c>
      <c r="AR373" s="1">
        <v>0</v>
      </c>
      <c r="AT373" s="1">
        <v>31816</v>
      </c>
      <c r="AV373" s="1">
        <v>29845</v>
      </c>
      <c r="AX373" s="1">
        <v>0</v>
      </c>
      <c r="AZ373" s="1">
        <f t="shared" si="36"/>
        <v>11134517</v>
      </c>
      <c r="BB373" s="1">
        <v>693826</v>
      </c>
      <c r="BH373" s="1">
        <v>0</v>
      </c>
      <c r="BJ373" s="1">
        <f t="shared" si="34"/>
        <v>11828343</v>
      </c>
      <c r="BL373" s="1">
        <f>+GenRev!AM373-GenExp!BJ373</f>
        <v>-760079</v>
      </c>
      <c r="BN373" s="1">
        <v>2862320</v>
      </c>
      <c r="BP373" s="1">
        <v>0</v>
      </c>
      <c r="BQ373" s="1">
        <v>0</v>
      </c>
      <c r="BS373" s="1">
        <f t="shared" si="35"/>
        <v>2102241</v>
      </c>
      <c r="BU373" s="20">
        <f>+BS373-'Gen Fd BS'!AA373+BQ373</f>
        <v>0</v>
      </c>
    </row>
    <row r="374" spans="1:73">
      <c r="A374" s="12" t="s">
        <v>415</v>
      </c>
      <c r="B374" s="12"/>
      <c r="C374" s="12" t="s">
        <v>40</v>
      </c>
      <c r="D374" s="12"/>
      <c r="E374" s="13">
        <v>44420</v>
      </c>
      <c r="F374" s="8"/>
      <c r="G374" s="1">
        <v>17014615</v>
      </c>
      <c r="I374" s="1">
        <v>2505932</v>
      </c>
      <c r="K374" s="1">
        <v>357768</v>
      </c>
      <c r="M374" s="1">
        <v>0</v>
      </c>
      <c r="O374" s="1">
        <v>1400176</v>
      </c>
      <c r="Q374" s="1">
        <v>1443010</v>
      </c>
      <c r="S374" s="1">
        <v>69338</v>
      </c>
      <c r="U374" s="1">
        <v>2241384</v>
      </c>
      <c r="W374" s="1">
        <v>2346497</v>
      </c>
      <c r="Y374" s="1">
        <v>69286</v>
      </c>
      <c r="AA374" s="1">
        <v>2436826</v>
      </c>
      <c r="AC374" s="1">
        <v>1064431</v>
      </c>
      <c r="AE374" s="1">
        <v>143559</v>
      </c>
      <c r="AG374" s="1">
        <v>0</v>
      </c>
      <c r="AI374" s="1">
        <v>0</v>
      </c>
      <c r="AJ374" s="12" t="s">
        <v>415</v>
      </c>
      <c r="AK374" s="12"/>
      <c r="AL374" s="12" t="s">
        <v>40</v>
      </c>
      <c r="AN374" s="1">
        <v>529529</v>
      </c>
      <c r="AP374" s="1">
        <v>0</v>
      </c>
      <c r="AR374" s="1">
        <v>0</v>
      </c>
      <c r="AT374" s="1">
        <v>59647</v>
      </c>
      <c r="AV374" s="1">
        <v>4194</v>
      </c>
      <c r="AX374" s="1">
        <v>0</v>
      </c>
      <c r="AZ374" s="1">
        <f t="shared" si="36"/>
        <v>31686192</v>
      </c>
      <c r="BB374" s="1">
        <v>207350</v>
      </c>
      <c r="BH374" s="1">
        <v>0</v>
      </c>
      <c r="BJ374" s="1">
        <f t="shared" si="34"/>
        <v>31893542</v>
      </c>
      <c r="BL374" s="1">
        <f>+GenRev!AM374-GenExp!BJ374</f>
        <v>-2257209</v>
      </c>
      <c r="BN374" s="1">
        <v>8412515</v>
      </c>
      <c r="BP374" s="1">
        <v>0</v>
      </c>
      <c r="BQ374" s="1">
        <v>0</v>
      </c>
      <c r="BS374" s="1">
        <f t="shared" si="35"/>
        <v>6155306</v>
      </c>
      <c r="BU374" s="20">
        <f>+BS374-'Gen Fd BS'!AA374+BQ374</f>
        <v>0</v>
      </c>
    </row>
    <row r="375" spans="1:73">
      <c r="A375" s="12" t="s">
        <v>913</v>
      </c>
      <c r="B375" s="12"/>
      <c r="C375" s="12" t="s">
        <v>32</v>
      </c>
      <c r="D375" s="12"/>
      <c r="E375" s="13">
        <v>44412</v>
      </c>
      <c r="F375" s="8"/>
      <c r="G375" s="1">
        <v>11812399</v>
      </c>
      <c r="I375" s="1">
        <v>3540835</v>
      </c>
      <c r="K375" s="1">
        <v>166250</v>
      </c>
      <c r="M375" s="1">
        <v>4921909</v>
      </c>
      <c r="O375" s="1">
        <v>1522494</v>
      </c>
      <c r="Q375" s="1">
        <v>1917882</v>
      </c>
      <c r="S375" s="1">
        <v>101481</v>
      </c>
      <c r="U375" s="1">
        <v>2369663</v>
      </c>
      <c r="W375" s="1">
        <v>625830</v>
      </c>
      <c r="Y375" s="1">
        <v>142963</v>
      </c>
      <c r="AA375" s="1">
        <v>3362185</v>
      </c>
      <c r="AC375" s="1">
        <v>2446149</v>
      </c>
      <c r="AE375" s="1">
        <v>308702</v>
      </c>
      <c r="AG375" s="1">
        <v>0</v>
      </c>
      <c r="AI375" s="1">
        <v>7030</v>
      </c>
      <c r="AJ375" s="12" t="s">
        <v>913</v>
      </c>
      <c r="AK375" s="12"/>
      <c r="AL375" s="12" t="s">
        <v>32</v>
      </c>
      <c r="AN375" s="1">
        <v>588658</v>
      </c>
      <c r="AP375" s="1">
        <v>53504</v>
      </c>
      <c r="AR375" s="1">
        <v>0</v>
      </c>
      <c r="AT375" s="1">
        <v>169695</v>
      </c>
      <c r="AV375" s="1">
        <v>35864</v>
      </c>
      <c r="AX375" s="1">
        <v>0</v>
      </c>
      <c r="AZ375" s="1">
        <f t="shared" si="36"/>
        <v>34093493</v>
      </c>
      <c r="BB375" s="1">
        <v>144000</v>
      </c>
      <c r="BH375" s="1">
        <v>0</v>
      </c>
      <c r="BJ375" s="1">
        <f t="shared" si="34"/>
        <v>34237493</v>
      </c>
      <c r="BL375" s="1">
        <f>+GenRev!AM375-GenExp!BJ375</f>
        <v>-755802</v>
      </c>
      <c r="BN375" s="1">
        <v>3160865</v>
      </c>
      <c r="BP375" s="1">
        <v>0</v>
      </c>
      <c r="BQ375" s="1">
        <v>0</v>
      </c>
      <c r="BS375" s="1">
        <f t="shared" si="35"/>
        <v>2405063</v>
      </c>
      <c r="BU375" s="20">
        <f>+BS375-'Gen Fd BS'!AA375+BQ375</f>
        <v>0</v>
      </c>
    </row>
    <row r="376" spans="1:73">
      <c r="A376" s="12" t="s">
        <v>392</v>
      </c>
      <c r="B376" s="12"/>
      <c r="C376" s="12" t="s">
        <v>34</v>
      </c>
      <c r="D376" s="12"/>
      <c r="E376" s="13">
        <v>44438</v>
      </c>
      <c r="G376" s="1">
        <v>8015009</v>
      </c>
      <c r="I376" s="1">
        <v>2625339</v>
      </c>
      <c r="K376" s="1">
        <v>239492</v>
      </c>
      <c r="M376" s="1">
        <v>1309638</v>
      </c>
      <c r="O376" s="1">
        <v>1226215</v>
      </c>
      <c r="Q376" s="1">
        <v>554007</v>
      </c>
      <c r="S376" s="1">
        <v>45763</v>
      </c>
      <c r="U376" s="1">
        <v>1648168</v>
      </c>
      <c r="W376" s="1">
        <v>596272</v>
      </c>
      <c r="Y376" s="1">
        <v>0</v>
      </c>
      <c r="AA376" s="1">
        <v>1259663</v>
      </c>
      <c r="AC376" s="1">
        <v>932603</v>
      </c>
      <c r="AE376" s="1">
        <v>344520</v>
      </c>
      <c r="AG376" s="1">
        <v>0</v>
      </c>
      <c r="AI376" s="1">
        <v>0</v>
      </c>
      <c r="AJ376" s="12" t="s">
        <v>392</v>
      </c>
      <c r="AK376" s="12"/>
      <c r="AL376" s="12" t="s">
        <v>34</v>
      </c>
      <c r="AN376" s="1">
        <v>405736</v>
      </c>
      <c r="AP376" s="1">
        <v>11038</v>
      </c>
      <c r="AR376" s="1">
        <v>0</v>
      </c>
      <c r="AT376" s="1">
        <v>0</v>
      </c>
      <c r="AV376" s="1">
        <v>0</v>
      </c>
      <c r="AX376" s="1">
        <v>0</v>
      </c>
      <c r="AZ376" s="1">
        <f t="shared" ref="AZ376:AZ389" si="37">SUM(G376:AX376)</f>
        <v>19213463</v>
      </c>
      <c r="BB376" s="1">
        <v>251338</v>
      </c>
      <c r="BH376" s="1">
        <v>0</v>
      </c>
      <c r="BJ376" s="1">
        <f t="shared" ref="BJ376:BJ389" si="38">+AZ376+BB376+BD376+BH376</f>
        <v>19464801</v>
      </c>
      <c r="BL376" s="1">
        <f>+GenRev!AM376-GenExp!BJ376</f>
        <v>731956</v>
      </c>
      <c r="BN376" s="1">
        <v>7768429</v>
      </c>
      <c r="BP376" s="1">
        <v>0</v>
      </c>
      <c r="BQ376" s="1">
        <v>0</v>
      </c>
      <c r="BS376" s="1">
        <f t="shared" si="35"/>
        <v>8500385</v>
      </c>
      <c r="BU376" s="20">
        <f>+BS376-'Gen Fd BS'!AA376+BQ376</f>
        <v>0</v>
      </c>
    </row>
    <row r="377" spans="1:73" hidden="1">
      <c r="A377" s="12" t="s">
        <v>945</v>
      </c>
      <c r="B377" s="12"/>
      <c r="C377" s="12" t="s">
        <v>57</v>
      </c>
      <c r="D377" s="12"/>
      <c r="E377" s="13"/>
      <c r="AJ377" s="12" t="s">
        <v>945</v>
      </c>
      <c r="AK377" s="12"/>
      <c r="AL377" s="12" t="s">
        <v>57</v>
      </c>
      <c r="AZ377" s="1">
        <f t="shared" ref="AZ377" si="39">SUM(G377:AX377)</f>
        <v>0</v>
      </c>
      <c r="BH377" s="1">
        <v>0</v>
      </c>
      <c r="BJ377" s="1">
        <f t="shared" ref="BJ377" si="40">+AZ377+BB377+BD377+BH377</f>
        <v>0</v>
      </c>
      <c r="BL377" s="1">
        <f>+GenRev!AM377-GenExp!BJ377</f>
        <v>0</v>
      </c>
      <c r="BQ377" s="1">
        <v>0</v>
      </c>
      <c r="BS377" s="1">
        <f t="shared" ref="BS377" si="41">+BN377+BL377-BP377</f>
        <v>0</v>
      </c>
      <c r="BU377" s="20">
        <f>+BS377-'Gen Fd BS'!AA377+BQ377</f>
        <v>0</v>
      </c>
    </row>
    <row r="378" spans="1:73">
      <c r="A378" s="12" t="s">
        <v>215</v>
      </c>
      <c r="B378" s="12"/>
      <c r="C378" s="12" t="s">
        <v>13</v>
      </c>
      <c r="D378" s="12"/>
      <c r="E378" s="13">
        <v>44446</v>
      </c>
      <c r="G378" s="1">
        <v>4840320</v>
      </c>
      <c r="I378" s="1">
        <v>824747</v>
      </c>
      <c r="K378" s="1">
        <v>94490</v>
      </c>
      <c r="M378" s="1">
        <f>75450+15629</f>
        <v>91079</v>
      </c>
      <c r="O378" s="1">
        <v>378488</v>
      </c>
      <c r="Q378" s="1">
        <v>472280</v>
      </c>
      <c r="S378" s="1">
        <v>53157</v>
      </c>
      <c r="U378" s="1">
        <v>1164214</v>
      </c>
      <c r="W378" s="1">
        <v>322040</v>
      </c>
      <c r="Y378" s="1">
        <v>0</v>
      </c>
      <c r="AA378" s="1">
        <v>1179809</v>
      </c>
      <c r="AC378" s="1">
        <v>977352</v>
      </c>
      <c r="AE378" s="1">
        <v>0</v>
      </c>
      <c r="AG378" s="1">
        <v>0</v>
      </c>
      <c r="AI378" s="1">
        <v>7430</v>
      </c>
      <c r="AJ378" s="12" t="s">
        <v>215</v>
      </c>
      <c r="AK378" s="12"/>
      <c r="AL378" s="12" t="s">
        <v>13</v>
      </c>
      <c r="AN378" s="1">
        <v>174773</v>
      </c>
      <c r="AP378" s="1">
        <v>51027</v>
      </c>
      <c r="AR378" s="1">
        <v>0</v>
      </c>
      <c r="AT378" s="1">
        <v>95000</v>
      </c>
      <c r="AV378" s="1">
        <v>4028</v>
      </c>
      <c r="AX378" s="1">
        <v>0</v>
      </c>
      <c r="AZ378" s="1">
        <f t="shared" si="37"/>
        <v>10730234</v>
      </c>
      <c r="BB378" s="1">
        <v>204129</v>
      </c>
      <c r="BH378" s="1">
        <v>0</v>
      </c>
      <c r="BJ378" s="1">
        <f t="shared" si="38"/>
        <v>10934363</v>
      </c>
      <c r="BL378" s="1">
        <f>+GenRev!AM378-GenExp!BJ378</f>
        <v>247492</v>
      </c>
      <c r="BN378" s="1">
        <v>2177905</v>
      </c>
      <c r="BP378" s="1">
        <v>0</v>
      </c>
      <c r="BQ378" s="1">
        <v>0</v>
      </c>
      <c r="BS378" s="1">
        <f t="shared" si="35"/>
        <v>2425397</v>
      </c>
      <c r="BU378" s="20">
        <f>+BS378-'Gen Fd BS'!AA378+BQ378</f>
        <v>0</v>
      </c>
    </row>
    <row r="379" spans="1:73">
      <c r="A379" s="12" t="s">
        <v>728</v>
      </c>
      <c r="B379" s="12"/>
      <c r="C379" s="12" t="s">
        <v>27</v>
      </c>
      <c r="D379" s="12"/>
      <c r="E379" s="13"/>
      <c r="G379" s="1">
        <v>21801774</v>
      </c>
      <c r="I379" s="1">
        <v>4732615</v>
      </c>
      <c r="K379" s="1">
        <v>1315066</v>
      </c>
      <c r="M379" s="1">
        <v>0</v>
      </c>
      <c r="O379" s="1">
        <v>2843508</v>
      </c>
      <c r="Q379" s="1">
        <v>1753597</v>
      </c>
      <c r="S379" s="1">
        <v>56280</v>
      </c>
      <c r="U379" s="1">
        <v>3170470</v>
      </c>
      <c r="W379" s="1">
        <v>0</v>
      </c>
      <c r="Y379" s="1">
        <v>1806895</v>
      </c>
      <c r="AA379" s="1">
        <v>4578418</v>
      </c>
      <c r="AC379" s="1">
        <v>2267721</v>
      </c>
      <c r="AE379" s="1">
        <v>338860</v>
      </c>
      <c r="AG379" s="1">
        <v>0</v>
      </c>
      <c r="AI379" s="1">
        <f>547262+186678</f>
        <v>733940</v>
      </c>
      <c r="AJ379" s="12" t="s">
        <v>728</v>
      </c>
      <c r="AK379" s="12"/>
      <c r="AL379" s="12" t="s">
        <v>27</v>
      </c>
      <c r="AN379" s="1">
        <v>1218077</v>
      </c>
      <c r="AP379" s="1">
        <v>0</v>
      </c>
      <c r="AR379" s="1">
        <v>0</v>
      </c>
      <c r="AT379" s="1">
        <v>0</v>
      </c>
      <c r="AV379" s="1">
        <v>0</v>
      </c>
      <c r="AX379" s="1">
        <v>0</v>
      </c>
      <c r="AZ379" s="1">
        <f t="shared" si="37"/>
        <v>46617221</v>
      </c>
      <c r="BB379" s="1">
        <v>308688</v>
      </c>
      <c r="BH379" s="1">
        <v>0</v>
      </c>
      <c r="BJ379" s="1">
        <f t="shared" si="38"/>
        <v>46925909</v>
      </c>
      <c r="BL379" s="1">
        <f>+GenRev!AM379-GenExp!BJ379</f>
        <v>2512617</v>
      </c>
      <c r="BN379" s="1">
        <v>24438309</v>
      </c>
      <c r="BP379" s="1">
        <v>0</v>
      </c>
      <c r="BQ379" s="1">
        <v>0</v>
      </c>
      <c r="BS379" s="1">
        <f t="shared" si="35"/>
        <v>26950926</v>
      </c>
      <c r="BU379" s="20">
        <f>+BS379-'Gen Fd BS'!AA379+BQ379</f>
        <v>0</v>
      </c>
    </row>
    <row r="380" spans="1:73">
      <c r="A380" s="12" t="s">
        <v>563</v>
      </c>
      <c r="B380" s="12"/>
      <c r="C380" s="12" t="s">
        <v>59</v>
      </c>
      <c r="D380" s="12"/>
      <c r="E380" s="13">
        <v>44461</v>
      </c>
      <c r="G380" s="1">
        <v>1833298</v>
      </c>
      <c r="I380" s="1">
        <v>271525</v>
      </c>
      <c r="K380" s="1">
        <v>1649</v>
      </c>
      <c r="M380" s="1">
        <v>86495</v>
      </c>
      <c r="O380" s="1">
        <v>172365</v>
      </c>
      <c r="Q380" s="1">
        <v>129680</v>
      </c>
      <c r="S380" s="1">
        <v>12751</v>
      </c>
      <c r="U380" s="1">
        <v>545076</v>
      </c>
      <c r="W380" s="1">
        <v>177094</v>
      </c>
      <c r="Y380" s="1">
        <v>0</v>
      </c>
      <c r="AA380" s="1">
        <v>417080</v>
      </c>
      <c r="AC380" s="1">
        <v>106173</v>
      </c>
      <c r="AE380" s="1">
        <v>50424</v>
      </c>
      <c r="AG380" s="1">
        <v>1378</v>
      </c>
      <c r="AI380" s="1">
        <v>0</v>
      </c>
      <c r="AJ380" s="12" t="s">
        <v>563</v>
      </c>
      <c r="AK380" s="12"/>
      <c r="AL380" s="12" t="s">
        <v>59</v>
      </c>
      <c r="AN380" s="1">
        <v>63540</v>
      </c>
      <c r="AP380" s="1">
        <v>0</v>
      </c>
      <c r="AR380" s="1">
        <v>0</v>
      </c>
      <c r="AT380" s="1">
        <v>0</v>
      </c>
      <c r="AV380" s="1">
        <v>0</v>
      </c>
      <c r="AX380" s="1">
        <v>0</v>
      </c>
      <c r="AZ380" s="1">
        <f t="shared" si="37"/>
        <v>3868528</v>
      </c>
      <c r="BB380" s="1">
        <v>63898</v>
      </c>
      <c r="BH380" s="1">
        <v>0</v>
      </c>
      <c r="BJ380" s="1">
        <f t="shared" si="38"/>
        <v>3932426</v>
      </c>
      <c r="BL380" s="1">
        <f>+GenRev!AM380-GenExp!BJ380</f>
        <v>585386</v>
      </c>
      <c r="BN380" s="1">
        <v>725570</v>
      </c>
      <c r="BP380" s="1">
        <v>0</v>
      </c>
      <c r="BQ380" s="1">
        <v>0</v>
      </c>
      <c r="BS380" s="1">
        <f t="shared" si="35"/>
        <v>1310956</v>
      </c>
      <c r="BU380" s="20">
        <f>+BS380-'Gen Fd BS'!AA380+BQ380</f>
        <v>0</v>
      </c>
    </row>
    <row r="381" spans="1:73">
      <c r="A381" s="12" t="s">
        <v>218</v>
      </c>
      <c r="B381" s="12"/>
      <c r="C381" s="12" t="s">
        <v>14</v>
      </c>
      <c r="D381" s="12"/>
      <c r="E381" s="13">
        <v>45955</v>
      </c>
      <c r="F381" s="8"/>
      <c r="G381" s="1">
        <v>4070566</v>
      </c>
      <c r="I381" s="1">
        <v>182888</v>
      </c>
      <c r="K381" s="1">
        <v>140309</v>
      </c>
      <c r="M381" s="1">
        <v>0</v>
      </c>
      <c r="O381" s="1">
        <v>474241</v>
      </c>
      <c r="Q381" s="1">
        <v>354271</v>
      </c>
      <c r="S381" s="1">
        <v>21294</v>
      </c>
      <c r="U381" s="1">
        <v>824614</v>
      </c>
      <c r="W381" s="1">
        <v>244705</v>
      </c>
      <c r="Y381" s="1">
        <v>0</v>
      </c>
      <c r="AA381" s="1">
        <v>690271</v>
      </c>
      <c r="AC381" s="1">
        <v>139813</v>
      </c>
      <c r="AE381" s="1">
        <v>65743</v>
      </c>
      <c r="AG381" s="1">
        <v>0</v>
      </c>
      <c r="AI381" s="1">
        <v>7384</v>
      </c>
      <c r="AJ381" s="12" t="s">
        <v>218</v>
      </c>
      <c r="AK381" s="12"/>
      <c r="AL381" s="12" t="s">
        <v>14</v>
      </c>
      <c r="AN381" s="1">
        <v>218316</v>
      </c>
      <c r="AP381" s="1">
        <v>0</v>
      </c>
      <c r="AR381" s="1">
        <v>0</v>
      </c>
      <c r="AT381" s="1">
        <v>0</v>
      </c>
      <c r="AV381" s="1">
        <v>0</v>
      </c>
      <c r="AX381" s="1">
        <v>0</v>
      </c>
      <c r="AZ381" s="1">
        <f t="shared" si="37"/>
        <v>7434415</v>
      </c>
      <c r="BB381" s="1">
        <v>45000</v>
      </c>
      <c r="BH381" s="1">
        <v>0</v>
      </c>
      <c r="BJ381" s="1">
        <f t="shared" si="38"/>
        <v>7479415</v>
      </c>
      <c r="BL381" s="1">
        <f>+GenRev!AM381-GenExp!BJ381</f>
        <v>841518</v>
      </c>
      <c r="BN381" s="1">
        <v>4498466</v>
      </c>
      <c r="BP381" s="1">
        <v>0</v>
      </c>
      <c r="BQ381" s="1">
        <v>0</v>
      </c>
      <c r="BS381" s="1">
        <f t="shared" si="35"/>
        <v>5339984</v>
      </c>
      <c r="BU381" s="20">
        <f>+BS381-'Gen Fd BS'!AA381+BQ381</f>
        <v>0</v>
      </c>
    </row>
    <row r="382" spans="1:73" hidden="1">
      <c r="A382" s="17" t="s">
        <v>879</v>
      </c>
      <c r="B382" s="12"/>
      <c r="C382" s="12" t="s">
        <v>14</v>
      </c>
      <c r="D382" s="12"/>
      <c r="E382" s="13">
        <v>45963</v>
      </c>
      <c r="AJ382" s="17" t="s">
        <v>879</v>
      </c>
      <c r="AK382" s="12"/>
      <c r="AL382" s="12" t="s">
        <v>14</v>
      </c>
      <c r="AZ382" s="1">
        <f t="shared" si="37"/>
        <v>0</v>
      </c>
      <c r="BJ382" s="1">
        <f t="shared" si="38"/>
        <v>0</v>
      </c>
      <c r="BL382" s="1">
        <f>+GenRev!AM382-GenExp!BJ382</f>
        <v>0</v>
      </c>
      <c r="BS382" s="1">
        <f t="shared" si="35"/>
        <v>0</v>
      </c>
      <c r="BU382" s="20">
        <f>+BS382-'Gen Fd BS'!AA382+BQ382</f>
        <v>0</v>
      </c>
    </row>
    <row r="383" spans="1:73">
      <c r="A383" s="12" t="s">
        <v>502</v>
      </c>
      <c r="B383" s="12"/>
      <c r="C383" s="12" t="s">
        <v>50</v>
      </c>
      <c r="D383" s="12"/>
      <c r="E383" s="13">
        <v>48710</v>
      </c>
      <c r="G383" s="1">
        <v>2666522</v>
      </c>
      <c r="I383" s="1">
        <v>608794</v>
      </c>
      <c r="K383" s="1">
        <v>0</v>
      </c>
      <c r="M383" s="1">
        <v>240057</v>
      </c>
      <c r="O383" s="1">
        <v>355588</v>
      </c>
      <c r="Q383" s="1">
        <v>570283</v>
      </c>
      <c r="S383" s="1">
        <v>61686</v>
      </c>
      <c r="U383" s="1">
        <v>642624</v>
      </c>
      <c r="W383" s="1">
        <v>270354</v>
      </c>
      <c r="Y383" s="1">
        <v>43609</v>
      </c>
      <c r="AA383" s="1">
        <v>802168</v>
      </c>
      <c r="AC383" s="1">
        <v>409146</v>
      </c>
      <c r="AE383" s="1">
        <v>155843</v>
      </c>
      <c r="AG383" s="1">
        <v>0</v>
      </c>
      <c r="AI383" s="1">
        <v>0</v>
      </c>
      <c r="AJ383" s="12" t="s">
        <v>502</v>
      </c>
      <c r="AK383" s="12"/>
      <c r="AL383" s="12" t="s">
        <v>50</v>
      </c>
      <c r="AN383" s="1">
        <v>239600</v>
      </c>
      <c r="AP383" s="1">
        <v>637</v>
      </c>
      <c r="AR383" s="1">
        <v>0</v>
      </c>
      <c r="AT383" s="1">
        <v>0</v>
      </c>
      <c r="AV383" s="1">
        <v>0</v>
      </c>
      <c r="AX383" s="1">
        <v>0</v>
      </c>
      <c r="AZ383" s="1">
        <f t="shared" si="37"/>
        <v>7066911</v>
      </c>
      <c r="BB383" s="1">
        <v>1695660</v>
      </c>
      <c r="BH383" s="1">
        <v>0</v>
      </c>
      <c r="BJ383" s="1">
        <f t="shared" si="38"/>
        <v>8762571</v>
      </c>
      <c r="BL383" s="1">
        <f>+GenRev!AM383-GenExp!BJ383</f>
        <v>1022169</v>
      </c>
      <c r="BN383" s="1">
        <v>3170762</v>
      </c>
      <c r="BP383" s="1">
        <v>0</v>
      </c>
      <c r="BQ383" s="1">
        <v>0</v>
      </c>
      <c r="BS383" s="1">
        <f t="shared" si="35"/>
        <v>4192931</v>
      </c>
      <c r="BU383" s="20">
        <f>+BS383-'Gen Fd BS'!AA383+BQ383</f>
        <v>0</v>
      </c>
    </row>
    <row r="384" spans="1:73" hidden="1">
      <c r="A384" s="12" t="s">
        <v>889</v>
      </c>
      <c r="B384" s="12"/>
      <c r="C384" s="12" t="s">
        <v>524</v>
      </c>
      <c r="D384" s="12"/>
      <c r="E384" s="13">
        <v>44479</v>
      </c>
      <c r="AJ384" s="12" t="s">
        <v>889</v>
      </c>
      <c r="AK384" s="12"/>
      <c r="AL384" s="12" t="s">
        <v>524</v>
      </c>
      <c r="AZ384" s="1">
        <f t="shared" si="37"/>
        <v>0</v>
      </c>
      <c r="BJ384" s="1">
        <f t="shared" si="38"/>
        <v>0</v>
      </c>
      <c r="BL384" s="1">
        <f>+GenRev!AM384-GenExp!BJ384</f>
        <v>0</v>
      </c>
      <c r="BS384" s="1">
        <f t="shared" si="35"/>
        <v>0</v>
      </c>
      <c r="BU384" s="20">
        <f>+BS384-'Gen Fd BS'!AA384+BQ384</f>
        <v>0</v>
      </c>
    </row>
    <row r="385" spans="1:73">
      <c r="A385" s="12" t="s">
        <v>405</v>
      </c>
      <c r="B385" s="12"/>
      <c r="C385" s="12" t="s">
        <v>37</v>
      </c>
      <c r="D385" s="12"/>
      <c r="E385" s="13">
        <v>47720</v>
      </c>
      <c r="G385" s="1">
        <v>4478071</v>
      </c>
      <c r="I385" s="1">
        <v>677867</v>
      </c>
      <c r="K385" s="1">
        <v>353476</v>
      </c>
      <c r="M385" s="1">
        <v>19880</v>
      </c>
      <c r="O385" s="1">
        <v>284113</v>
      </c>
      <c r="Q385" s="1">
        <v>478320</v>
      </c>
      <c r="S385" s="1">
        <v>18597</v>
      </c>
      <c r="U385" s="1">
        <v>653729</v>
      </c>
      <c r="W385" s="1">
        <v>254408</v>
      </c>
      <c r="Y385" s="1">
        <v>0</v>
      </c>
      <c r="AA385" s="1">
        <v>625742</v>
      </c>
      <c r="AC385" s="1">
        <v>505770</v>
      </c>
      <c r="AE385" s="1">
        <v>0</v>
      </c>
      <c r="AG385" s="1">
        <v>0</v>
      </c>
      <c r="AI385" s="1">
        <v>0</v>
      </c>
      <c r="AJ385" s="12" t="s">
        <v>405</v>
      </c>
      <c r="AK385" s="12"/>
      <c r="AL385" s="12" t="s">
        <v>37</v>
      </c>
      <c r="AN385" s="1">
        <v>257817</v>
      </c>
      <c r="AP385" s="1">
        <v>2800</v>
      </c>
      <c r="AR385" s="1">
        <v>0</v>
      </c>
      <c r="AT385" s="1">
        <v>39286</v>
      </c>
      <c r="AV385" s="1">
        <v>6480</v>
      </c>
      <c r="AX385" s="1">
        <v>0</v>
      </c>
      <c r="AZ385" s="1">
        <f t="shared" si="37"/>
        <v>8656356</v>
      </c>
      <c r="BB385" s="1">
        <v>0</v>
      </c>
      <c r="BH385" s="1">
        <v>0</v>
      </c>
      <c r="BJ385" s="1">
        <f t="shared" si="38"/>
        <v>8656356</v>
      </c>
      <c r="BL385" s="1">
        <f>+GenRev!AM385-GenExp!BJ385</f>
        <v>138245</v>
      </c>
      <c r="BN385" s="1">
        <v>1426912</v>
      </c>
      <c r="BP385" s="1">
        <v>0</v>
      </c>
      <c r="BQ385" s="1">
        <v>0</v>
      </c>
      <c r="BS385" s="1">
        <f t="shared" si="35"/>
        <v>1565157</v>
      </c>
      <c r="BU385" s="20">
        <f>+BS385-'Gen Fd BS'!AA385+BQ385</f>
        <v>0</v>
      </c>
    </row>
    <row r="386" spans="1:73">
      <c r="A386" s="12" t="s">
        <v>234</v>
      </c>
      <c r="B386" s="12"/>
      <c r="C386" s="12" t="s">
        <v>227</v>
      </c>
      <c r="D386" s="12"/>
      <c r="E386" s="13">
        <v>46136</v>
      </c>
      <c r="G386" s="1">
        <v>2539924</v>
      </c>
      <c r="I386" s="1">
        <v>282961</v>
      </c>
      <c r="K386" s="1">
        <v>0</v>
      </c>
      <c r="M386" s="1">
        <v>49285</v>
      </c>
      <c r="O386" s="1">
        <v>291428</v>
      </c>
      <c r="Q386" s="1">
        <v>218605</v>
      </c>
      <c r="S386" s="1">
        <v>49295</v>
      </c>
      <c r="U386" s="1">
        <v>840736</v>
      </c>
      <c r="W386" s="1">
        <v>186154</v>
      </c>
      <c r="Y386" s="1">
        <v>46306</v>
      </c>
      <c r="AA386" s="1">
        <v>779549</v>
      </c>
      <c r="AC386" s="1">
        <v>326624</v>
      </c>
      <c r="AE386" s="1">
        <v>0</v>
      </c>
      <c r="AG386" s="1">
        <v>0</v>
      </c>
      <c r="AI386" s="1">
        <v>0</v>
      </c>
      <c r="AJ386" s="12" t="s">
        <v>234</v>
      </c>
      <c r="AK386" s="12"/>
      <c r="AL386" s="12" t="s">
        <v>227</v>
      </c>
      <c r="AN386" s="1">
        <v>102047</v>
      </c>
      <c r="AP386" s="1">
        <v>177150</v>
      </c>
      <c r="AR386" s="1">
        <v>0</v>
      </c>
      <c r="AT386" s="1">
        <v>8241</v>
      </c>
      <c r="AV386" s="1">
        <v>1308</v>
      </c>
      <c r="AX386" s="1">
        <v>0</v>
      </c>
      <c r="AZ386" s="1">
        <f t="shared" si="37"/>
        <v>5899613</v>
      </c>
      <c r="BB386" s="1">
        <v>74912</v>
      </c>
      <c r="BH386" s="1">
        <v>0</v>
      </c>
      <c r="BJ386" s="1">
        <f t="shared" si="38"/>
        <v>5974525</v>
      </c>
      <c r="BL386" s="1">
        <f>+GenRev!AM386-GenExp!BJ386</f>
        <v>311299</v>
      </c>
      <c r="BN386" s="1">
        <v>2198763</v>
      </c>
      <c r="BP386" s="1">
        <v>0</v>
      </c>
      <c r="BQ386" s="1">
        <v>0</v>
      </c>
      <c r="BS386" s="1">
        <f t="shared" si="35"/>
        <v>2510062</v>
      </c>
      <c r="BU386" s="20">
        <f>+BS386-'Gen Fd BS'!AA386+BQ386</f>
        <v>0</v>
      </c>
    </row>
    <row r="387" spans="1:73">
      <c r="A387" s="12" t="s">
        <v>622</v>
      </c>
      <c r="B387" s="12"/>
      <c r="C387" s="12" t="s">
        <v>65</v>
      </c>
      <c r="D387" s="12"/>
      <c r="E387" s="13">
        <v>44487</v>
      </c>
      <c r="G387" s="1">
        <v>10345658</v>
      </c>
      <c r="I387" s="1">
        <v>2495112</v>
      </c>
      <c r="K387" s="1">
        <v>117998</v>
      </c>
      <c r="M387" s="1">
        <v>329826</v>
      </c>
      <c r="O387" s="1">
        <v>1187403</v>
      </c>
      <c r="Q387" s="1">
        <v>560031</v>
      </c>
      <c r="S387" s="1">
        <v>57651</v>
      </c>
      <c r="U387" s="1">
        <v>2004639</v>
      </c>
      <c r="W387" s="1">
        <v>829137</v>
      </c>
      <c r="Y387" s="1">
        <v>0</v>
      </c>
      <c r="AA387" s="1">
        <v>2101283</v>
      </c>
      <c r="AC387" s="1">
        <v>749411</v>
      </c>
      <c r="AE387" s="1">
        <v>0</v>
      </c>
      <c r="AG387" s="1">
        <v>0</v>
      </c>
      <c r="AI387" s="1">
        <v>2290</v>
      </c>
      <c r="AJ387" s="12" t="s">
        <v>622</v>
      </c>
      <c r="AK387" s="12"/>
      <c r="AL387" s="12" t="s">
        <v>65</v>
      </c>
      <c r="AN387" s="1">
        <v>398669</v>
      </c>
      <c r="AP387" s="1">
        <v>0</v>
      </c>
      <c r="AR387" s="1">
        <v>0</v>
      </c>
      <c r="AT387" s="1">
        <v>96178</v>
      </c>
      <c r="AV387" s="1">
        <v>52498</v>
      </c>
      <c r="AX387" s="1">
        <v>0</v>
      </c>
      <c r="AZ387" s="1">
        <f t="shared" si="37"/>
        <v>21327784</v>
      </c>
      <c r="BB387" s="1">
        <v>455000</v>
      </c>
      <c r="BH387" s="1">
        <v>0</v>
      </c>
      <c r="BJ387" s="1">
        <f t="shared" si="38"/>
        <v>21782784</v>
      </c>
      <c r="BL387" s="1">
        <f>+GenRev!AM387-GenExp!BJ387</f>
        <v>863572</v>
      </c>
      <c r="BN387" s="1">
        <v>6114075</v>
      </c>
      <c r="BP387" s="1">
        <v>0</v>
      </c>
      <c r="BQ387" s="1">
        <v>0</v>
      </c>
      <c r="BS387" s="1">
        <f t="shared" si="35"/>
        <v>6977647</v>
      </c>
      <c r="BU387" s="20">
        <f>+BS387-'Gen Fd BS'!AA387+BQ387</f>
        <v>0</v>
      </c>
    </row>
    <row r="388" spans="1:73">
      <c r="A388" s="12" t="s">
        <v>256</v>
      </c>
      <c r="B388" s="12"/>
      <c r="C388" s="12" t="s">
        <v>115</v>
      </c>
      <c r="D388" s="12"/>
      <c r="E388" s="13">
        <v>45559</v>
      </c>
      <c r="G388" s="1">
        <v>12220506</v>
      </c>
      <c r="I388" s="1">
        <v>2382348</v>
      </c>
      <c r="K388" s="1">
        <v>0</v>
      </c>
      <c r="M388" s="1">
        <v>25860</v>
      </c>
      <c r="O388" s="1">
        <v>1233940</v>
      </c>
      <c r="Q388" s="1">
        <v>1157249</v>
      </c>
      <c r="S388" s="1">
        <v>102669</v>
      </c>
      <c r="U388" s="1">
        <v>1587467</v>
      </c>
      <c r="W388" s="1">
        <v>892103</v>
      </c>
      <c r="Y388" s="1">
        <v>0</v>
      </c>
      <c r="AA388" s="1">
        <v>3147832</v>
      </c>
      <c r="AC388" s="1">
        <v>1752506</v>
      </c>
      <c r="AE388" s="1">
        <v>321967</v>
      </c>
      <c r="AG388" s="1">
        <v>0</v>
      </c>
      <c r="AI388" s="1">
        <v>0</v>
      </c>
      <c r="AJ388" s="12" t="s">
        <v>256</v>
      </c>
      <c r="AK388" s="12"/>
      <c r="AL388" s="12" t="s">
        <v>115</v>
      </c>
      <c r="AN388" s="1">
        <v>290902</v>
      </c>
      <c r="AP388" s="1">
        <v>0</v>
      </c>
      <c r="AR388" s="1">
        <v>0</v>
      </c>
      <c r="AT388" s="1">
        <v>0</v>
      </c>
      <c r="AV388" s="1">
        <v>0</v>
      </c>
      <c r="AX388" s="1">
        <v>0</v>
      </c>
      <c r="AZ388" s="1">
        <f t="shared" si="37"/>
        <v>25115349</v>
      </c>
      <c r="BB388" s="1">
        <v>2410000</v>
      </c>
      <c r="BH388" s="1">
        <v>0</v>
      </c>
      <c r="BJ388" s="1">
        <f t="shared" si="38"/>
        <v>27525349</v>
      </c>
      <c r="BL388" s="1">
        <f>+GenRev!AM388-GenExp!BJ388</f>
        <v>-391609</v>
      </c>
      <c r="BN388" s="1">
        <v>16138708</v>
      </c>
      <c r="BP388" s="1">
        <v>0</v>
      </c>
      <c r="BQ388" s="1">
        <v>0</v>
      </c>
      <c r="BS388" s="1">
        <f t="shared" si="35"/>
        <v>15747099</v>
      </c>
      <c r="BU388" s="20">
        <f>+BS388-'Gen Fd BS'!AA388+BQ388</f>
        <v>0</v>
      </c>
    </row>
    <row r="389" spans="1:73" hidden="1">
      <c r="A389" s="12" t="s">
        <v>888</v>
      </c>
      <c r="B389" s="12"/>
      <c r="C389" s="12" t="s">
        <v>60</v>
      </c>
      <c r="D389" s="12"/>
      <c r="E389" s="13">
        <v>49718</v>
      </c>
      <c r="AJ389" s="12" t="s">
        <v>888</v>
      </c>
      <c r="AK389" s="12"/>
      <c r="AL389" s="12" t="s">
        <v>60</v>
      </c>
      <c r="AZ389" s="1">
        <f t="shared" si="37"/>
        <v>0</v>
      </c>
      <c r="BJ389" s="1">
        <f t="shared" si="38"/>
        <v>0</v>
      </c>
      <c r="BL389" s="1">
        <f>+GenRev!AM389-GenExp!BJ389</f>
        <v>0</v>
      </c>
      <c r="BS389" s="1">
        <f t="shared" si="35"/>
        <v>0</v>
      </c>
      <c r="BU389" s="20">
        <f>+BS389-'Gen Fd BS'!AA389+BQ389</f>
        <v>0</v>
      </c>
    </row>
    <row r="390" spans="1:73">
      <c r="A390" s="12" t="s">
        <v>431</v>
      </c>
      <c r="B390" s="12"/>
      <c r="C390" s="12" t="s">
        <v>42</v>
      </c>
      <c r="D390" s="12"/>
      <c r="E390" s="12">
        <v>44453</v>
      </c>
      <c r="G390" s="1">
        <v>26101308</v>
      </c>
      <c r="I390" s="1">
        <v>6068340</v>
      </c>
      <c r="K390" s="1">
        <v>444955</v>
      </c>
      <c r="M390" s="1">
        <v>110420</v>
      </c>
      <c r="O390" s="1">
        <v>2838712</v>
      </c>
      <c r="Q390" s="1">
        <v>2059773</v>
      </c>
      <c r="S390" s="1">
        <v>209247</v>
      </c>
      <c r="U390" s="1">
        <v>3195205</v>
      </c>
      <c r="W390" s="1">
        <v>990716</v>
      </c>
      <c r="Y390" s="1">
        <v>526847</v>
      </c>
      <c r="AA390" s="1">
        <v>5255381</v>
      </c>
      <c r="AC390" s="1">
        <v>2103285</v>
      </c>
      <c r="AE390" s="1">
        <v>756324</v>
      </c>
      <c r="AG390" s="1">
        <v>0</v>
      </c>
      <c r="AI390" s="1">
        <v>3171</v>
      </c>
      <c r="AJ390" s="12" t="s">
        <v>431</v>
      </c>
      <c r="AK390" s="12"/>
      <c r="AL390" s="12" t="s">
        <v>42</v>
      </c>
      <c r="AN390" s="1">
        <v>658564</v>
      </c>
      <c r="AP390" s="1">
        <v>0</v>
      </c>
      <c r="AR390" s="1">
        <v>0</v>
      </c>
      <c r="AT390" s="1">
        <v>0</v>
      </c>
      <c r="AV390" s="1">
        <v>0</v>
      </c>
      <c r="AX390" s="1">
        <v>0</v>
      </c>
      <c r="AZ390" s="1">
        <f>SUM(G390:AX390)</f>
        <v>51322248</v>
      </c>
      <c r="BB390" s="1">
        <v>74650</v>
      </c>
      <c r="BH390" s="1">
        <v>0</v>
      </c>
      <c r="BJ390" s="1">
        <f>+AZ390+BB390+BD390+BH390</f>
        <v>51396898</v>
      </c>
      <c r="BL390" s="1">
        <f>+GenRev!AM390-GenExp!BJ390</f>
        <v>5149998</v>
      </c>
      <c r="BN390" s="1">
        <v>6328938</v>
      </c>
      <c r="BP390" s="1">
        <v>0</v>
      </c>
      <c r="BQ390" s="1">
        <v>0</v>
      </c>
      <c r="BS390" s="1">
        <f>+BN390+BL390-BP390</f>
        <v>11478936</v>
      </c>
      <c r="BU390" s="20">
        <f>+BS390-'Gen Fd BS'!AA390+BQ390</f>
        <v>0</v>
      </c>
    </row>
    <row r="391" spans="1:73" s="16" customFormat="1">
      <c r="A391" s="14" t="s">
        <v>355</v>
      </c>
      <c r="B391" s="14"/>
      <c r="C391" s="14" t="s">
        <v>30</v>
      </c>
      <c r="D391" s="14"/>
      <c r="E391" s="13">
        <v>47217</v>
      </c>
      <c r="G391" s="1">
        <v>3748520</v>
      </c>
      <c r="H391" s="1"/>
      <c r="I391" s="1">
        <v>706268</v>
      </c>
      <c r="J391" s="1"/>
      <c r="K391" s="1">
        <v>53514</v>
      </c>
      <c r="L391" s="1"/>
      <c r="M391" s="1">
        <v>4125</v>
      </c>
      <c r="N391" s="1"/>
      <c r="O391" s="1">
        <v>355428</v>
      </c>
      <c r="P391" s="1"/>
      <c r="Q391" s="1">
        <v>161697</v>
      </c>
      <c r="R391" s="1"/>
      <c r="S391" s="1">
        <v>85795</v>
      </c>
      <c r="T391" s="1"/>
      <c r="U391" s="1">
        <v>499578</v>
      </c>
      <c r="V391" s="1"/>
      <c r="W391" s="1">
        <v>290576</v>
      </c>
      <c r="X391" s="1"/>
      <c r="Y391" s="1">
        <v>0</v>
      </c>
      <c r="Z391" s="1"/>
      <c r="AA391" s="1">
        <v>713330</v>
      </c>
      <c r="AB391" s="1"/>
      <c r="AC391" s="1">
        <v>564435</v>
      </c>
      <c r="AD391" s="1"/>
      <c r="AE391" s="1">
        <v>86344</v>
      </c>
      <c r="AF391" s="1"/>
      <c r="AG391" s="1">
        <v>0</v>
      </c>
      <c r="AH391" s="1"/>
      <c r="AI391" s="1">
        <v>268</v>
      </c>
      <c r="AJ391" s="12" t="s">
        <v>355</v>
      </c>
      <c r="AK391" s="12"/>
      <c r="AL391" s="12" t="s">
        <v>30</v>
      </c>
      <c r="AM391" s="1"/>
      <c r="AN391" s="1">
        <v>237634</v>
      </c>
      <c r="AO391" s="1"/>
      <c r="AP391" s="1">
        <v>8855</v>
      </c>
      <c r="AQ391" s="1"/>
      <c r="AR391" s="1">
        <v>0</v>
      </c>
      <c r="AS391" s="1"/>
      <c r="AT391" s="1">
        <v>0</v>
      </c>
      <c r="AU391" s="1"/>
      <c r="AV391" s="1">
        <v>0</v>
      </c>
      <c r="AW391" s="1"/>
      <c r="AX391" s="1">
        <v>0</v>
      </c>
      <c r="AY391" s="1"/>
      <c r="AZ391" s="1">
        <f t="shared" ref="AZ391:AZ408" si="42">SUM(G391:AX391)</f>
        <v>7516367</v>
      </c>
      <c r="BA391" s="1"/>
      <c r="BB391" s="1">
        <v>78478</v>
      </c>
      <c r="BC391" s="1"/>
      <c r="BD391" s="1"/>
      <c r="BE391" s="1"/>
      <c r="BF391" s="1"/>
      <c r="BG391" s="1"/>
      <c r="BH391" s="1">
        <v>0</v>
      </c>
      <c r="BI391" s="1"/>
      <c r="BJ391" s="1">
        <f t="shared" ref="BJ391:BJ408" si="43">+AZ391+BB391+BD391+BH391</f>
        <v>7594845</v>
      </c>
      <c r="BK391" s="1"/>
      <c r="BL391" s="1">
        <f>+GenRev!AM391-GenExp!BJ391</f>
        <v>9970</v>
      </c>
      <c r="BM391" s="1"/>
      <c r="BN391" s="1">
        <v>973479</v>
      </c>
      <c r="BO391" s="1"/>
      <c r="BP391" s="1">
        <v>0</v>
      </c>
      <c r="BQ391" s="1">
        <v>0</v>
      </c>
      <c r="BR391" s="1"/>
      <c r="BS391" s="1">
        <f t="shared" ref="BS391:BS430" si="44">+BN391+BL391-BP391</f>
        <v>983449</v>
      </c>
      <c r="BT391" s="1"/>
      <c r="BU391" s="20">
        <f>+BS391-'Gen Fd BS'!AA391+BQ391</f>
        <v>0</v>
      </c>
    </row>
    <row r="392" spans="1:73">
      <c r="A392" s="12" t="s">
        <v>623</v>
      </c>
      <c r="B392" s="12"/>
      <c r="C392" s="12" t="s">
        <v>65</v>
      </c>
      <c r="D392" s="12"/>
      <c r="E392" s="13">
        <v>45542</v>
      </c>
      <c r="G392" s="1">
        <v>4494673</v>
      </c>
      <c r="I392" s="1">
        <v>694396</v>
      </c>
      <c r="K392" s="1">
        <v>105589</v>
      </c>
      <c r="M392" s="1">
        <v>423133</v>
      </c>
      <c r="O392" s="1">
        <v>368104</v>
      </c>
      <c r="Q392" s="1">
        <v>595486</v>
      </c>
      <c r="S392" s="1">
        <v>0</v>
      </c>
      <c r="U392" s="1">
        <v>1090176</v>
      </c>
      <c r="W392" s="1">
        <v>331606</v>
      </c>
      <c r="Y392" s="1">
        <v>0</v>
      </c>
      <c r="AA392" s="1">
        <v>1135095</v>
      </c>
      <c r="AC392" s="1">
        <v>573720</v>
      </c>
      <c r="AE392" s="1">
        <v>0</v>
      </c>
      <c r="AG392" s="1">
        <v>0</v>
      </c>
      <c r="AI392" s="1">
        <v>0</v>
      </c>
      <c r="AJ392" s="12" t="s">
        <v>623</v>
      </c>
      <c r="AK392" s="12"/>
      <c r="AL392" s="12" t="s">
        <v>65</v>
      </c>
      <c r="AN392" s="1">
        <v>157970</v>
      </c>
      <c r="AP392" s="1">
        <v>215481</v>
      </c>
      <c r="AR392" s="1">
        <v>0</v>
      </c>
      <c r="AT392" s="1">
        <v>0</v>
      </c>
      <c r="AV392" s="1">
        <v>0</v>
      </c>
      <c r="AX392" s="1">
        <v>0</v>
      </c>
      <c r="AZ392" s="1">
        <f t="shared" si="42"/>
        <v>10185429</v>
      </c>
      <c r="BB392" s="1">
        <v>0</v>
      </c>
      <c r="BH392" s="1">
        <v>0</v>
      </c>
      <c r="BJ392" s="1">
        <f t="shared" si="43"/>
        <v>10185429</v>
      </c>
      <c r="BL392" s="1">
        <f>+GenRev!AM392-GenExp!BJ392</f>
        <v>-590817</v>
      </c>
      <c r="BN392" s="1">
        <v>335630</v>
      </c>
      <c r="BP392" s="1">
        <v>0</v>
      </c>
      <c r="BQ392" s="1">
        <v>0</v>
      </c>
      <c r="BS392" s="1">
        <f t="shared" si="44"/>
        <v>-255187</v>
      </c>
      <c r="BU392" s="20">
        <f>+BS392-'Gen Fd BS'!AA392+BQ392</f>
        <v>0</v>
      </c>
    </row>
    <row r="393" spans="1:73">
      <c r="A393" s="12" t="s">
        <v>614</v>
      </c>
      <c r="B393" s="12"/>
      <c r="C393" s="12" t="s">
        <v>64</v>
      </c>
      <c r="D393" s="12"/>
      <c r="E393" s="13">
        <v>45567</v>
      </c>
      <c r="G393" s="1">
        <v>4976274</v>
      </c>
      <c r="I393" s="1">
        <v>1320851</v>
      </c>
      <c r="K393" s="1">
        <v>173848</v>
      </c>
      <c r="M393" s="1">
        <v>0</v>
      </c>
      <c r="O393" s="1">
        <v>556399</v>
      </c>
      <c r="Q393" s="1">
        <v>231770</v>
      </c>
      <c r="S393" s="1">
        <v>90647</v>
      </c>
      <c r="U393" s="1">
        <v>784379</v>
      </c>
      <c r="W393" s="1">
        <v>274131</v>
      </c>
      <c r="Y393" s="1">
        <v>0</v>
      </c>
      <c r="AA393" s="1">
        <v>890781</v>
      </c>
      <c r="AC393" s="1">
        <v>755313</v>
      </c>
      <c r="AE393" s="1">
        <v>303082</v>
      </c>
      <c r="AG393" s="1">
        <v>0</v>
      </c>
      <c r="AI393" s="1">
        <v>0</v>
      </c>
      <c r="AJ393" s="12" t="s">
        <v>614</v>
      </c>
      <c r="AK393" s="12"/>
      <c r="AL393" s="12" t="s">
        <v>64</v>
      </c>
      <c r="AN393" s="1">
        <v>200287</v>
      </c>
      <c r="AP393" s="1">
        <v>0</v>
      </c>
      <c r="AR393" s="1">
        <v>0</v>
      </c>
      <c r="AT393" s="1">
        <v>0</v>
      </c>
      <c r="AV393" s="1">
        <v>0</v>
      </c>
      <c r="AX393" s="1">
        <v>0</v>
      </c>
      <c r="AZ393" s="1">
        <f t="shared" si="42"/>
        <v>10557762</v>
      </c>
      <c r="BB393" s="1">
        <v>2721</v>
      </c>
      <c r="BH393" s="1">
        <v>0</v>
      </c>
      <c r="BJ393" s="1">
        <f t="shared" si="43"/>
        <v>10560483</v>
      </c>
      <c r="BL393" s="1">
        <f>+GenRev!AM393-GenExp!BJ393</f>
        <v>381438</v>
      </c>
      <c r="BN393" s="1">
        <v>-66929</v>
      </c>
      <c r="BP393" s="1">
        <v>0</v>
      </c>
      <c r="BQ393" s="1">
        <v>0</v>
      </c>
      <c r="BS393" s="1">
        <f t="shared" si="44"/>
        <v>314509</v>
      </c>
      <c r="BU393" s="20">
        <f>+BS393-'Gen Fd BS'!AA393+BQ393</f>
        <v>0</v>
      </c>
    </row>
    <row r="394" spans="1:73" hidden="1">
      <c r="A394" s="12" t="s">
        <v>946</v>
      </c>
      <c r="B394" s="12"/>
      <c r="C394" s="12" t="s">
        <v>48</v>
      </c>
      <c r="D394" s="12"/>
      <c r="E394" s="13">
        <v>48637</v>
      </c>
      <c r="AJ394" s="12" t="s">
        <v>946</v>
      </c>
      <c r="AK394" s="12"/>
      <c r="AL394" s="12" t="s">
        <v>48</v>
      </c>
      <c r="AZ394" s="1">
        <f t="shared" si="42"/>
        <v>0</v>
      </c>
      <c r="BJ394" s="1">
        <f t="shared" si="43"/>
        <v>0</v>
      </c>
      <c r="BL394" s="1">
        <f>+GenRev!AM394-GenExp!BJ394</f>
        <v>0</v>
      </c>
      <c r="BS394" s="1">
        <f t="shared" si="44"/>
        <v>0</v>
      </c>
      <c r="BU394" s="20">
        <f>+BS394-'Gen Fd BS'!AA394+BQ394</f>
        <v>0</v>
      </c>
    </row>
    <row r="395" spans="1:73">
      <c r="A395" s="12" t="s">
        <v>723</v>
      </c>
      <c r="B395" s="12"/>
      <c r="C395" s="12" t="s">
        <v>64</v>
      </c>
      <c r="D395" s="12"/>
      <c r="E395" s="13"/>
      <c r="G395" s="1">
        <v>11201629</v>
      </c>
      <c r="I395" s="1">
        <v>2564611</v>
      </c>
      <c r="K395" s="1">
        <v>91012</v>
      </c>
      <c r="M395" s="1">
        <v>927749</v>
      </c>
      <c r="O395" s="1">
        <v>1177203</v>
      </c>
      <c r="Q395" s="1">
        <v>664503</v>
      </c>
      <c r="S395" s="1">
        <v>47355</v>
      </c>
      <c r="U395" s="1">
        <v>2142154</v>
      </c>
      <c r="W395" s="1">
        <v>643609</v>
      </c>
      <c r="Y395" s="1">
        <v>302491</v>
      </c>
      <c r="AA395" s="1">
        <v>2250988</v>
      </c>
      <c r="AC395" s="1">
        <v>864731</v>
      </c>
      <c r="AE395" s="1">
        <v>238287</v>
      </c>
      <c r="AG395" s="1">
        <v>0</v>
      </c>
      <c r="AI395" s="1">
        <v>55333</v>
      </c>
      <c r="AJ395" s="12" t="s">
        <v>723</v>
      </c>
      <c r="AK395" s="12"/>
      <c r="AL395" s="12" t="s">
        <v>64</v>
      </c>
      <c r="AN395" s="1">
        <v>339239</v>
      </c>
      <c r="AP395" s="1">
        <v>8691</v>
      </c>
      <c r="AR395" s="1">
        <v>0</v>
      </c>
      <c r="AT395" s="1">
        <v>0</v>
      </c>
      <c r="AV395" s="1">
        <v>13003</v>
      </c>
      <c r="AX395" s="1">
        <v>0</v>
      </c>
      <c r="AZ395" s="1">
        <f t="shared" si="42"/>
        <v>23532588</v>
      </c>
      <c r="BB395" s="1">
        <v>0</v>
      </c>
      <c r="BH395" s="1">
        <v>0</v>
      </c>
      <c r="BJ395" s="1">
        <f t="shared" si="43"/>
        <v>23532588</v>
      </c>
      <c r="BL395" s="1">
        <f>+GenRev!AM395-GenExp!BJ395</f>
        <v>-727774</v>
      </c>
      <c r="BN395" s="1">
        <v>-1935262</v>
      </c>
      <c r="BP395" s="1">
        <v>0</v>
      </c>
      <c r="BQ395" s="1">
        <v>0</v>
      </c>
      <c r="BS395" s="1">
        <f t="shared" si="44"/>
        <v>-2663036</v>
      </c>
      <c r="BU395" s="20">
        <f>+BS395-'Gen Fd BS'!AA395+BQ395</f>
        <v>0</v>
      </c>
    </row>
    <row r="396" spans="1:73">
      <c r="A396" s="12" t="s">
        <v>518</v>
      </c>
      <c r="B396" s="12"/>
      <c r="C396" s="12" t="s">
        <v>52</v>
      </c>
      <c r="D396" s="12"/>
      <c r="E396" s="13">
        <v>48900</v>
      </c>
      <c r="G396" s="1">
        <v>3977545</v>
      </c>
      <c r="I396" s="1">
        <v>683861</v>
      </c>
      <c r="K396" s="1">
        <v>303018</v>
      </c>
      <c r="M396" s="1">
        <v>0</v>
      </c>
      <c r="O396" s="1">
        <v>342672</v>
      </c>
      <c r="Q396" s="1">
        <v>270845</v>
      </c>
      <c r="S396" s="1">
        <v>59141</v>
      </c>
      <c r="U396" s="1">
        <v>981018</v>
      </c>
      <c r="W396" s="1">
        <v>343341</v>
      </c>
      <c r="Y396" s="1">
        <v>16041</v>
      </c>
      <c r="AA396" s="1">
        <v>842786</v>
      </c>
      <c r="AC396" s="1">
        <v>990137</v>
      </c>
      <c r="AE396" s="1">
        <v>0</v>
      </c>
      <c r="AG396" s="1">
        <v>0</v>
      </c>
      <c r="AI396" s="1">
        <v>0</v>
      </c>
      <c r="AJ396" s="12" t="s">
        <v>518</v>
      </c>
      <c r="AK396" s="12"/>
      <c r="AL396" s="12" t="s">
        <v>52</v>
      </c>
      <c r="AN396" s="1">
        <v>112822</v>
      </c>
      <c r="AP396" s="1">
        <v>0</v>
      </c>
      <c r="AR396" s="1">
        <v>0</v>
      </c>
      <c r="AT396" s="1">
        <v>6528</v>
      </c>
      <c r="AV396" s="1">
        <v>1860</v>
      </c>
      <c r="AX396" s="1">
        <v>0</v>
      </c>
      <c r="AZ396" s="1">
        <f t="shared" si="42"/>
        <v>8931615</v>
      </c>
      <c r="BB396" s="1">
        <v>253231</v>
      </c>
      <c r="BH396" s="1">
        <v>0</v>
      </c>
      <c r="BJ396" s="1">
        <f t="shared" si="43"/>
        <v>9184846</v>
      </c>
      <c r="BL396" s="1">
        <f>+GenRev!AM396-GenExp!BJ396</f>
        <v>11536</v>
      </c>
      <c r="BN396" s="1">
        <v>864179</v>
      </c>
      <c r="BP396" s="1">
        <v>0</v>
      </c>
      <c r="BQ396" s="1">
        <v>0</v>
      </c>
      <c r="BS396" s="1">
        <f t="shared" si="44"/>
        <v>875715</v>
      </c>
      <c r="BU396" s="20">
        <f>+BS396-'Gen Fd BS'!AA396+BQ396</f>
        <v>0</v>
      </c>
    </row>
    <row r="397" spans="1:73">
      <c r="A397" s="12" t="s">
        <v>592</v>
      </c>
      <c r="B397" s="12"/>
      <c r="C397" s="12" t="s">
        <v>63</v>
      </c>
      <c r="D397" s="12"/>
      <c r="E397" s="13">
        <v>50047</v>
      </c>
      <c r="G397" s="1">
        <v>18450380</v>
      </c>
      <c r="I397" s="1">
        <v>4280289</v>
      </c>
      <c r="K397" s="1">
        <v>329358</v>
      </c>
      <c r="M397" s="1">
        <v>921170</v>
      </c>
      <c r="O397" s="1">
        <v>3033499</v>
      </c>
      <c r="Q397" s="1">
        <v>1081151</v>
      </c>
      <c r="S397" s="1">
        <v>101028</v>
      </c>
      <c r="U397" s="1">
        <v>2772107</v>
      </c>
      <c r="W397" s="1">
        <v>1080178</v>
      </c>
      <c r="Y397" s="1">
        <v>271366</v>
      </c>
      <c r="AA397" s="1">
        <v>3659000</v>
      </c>
      <c r="AC397" s="1">
        <v>2746009</v>
      </c>
      <c r="AE397" s="1">
        <v>214237</v>
      </c>
      <c r="AG397" s="1">
        <v>0</v>
      </c>
      <c r="AI397" s="1">
        <v>0</v>
      </c>
      <c r="AJ397" s="12" t="s">
        <v>592</v>
      </c>
      <c r="AK397" s="12"/>
      <c r="AL397" s="12" t="s">
        <v>63</v>
      </c>
      <c r="AN397" s="1">
        <v>959943</v>
      </c>
      <c r="AP397" s="1">
        <v>0</v>
      </c>
      <c r="AR397" s="1">
        <v>0</v>
      </c>
      <c r="AT397" s="1">
        <v>43497</v>
      </c>
      <c r="AV397" s="1">
        <v>0</v>
      </c>
      <c r="AX397" s="1">
        <v>0</v>
      </c>
      <c r="AZ397" s="1">
        <f t="shared" si="42"/>
        <v>39943212</v>
      </c>
      <c r="BB397" s="1">
        <v>35520</v>
      </c>
      <c r="BH397" s="1">
        <v>0</v>
      </c>
      <c r="BJ397" s="1">
        <f t="shared" si="43"/>
        <v>39978732</v>
      </c>
      <c r="BL397" s="1">
        <f>+GenRev!AM397-GenExp!BJ397</f>
        <v>-3915257</v>
      </c>
      <c r="BN397" s="1">
        <v>10562079</v>
      </c>
      <c r="BP397" s="1">
        <v>0</v>
      </c>
      <c r="BQ397" s="1">
        <v>0</v>
      </c>
      <c r="BS397" s="1">
        <f t="shared" si="44"/>
        <v>6646822</v>
      </c>
      <c r="BU397" s="20">
        <f>+BS397-'Gen Fd BS'!AA397+BQ397</f>
        <v>0</v>
      </c>
    </row>
    <row r="398" spans="1:73">
      <c r="A398" s="12" t="s">
        <v>648</v>
      </c>
      <c r="B398" s="12"/>
      <c r="C398" s="12" t="s">
        <v>72</v>
      </c>
      <c r="D398" s="12"/>
      <c r="E398" s="13">
        <v>50708</v>
      </c>
      <c r="G398" s="1">
        <v>2544428</v>
      </c>
      <c r="I398" s="1">
        <v>1035252</v>
      </c>
      <c r="K398" s="1">
        <v>0</v>
      </c>
      <c r="M398" s="1">
        <v>744877</v>
      </c>
      <c r="O398" s="1">
        <v>233375</v>
      </c>
      <c r="Q398" s="1">
        <v>416691</v>
      </c>
      <c r="S398" s="1">
        <v>176878</v>
      </c>
      <c r="U398" s="1">
        <v>620601</v>
      </c>
      <c r="W398" s="1">
        <v>295043</v>
      </c>
      <c r="Y398" s="1">
        <v>0</v>
      </c>
      <c r="AA398" s="1">
        <v>655776</v>
      </c>
      <c r="AC398" s="1">
        <v>304779</v>
      </c>
      <c r="AE398" s="1">
        <v>0</v>
      </c>
      <c r="AG398" s="1">
        <v>0</v>
      </c>
      <c r="AI398" s="1">
        <v>0</v>
      </c>
      <c r="AJ398" s="12" t="s">
        <v>648</v>
      </c>
      <c r="AK398" s="12"/>
      <c r="AL398" s="12" t="s">
        <v>72</v>
      </c>
      <c r="AN398" s="1">
        <v>159787</v>
      </c>
      <c r="AP398" s="1">
        <v>0</v>
      </c>
      <c r="AR398" s="1">
        <v>0</v>
      </c>
      <c r="AT398" s="1">
        <v>0</v>
      </c>
      <c r="AV398" s="1">
        <v>0</v>
      </c>
      <c r="AX398" s="1">
        <v>0</v>
      </c>
      <c r="AZ398" s="1">
        <f t="shared" si="42"/>
        <v>7187487</v>
      </c>
      <c r="BB398" s="1">
        <v>4271</v>
      </c>
      <c r="BH398" s="1">
        <v>0</v>
      </c>
      <c r="BJ398" s="1">
        <f t="shared" si="43"/>
        <v>7191758</v>
      </c>
      <c r="BL398" s="1">
        <f>+GenRev!AM398-GenExp!BJ398</f>
        <v>-148197</v>
      </c>
      <c r="BN398" s="1">
        <v>1480928</v>
      </c>
      <c r="BP398" s="1">
        <v>0</v>
      </c>
      <c r="BQ398" s="1">
        <v>0</v>
      </c>
      <c r="BS398" s="1">
        <f t="shared" si="44"/>
        <v>1332731</v>
      </c>
      <c r="BU398" s="20">
        <f>+BS398-'Gen Fd BS'!AA398+BQ398</f>
        <v>0</v>
      </c>
    </row>
    <row r="399" spans="1:73" hidden="1">
      <c r="A399" s="17" t="s">
        <v>887</v>
      </c>
      <c r="B399" s="12"/>
      <c r="C399" s="12" t="s">
        <v>53</v>
      </c>
      <c r="D399" s="12"/>
      <c r="E399" s="13">
        <v>48967</v>
      </c>
      <c r="AJ399" s="17" t="s">
        <v>887</v>
      </c>
      <c r="AK399" s="12"/>
      <c r="AL399" s="12" t="s">
        <v>53</v>
      </c>
      <c r="AZ399" s="1">
        <f t="shared" si="42"/>
        <v>0</v>
      </c>
      <c r="BJ399" s="1">
        <f t="shared" si="43"/>
        <v>0</v>
      </c>
      <c r="BL399" s="1">
        <f>+GenRev!AM399-GenExp!BJ399</f>
        <v>0</v>
      </c>
      <c r="BS399" s="1">
        <f t="shared" si="44"/>
        <v>0</v>
      </c>
      <c r="BU399" s="20">
        <f>+BS399-'Gen Fd BS'!AA399+BQ399</f>
        <v>0</v>
      </c>
    </row>
    <row r="400" spans="1:73">
      <c r="A400" s="12" t="s">
        <v>582</v>
      </c>
      <c r="B400" s="12"/>
      <c r="C400" s="12" t="s">
        <v>62</v>
      </c>
      <c r="D400" s="12"/>
      <c r="E400" s="13">
        <v>44503</v>
      </c>
      <c r="G400" s="1">
        <v>19224421</v>
      </c>
      <c r="I400" s="1">
        <v>2832709</v>
      </c>
      <c r="K400" s="1">
        <v>1628256</v>
      </c>
      <c r="M400" s="1">
        <f>9464+121685</f>
        <v>131149</v>
      </c>
      <c r="O400" s="1">
        <v>2020752</v>
      </c>
      <c r="Q400" s="1">
        <v>2139886</v>
      </c>
      <c r="S400" s="1">
        <v>24305</v>
      </c>
      <c r="U400" s="1">
        <v>2867439</v>
      </c>
      <c r="W400" s="1">
        <v>950239</v>
      </c>
      <c r="Y400" s="1">
        <v>5931</v>
      </c>
      <c r="AA400" s="1">
        <v>2915783</v>
      </c>
      <c r="AC400" s="1">
        <v>2630363</v>
      </c>
      <c r="AE400" s="1">
        <v>168103</v>
      </c>
      <c r="AG400" s="1">
        <v>0</v>
      </c>
      <c r="AI400" s="1">
        <v>10396</v>
      </c>
      <c r="AJ400" s="12" t="s">
        <v>582</v>
      </c>
      <c r="AK400" s="12"/>
      <c r="AL400" s="12" t="s">
        <v>62</v>
      </c>
      <c r="AN400" s="1">
        <v>725245</v>
      </c>
      <c r="AP400" s="1">
        <v>218496</v>
      </c>
      <c r="AR400" s="1">
        <v>0</v>
      </c>
      <c r="AT400" s="1">
        <v>167164</v>
      </c>
      <c r="AV400" s="1">
        <v>37105</v>
      </c>
      <c r="AX400" s="1">
        <v>0</v>
      </c>
      <c r="AZ400" s="1">
        <f t="shared" si="42"/>
        <v>38697742</v>
      </c>
      <c r="BB400" s="1">
        <v>157211</v>
      </c>
      <c r="BH400" s="1">
        <v>0</v>
      </c>
      <c r="BJ400" s="1">
        <f t="shared" si="43"/>
        <v>38854953</v>
      </c>
      <c r="BL400" s="1">
        <f>+GenRev!AM400-GenExp!BJ400</f>
        <v>-395710</v>
      </c>
      <c r="BN400" s="1">
        <v>-3493439</v>
      </c>
      <c r="BP400" s="1">
        <v>-41317</v>
      </c>
      <c r="BQ400" s="1">
        <v>0</v>
      </c>
      <c r="BS400" s="1">
        <f t="shared" si="44"/>
        <v>-3847832</v>
      </c>
      <c r="BU400" s="20">
        <f>+BS400-'Gen Fd BS'!AA400+BQ400</f>
        <v>0</v>
      </c>
    </row>
    <row r="401" spans="1:73" hidden="1">
      <c r="A401" s="17" t="s">
        <v>886</v>
      </c>
      <c r="B401" s="12"/>
      <c r="C401" s="12" t="s">
        <v>643</v>
      </c>
      <c r="D401" s="12"/>
      <c r="E401" s="13">
        <v>50641</v>
      </c>
      <c r="F401" s="8"/>
      <c r="AJ401" s="17" t="s">
        <v>886</v>
      </c>
      <c r="AK401" s="12"/>
      <c r="AL401" s="12" t="s">
        <v>643</v>
      </c>
      <c r="AZ401" s="1">
        <f t="shared" si="42"/>
        <v>0</v>
      </c>
      <c r="BJ401" s="1">
        <f t="shared" si="43"/>
        <v>0</v>
      </c>
      <c r="BL401" s="1">
        <f>+GenRev!AM401-GenExp!BJ401</f>
        <v>0</v>
      </c>
      <c r="BS401" s="1">
        <f t="shared" si="44"/>
        <v>0</v>
      </c>
      <c r="BU401" s="20">
        <f>+BS401-'Gen Fd BS'!AA401+BQ401</f>
        <v>0</v>
      </c>
    </row>
    <row r="402" spans="1:73">
      <c r="A402" s="12" t="s">
        <v>369</v>
      </c>
      <c r="B402" s="12"/>
      <c r="C402" s="12" t="s">
        <v>32</v>
      </c>
      <c r="D402" s="12"/>
      <c r="E402" s="13">
        <v>44511</v>
      </c>
      <c r="G402" s="1">
        <v>5617431</v>
      </c>
      <c r="I402" s="1">
        <v>1796860</v>
      </c>
      <c r="K402" s="1">
        <v>48601</v>
      </c>
      <c r="M402" s="1">
        <f>16735+35302</f>
        <v>52037</v>
      </c>
      <c r="O402" s="1">
        <v>931834</v>
      </c>
      <c r="Q402" s="1">
        <v>1089661</v>
      </c>
      <c r="S402" s="1">
        <v>53558</v>
      </c>
      <c r="U402" s="1">
        <v>788255</v>
      </c>
      <c r="W402" s="1">
        <v>244216</v>
      </c>
      <c r="Y402" s="1">
        <v>11545</v>
      </c>
      <c r="AA402" s="1">
        <v>1009605</v>
      </c>
      <c r="AC402" s="1">
        <v>249422</v>
      </c>
      <c r="AE402" s="1">
        <v>5163</v>
      </c>
      <c r="AG402" s="1">
        <v>0</v>
      </c>
      <c r="AI402" s="1">
        <v>1302</v>
      </c>
      <c r="AJ402" s="12" t="s">
        <v>369</v>
      </c>
      <c r="AK402" s="12"/>
      <c r="AL402" s="12" t="s">
        <v>32</v>
      </c>
      <c r="AN402" s="1">
        <v>248995</v>
      </c>
      <c r="AP402" s="1">
        <v>0</v>
      </c>
      <c r="AR402" s="1">
        <v>0</v>
      </c>
      <c r="AT402" s="1">
        <v>0</v>
      </c>
      <c r="AV402" s="1">
        <v>0</v>
      </c>
      <c r="AX402" s="1">
        <v>0</v>
      </c>
      <c r="AZ402" s="1">
        <f t="shared" si="42"/>
        <v>12148485</v>
      </c>
      <c r="BB402" s="1">
        <v>30000</v>
      </c>
      <c r="BH402" s="1">
        <v>0</v>
      </c>
      <c r="BJ402" s="1">
        <f t="shared" si="43"/>
        <v>12178485</v>
      </c>
      <c r="BL402" s="1">
        <f>+GenRev!AM402-GenExp!BJ402</f>
        <v>-90851</v>
      </c>
      <c r="BN402" s="1">
        <v>341285</v>
      </c>
      <c r="BP402" s="1">
        <v>0</v>
      </c>
      <c r="BQ402" s="1">
        <v>0</v>
      </c>
      <c r="BS402" s="1">
        <f t="shared" si="44"/>
        <v>250434</v>
      </c>
      <c r="BU402" s="20">
        <f>+BS402-'Gen Fd BS'!AA402+BQ402</f>
        <v>0</v>
      </c>
    </row>
    <row r="403" spans="1:73">
      <c r="A403" s="12" t="s">
        <v>432</v>
      </c>
      <c r="B403" s="12"/>
      <c r="C403" s="12" t="s">
        <v>42</v>
      </c>
      <c r="D403" s="12"/>
      <c r="E403" s="13">
        <v>48025</v>
      </c>
      <c r="G403" s="1">
        <v>4899516</v>
      </c>
      <c r="I403" s="1">
        <v>2369610</v>
      </c>
      <c r="K403" s="1">
        <v>275397</v>
      </c>
      <c r="M403" s="1">
        <v>199644</v>
      </c>
      <c r="O403" s="1">
        <v>1437362</v>
      </c>
      <c r="Q403" s="1">
        <v>236632</v>
      </c>
      <c r="S403" s="1">
        <v>43443</v>
      </c>
      <c r="U403" s="1">
        <v>1400200</v>
      </c>
      <c r="W403" s="1">
        <v>443317</v>
      </c>
      <c r="Y403" s="1">
        <v>0</v>
      </c>
      <c r="AA403" s="1">
        <v>1507392</v>
      </c>
      <c r="AC403" s="1">
        <v>1378579</v>
      </c>
      <c r="AE403" s="1">
        <v>493292</v>
      </c>
      <c r="AG403" s="1">
        <v>0</v>
      </c>
      <c r="AI403" s="1">
        <v>0</v>
      </c>
      <c r="AJ403" s="12" t="s">
        <v>432</v>
      </c>
      <c r="AK403" s="12"/>
      <c r="AL403" s="12" t="s">
        <v>42</v>
      </c>
      <c r="AN403" s="1">
        <v>383279</v>
      </c>
      <c r="AP403" s="1">
        <v>0</v>
      </c>
      <c r="AR403" s="1">
        <v>0</v>
      </c>
      <c r="AT403" s="1">
        <v>0</v>
      </c>
      <c r="AV403" s="1">
        <v>0</v>
      </c>
      <c r="AX403" s="1">
        <v>0</v>
      </c>
      <c r="AZ403" s="1">
        <f t="shared" si="42"/>
        <v>15067663</v>
      </c>
      <c r="BB403" s="1">
        <v>192340</v>
      </c>
      <c r="BH403" s="1">
        <v>0</v>
      </c>
      <c r="BJ403" s="1">
        <f t="shared" si="43"/>
        <v>15260003</v>
      </c>
      <c r="BL403" s="1">
        <f>+GenRev!AM403-GenExp!BJ403</f>
        <v>-107020</v>
      </c>
      <c r="BN403" s="1">
        <v>-853095</v>
      </c>
      <c r="BP403" s="1">
        <v>0</v>
      </c>
      <c r="BQ403" s="1">
        <v>0</v>
      </c>
      <c r="BS403" s="1">
        <f t="shared" si="44"/>
        <v>-960115</v>
      </c>
      <c r="BU403" s="20">
        <f>+BS403-'Gen Fd BS'!AA403+BQ403</f>
        <v>0</v>
      </c>
    </row>
    <row r="404" spans="1:73">
      <c r="A404" s="12" t="s">
        <v>296</v>
      </c>
      <c r="B404" s="12"/>
      <c r="C404" s="12" t="s">
        <v>20</v>
      </c>
      <c r="D404" s="12"/>
      <c r="E404" s="13">
        <v>44529</v>
      </c>
      <c r="G404" s="1">
        <v>22940068</v>
      </c>
      <c r="I404" s="1">
        <v>7472724</v>
      </c>
      <c r="K404" s="1">
        <v>467552</v>
      </c>
      <c r="M404" s="1">
        <f>22162+345290</f>
        <v>367452</v>
      </c>
      <c r="O404" s="1">
        <v>3657371</v>
      </c>
      <c r="Q404" s="1">
        <v>1165152</v>
      </c>
      <c r="S404" s="1">
        <v>300183</v>
      </c>
      <c r="U404" s="1">
        <v>3273094</v>
      </c>
      <c r="W404" s="1">
        <v>1165677</v>
      </c>
      <c r="Y404" s="1">
        <v>141223</v>
      </c>
      <c r="AA404" s="1">
        <v>4240039</v>
      </c>
      <c r="AC404" s="1">
        <v>2120956</v>
      </c>
      <c r="AE404" s="1">
        <v>787123</v>
      </c>
      <c r="AG404" s="1">
        <v>126273</v>
      </c>
      <c r="AI404" s="1">
        <v>24367</v>
      </c>
      <c r="AJ404" s="12" t="s">
        <v>296</v>
      </c>
      <c r="AK404" s="12"/>
      <c r="AL404" s="12" t="s">
        <v>20</v>
      </c>
      <c r="AN404" s="1">
        <v>1289412</v>
      </c>
      <c r="AP404" s="1">
        <v>0</v>
      </c>
      <c r="AR404" s="1">
        <v>0</v>
      </c>
      <c r="AT404" s="1">
        <v>0</v>
      </c>
      <c r="AV404" s="1">
        <v>0</v>
      </c>
      <c r="AX404" s="1">
        <v>0</v>
      </c>
      <c r="AZ404" s="1">
        <f t="shared" si="42"/>
        <v>49538666</v>
      </c>
      <c r="BB404" s="1">
        <v>840000</v>
      </c>
      <c r="BH404" s="1">
        <v>0</v>
      </c>
      <c r="BJ404" s="1">
        <f t="shared" si="43"/>
        <v>50378666</v>
      </c>
      <c r="BL404" s="1">
        <f>+GenRev!AM404-GenExp!BJ404</f>
        <v>-2421228</v>
      </c>
      <c r="BN404" s="1">
        <v>9046448</v>
      </c>
      <c r="BP404" s="1">
        <v>2912</v>
      </c>
      <c r="BQ404" s="1">
        <v>0</v>
      </c>
      <c r="BS404" s="1">
        <f t="shared" si="44"/>
        <v>6622308</v>
      </c>
      <c r="BU404" s="20">
        <f>+BS404-'Gen Fd BS'!AA404+BQ404</f>
        <v>0</v>
      </c>
    </row>
    <row r="405" spans="1:73">
      <c r="A405" s="12" t="s">
        <v>445</v>
      </c>
      <c r="B405" s="12"/>
      <c r="C405" s="12" t="s">
        <v>44</v>
      </c>
      <c r="D405" s="12"/>
      <c r="E405" s="13">
        <v>44537</v>
      </c>
      <c r="G405" s="1">
        <v>9602663</v>
      </c>
      <c r="I405" s="1">
        <v>2826673</v>
      </c>
      <c r="K405" s="1">
        <v>310827</v>
      </c>
      <c r="M405" s="1">
        <v>1238040</v>
      </c>
      <c r="O405" s="1">
        <v>1610866</v>
      </c>
      <c r="Q405" s="1">
        <v>2617371</v>
      </c>
      <c r="S405" s="1">
        <v>85439</v>
      </c>
      <c r="U405" s="1">
        <v>2094316</v>
      </c>
      <c r="W405" s="1">
        <v>664477</v>
      </c>
      <c r="Y405" s="1">
        <v>276886</v>
      </c>
      <c r="AA405" s="1">
        <v>2695304</v>
      </c>
      <c r="AC405" s="1">
        <v>2280250</v>
      </c>
      <c r="AE405" s="1">
        <v>47260</v>
      </c>
      <c r="AG405" s="1">
        <v>0</v>
      </c>
      <c r="AI405" s="1">
        <v>0</v>
      </c>
      <c r="AJ405" s="12" t="s">
        <v>445</v>
      </c>
      <c r="AK405" s="12"/>
      <c r="AL405" s="12" t="s">
        <v>44</v>
      </c>
      <c r="AN405" s="1">
        <v>540182</v>
      </c>
      <c r="AP405" s="1">
        <v>0</v>
      </c>
      <c r="AR405" s="1">
        <v>0</v>
      </c>
      <c r="AT405" s="1">
        <v>60152</v>
      </c>
      <c r="AV405" s="1">
        <v>11781</v>
      </c>
      <c r="AX405" s="1">
        <v>0</v>
      </c>
      <c r="AZ405" s="1">
        <f t="shared" si="42"/>
        <v>26962487</v>
      </c>
      <c r="BB405" s="1">
        <v>108619</v>
      </c>
      <c r="BH405" s="1">
        <v>0</v>
      </c>
      <c r="BJ405" s="1">
        <f t="shared" si="43"/>
        <v>27071106</v>
      </c>
      <c r="BL405" s="1">
        <f>+GenRev!AM405-GenExp!BJ405</f>
        <v>-2477319</v>
      </c>
      <c r="BN405" s="1">
        <v>1756694</v>
      </c>
      <c r="BP405" s="1">
        <v>0</v>
      </c>
      <c r="BQ405" s="1">
        <v>0</v>
      </c>
      <c r="BS405" s="1">
        <f t="shared" si="44"/>
        <v>-720625</v>
      </c>
      <c r="BU405" s="20">
        <f>+BS405-'Gen Fd BS'!AA405+BQ405</f>
        <v>0</v>
      </c>
    </row>
    <row r="406" spans="1:73">
      <c r="A406" s="12" t="s">
        <v>297</v>
      </c>
      <c r="B406" s="12"/>
      <c r="C406" s="12" t="s">
        <v>20</v>
      </c>
      <c r="D406" s="12"/>
      <c r="E406" s="13">
        <v>44545</v>
      </c>
      <c r="G406" s="1">
        <v>20383288</v>
      </c>
      <c r="I406" s="1">
        <v>4225856</v>
      </c>
      <c r="K406" s="1">
        <v>192427</v>
      </c>
      <c r="M406" s="1">
        <v>1077799</v>
      </c>
      <c r="O406" s="1">
        <v>2350612</v>
      </c>
      <c r="Q406" s="1">
        <v>1795159</v>
      </c>
      <c r="S406" s="1">
        <v>37330</v>
      </c>
      <c r="U406" s="1">
        <v>3217726</v>
      </c>
      <c r="W406" s="1">
        <v>1092440</v>
      </c>
      <c r="Y406" s="1">
        <v>310387</v>
      </c>
      <c r="AA406" s="1">
        <v>3140430</v>
      </c>
      <c r="AC406" s="1">
        <v>2586480</v>
      </c>
      <c r="AE406" s="1">
        <v>485603</v>
      </c>
      <c r="AG406" s="1">
        <v>0</v>
      </c>
      <c r="AI406" s="1">
        <v>64202</v>
      </c>
      <c r="AJ406" s="12" t="s">
        <v>297</v>
      </c>
      <c r="AK406" s="12"/>
      <c r="AL406" s="12" t="s">
        <v>20</v>
      </c>
      <c r="AN406" s="1">
        <v>714745</v>
      </c>
      <c r="AP406" s="1">
        <v>0</v>
      </c>
      <c r="AR406" s="1">
        <v>0</v>
      </c>
      <c r="AT406" s="1">
        <v>0</v>
      </c>
      <c r="AV406" s="1">
        <v>0</v>
      </c>
      <c r="AX406" s="1">
        <v>0</v>
      </c>
      <c r="AZ406" s="1">
        <f t="shared" si="42"/>
        <v>41674484</v>
      </c>
      <c r="BB406" s="1">
        <v>226000</v>
      </c>
      <c r="BH406" s="1">
        <v>0</v>
      </c>
      <c r="BJ406" s="1">
        <f t="shared" si="43"/>
        <v>41900484</v>
      </c>
      <c r="BL406" s="1">
        <f>+GenRev!AM406-GenExp!BJ406</f>
        <v>1865791</v>
      </c>
      <c r="BN406" s="1">
        <v>5134933</v>
      </c>
      <c r="BP406" s="1">
        <v>0</v>
      </c>
      <c r="BQ406" s="1">
        <v>0</v>
      </c>
      <c r="BS406" s="1">
        <f t="shared" si="44"/>
        <v>7000724</v>
      </c>
      <c r="BU406" s="20">
        <f>+BS406-'Gen Fd BS'!AA406+BQ406</f>
        <v>0</v>
      </c>
    </row>
    <row r="407" spans="1:73">
      <c r="A407" s="12" t="s">
        <v>627</v>
      </c>
      <c r="B407" s="12"/>
      <c r="C407" s="12" t="s">
        <v>66</v>
      </c>
      <c r="D407" s="12"/>
      <c r="E407" s="13">
        <v>50336</v>
      </c>
      <c r="G407" s="1">
        <v>5772564</v>
      </c>
      <c r="I407" s="1">
        <v>1288309</v>
      </c>
      <c r="K407" s="1">
        <v>872368</v>
      </c>
      <c r="M407" s="1">
        <v>0</v>
      </c>
      <c r="O407" s="1">
        <v>534783</v>
      </c>
      <c r="Q407" s="1">
        <v>758620</v>
      </c>
      <c r="S407" s="1">
        <v>28710</v>
      </c>
      <c r="U407" s="1">
        <v>1066260</v>
      </c>
      <c r="W407" s="1">
        <v>451450</v>
      </c>
      <c r="Y407" s="1">
        <v>0</v>
      </c>
      <c r="AA407" s="1">
        <v>1827797</v>
      </c>
      <c r="AC407" s="1">
        <v>963208</v>
      </c>
      <c r="AE407" s="1">
        <v>2336</v>
      </c>
      <c r="AG407" s="1">
        <v>0</v>
      </c>
      <c r="AI407" s="1">
        <v>0</v>
      </c>
      <c r="AJ407" s="12" t="s">
        <v>627</v>
      </c>
      <c r="AK407" s="12"/>
      <c r="AL407" s="12" t="s">
        <v>66</v>
      </c>
      <c r="AN407" s="1">
        <v>247355</v>
      </c>
      <c r="AP407" s="1">
        <v>8350</v>
      </c>
      <c r="AR407" s="1">
        <v>0</v>
      </c>
      <c r="AT407" s="1">
        <v>0</v>
      </c>
      <c r="AV407" s="1">
        <v>0</v>
      </c>
      <c r="AX407" s="1">
        <v>0</v>
      </c>
      <c r="AZ407" s="1">
        <f t="shared" si="42"/>
        <v>13822110</v>
      </c>
      <c r="BB407" s="1">
        <v>100000</v>
      </c>
      <c r="BH407" s="1">
        <v>0</v>
      </c>
      <c r="BJ407" s="1">
        <f t="shared" si="43"/>
        <v>13922110</v>
      </c>
      <c r="BL407" s="1">
        <f>+GenRev!AM407-GenExp!BJ407</f>
        <v>-265243</v>
      </c>
      <c r="BN407" s="1">
        <v>10210745</v>
      </c>
      <c r="BP407" s="1">
        <v>0</v>
      </c>
      <c r="BQ407" s="1">
        <v>0</v>
      </c>
      <c r="BS407" s="1">
        <f t="shared" si="44"/>
        <v>9945502</v>
      </c>
      <c r="BU407" s="20">
        <f>+BS407-'Gen Fd BS'!AA407+BQ407</f>
        <v>0</v>
      </c>
    </row>
    <row r="408" spans="1:73">
      <c r="A408" s="12" t="s">
        <v>247</v>
      </c>
      <c r="B408" s="12"/>
      <c r="C408" s="12" t="s">
        <v>17</v>
      </c>
      <c r="D408" s="12"/>
      <c r="E408" s="13">
        <v>46250</v>
      </c>
      <c r="G408" s="1">
        <v>13756899</v>
      </c>
      <c r="I408" s="1">
        <v>1953987</v>
      </c>
      <c r="K408" s="1">
        <v>886938</v>
      </c>
      <c r="M408" s="1">
        <f>1861+15800+12516</f>
        <v>30177</v>
      </c>
      <c r="O408" s="1">
        <v>1502995</v>
      </c>
      <c r="Q408" s="1">
        <v>1559461</v>
      </c>
      <c r="S408" s="1">
        <v>63446</v>
      </c>
      <c r="U408" s="1">
        <v>2684720</v>
      </c>
      <c r="W408" s="1">
        <v>678138</v>
      </c>
      <c r="Y408" s="1">
        <v>0</v>
      </c>
      <c r="AA408" s="1">
        <v>2087023</v>
      </c>
      <c r="AC408" s="1">
        <v>1860612</v>
      </c>
      <c r="AE408" s="1">
        <v>63286</v>
      </c>
      <c r="AG408" s="1">
        <v>0</v>
      </c>
      <c r="AI408" s="1">
        <v>919</v>
      </c>
      <c r="AJ408" s="12" t="s">
        <v>247</v>
      </c>
      <c r="AK408" s="12"/>
      <c r="AL408" s="12" t="s">
        <v>17</v>
      </c>
      <c r="AN408" s="1">
        <v>736957</v>
      </c>
      <c r="AP408" s="1">
        <v>0</v>
      </c>
      <c r="AR408" s="1">
        <v>0</v>
      </c>
      <c r="AT408" s="1">
        <v>346355</v>
      </c>
      <c r="AV408" s="1">
        <v>36340</v>
      </c>
      <c r="AX408" s="1">
        <v>0</v>
      </c>
      <c r="AZ408" s="1">
        <f t="shared" si="42"/>
        <v>28248253</v>
      </c>
      <c r="BB408" s="1">
        <v>0</v>
      </c>
      <c r="BH408" s="1">
        <v>0</v>
      </c>
      <c r="BJ408" s="1">
        <f t="shared" si="43"/>
        <v>28248253</v>
      </c>
      <c r="BL408" s="1">
        <f>+GenRev!AM408-GenExp!BJ408</f>
        <v>193500</v>
      </c>
      <c r="BN408" s="1">
        <v>6422933</v>
      </c>
      <c r="BP408" s="1">
        <v>-12909</v>
      </c>
      <c r="BQ408" s="1">
        <v>0</v>
      </c>
      <c r="BS408" s="1">
        <f t="shared" si="44"/>
        <v>6629342</v>
      </c>
      <c r="BU408" s="20">
        <f>+BS408-'Gen Fd BS'!AA408+BQ408</f>
        <v>0</v>
      </c>
    </row>
    <row r="409" spans="1:73" hidden="1">
      <c r="A409" s="17" t="s">
        <v>882</v>
      </c>
      <c r="B409" s="12"/>
      <c r="C409" s="12" t="s">
        <v>22</v>
      </c>
      <c r="D409" s="12"/>
      <c r="E409" s="13">
        <v>46722</v>
      </c>
      <c r="AJ409" s="17" t="s">
        <v>882</v>
      </c>
      <c r="AK409" s="12"/>
      <c r="AL409" s="12" t="s">
        <v>22</v>
      </c>
      <c r="AZ409" s="1">
        <f t="shared" ref="AZ409:AZ430" si="45">SUM(G409:AX409)</f>
        <v>0</v>
      </c>
      <c r="BJ409" s="1">
        <f t="shared" ref="BJ409:BJ430" si="46">+AZ409+BB409+BD409+BH409</f>
        <v>0</v>
      </c>
      <c r="BL409" s="1">
        <f>+GenRev!AM409-GenExp!BJ409</f>
        <v>0</v>
      </c>
      <c r="BS409" s="1">
        <f t="shared" si="44"/>
        <v>0</v>
      </c>
      <c r="BU409" s="20">
        <f>+BS409-'Gen Fd BS'!AA409+BQ409</f>
        <v>0</v>
      </c>
    </row>
    <row r="410" spans="1:73">
      <c r="A410" s="12" t="s">
        <v>503</v>
      </c>
      <c r="B410" s="12"/>
      <c r="C410" s="12" t="s">
        <v>50</v>
      </c>
      <c r="D410" s="12"/>
      <c r="E410" s="13">
        <v>48728</v>
      </c>
      <c r="F410" s="8"/>
      <c r="G410" s="1">
        <v>23427317</v>
      </c>
      <c r="I410" s="1">
        <v>8319428</v>
      </c>
      <c r="K410" s="1">
        <v>303362</v>
      </c>
      <c r="M410" s="1">
        <v>5746</v>
      </c>
      <c r="O410" s="1">
        <v>3714498</v>
      </c>
      <c r="Q410" s="1">
        <v>533559</v>
      </c>
      <c r="S410" s="1">
        <v>22230</v>
      </c>
      <c r="U410" s="1">
        <v>3109930</v>
      </c>
      <c r="W410" s="1">
        <v>935063</v>
      </c>
      <c r="Y410" s="1">
        <v>423441</v>
      </c>
      <c r="AA410" s="1">
        <v>3556785</v>
      </c>
      <c r="AC410" s="1">
        <v>2029364</v>
      </c>
      <c r="AE410" s="1">
        <v>337506</v>
      </c>
      <c r="AG410" s="1">
        <v>0</v>
      </c>
      <c r="AI410" s="1">
        <v>663</v>
      </c>
      <c r="AJ410" s="12" t="s">
        <v>503</v>
      </c>
      <c r="AK410" s="12"/>
      <c r="AL410" s="12" t="s">
        <v>50</v>
      </c>
      <c r="AN410" s="1">
        <v>582569</v>
      </c>
      <c r="AP410" s="1">
        <v>218581</v>
      </c>
      <c r="AR410" s="1">
        <v>0</v>
      </c>
      <c r="AT410" s="1">
        <v>249315</v>
      </c>
      <c r="AV410" s="1">
        <v>20920</v>
      </c>
      <c r="AX410" s="1">
        <v>0</v>
      </c>
      <c r="AZ410" s="1">
        <f t="shared" si="45"/>
        <v>47790277</v>
      </c>
      <c r="BB410" s="1">
        <v>5000</v>
      </c>
      <c r="BH410" s="1">
        <v>0</v>
      </c>
      <c r="BJ410" s="1">
        <f t="shared" si="46"/>
        <v>47795277</v>
      </c>
      <c r="BL410" s="1">
        <f>+GenRev!AM410-GenExp!BJ410</f>
        <v>-234125</v>
      </c>
      <c r="BN410" s="1">
        <v>3769535</v>
      </c>
      <c r="BP410" s="1">
        <v>0</v>
      </c>
      <c r="BQ410" s="1">
        <v>0</v>
      </c>
      <c r="BS410" s="1">
        <f t="shared" si="44"/>
        <v>3535410</v>
      </c>
      <c r="BU410" s="20">
        <f>+BS410-'Gen Fd BS'!AA410+BQ410</f>
        <v>0</v>
      </c>
    </row>
    <row r="411" spans="1:73">
      <c r="A411" s="12" t="s">
        <v>510</v>
      </c>
      <c r="B411" s="12"/>
      <c r="C411" s="12" t="s">
        <v>78</v>
      </c>
      <c r="D411" s="12"/>
      <c r="E411" s="13">
        <v>48819</v>
      </c>
      <c r="G411" s="1">
        <v>4550434</v>
      </c>
      <c r="I411" s="1">
        <v>991363</v>
      </c>
      <c r="K411" s="1">
        <v>230383</v>
      </c>
      <c r="M411" s="1">
        <v>1171256</v>
      </c>
      <c r="O411" s="1">
        <v>248075</v>
      </c>
      <c r="Q411" s="1">
        <v>617807</v>
      </c>
      <c r="S411" s="1">
        <v>29187</v>
      </c>
      <c r="U411" s="1">
        <v>936207</v>
      </c>
      <c r="W411" s="1">
        <v>490142</v>
      </c>
      <c r="Y411" s="1">
        <v>0</v>
      </c>
      <c r="AA411" s="1">
        <v>882264</v>
      </c>
      <c r="AC411" s="1">
        <v>726336</v>
      </c>
      <c r="AE411" s="1">
        <v>935</v>
      </c>
      <c r="AG411" s="1">
        <v>0</v>
      </c>
      <c r="AI411" s="1">
        <v>0</v>
      </c>
      <c r="AJ411" s="12" t="s">
        <v>510</v>
      </c>
      <c r="AK411" s="12"/>
      <c r="AL411" s="12" t="s">
        <v>78</v>
      </c>
      <c r="AN411" s="1">
        <v>197795</v>
      </c>
      <c r="AP411" s="1">
        <v>10126</v>
      </c>
      <c r="AR411" s="1">
        <v>0</v>
      </c>
      <c r="AT411" s="1">
        <v>0</v>
      </c>
      <c r="AV411" s="1">
        <v>0</v>
      </c>
      <c r="AX411" s="1">
        <v>0</v>
      </c>
      <c r="AZ411" s="1">
        <f t="shared" si="45"/>
        <v>11082310</v>
      </c>
      <c r="BB411" s="1">
        <v>0</v>
      </c>
      <c r="BH411" s="1">
        <v>0</v>
      </c>
      <c r="BJ411" s="1">
        <f t="shared" si="46"/>
        <v>11082310</v>
      </c>
      <c r="BL411" s="1">
        <f>+GenRev!AM411-GenExp!BJ411</f>
        <v>-856438</v>
      </c>
      <c r="BN411" s="1">
        <v>808438</v>
      </c>
      <c r="BP411" s="1">
        <v>0</v>
      </c>
      <c r="BQ411" s="1">
        <v>0</v>
      </c>
      <c r="BS411" s="1">
        <f t="shared" si="44"/>
        <v>-48000</v>
      </c>
      <c r="BU411" s="20">
        <f>+BS411-'Gen Fd BS'!AA411+BQ411</f>
        <v>0</v>
      </c>
    </row>
    <row r="412" spans="1:73">
      <c r="A412" s="12" t="s">
        <v>433</v>
      </c>
      <c r="B412" s="12"/>
      <c r="C412" s="12" t="s">
        <v>50</v>
      </c>
      <c r="D412" s="12"/>
      <c r="E412" s="13">
        <v>48033</v>
      </c>
      <c r="G412" s="1">
        <v>8480214</v>
      </c>
      <c r="I412" s="1">
        <v>1623407</v>
      </c>
      <c r="K412" s="1">
        <v>216404</v>
      </c>
      <c r="M412" s="1">
        <v>519425</v>
      </c>
      <c r="O412" s="1">
        <v>1373019</v>
      </c>
      <c r="Q412" s="1">
        <v>330167</v>
      </c>
      <c r="S412" s="1">
        <v>30200</v>
      </c>
      <c r="U412" s="1">
        <v>1736398</v>
      </c>
      <c r="W412" s="1">
        <v>398967</v>
      </c>
      <c r="Y412" s="1">
        <v>232592</v>
      </c>
      <c r="AA412" s="1">
        <v>1871785</v>
      </c>
      <c r="AC412" s="1">
        <v>1068888</v>
      </c>
      <c r="AE412" s="1">
        <v>32048</v>
      </c>
      <c r="AG412" s="1">
        <v>0</v>
      </c>
      <c r="AI412" s="1">
        <v>1195</v>
      </c>
      <c r="AJ412" s="12" t="s">
        <v>433</v>
      </c>
      <c r="AK412" s="12"/>
      <c r="AL412" s="12" t="s">
        <v>50</v>
      </c>
      <c r="AN412" s="1">
        <v>471977</v>
      </c>
      <c r="AP412" s="1">
        <v>171270</v>
      </c>
      <c r="AR412" s="1">
        <v>0</v>
      </c>
      <c r="AT412" s="1">
        <v>110000</v>
      </c>
      <c r="AV412" s="1">
        <v>40025</v>
      </c>
      <c r="AX412" s="1">
        <v>0</v>
      </c>
      <c r="AZ412" s="1">
        <f t="shared" si="45"/>
        <v>18707981</v>
      </c>
      <c r="BB412" s="1">
        <v>0</v>
      </c>
      <c r="BH412" s="1">
        <v>0</v>
      </c>
      <c r="BJ412" s="1">
        <f t="shared" si="46"/>
        <v>18707981</v>
      </c>
      <c r="BL412" s="1">
        <f>+GenRev!AM412-GenExp!BJ412</f>
        <v>-532913</v>
      </c>
      <c r="BN412" s="1">
        <v>7401619</v>
      </c>
      <c r="BP412" s="1">
        <v>0</v>
      </c>
      <c r="BQ412" s="1">
        <v>0</v>
      </c>
      <c r="BS412" s="1">
        <f t="shared" si="44"/>
        <v>6868706</v>
      </c>
      <c r="BU412" s="20">
        <f>+BS412-'Gen Fd BS'!AA412+BQ412</f>
        <v>0</v>
      </c>
    </row>
    <row r="413" spans="1:73">
      <c r="A413" s="12" t="s">
        <v>433</v>
      </c>
      <c r="B413" s="12"/>
      <c r="C413" s="12" t="s">
        <v>42</v>
      </c>
      <c r="D413" s="12"/>
      <c r="E413" s="13">
        <v>48736</v>
      </c>
      <c r="G413" s="1">
        <v>5381026</v>
      </c>
      <c r="I413" s="1">
        <v>732009</v>
      </c>
      <c r="K413" s="1">
        <v>150075</v>
      </c>
      <c r="M413" s="1">
        <v>130315</v>
      </c>
      <c r="O413" s="1">
        <v>487140</v>
      </c>
      <c r="Q413" s="1">
        <v>250146</v>
      </c>
      <c r="S413" s="1">
        <v>49700</v>
      </c>
      <c r="U413" s="1">
        <v>720198</v>
      </c>
      <c r="W413" s="1">
        <v>385683</v>
      </c>
      <c r="Y413" s="1">
        <v>0</v>
      </c>
      <c r="AA413" s="1">
        <v>840089</v>
      </c>
      <c r="AC413" s="1">
        <v>1437502</v>
      </c>
      <c r="AE413" s="1">
        <v>69614</v>
      </c>
      <c r="AG413" s="1">
        <v>0</v>
      </c>
      <c r="AI413" s="1">
        <v>0</v>
      </c>
      <c r="AJ413" s="12" t="s">
        <v>433</v>
      </c>
      <c r="AK413" s="12"/>
      <c r="AL413" s="12" t="s">
        <v>42</v>
      </c>
      <c r="AN413" s="1">
        <v>156903</v>
      </c>
      <c r="AP413" s="1">
        <v>208796</v>
      </c>
      <c r="AR413" s="1">
        <v>0</v>
      </c>
      <c r="AT413" s="1">
        <v>31004</v>
      </c>
      <c r="AV413" s="1">
        <v>5122</v>
      </c>
      <c r="AX413" s="1">
        <v>0</v>
      </c>
      <c r="AZ413" s="1">
        <f t="shared" si="45"/>
        <v>11035322</v>
      </c>
      <c r="BB413" s="1">
        <v>50000</v>
      </c>
      <c r="BH413" s="1">
        <v>0</v>
      </c>
      <c r="BJ413" s="1">
        <f t="shared" si="46"/>
        <v>11085322</v>
      </c>
      <c r="BL413" s="1">
        <f>+GenRev!AM413-GenExp!BJ413</f>
        <v>2560129</v>
      </c>
      <c r="BN413" s="1">
        <v>409310</v>
      </c>
      <c r="BP413" s="1">
        <v>0</v>
      </c>
      <c r="BQ413" s="1">
        <v>0</v>
      </c>
      <c r="BS413" s="1">
        <f t="shared" si="44"/>
        <v>2969439</v>
      </c>
      <c r="BU413" s="20">
        <f>+BS413-'Gen Fd BS'!AA413+BQ413</f>
        <v>0</v>
      </c>
    </row>
    <row r="414" spans="1:73">
      <c r="A414" s="12" t="s">
        <v>370</v>
      </c>
      <c r="B414" s="12"/>
      <c r="C414" s="12" t="s">
        <v>32</v>
      </c>
      <c r="D414" s="12"/>
      <c r="E414" s="13">
        <v>47365</v>
      </c>
      <c r="G414" s="1">
        <v>37719751</v>
      </c>
      <c r="I414" s="1">
        <v>6296318</v>
      </c>
      <c r="K414" s="1">
        <v>24322</v>
      </c>
      <c r="M414" s="1">
        <v>1100330</v>
      </c>
      <c r="O414" s="1">
        <v>5388629</v>
      </c>
      <c r="Q414" s="1">
        <v>5063261</v>
      </c>
      <c r="S414" s="1">
        <v>156491</v>
      </c>
      <c r="U414" s="1">
        <v>4755284</v>
      </c>
      <c r="W414" s="1">
        <v>1440067</v>
      </c>
      <c r="Y414" s="1">
        <v>597116</v>
      </c>
      <c r="AA414" s="1">
        <v>6180407</v>
      </c>
      <c r="AC414" s="1">
        <v>4776899</v>
      </c>
      <c r="AE414" s="1">
        <v>1680562</v>
      </c>
      <c r="AG414" s="1">
        <v>0</v>
      </c>
      <c r="AI414" s="1">
        <v>184704</v>
      </c>
      <c r="AJ414" s="12" t="s">
        <v>370</v>
      </c>
      <c r="AK414" s="12"/>
      <c r="AL414" s="12" t="s">
        <v>32</v>
      </c>
      <c r="AN414" s="1">
        <v>1324661</v>
      </c>
      <c r="AP414" s="1">
        <v>0</v>
      </c>
      <c r="AR414" s="1">
        <v>0</v>
      </c>
      <c r="AT414" s="1">
        <v>431679</v>
      </c>
      <c r="AV414" s="1">
        <v>4129</v>
      </c>
      <c r="AX414" s="1">
        <v>0</v>
      </c>
      <c r="AZ414" s="1">
        <f t="shared" si="45"/>
        <v>77124610</v>
      </c>
      <c r="BB414" s="1">
        <v>60000</v>
      </c>
      <c r="BH414" s="1">
        <v>0</v>
      </c>
      <c r="BJ414" s="1">
        <f t="shared" si="46"/>
        <v>77184610</v>
      </c>
      <c r="BL414" s="1">
        <f>+GenRev!AM414-GenExp!BJ414</f>
        <v>1459461</v>
      </c>
      <c r="BN414" s="1">
        <v>21810975</v>
      </c>
      <c r="BP414" s="1">
        <v>0</v>
      </c>
      <c r="BQ414" s="1">
        <v>0</v>
      </c>
      <c r="BS414" s="1">
        <f t="shared" si="44"/>
        <v>23270436</v>
      </c>
      <c r="BU414" s="20">
        <f>+BS414-'Gen Fd BS'!AA414+BQ414</f>
        <v>0</v>
      </c>
    </row>
    <row r="415" spans="1:73">
      <c r="A415" s="12" t="s">
        <v>370</v>
      </c>
      <c r="B415" s="12"/>
      <c r="C415" s="12" t="s">
        <v>59</v>
      </c>
      <c r="D415" s="12"/>
      <c r="E415" s="13">
        <v>49635</v>
      </c>
      <c r="G415" s="1">
        <v>4729827</v>
      </c>
      <c r="I415" s="1">
        <v>1132491</v>
      </c>
      <c r="K415" s="1">
        <v>83644</v>
      </c>
      <c r="M415" s="1">
        <v>516268</v>
      </c>
      <c r="O415" s="1">
        <v>516306</v>
      </c>
      <c r="Q415" s="1">
        <v>360580</v>
      </c>
      <c r="S415" s="1">
        <v>89885</v>
      </c>
      <c r="U415" s="1">
        <v>858188</v>
      </c>
      <c r="W415" s="1">
        <v>287726</v>
      </c>
      <c r="Y415" s="1">
        <v>0</v>
      </c>
      <c r="AA415" s="1">
        <v>1457681</v>
      </c>
      <c r="AC415" s="1">
        <v>1894004</v>
      </c>
      <c r="AE415" s="1">
        <v>84624</v>
      </c>
      <c r="AG415" s="1">
        <v>0</v>
      </c>
      <c r="AI415" s="1">
        <v>733</v>
      </c>
      <c r="AJ415" s="12" t="s">
        <v>370</v>
      </c>
      <c r="AK415" s="12"/>
      <c r="AL415" s="12" t="s">
        <v>59</v>
      </c>
      <c r="AN415" s="1">
        <v>202014</v>
      </c>
      <c r="AP415" s="1">
        <v>96401</v>
      </c>
      <c r="AR415" s="1">
        <v>0</v>
      </c>
      <c r="AT415" s="1">
        <v>189000</v>
      </c>
      <c r="AV415" s="1">
        <v>83931</v>
      </c>
      <c r="AX415" s="1">
        <v>0</v>
      </c>
      <c r="AZ415" s="1">
        <f t="shared" si="45"/>
        <v>12583303</v>
      </c>
      <c r="BB415" s="1">
        <v>1156511</v>
      </c>
      <c r="BH415" s="1">
        <v>0</v>
      </c>
      <c r="BJ415" s="1">
        <f t="shared" si="46"/>
        <v>13739814</v>
      </c>
      <c r="BL415" s="1">
        <f>+GenRev!AM415-GenExp!BJ415</f>
        <v>-414841</v>
      </c>
      <c r="BN415" s="1">
        <v>1538299</v>
      </c>
      <c r="BP415" s="1">
        <v>0</v>
      </c>
      <c r="BQ415" s="1">
        <v>0</v>
      </c>
      <c r="BS415" s="1">
        <f t="shared" si="44"/>
        <v>1123458</v>
      </c>
      <c r="BU415" s="20">
        <f>+BS415-'Gen Fd BS'!AA415+BQ415</f>
        <v>0</v>
      </c>
    </row>
    <row r="416" spans="1:73">
      <c r="A416" s="12" t="s">
        <v>370</v>
      </c>
      <c r="B416" s="12"/>
      <c r="C416" s="12" t="s">
        <v>62</v>
      </c>
      <c r="D416" s="12"/>
      <c r="E416" s="13">
        <v>49908</v>
      </c>
      <c r="G416" s="1">
        <v>8338403</v>
      </c>
      <c r="I416" s="1">
        <v>1675723</v>
      </c>
      <c r="K416" s="1">
        <v>207332</v>
      </c>
      <c r="M416" s="1">
        <v>107578</v>
      </c>
      <c r="O416" s="1">
        <v>704043</v>
      </c>
      <c r="Q416" s="1">
        <v>84692</v>
      </c>
      <c r="S416" s="1">
        <v>97137</v>
      </c>
      <c r="U416" s="1">
        <v>1658566</v>
      </c>
      <c r="W416" s="1">
        <v>401711</v>
      </c>
      <c r="Y416" s="1">
        <v>0</v>
      </c>
      <c r="AA416" s="1">
        <v>1259722</v>
      </c>
      <c r="AC416" s="1">
        <v>806938</v>
      </c>
      <c r="AE416" s="1">
        <v>168686</v>
      </c>
      <c r="AG416" s="1">
        <v>0</v>
      </c>
      <c r="AI416" s="1">
        <v>0</v>
      </c>
      <c r="AJ416" s="12" t="s">
        <v>370</v>
      </c>
      <c r="AK416" s="12"/>
      <c r="AL416" s="12" t="s">
        <v>62</v>
      </c>
      <c r="AN416" s="1">
        <v>218366</v>
      </c>
      <c r="AP416" s="1">
        <v>0</v>
      </c>
      <c r="AR416" s="1">
        <v>0</v>
      </c>
      <c r="AT416" s="1">
        <v>0</v>
      </c>
      <c r="AV416" s="1">
        <v>745</v>
      </c>
      <c r="AX416" s="1">
        <v>0</v>
      </c>
      <c r="AZ416" s="1">
        <f t="shared" si="45"/>
        <v>15729642</v>
      </c>
      <c r="BB416" s="1">
        <v>0</v>
      </c>
      <c r="BH416" s="1">
        <v>0</v>
      </c>
      <c r="BJ416" s="1">
        <f t="shared" si="46"/>
        <v>15729642</v>
      </c>
      <c r="BL416" s="1">
        <f>+GenRev!AM416-GenExp!BJ416</f>
        <v>1034626</v>
      </c>
      <c r="BN416" s="1">
        <v>-3301823</v>
      </c>
      <c r="BP416" s="1">
        <v>-21145</v>
      </c>
      <c r="BQ416" s="1">
        <v>0</v>
      </c>
      <c r="BS416" s="1">
        <f t="shared" si="44"/>
        <v>-2246052</v>
      </c>
      <c r="BU416" s="20">
        <f>+BS416-'Gen Fd BS'!AA416+BQ416</f>
        <v>0</v>
      </c>
    </row>
    <row r="417" spans="1:73">
      <c r="A417" s="12" t="s">
        <v>248</v>
      </c>
      <c r="B417" s="12"/>
      <c r="C417" s="12" t="s">
        <v>17</v>
      </c>
      <c r="D417" s="12"/>
      <c r="E417" s="13">
        <v>46268</v>
      </c>
      <c r="G417" s="1">
        <v>7115450</v>
      </c>
      <c r="I417" s="1">
        <v>1360101</v>
      </c>
      <c r="K417" s="1">
        <v>0</v>
      </c>
      <c r="M417" s="1">
        <v>6498</v>
      </c>
      <c r="O417" s="1">
        <v>596137</v>
      </c>
      <c r="Q417" s="1">
        <v>667105</v>
      </c>
      <c r="S417" s="1">
        <v>74347</v>
      </c>
      <c r="U417" s="1">
        <v>1170505</v>
      </c>
      <c r="W417" s="1">
        <v>412617</v>
      </c>
      <c r="Y417" s="1">
        <v>0</v>
      </c>
      <c r="AA417" s="1">
        <v>1280814</v>
      </c>
      <c r="AC417" s="1">
        <v>1089028</v>
      </c>
      <c r="AE417" s="1">
        <v>226091</v>
      </c>
      <c r="AG417" s="1">
        <v>0</v>
      </c>
      <c r="AI417" s="1">
        <v>0</v>
      </c>
      <c r="AJ417" s="12" t="s">
        <v>248</v>
      </c>
      <c r="AK417" s="12"/>
      <c r="AL417" s="12" t="s">
        <v>17</v>
      </c>
      <c r="AN417" s="1">
        <v>313497</v>
      </c>
      <c r="AP417" s="1">
        <v>6200</v>
      </c>
      <c r="AR417" s="1">
        <v>0</v>
      </c>
      <c r="AT417" s="1">
        <v>0</v>
      </c>
      <c r="AV417" s="1">
        <v>0</v>
      </c>
      <c r="AX417" s="1">
        <v>0</v>
      </c>
      <c r="AZ417" s="1">
        <f t="shared" si="45"/>
        <v>14318390</v>
      </c>
      <c r="BB417" s="1">
        <v>0</v>
      </c>
      <c r="BH417" s="1">
        <v>0</v>
      </c>
      <c r="BJ417" s="1">
        <f t="shared" si="46"/>
        <v>14318390</v>
      </c>
      <c r="BL417" s="1">
        <f>+GenRev!AM417-GenExp!BJ417</f>
        <v>175250</v>
      </c>
      <c r="BN417" s="1">
        <v>2319046</v>
      </c>
      <c r="BP417" s="1">
        <v>0</v>
      </c>
      <c r="BQ417" s="1">
        <v>0</v>
      </c>
      <c r="BS417" s="1">
        <f t="shared" si="44"/>
        <v>2494296</v>
      </c>
      <c r="BU417" s="20">
        <f>+BS417-'Gen Fd BS'!AA417+BQ417</f>
        <v>0</v>
      </c>
    </row>
    <row r="418" spans="1:73" s="16" customFormat="1" hidden="1">
      <c r="A418" s="17" t="s">
        <v>947</v>
      </c>
      <c r="B418" s="14"/>
      <c r="C418" s="14" t="s">
        <v>71</v>
      </c>
      <c r="D418" s="14"/>
      <c r="E418" s="1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7" t="s">
        <v>947</v>
      </c>
      <c r="AK418" s="14"/>
      <c r="AL418" s="14" t="s">
        <v>71</v>
      </c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>
        <f t="shared" ref="AZ418" si="47">SUM(G418:AX418)</f>
        <v>0</v>
      </c>
      <c r="BA418" s="1"/>
      <c r="BB418" s="1"/>
      <c r="BC418" s="1"/>
      <c r="BD418" s="1"/>
      <c r="BE418" s="1"/>
      <c r="BF418" s="1"/>
      <c r="BG418" s="1"/>
      <c r="BH418" s="1"/>
      <c r="BI418" s="1"/>
      <c r="BJ418" s="1">
        <f t="shared" ref="BJ418" si="48">+AZ418+BB418+BD418+BH418</f>
        <v>0</v>
      </c>
      <c r="BK418" s="1"/>
      <c r="BL418" s="1">
        <f>+GenRev!AM418-GenExp!BJ418</f>
        <v>0</v>
      </c>
      <c r="BM418" s="1"/>
      <c r="BN418" s="1"/>
      <c r="BO418" s="1"/>
      <c r="BP418" s="1"/>
      <c r="BQ418" s="1"/>
      <c r="BR418" s="1"/>
      <c r="BS418" s="1">
        <f t="shared" ref="BS418" si="49">+BN418+BL418-BP418</f>
        <v>0</v>
      </c>
      <c r="BT418" s="1"/>
      <c r="BU418" s="20">
        <f>+BS418-'Gen Fd BS'!AA418+BQ418</f>
        <v>0</v>
      </c>
    </row>
    <row r="419" spans="1:73" s="16" customFormat="1">
      <c r="A419" s="14" t="s">
        <v>649</v>
      </c>
      <c r="B419" s="14"/>
      <c r="C419" s="14" t="s">
        <v>72</v>
      </c>
      <c r="D419" s="14"/>
      <c r="E419" s="14">
        <v>50716</v>
      </c>
      <c r="G419" s="1">
        <v>4465390</v>
      </c>
      <c r="H419" s="1"/>
      <c r="I419" s="1">
        <v>1080948</v>
      </c>
      <c r="J419" s="1"/>
      <c r="K419" s="1">
        <v>170415</v>
      </c>
      <c r="L419" s="1"/>
      <c r="M419" s="1">
        <v>0</v>
      </c>
      <c r="N419" s="1"/>
      <c r="O419" s="1">
        <v>396514</v>
      </c>
      <c r="P419" s="1"/>
      <c r="Q419" s="1">
        <v>479702</v>
      </c>
      <c r="R419" s="1"/>
      <c r="S419" s="1">
        <v>14644</v>
      </c>
      <c r="T419" s="1"/>
      <c r="U419" s="1">
        <v>813818</v>
      </c>
      <c r="V419" s="1"/>
      <c r="W419" s="1">
        <v>347953</v>
      </c>
      <c r="X419" s="1"/>
      <c r="Y419" s="1">
        <v>642</v>
      </c>
      <c r="Z419" s="1"/>
      <c r="AA419" s="1">
        <v>846955</v>
      </c>
      <c r="AB419" s="1"/>
      <c r="AC419" s="1">
        <v>447736</v>
      </c>
      <c r="AD419" s="1"/>
      <c r="AE419" s="1">
        <v>20573</v>
      </c>
      <c r="AF419" s="1"/>
      <c r="AG419" s="1">
        <v>0</v>
      </c>
      <c r="AH419" s="1"/>
      <c r="AI419" s="1">
        <v>3726</v>
      </c>
      <c r="AJ419" s="14" t="s">
        <v>649</v>
      </c>
      <c r="AK419" s="14"/>
      <c r="AL419" s="14" t="s">
        <v>72</v>
      </c>
      <c r="AN419" s="1">
        <v>260023</v>
      </c>
      <c r="AO419" s="1"/>
      <c r="AP419" s="1">
        <v>8253</v>
      </c>
      <c r="AQ419" s="1"/>
      <c r="AR419" s="1">
        <v>0</v>
      </c>
      <c r="AS419" s="1"/>
      <c r="AT419" s="1">
        <v>0</v>
      </c>
      <c r="AU419" s="1"/>
      <c r="AV419" s="1">
        <v>0</v>
      </c>
      <c r="AW419" s="1"/>
      <c r="AX419" s="1">
        <v>0</v>
      </c>
      <c r="AY419" s="1"/>
      <c r="AZ419" s="1">
        <f t="shared" si="45"/>
        <v>9357292</v>
      </c>
      <c r="BA419" s="1"/>
      <c r="BB419" s="1">
        <v>117532</v>
      </c>
      <c r="BC419" s="1"/>
      <c r="BD419" s="1"/>
      <c r="BE419" s="1"/>
      <c r="BF419" s="1"/>
      <c r="BG419" s="1"/>
      <c r="BH419" s="1">
        <v>0</v>
      </c>
      <c r="BI419" s="1"/>
      <c r="BJ419" s="1">
        <f t="shared" si="46"/>
        <v>9474824</v>
      </c>
      <c r="BK419" s="1"/>
      <c r="BL419" s="1">
        <f>+GenRev!AM419-GenExp!BJ419</f>
        <v>112952</v>
      </c>
      <c r="BM419" s="1"/>
      <c r="BN419" s="1">
        <v>2300100</v>
      </c>
      <c r="BO419" s="1"/>
      <c r="BP419" s="1">
        <v>0</v>
      </c>
      <c r="BQ419" s="1">
        <v>0</v>
      </c>
      <c r="BR419" s="1"/>
      <c r="BS419" s="1">
        <f t="shared" si="44"/>
        <v>2413052</v>
      </c>
      <c r="BT419" s="1"/>
      <c r="BU419" s="20">
        <f>+BS419-'Gen Fd BS'!AA419+BQ419</f>
        <v>0</v>
      </c>
    </row>
    <row r="420" spans="1:73">
      <c r="A420" s="12" t="s">
        <v>593</v>
      </c>
      <c r="B420" s="12"/>
      <c r="C420" s="12" t="s">
        <v>63</v>
      </c>
      <c r="D420" s="12"/>
      <c r="E420" s="13">
        <v>44552</v>
      </c>
      <c r="G420" s="1">
        <v>9836213</v>
      </c>
      <c r="I420" s="1">
        <v>1649262</v>
      </c>
      <c r="K420" s="1">
        <v>775318</v>
      </c>
      <c r="M420" s="1">
        <f>1692+261277</f>
        <v>262969</v>
      </c>
      <c r="O420" s="1">
        <v>738396</v>
      </c>
      <c r="Q420" s="1">
        <v>543281</v>
      </c>
      <c r="S420" s="1">
        <v>28440</v>
      </c>
      <c r="U420" s="1">
        <v>1518595</v>
      </c>
      <c r="W420" s="1">
        <v>561312</v>
      </c>
      <c r="Y420" s="1">
        <v>269217</v>
      </c>
      <c r="AA420" s="1">
        <v>1773191</v>
      </c>
      <c r="AC420" s="1">
        <v>1478779</v>
      </c>
      <c r="AE420" s="1">
        <v>73274</v>
      </c>
      <c r="AG420" s="1">
        <v>0</v>
      </c>
      <c r="AI420" s="1">
        <v>0</v>
      </c>
      <c r="AJ420" s="12" t="s">
        <v>593</v>
      </c>
      <c r="AK420" s="12"/>
      <c r="AL420" s="12" t="s">
        <v>63</v>
      </c>
      <c r="AN420" s="1">
        <v>381499</v>
      </c>
      <c r="AP420" s="1">
        <v>54219</v>
      </c>
      <c r="AR420" s="1">
        <v>0</v>
      </c>
      <c r="AT420" s="1">
        <v>34841</v>
      </c>
      <c r="AV420" s="1">
        <v>5706</v>
      </c>
      <c r="AX420" s="1">
        <v>0</v>
      </c>
      <c r="AZ420" s="1">
        <f t="shared" si="45"/>
        <v>19984512</v>
      </c>
      <c r="BB420" s="1">
        <v>0</v>
      </c>
      <c r="BH420" s="1">
        <v>0</v>
      </c>
      <c r="BJ420" s="1">
        <f t="shared" si="46"/>
        <v>19984512</v>
      </c>
      <c r="BL420" s="1">
        <f>+GenRev!AM420-GenExp!BJ420</f>
        <v>-173958</v>
      </c>
      <c r="BN420" s="1">
        <v>3878098</v>
      </c>
      <c r="BP420" s="1">
        <v>0</v>
      </c>
      <c r="BQ420" s="1">
        <v>0</v>
      </c>
      <c r="BS420" s="1">
        <f t="shared" si="44"/>
        <v>3704140</v>
      </c>
      <c r="BU420" s="20">
        <f>+BS420-'Gen Fd BS'!AA420+BQ420</f>
        <v>0</v>
      </c>
    </row>
    <row r="421" spans="1:73">
      <c r="A421" s="12" t="s">
        <v>406</v>
      </c>
      <c r="B421" s="12"/>
      <c r="C421" s="12" t="s">
        <v>37</v>
      </c>
      <c r="D421" s="12"/>
      <c r="E421" s="13">
        <v>44560</v>
      </c>
      <c r="G421" s="1">
        <v>9767825</v>
      </c>
      <c r="I421" s="1">
        <v>2666681</v>
      </c>
      <c r="K421" s="1">
        <v>186867</v>
      </c>
      <c r="M421" s="1">
        <f>15587+1327276</f>
        <v>1342863</v>
      </c>
      <c r="O421" s="1">
        <v>690052</v>
      </c>
      <c r="Q421" s="1">
        <v>1945404</v>
      </c>
      <c r="S421" s="1">
        <v>200927</v>
      </c>
      <c r="U421" s="1">
        <v>2047465</v>
      </c>
      <c r="W421" s="1">
        <v>479381</v>
      </c>
      <c r="Y421" s="1">
        <v>77536</v>
      </c>
      <c r="AA421" s="1">
        <v>2381434</v>
      </c>
      <c r="AC421" s="1">
        <v>737687</v>
      </c>
      <c r="AE421" s="1">
        <v>105178</v>
      </c>
      <c r="AG421" s="1">
        <v>0</v>
      </c>
      <c r="AI421" s="1">
        <v>24219</v>
      </c>
      <c r="AJ421" s="12" t="s">
        <v>406</v>
      </c>
      <c r="AK421" s="12"/>
      <c r="AL421" s="12" t="s">
        <v>37</v>
      </c>
      <c r="AN421" s="1">
        <v>437634</v>
      </c>
      <c r="AP421" s="1">
        <v>89651</v>
      </c>
      <c r="AR421" s="1">
        <v>0</v>
      </c>
      <c r="AT421" s="1">
        <v>0</v>
      </c>
      <c r="AV421" s="1">
        <v>0</v>
      </c>
      <c r="AX421" s="1">
        <v>0</v>
      </c>
      <c r="AZ421" s="1">
        <f t="shared" si="45"/>
        <v>23180804</v>
      </c>
      <c r="BB421" s="1">
        <v>0</v>
      </c>
      <c r="BH421" s="1">
        <v>0</v>
      </c>
      <c r="BJ421" s="1">
        <f t="shared" si="46"/>
        <v>23180804</v>
      </c>
      <c r="BL421" s="1">
        <f>+GenRev!AM421-GenExp!BJ421</f>
        <v>-1603372</v>
      </c>
      <c r="BN421" s="1">
        <v>11054516</v>
      </c>
      <c r="BP421" s="1">
        <v>0</v>
      </c>
      <c r="BQ421" s="1">
        <v>0</v>
      </c>
      <c r="BS421" s="1">
        <f t="shared" si="44"/>
        <v>9451144</v>
      </c>
      <c r="BU421" s="20">
        <f>+BS421-'Gen Fd BS'!AA421+BQ421</f>
        <v>0</v>
      </c>
    </row>
    <row r="422" spans="1:73">
      <c r="A422" s="12" t="s">
        <v>764</v>
      </c>
      <c r="B422" s="12"/>
      <c r="C422" s="12" t="s">
        <v>32</v>
      </c>
      <c r="D422" s="12"/>
      <c r="E422" s="13">
        <v>44578</v>
      </c>
      <c r="G422" s="1">
        <v>12387438</v>
      </c>
      <c r="I422" s="1">
        <v>1957025</v>
      </c>
      <c r="K422" s="1">
        <v>0</v>
      </c>
      <c r="M422" s="1">
        <v>727960</v>
      </c>
      <c r="O422" s="1">
        <v>1555067</v>
      </c>
      <c r="Q422" s="1">
        <v>1271367</v>
      </c>
      <c r="S422" s="1">
        <v>35644</v>
      </c>
      <c r="U422" s="1">
        <v>1875489</v>
      </c>
      <c r="W422" s="1">
        <v>549412</v>
      </c>
      <c r="Y422" s="1">
        <v>0</v>
      </c>
      <c r="AA422" s="1">
        <v>2258876</v>
      </c>
      <c r="AC422" s="1">
        <v>580977</v>
      </c>
      <c r="AE422" s="1">
        <v>425337</v>
      </c>
      <c r="AG422" s="1">
        <v>0</v>
      </c>
      <c r="AI422" s="1">
        <v>1458940</v>
      </c>
      <c r="AJ422" s="12" t="s">
        <v>764</v>
      </c>
      <c r="AK422" s="12"/>
      <c r="AL422" s="12" t="s">
        <v>32</v>
      </c>
      <c r="AN422" s="1">
        <v>411268</v>
      </c>
      <c r="AP422" s="1">
        <v>77680</v>
      </c>
      <c r="AR422" s="1">
        <v>0</v>
      </c>
      <c r="AT422" s="1">
        <v>141675</v>
      </c>
      <c r="AV422" s="1">
        <v>252215</v>
      </c>
      <c r="AX422" s="1">
        <v>0</v>
      </c>
      <c r="AZ422" s="1">
        <f t="shared" si="45"/>
        <v>25966370</v>
      </c>
      <c r="BB422" s="1">
        <v>377097</v>
      </c>
      <c r="BH422" s="1">
        <v>0</v>
      </c>
      <c r="BJ422" s="1">
        <f t="shared" si="46"/>
        <v>26343467</v>
      </c>
      <c r="BL422" s="1">
        <f>+GenRev!AM422-GenExp!BJ422</f>
        <v>-1231856</v>
      </c>
      <c r="BN422" s="1">
        <v>4858960</v>
      </c>
      <c r="BP422" s="1">
        <v>0</v>
      </c>
      <c r="BQ422" s="1">
        <v>0</v>
      </c>
      <c r="BS422" s="1">
        <f t="shared" si="44"/>
        <v>3627104</v>
      </c>
      <c r="BU422" s="20">
        <f>+BS422-'Gen Fd BS'!AA422+BQ422</f>
        <v>0</v>
      </c>
    </row>
    <row r="423" spans="1:73" hidden="1">
      <c r="A423" s="17" t="s">
        <v>948</v>
      </c>
      <c r="B423" s="17"/>
      <c r="C423" s="17" t="s">
        <v>38</v>
      </c>
      <c r="D423" s="17"/>
      <c r="E423" s="13"/>
      <c r="AJ423" s="17" t="s">
        <v>948</v>
      </c>
      <c r="AK423" s="17"/>
      <c r="AL423" s="17" t="s">
        <v>38</v>
      </c>
      <c r="AZ423" s="1">
        <f t="shared" ref="AZ423" si="50">SUM(G423:AX423)</f>
        <v>0</v>
      </c>
      <c r="BJ423" s="1">
        <f t="shared" ref="BJ423" si="51">+AZ423+BB423+BD423+BH423</f>
        <v>0</v>
      </c>
      <c r="BL423" s="1">
        <f>+GenRev!AM423-GenExp!BJ423</f>
        <v>0</v>
      </c>
      <c r="BS423" s="1">
        <f t="shared" ref="BS423" si="52">+BN423+BL423-BP423</f>
        <v>0</v>
      </c>
      <c r="BU423" s="20">
        <f>+BS423-'Gen Fd BS'!AA423+BQ423</f>
        <v>0</v>
      </c>
    </row>
    <row r="424" spans="1:73">
      <c r="A424" s="12" t="s">
        <v>371</v>
      </c>
      <c r="B424" s="12"/>
      <c r="C424" s="12" t="s">
        <v>32</v>
      </c>
      <c r="D424" s="12"/>
      <c r="E424" s="13">
        <v>47373</v>
      </c>
      <c r="G424" s="1">
        <v>31109370</v>
      </c>
      <c r="I424" s="1">
        <v>5822509</v>
      </c>
      <c r="K424" s="1">
        <v>101</v>
      </c>
      <c r="M424" s="1">
        <v>319185</v>
      </c>
      <c r="O424" s="1">
        <v>4102529</v>
      </c>
      <c r="Q424" s="1">
        <v>5391142</v>
      </c>
      <c r="S424" s="1">
        <v>163458</v>
      </c>
      <c r="U424" s="1">
        <v>4694433</v>
      </c>
      <c r="W424" s="1">
        <v>1170943</v>
      </c>
      <c r="Y424" s="1">
        <v>283795</v>
      </c>
      <c r="AA424" s="1">
        <v>6270829</v>
      </c>
      <c r="AC424" s="1">
        <v>2337498</v>
      </c>
      <c r="AE424" s="1">
        <v>498563</v>
      </c>
      <c r="AG424" s="1">
        <v>0</v>
      </c>
      <c r="AI424" s="1">
        <v>67726</v>
      </c>
      <c r="AJ424" s="12" t="s">
        <v>371</v>
      </c>
      <c r="AK424" s="12"/>
      <c r="AL424" s="12" t="s">
        <v>32</v>
      </c>
      <c r="AN424" s="1">
        <v>965443</v>
      </c>
      <c r="AP424" s="1">
        <v>80933</v>
      </c>
      <c r="AR424" s="1">
        <v>0</v>
      </c>
      <c r="AT424" s="1">
        <v>0</v>
      </c>
      <c r="AV424" s="1">
        <v>0</v>
      </c>
      <c r="AX424" s="1">
        <v>0</v>
      </c>
      <c r="AZ424" s="1">
        <f t="shared" si="45"/>
        <v>63278457</v>
      </c>
      <c r="BB424" s="1">
        <v>373896</v>
      </c>
      <c r="BH424" s="1">
        <v>0</v>
      </c>
      <c r="BJ424" s="1">
        <f t="shared" si="46"/>
        <v>63652353</v>
      </c>
      <c r="BL424" s="1">
        <f>+GenRev!AM424-GenExp!BJ424</f>
        <v>-1729500</v>
      </c>
      <c r="BN424" s="1">
        <v>27168017</v>
      </c>
      <c r="BP424" s="1">
        <v>0</v>
      </c>
      <c r="BQ424" s="1">
        <v>0</v>
      </c>
      <c r="BS424" s="1">
        <f t="shared" si="44"/>
        <v>25438517</v>
      </c>
      <c r="BU424" s="20">
        <f>+BS424-'Gen Fd BS'!AA424+BQ424</f>
        <v>0</v>
      </c>
    </row>
    <row r="425" spans="1:73">
      <c r="A425" s="12" t="s">
        <v>504</v>
      </c>
      <c r="B425" s="12"/>
      <c r="C425" s="12" t="s">
        <v>50</v>
      </c>
      <c r="D425" s="12"/>
      <c r="E425" s="13">
        <v>44586</v>
      </c>
      <c r="G425" s="1">
        <v>11315011</v>
      </c>
      <c r="I425" s="1">
        <v>2265237</v>
      </c>
      <c r="K425" s="1">
        <v>0</v>
      </c>
      <c r="M425" s="1">
        <v>223929</v>
      </c>
      <c r="O425" s="1">
        <v>1444862</v>
      </c>
      <c r="Q425" s="1">
        <v>298647</v>
      </c>
      <c r="S425" s="1">
        <v>20540</v>
      </c>
      <c r="U425" s="1">
        <v>1834883</v>
      </c>
      <c r="W425" s="1">
        <v>667370</v>
      </c>
      <c r="Y425" s="1">
        <v>9694</v>
      </c>
      <c r="AA425" s="1">
        <v>2173254</v>
      </c>
      <c r="AC425" s="1">
        <v>198336</v>
      </c>
      <c r="AE425" s="1">
        <v>593701</v>
      </c>
      <c r="AG425" s="1">
        <v>0</v>
      </c>
      <c r="AI425" s="1">
        <v>24956</v>
      </c>
      <c r="AJ425" s="12" t="s">
        <v>504</v>
      </c>
      <c r="AK425" s="12"/>
      <c r="AL425" s="12" t="s">
        <v>50</v>
      </c>
      <c r="AN425" s="1">
        <v>650312</v>
      </c>
      <c r="AP425" s="1">
        <v>0</v>
      </c>
      <c r="AR425" s="1">
        <v>0</v>
      </c>
      <c r="AT425" s="1">
        <v>104126</v>
      </c>
      <c r="AV425" s="1">
        <v>24467</v>
      </c>
      <c r="AX425" s="1">
        <v>0</v>
      </c>
      <c r="AZ425" s="1">
        <f t="shared" si="45"/>
        <v>21849325</v>
      </c>
      <c r="BB425" s="1">
        <v>0</v>
      </c>
      <c r="BH425" s="1">
        <v>0</v>
      </c>
      <c r="BJ425" s="1">
        <f t="shared" si="46"/>
        <v>21849325</v>
      </c>
      <c r="BL425" s="1">
        <f>+GenRev!AM425-GenExp!BJ425</f>
        <v>-906053</v>
      </c>
      <c r="BN425" s="1">
        <v>948717</v>
      </c>
      <c r="BP425" s="1">
        <v>0</v>
      </c>
      <c r="BQ425" s="1">
        <v>0</v>
      </c>
      <c r="BS425" s="1">
        <f t="shared" si="44"/>
        <v>42664</v>
      </c>
      <c r="BU425" s="20">
        <f>+BS425-'Gen Fd BS'!AA425+BQ425</f>
        <v>0</v>
      </c>
    </row>
    <row r="426" spans="1:73">
      <c r="A426" s="12"/>
      <c r="B426" s="12"/>
      <c r="C426" s="12"/>
      <c r="D426" s="12"/>
      <c r="E426" s="13"/>
      <c r="AJ426" s="12"/>
      <c r="AK426" s="12"/>
      <c r="AL426" s="12"/>
    </row>
    <row r="427" spans="1:73">
      <c r="A427" s="12"/>
      <c r="B427" s="12"/>
      <c r="C427" s="12"/>
      <c r="D427" s="12"/>
      <c r="E427" s="13"/>
      <c r="AI427" s="20" t="s">
        <v>709</v>
      </c>
      <c r="AJ427" s="12"/>
      <c r="AK427" s="12"/>
      <c r="AL427" s="12"/>
      <c r="BS427" s="41" t="s">
        <v>709</v>
      </c>
    </row>
    <row r="428" spans="1:73">
      <c r="A428" s="12"/>
      <c r="B428" s="12"/>
      <c r="C428" s="12"/>
      <c r="D428" s="12"/>
      <c r="E428" s="13"/>
      <c r="AJ428" s="12"/>
      <c r="AK428" s="12"/>
      <c r="AL428" s="12"/>
    </row>
    <row r="429" spans="1:73">
      <c r="A429" s="12" t="s">
        <v>446</v>
      </c>
      <c r="B429" s="12"/>
      <c r="C429" s="12" t="s">
        <v>44</v>
      </c>
      <c r="D429" s="12"/>
      <c r="E429" s="13">
        <v>44594</v>
      </c>
      <c r="G429" s="16">
        <v>6118356</v>
      </c>
      <c r="H429" s="16"/>
      <c r="I429" s="16">
        <v>610652</v>
      </c>
      <c r="J429" s="16"/>
      <c r="K429" s="16">
        <v>98860</v>
      </c>
      <c r="L429" s="16"/>
      <c r="M429" s="16">
        <v>23879</v>
      </c>
      <c r="N429" s="16"/>
      <c r="O429" s="16">
        <v>941512</v>
      </c>
      <c r="P429" s="16"/>
      <c r="Q429" s="16">
        <v>364155</v>
      </c>
      <c r="R429" s="16"/>
      <c r="S429" s="16">
        <v>56095</v>
      </c>
      <c r="T429" s="16"/>
      <c r="U429" s="16">
        <v>1298549</v>
      </c>
      <c r="V429" s="16"/>
      <c r="W429" s="16">
        <v>368557</v>
      </c>
      <c r="X429" s="16"/>
      <c r="Y429" s="16">
        <v>168997</v>
      </c>
      <c r="Z429" s="16"/>
      <c r="AA429" s="16">
        <v>1083394</v>
      </c>
      <c r="AB429" s="16"/>
      <c r="AC429" s="16">
        <v>451699</v>
      </c>
      <c r="AD429" s="16"/>
      <c r="AE429" s="16">
        <v>44517</v>
      </c>
      <c r="AF429" s="16"/>
      <c r="AG429" s="16">
        <v>0</v>
      </c>
      <c r="AH429" s="16"/>
      <c r="AI429" s="16">
        <v>0</v>
      </c>
      <c r="AJ429" s="12" t="s">
        <v>446</v>
      </c>
      <c r="AK429" s="12"/>
      <c r="AL429" s="12" t="s">
        <v>44</v>
      </c>
      <c r="AN429" s="16">
        <v>282838</v>
      </c>
      <c r="AO429" s="16"/>
      <c r="AP429" s="16">
        <v>0</v>
      </c>
      <c r="AQ429" s="16"/>
      <c r="AR429" s="16">
        <v>0</v>
      </c>
      <c r="AS429" s="16"/>
      <c r="AT429" s="16">
        <v>53860</v>
      </c>
      <c r="AU429" s="16"/>
      <c r="AV429" s="16">
        <v>23737</v>
      </c>
      <c r="AW429" s="16"/>
      <c r="AX429" s="16">
        <v>0</v>
      </c>
      <c r="AY429" s="16"/>
      <c r="AZ429" s="16">
        <f t="shared" si="45"/>
        <v>11989657</v>
      </c>
      <c r="BA429" s="16"/>
      <c r="BB429" s="16">
        <v>52814</v>
      </c>
      <c r="BC429" s="16"/>
      <c r="BD429" s="16"/>
      <c r="BE429" s="16"/>
      <c r="BF429" s="16"/>
      <c r="BG429" s="16"/>
      <c r="BH429" s="16">
        <v>0</v>
      </c>
      <c r="BI429" s="16"/>
      <c r="BJ429" s="16">
        <f t="shared" si="46"/>
        <v>12042471</v>
      </c>
      <c r="BK429" s="16"/>
      <c r="BL429" s="16">
        <f>+GenRev!AM429-GenExp!BJ429</f>
        <v>-333904</v>
      </c>
      <c r="BM429" s="16"/>
      <c r="BN429" s="16">
        <v>-16624</v>
      </c>
      <c r="BO429" s="16"/>
      <c r="BP429" s="16">
        <v>0</v>
      </c>
      <c r="BQ429" s="16">
        <v>0</v>
      </c>
      <c r="BR429" s="16"/>
      <c r="BS429" s="16">
        <f t="shared" si="44"/>
        <v>-350528</v>
      </c>
      <c r="BT429" s="16"/>
      <c r="BU429" s="72">
        <f>+BS429-'Gen Fd BS'!AA429+BQ429</f>
        <v>0</v>
      </c>
    </row>
    <row r="430" spans="1:73" hidden="1">
      <c r="A430" s="12" t="s">
        <v>735</v>
      </c>
      <c r="B430" s="12"/>
      <c r="C430" s="12" t="s">
        <v>60</v>
      </c>
      <c r="D430" s="12"/>
      <c r="E430" s="13">
        <v>49726</v>
      </c>
      <c r="AJ430" s="12" t="s">
        <v>735</v>
      </c>
      <c r="AK430" s="12"/>
      <c r="AL430" s="12" t="s">
        <v>60</v>
      </c>
      <c r="AZ430" s="1">
        <f t="shared" si="45"/>
        <v>0</v>
      </c>
      <c r="BJ430" s="1">
        <f t="shared" si="46"/>
        <v>0</v>
      </c>
      <c r="BL430" s="1">
        <f>+GenRev!AM430-GenExp!BJ430</f>
        <v>0</v>
      </c>
      <c r="BS430" s="1">
        <f t="shared" si="44"/>
        <v>0</v>
      </c>
      <c r="BU430" s="20">
        <f>+BS430-'Gen Fd BS'!AA430+BQ430</f>
        <v>0</v>
      </c>
    </row>
    <row r="431" spans="1:73">
      <c r="A431" s="12" t="s">
        <v>313</v>
      </c>
      <c r="B431" s="12"/>
      <c r="C431" s="12" t="s">
        <v>23</v>
      </c>
      <c r="D431" s="12"/>
      <c r="E431" s="13">
        <v>46763</v>
      </c>
      <c r="G431" s="20">
        <v>67986751</v>
      </c>
      <c r="H431" s="20"/>
      <c r="I431" s="20">
        <v>14659941</v>
      </c>
      <c r="J431" s="20"/>
      <c r="K431" s="20">
        <v>941756</v>
      </c>
      <c r="L431" s="20"/>
      <c r="M431" s="20">
        <v>0</v>
      </c>
      <c r="N431" s="20"/>
      <c r="O431" s="20">
        <v>5134717</v>
      </c>
      <c r="P431" s="20"/>
      <c r="Q431" s="20">
        <v>8248009</v>
      </c>
      <c r="R431" s="20"/>
      <c r="S431" s="20">
        <v>388642</v>
      </c>
      <c r="T431" s="20"/>
      <c r="U431" s="20">
        <v>8122292</v>
      </c>
      <c r="V431" s="20"/>
      <c r="W431" s="20">
        <v>0</v>
      </c>
      <c r="X431" s="20"/>
      <c r="Y431" s="20">
        <v>3370352</v>
      </c>
      <c r="Z431" s="20"/>
      <c r="AA431" s="20">
        <v>14235962</v>
      </c>
      <c r="AB431" s="20"/>
      <c r="AC431" s="20">
        <v>7049289</v>
      </c>
      <c r="AD431" s="20"/>
      <c r="AE431" s="20">
        <v>2561892</v>
      </c>
      <c r="AF431" s="20"/>
      <c r="AG431" s="20">
        <v>0</v>
      </c>
      <c r="AH431" s="20"/>
      <c r="AI431" s="20">
        <v>0</v>
      </c>
      <c r="AJ431" s="12" t="s">
        <v>313</v>
      </c>
      <c r="AK431" s="12"/>
      <c r="AL431" s="12" t="s">
        <v>23</v>
      </c>
      <c r="AM431" s="72"/>
      <c r="AN431" s="20">
        <v>3110647</v>
      </c>
      <c r="AO431" s="20"/>
      <c r="AP431" s="20">
        <v>0</v>
      </c>
      <c r="AQ431" s="20"/>
      <c r="AR431" s="20">
        <v>0</v>
      </c>
      <c r="AS431" s="20"/>
      <c r="AT431" s="20">
        <v>286007</v>
      </c>
      <c r="AU431" s="20"/>
      <c r="AV431" s="20">
        <v>53496</v>
      </c>
      <c r="AW431" s="20"/>
      <c r="AX431" s="20">
        <v>438581</v>
      </c>
      <c r="AY431" s="20"/>
      <c r="AZ431" s="20">
        <f t="shared" ref="AZ431:AZ488" si="53">SUM(G431:AX431)</f>
        <v>136588334</v>
      </c>
      <c r="BA431" s="20"/>
      <c r="BB431" s="20">
        <v>0</v>
      </c>
      <c r="BC431" s="20"/>
      <c r="BD431" s="20"/>
      <c r="BE431" s="20"/>
      <c r="BF431" s="20"/>
      <c r="BG431" s="20"/>
      <c r="BH431" s="20">
        <v>0</v>
      </c>
      <c r="BI431" s="20"/>
      <c r="BJ431" s="20">
        <f t="shared" ref="BJ431:BJ441" si="54">+AZ431+BB431+BD431+BH431</f>
        <v>136588334</v>
      </c>
      <c r="BK431" s="20"/>
      <c r="BL431" s="20">
        <f>+GenRev!AM431-GenExp!BJ431</f>
        <v>5103173</v>
      </c>
      <c r="BM431" s="20"/>
      <c r="BN431" s="20">
        <v>21942261</v>
      </c>
      <c r="BO431" s="20"/>
      <c r="BP431" s="20">
        <v>0</v>
      </c>
      <c r="BQ431" s="20">
        <v>0</v>
      </c>
      <c r="BR431" s="20"/>
      <c r="BS431" s="20">
        <f t="shared" ref="BS431:BS488" si="55">+BN431+BL431-BP431</f>
        <v>27045434</v>
      </c>
      <c r="BT431" s="20"/>
      <c r="BU431" s="20">
        <f>+BS431-'Gen Fd BS'!AA431+BQ431</f>
        <v>0</v>
      </c>
    </row>
    <row r="432" spans="1:73">
      <c r="A432" s="12" t="s">
        <v>298</v>
      </c>
      <c r="B432" s="12"/>
      <c r="C432" s="12" t="s">
        <v>20</v>
      </c>
      <c r="D432" s="12"/>
      <c r="E432" s="13">
        <v>46573</v>
      </c>
      <c r="G432" s="1">
        <v>15159650</v>
      </c>
      <c r="I432" s="1">
        <v>4228933</v>
      </c>
      <c r="K432" s="1">
        <v>302772</v>
      </c>
      <c r="M432" s="1">
        <v>50157</v>
      </c>
      <c r="O432" s="1">
        <v>1736623</v>
      </c>
      <c r="Q432" s="1">
        <v>1234334</v>
      </c>
      <c r="S432" s="1">
        <v>166398</v>
      </c>
      <c r="U432" s="1">
        <v>2688336</v>
      </c>
      <c r="W432" s="1">
        <v>932426</v>
      </c>
      <c r="Y432" s="1">
        <v>0</v>
      </c>
      <c r="AA432" s="1">
        <v>3193669</v>
      </c>
      <c r="AC432" s="1">
        <v>1533189</v>
      </c>
      <c r="AE432" s="1">
        <v>429512</v>
      </c>
      <c r="AG432" s="1">
        <v>0</v>
      </c>
      <c r="AI432" s="1">
        <v>8980</v>
      </c>
      <c r="AJ432" s="12" t="s">
        <v>298</v>
      </c>
      <c r="AK432" s="12"/>
      <c r="AL432" s="12" t="s">
        <v>20</v>
      </c>
      <c r="AN432" s="1">
        <v>1078982</v>
      </c>
      <c r="AP432" s="1">
        <v>0</v>
      </c>
      <c r="AR432" s="1">
        <v>0</v>
      </c>
      <c r="AT432" s="1">
        <v>1497370</v>
      </c>
      <c r="AV432" s="1">
        <v>62840</v>
      </c>
      <c r="AX432" s="1">
        <v>0</v>
      </c>
      <c r="AZ432" s="1">
        <f t="shared" si="53"/>
        <v>34304171</v>
      </c>
      <c r="BB432" s="1">
        <v>0</v>
      </c>
      <c r="BH432" s="1">
        <v>0</v>
      </c>
      <c r="BJ432" s="1">
        <f t="shared" si="54"/>
        <v>34304171</v>
      </c>
      <c r="BL432" s="1">
        <f>+GenRev!AM432-GenExp!BJ432</f>
        <v>-1438788</v>
      </c>
      <c r="BN432" s="1">
        <v>3673070</v>
      </c>
      <c r="BP432" s="1">
        <v>0</v>
      </c>
      <c r="BQ432" s="1">
        <v>0</v>
      </c>
      <c r="BS432" s="1">
        <f t="shared" si="55"/>
        <v>2234282</v>
      </c>
      <c r="BU432" s="20">
        <f>+BS432-'Gen Fd BS'!AA432+BQ432</f>
        <v>0</v>
      </c>
    </row>
    <row r="433" spans="1:73">
      <c r="A433" s="12" t="s">
        <v>546</v>
      </c>
      <c r="B433" s="12"/>
      <c r="C433" s="12" t="s">
        <v>112</v>
      </c>
      <c r="D433" s="12"/>
      <c r="E433" s="13">
        <v>49478</v>
      </c>
      <c r="G433" s="1">
        <v>6691787</v>
      </c>
      <c r="I433" s="1">
        <v>973220</v>
      </c>
      <c r="K433" s="1">
        <v>224573</v>
      </c>
      <c r="M433" s="1">
        <v>420251</v>
      </c>
      <c r="O433" s="1">
        <v>717219</v>
      </c>
      <c r="Q433" s="1">
        <v>575732</v>
      </c>
      <c r="S433" s="1">
        <v>39548</v>
      </c>
      <c r="U433" s="1">
        <v>1381657</v>
      </c>
      <c r="W433" s="1">
        <v>537079</v>
      </c>
      <c r="Y433" s="1">
        <v>0</v>
      </c>
      <c r="AA433" s="1">
        <v>1799279</v>
      </c>
      <c r="AC433" s="1">
        <v>721222</v>
      </c>
      <c r="AE433" s="1">
        <v>36459</v>
      </c>
      <c r="AG433" s="1">
        <v>0</v>
      </c>
      <c r="AI433" s="1">
        <v>0</v>
      </c>
      <c r="AJ433" s="12" t="s">
        <v>546</v>
      </c>
      <c r="AK433" s="12"/>
      <c r="AL433" s="12" t="s">
        <v>112</v>
      </c>
      <c r="AN433" s="1">
        <v>474397</v>
      </c>
      <c r="AP433" s="1">
        <v>1918</v>
      </c>
      <c r="AR433" s="1">
        <v>0</v>
      </c>
      <c r="AT433" s="1">
        <v>0</v>
      </c>
      <c r="AV433" s="1">
        <v>0</v>
      </c>
      <c r="AX433" s="1">
        <v>0</v>
      </c>
      <c r="AZ433" s="1">
        <f t="shared" si="53"/>
        <v>14594341</v>
      </c>
      <c r="BB433" s="1">
        <v>45328</v>
      </c>
      <c r="BH433" s="1">
        <v>0</v>
      </c>
      <c r="BJ433" s="1">
        <f t="shared" si="54"/>
        <v>14639669</v>
      </c>
      <c r="BL433" s="1">
        <f>+GenRev!AM433-GenExp!BJ433</f>
        <v>-844046</v>
      </c>
      <c r="BN433" s="1">
        <v>5944621</v>
      </c>
      <c r="BP433" s="1">
        <v>40027</v>
      </c>
      <c r="BQ433" s="1">
        <v>0</v>
      </c>
      <c r="BS433" s="1">
        <f t="shared" si="55"/>
        <v>5060548</v>
      </c>
      <c r="BU433" s="20">
        <f>+BS433-'Gen Fd BS'!AA433+BQ433</f>
        <v>0</v>
      </c>
    </row>
    <row r="434" spans="1:73">
      <c r="A434" s="12" t="s">
        <v>299</v>
      </c>
      <c r="B434" s="12"/>
      <c r="C434" s="12" t="s">
        <v>20</v>
      </c>
      <c r="D434" s="12"/>
      <c r="E434" s="13">
        <v>46581</v>
      </c>
      <c r="G434" s="1">
        <v>18281718</v>
      </c>
      <c r="I434" s="1">
        <v>5889528</v>
      </c>
      <c r="K434" s="1">
        <v>259197</v>
      </c>
      <c r="M434" s="1">
        <v>0</v>
      </c>
      <c r="O434" s="1">
        <v>3509872</v>
      </c>
      <c r="Q434" s="1">
        <v>3952091</v>
      </c>
      <c r="S434" s="1">
        <v>82545</v>
      </c>
      <c r="U434" s="1">
        <v>2816970</v>
      </c>
      <c r="W434" s="1">
        <v>1232620</v>
      </c>
      <c r="Y434" s="1">
        <v>547326</v>
      </c>
      <c r="AA434" s="1">
        <v>4755829</v>
      </c>
      <c r="AC434" s="1">
        <v>3897232</v>
      </c>
      <c r="AE434" s="1">
        <v>1210401</v>
      </c>
      <c r="AG434" s="1">
        <v>0</v>
      </c>
      <c r="AI434" s="1">
        <v>14774</v>
      </c>
      <c r="AJ434" s="12" t="s">
        <v>299</v>
      </c>
      <c r="AK434" s="12"/>
      <c r="AL434" s="12" t="s">
        <v>20</v>
      </c>
      <c r="AN434" s="1">
        <v>1317099</v>
      </c>
      <c r="AP434" s="1">
        <v>30255</v>
      </c>
      <c r="AR434" s="1">
        <v>0</v>
      </c>
      <c r="AT434" s="1">
        <v>56956</v>
      </c>
      <c r="AV434" s="1">
        <v>15927</v>
      </c>
      <c r="AX434" s="1">
        <v>0</v>
      </c>
      <c r="AZ434" s="1">
        <f t="shared" si="53"/>
        <v>47870340</v>
      </c>
      <c r="BB434" s="1">
        <v>2115000</v>
      </c>
      <c r="BH434" s="1">
        <v>0</v>
      </c>
      <c r="BJ434" s="1">
        <f t="shared" si="54"/>
        <v>49985340</v>
      </c>
      <c r="BL434" s="1">
        <f>+GenRev!AM434-GenExp!BJ434</f>
        <v>-3176364</v>
      </c>
      <c r="BN434" s="1">
        <v>31345255</v>
      </c>
      <c r="BP434" s="1">
        <v>0</v>
      </c>
      <c r="BQ434" s="1">
        <v>0</v>
      </c>
      <c r="BS434" s="1">
        <f t="shared" si="55"/>
        <v>28168891</v>
      </c>
      <c r="BU434" s="20">
        <f>+BS434-'Gen Fd BS'!AA434+BQ434</f>
        <v>0</v>
      </c>
    </row>
    <row r="435" spans="1:73">
      <c r="A435" s="12" t="s">
        <v>451</v>
      </c>
      <c r="B435" s="12"/>
      <c r="C435" s="12" t="s">
        <v>117</v>
      </c>
      <c r="D435" s="12"/>
      <c r="E435" s="13">
        <v>44602</v>
      </c>
      <c r="G435" s="1">
        <v>15783696</v>
      </c>
      <c r="I435" s="1">
        <v>3446367</v>
      </c>
      <c r="K435" s="1">
        <v>2601206</v>
      </c>
      <c r="M435" s="1">
        <f>133110+190356</f>
        <v>323466</v>
      </c>
      <c r="O435" s="1">
        <v>1449090</v>
      </c>
      <c r="Q435" s="1">
        <v>2445084</v>
      </c>
      <c r="S435" s="1">
        <v>41947</v>
      </c>
      <c r="U435" s="1">
        <v>2383529</v>
      </c>
      <c r="W435" s="1">
        <v>866011</v>
      </c>
      <c r="Y435" s="1">
        <v>436305</v>
      </c>
      <c r="AA435" s="1">
        <v>3782302</v>
      </c>
      <c r="AC435" s="1">
        <v>1494260</v>
      </c>
      <c r="AE435" s="1">
        <v>0</v>
      </c>
      <c r="AG435" s="1">
        <v>0</v>
      </c>
      <c r="AI435" s="1">
        <v>0</v>
      </c>
      <c r="AJ435" s="12" t="s">
        <v>451</v>
      </c>
      <c r="AK435" s="12"/>
      <c r="AL435" s="12" t="s">
        <v>117</v>
      </c>
      <c r="AN435" s="1">
        <v>620222</v>
      </c>
      <c r="AP435" s="1">
        <v>0</v>
      </c>
      <c r="AR435" s="1">
        <v>0</v>
      </c>
      <c r="AT435" s="1">
        <v>194540</v>
      </c>
      <c r="AV435" s="1">
        <v>140330</v>
      </c>
      <c r="AX435" s="1">
        <v>0</v>
      </c>
      <c r="AZ435" s="1">
        <f t="shared" si="53"/>
        <v>36008355</v>
      </c>
      <c r="BB435" s="1">
        <v>99086</v>
      </c>
      <c r="BH435" s="1">
        <v>0</v>
      </c>
      <c r="BJ435" s="1">
        <f t="shared" si="54"/>
        <v>36107441</v>
      </c>
      <c r="BL435" s="1">
        <f>+GenRev!AM435-GenExp!BJ435</f>
        <v>3378504</v>
      </c>
      <c r="BN435" s="1">
        <v>-1321729</v>
      </c>
      <c r="BP435" s="1">
        <v>0</v>
      </c>
      <c r="BQ435" s="1">
        <v>0</v>
      </c>
      <c r="BS435" s="1">
        <f t="shared" si="55"/>
        <v>2056775</v>
      </c>
      <c r="BU435" s="20">
        <f>+BS435-'Gen Fd BS'!AA435+BQ435</f>
        <v>0</v>
      </c>
    </row>
    <row r="436" spans="1:73">
      <c r="A436" s="12" t="s">
        <v>641</v>
      </c>
      <c r="B436" s="12"/>
      <c r="C436" s="12" t="s">
        <v>71</v>
      </c>
      <c r="D436" s="12"/>
      <c r="E436" s="13">
        <v>44610</v>
      </c>
      <c r="G436" s="1">
        <v>6739679</v>
      </c>
      <c r="I436" s="1">
        <v>893109</v>
      </c>
      <c r="K436" s="1">
        <v>245677</v>
      </c>
      <c r="M436" s="1">
        <f>25559+1226114</f>
        <v>1251673</v>
      </c>
      <c r="O436" s="1">
        <v>641503</v>
      </c>
      <c r="Q436" s="1">
        <v>739848</v>
      </c>
      <c r="S436" s="1">
        <v>91696</v>
      </c>
      <c r="U436" s="1">
        <v>1337452</v>
      </c>
      <c r="W436" s="1">
        <v>413835</v>
      </c>
      <c r="Y436" s="1">
        <v>29187</v>
      </c>
      <c r="AA436" s="1">
        <v>1289948</v>
      </c>
      <c r="AC436" s="1">
        <v>439239</v>
      </c>
      <c r="AE436" s="1">
        <v>29605</v>
      </c>
      <c r="AG436" s="1">
        <v>0</v>
      </c>
      <c r="AI436" s="1">
        <v>0</v>
      </c>
      <c r="AJ436" s="12" t="s">
        <v>641</v>
      </c>
      <c r="AK436" s="12"/>
      <c r="AL436" s="12" t="s">
        <v>71</v>
      </c>
      <c r="AN436" s="1">
        <v>261299</v>
      </c>
      <c r="AP436" s="1">
        <v>722</v>
      </c>
      <c r="AR436" s="1">
        <v>0</v>
      </c>
      <c r="AT436" s="1">
        <v>0</v>
      </c>
      <c r="AV436" s="1">
        <v>0</v>
      </c>
      <c r="AX436" s="1">
        <v>0</v>
      </c>
      <c r="AZ436" s="1">
        <f t="shared" si="53"/>
        <v>14404472</v>
      </c>
      <c r="BB436" s="1">
        <v>0</v>
      </c>
      <c r="BH436" s="1">
        <v>0</v>
      </c>
      <c r="BJ436" s="1">
        <f t="shared" si="54"/>
        <v>14404472</v>
      </c>
      <c r="BL436" s="1">
        <f>+GenRev!AM436-GenExp!BJ436</f>
        <v>-756164</v>
      </c>
      <c r="BN436" s="1">
        <v>128981</v>
      </c>
      <c r="BP436" s="1">
        <v>0</v>
      </c>
      <c r="BQ436" s="1">
        <v>0</v>
      </c>
      <c r="BS436" s="1">
        <f t="shared" si="55"/>
        <v>-627183</v>
      </c>
      <c r="BU436" s="20">
        <f>+BS436-'Gen Fd BS'!AA436+BQ436</f>
        <v>0</v>
      </c>
    </row>
    <row r="437" spans="1:73">
      <c r="A437" s="12" t="s">
        <v>583</v>
      </c>
      <c r="B437" s="12"/>
      <c r="C437" s="12" t="s">
        <v>62</v>
      </c>
      <c r="D437" s="12"/>
      <c r="E437" s="13">
        <v>49916</v>
      </c>
      <c r="G437" s="1">
        <v>3389571</v>
      </c>
      <c r="I437" s="1">
        <v>391018</v>
      </c>
      <c r="K437" s="1">
        <v>143012</v>
      </c>
      <c r="M437" s="1">
        <v>881384</v>
      </c>
      <c r="O437" s="1">
        <v>324168</v>
      </c>
      <c r="Q437" s="1">
        <v>195010</v>
      </c>
      <c r="S437" s="1">
        <v>23074</v>
      </c>
      <c r="U437" s="1">
        <v>716027</v>
      </c>
      <c r="W437" s="1">
        <v>262228</v>
      </c>
      <c r="Y437" s="1">
        <v>11981</v>
      </c>
      <c r="AA437" s="1">
        <v>661800</v>
      </c>
      <c r="AC437" s="1">
        <v>462351</v>
      </c>
      <c r="AE437" s="1">
        <v>29503</v>
      </c>
      <c r="AG437" s="1">
        <v>0</v>
      </c>
      <c r="AI437" s="1">
        <v>22112</v>
      </c>
      <c r="AJ437" s="12" t="s">
        <v>583</v>
      </c>
      <c r="AK437" s="12"/>
      <c r="AL437" s="12" t="s">
        <v>62</v>
      </c>
      <c r="AN437" s="1">
        <v>246702</v>
      </c>
      <c r="AP437" s="1">
        <v>11636</v>
      </c>
      <c r="AR437" s="1">
        <v>0</v>
      </c>
      <c r="AT437" s="1">
        <v>0</v>
      </c>
      <c r="AV437" s="1">
        <v>0</v>
      </c>
      <c r="AX437" s="1">
        <v>0</v>
      </c>
      <c r="AZ437" s="1">
        <f t="shared" si="53"/>
        <v>7771577</v>
      </c>
      <c r="BB437" s="1">
        <v>0</v>
      </c>
      <c r="BH437" s="1">
        <v>0</v>
      </c>
      <c r="BJ437" s="1">
        <f t="shared" si="54"/>
        <v>7771577</v>
      </c>
      <c r="BL437" s="1">
        <f>+GenRev!AM437-GenExp!BJ437</f>
        <v>-590060</v>
      </c>
      <c r="BN437" s="1">
        <v>2798484</v>
      </c>
      <c r="BP437" s="1">
        <v>0</v>
      </c>
      <c r="BQ437" s="1">
        <v>0</v>
      </c>
      <c r="BS437" s="1">
        <f t="shared" si="55"/>
        <v>2208424</v>
      </c>
      <c r="BU437" s="20">
        <f>+BS437-'Gen Fd BS'!AA437+BQ437</f>
        <v>0</v>
      </c>
    </row>
    <row r="438" spans="1:73">
      <c r="A438" s="12" t="s">
        <v>650</v>
      </c>
      <c r="B438" s="12"/>
      <c r="C438" s="12" t="s">
        <v>72</v>
      </c>
      <c r="D438" s="12"/>
      <c r="E438" s="13">
        <v>50724</v>
      </c>
      <c r="G438" s="1">
        <v>7000754</v>
      </c>
      <c r="I438" s="1">
        <v>1630893</v>
      </c>
      <c r="K438" s="1">
        <v>10530</v>
      </c>
      <c r="M438" s="1">
        <v>0</v>
      </c>
      <c r="O438" s="1">
        <v>600340</v>
      </c>
      <c r="Q438" s="1">
        <v>327065</v>
      </c>
      <c r="S438" s="1">
        <v>52553</v>
      </c>
      <c r="U438" s="1">
        <v>925233</v>
      </c>
      <c r="W438" s="1">
        <v>374730</v>
      </c>
      <c r="Y438" s="1">
        <v>4709</v>
      </c>
      <c r="AA438" s="1">
        <v>652619</v>
      </c>
      <c r="AC438" s="1">
        <v>902001</v>
      </c>
      <c r="AE438" s="1">
        <v>0</v>
      </c>
      <c r="AG438" s="1">
        <v>0</v>
      </c>
      <c r="AI438" s="1">
        <v>0</v>
      </c>
      <c r="AJ438" s="12" t="s">
        <v>650</v>
      </c>
      <c r="AK438" s="12"/>
      <c r="AL438" s="12" t="s">
        <v>72</v>
      </c>
      <c r="AN438" s="1">
        <v>223188</v>
      </c>
      <c r="AP438" s="1">
        <v>1422</v>
      </c>
      <c r="AR438" s="1">
        <v>0</v>
      </c>
      <c r="AT438" s="1">
        <v>0</v>
      </c>
      <c r="AV438" s="1">
        <v>0</v>
      </c>
      <c r="AX438" s="1">
        <v>0</v>
      </c>
      <c r="AZ438" s="1">
        <f t="shared" si="53"/>
        <v>12706037</v>
      </c>
      <c r="BB438" s="1">
        <v>60000</v>
      </c>
      <c r="BH438" s="1">
        <v>0</v>
      </c>
      <c r="BJ438" s="1">
        <f t="shared" si="54"/>
        <v>12766037</v>
      </c>
      <c r="BL438" s="1">
        <f>+GenRev!AM438-GenExp!BJ438</f>
        <v>-11425</v>
      </c>
      <c r="BN438" s="1">
        <v>756709</v>
      </c>
      <c r="BP438" s="1">
        <v>0</v>
      </c>
      <c r="BQ438" s="1">
        <v>0</v>
      </c>
      <c r="BS438" s="1">
        <f t="shared" si="55"/>
        <v>745284</v>
      </c>
      <c r="BU438" s="20">
        <f>+BS438-'Gen Fd BS'!AA438+BQ438</f>
        <v>0</v>
      </c>
    </row>
    <row r="439" spans="1:73">
      <c r="A439" s="12" t="s">
        <v>452</v>
      </c>
      <c r="B439" s="12"/>
      <c r="C439" s="12" t="s">
        <v>117</v>
      </c>
      <c r="D439" s="12"/>
      <c r="E439" s="13">
        <v>48215</v>
      </c>
      <c r="G439" s="1">
        <v>8841775</v>
      </c>
      <c r="I439" s="1">
        <v>0</v>
      </c>
      <c r="K439" s="1">
        <v>0</v>
      </c>
      <c r="M439" s="1">
        <v>0</v>
      </c>
      <c r="O439" s="1">
        <v>696432</v>
      </c>
      <c r="Q439" s="1">
        <v>455320</v>
      </c>
      <c r="S439" s="1">
        <v>26009</v>
      </c>
      <c r="U439" s="1">
        <v>952655</v>
      </c>
      <c r="W439" s="1">
        <v>483559</v>
      </c>
      <c r="Y439" s="1">
        <v>0</v>
      </c>
      <c r="AA439" s="1">
        <v>1366589</v>
      </c>
      <c r="AC439" s="1">
        <v>39978</v>
      </c>
      <c r="AE439" s="1">
        <v>42677</v>
      </c>
      <c r="AG439" s="1">
        <v>0</v>
      </c>
      <c r="AI439" s="1">
        <v>17000</v>
      </c>
      <c r="AJ439" s="12" t="s">
        <v>452</v>
      </c>
      <c r="AK439" s="12"/>
      <c r="AL439" s="12" t="s">
        <v>117</v>
      </c>
      <c r="AN439" s="1">
        <v>441290</v>
      </c>
      <c r="AP439" s="1">
        <v>0</v>
      </c>
      <c r="AR439" s="1">
        <v>0</v>
      </c>
      <c r="AT439" s="1">
        <v>0</v>
      </c>
      <c r="AV439" s="1">
        <v>0</v>
      </c>
      <c r="AX439" s="1">
        <v>0</v>
      </c>
      <c r="AZ439" s="1">
        <f t="shared" si="53"/>
        <v>13363284</v>
      </c>
      <c r="BB439" s="1">
        <v>132500</v>
      </c>
      <c r="BH439" s="1">
        <v>0</v>
      </c>
      <c r="BJ439" s="1">
        <f t="shared" si="54"/>
        <v>13495784</v>
      </c>
      <c r="BL439" s="1">
        <f>+GenRev!AM439-GenExp!BJ439</f>
        <v>-1254019</v>
      </c>
      <c r="BN439" s="1">
        <v>5096758</v>
      </c>
      <c r="BP439" s="1">
        <v>0</v>
      </c>
      <c r="BQ439" s="1">
        <v>0</v>
      </c>
      <c r="BS439" s="1">
        <f t="shared" si="55"/>
        <v>3842739</v>
      </c>
      <c r="BU439" s="20">
        <f>+BS439-'Gen Fd BS'!AA439+BQ439</f>
        <v>0</v>
      </c>
    </row>
    <row r="440" spans="1:73" hidden="1">
      <c r="A440" s="12" t="s">
        <v>885</v>
      </c>
      <c r="B440" s="12"/>
      <c r="C440" s="12" t="s">
        <v>542</v>
      </c>
      <c r="D440" s="12"/>
      <c r="E440" s="13">
        <v>49379</v>
      </c>
      <c r="AJ440" s="12" t="s">
        <v>885</v>
      </c>
      <c r="AK440" s="12"/>
      <c r="AL440" s="12" t="s">
        <v>542</v>
      </c>
      <c r="AZ440" s="1">
        <f t="shared" si="53"/>
        <v>0</v>
      </c>
      <c r="BJ440" s="1">
        <f t="shared" si="54"/>
        <v>0</v>
      </c>
      <c r="BL440" s="1">
        <f>+GenRev!AM440-GenExp!BJ440</f>
        <v>0</v>
      </c>
      <c r="BS440" s="1">
        <f t="shared" si="55"/>
        <v>0</v>
      </c>
      <c r="BU440" s="20">
        <f>+BS440-'Gen Fd BS'!AA440+BQ440</f>
        <v>0</v>
      </c>
    </row>
    <row r="441" spans="1:73" hidden="1">
      <c r="A441" s="12" t="s">
        <v>884</v>
      </c>
      <c r="B441" s="12"/>
      <c r="C441" s="12" t="s">
        <v>542</v>
      </c>
      <c r="D441" s="12"/>
      <c r="E441" s="13">
        <v>49387</v>
      </c>
      <c r="AJ441" s="12" t="s">
        <v>884</v>
      </c>
      <c r="AK441" s="12"/>
      <c r="AL441" s="12" t="s">
        <v>542</v>
      </c>
      <c r="AZ441" s="1">
        <f t="shared" si="53"/>
        <v>0</v>
      </c>
      <c r="BJ441" s="1">
        <f t="shared" si="54"/>
        <v>0</v>
      </c>
      <c r="BL441" s="1">
        <f>+GenRev!AM441-GenExp!BJ441</f>
        <v>0</v>
      </c>
      <c r="BS441" s="1">
        <f t="shared" si="55"/>
        <v>0</v>
      </c>
      <c r="BU441" s="20">
        <f>+BS441-'Gen Fd BS'!AA441+BQ441</f>
        <v>0</v>
      </c>
    </row>
    <row r="442" spans="1:73">
      <c r="A442" s="12" t="s">
        <v>417</v>
      </c>
      <c r="B442" s="12"/>
      <c r="C442" s="12" t="s">
        <v>41</v>
      </c>
      <c r="D442" s="12"/>
      <c r="E442" s="13">
        <v>44628</v>
      </c>
      <c r="G442" s="1">
        <v>11390816</v>
      </c>
      <c r="I442" s="1">
        <v>3066542</v>
      </c>
      <c r="K442" s="1">
        <v>443128</v>
      </c>
      <c r="M442" s="1">
        <v>2955316</v>
      </c>
      <c r="O442" s="1">
        <v>1463029</v>
      </c>
      <c r="Q442" s="1">
        <v>2562278</v>
      </c>
      <c r="S442" s="1">
        <v>113431</v>
      </c>
      <c r="U442" s="1">
        <v>3313060</v>
      </c>
      <c r="W442" s="1">
        <v>644247</v>
      </c>
      <c r="Y442" s="1">
        <v>59988</v>
      </c>
      <c r="AA442" s="1">
        <v>3120128</v>
      </c>
      <c r="AC442" s="1">
        <v>1279431</v>
      </c>
      <c r="AE442" s="1">
        <v>367757</v>
      </c>
      <c r="AG442" s="1">
        <v>0</v>
      </c>
      <c r="AI442" s="1">
        <v>7043</v>
      </c>
      <c r="AJ442" s="12" t="s">
        <v>417</v>
      </c>
      <c r="AK442" s="12"/>
      <c r="AL442" s="12" t="s">
        <v>41</v>
      </c>
      <c r="AN442" s="1">
        <v>409877</v>
      </c>
      <c r="AP442" s="1">
        <v>568544</v>
      </c>
      <c r="AR442" s="1">
        <v>0</v>
      </c>
      <c r="AT442" s="1">
        <v>0</v>
      </c>
      <c r="AV442" s="1">
        <v>0</v>
      </c>
      <c r="AX442" s="1">
        <v>0</v>
      </c>
      <c r="AZ442" s="1">
        <f t="shared" si="53"/>
        <v>31764615</v>
      </c>
      <c r="BB442" s="1">
        <v>106647</v>
      </c>
      <c r="BH442" s="1">
        <v>0</v>
      </c>
      <c r="BJ442" s="1">
        <f>+AZ442+BB442+BD442+BH442</f>
        <v>31871262</v>
      </c>
      <c r="BL442" s="1">
        <f>+GenRev!AM442-GenExp!BJ442</f>
        <v>-1310625</v>
      </c>
      <c r="BN442" s="1">
        <v>68220</v>
      </c>
      <c r="BP442" s="1">
        <v>0</v>
      </c>
      <c r="BQ442" s="1">
        <v>0</v>
      </c>
      <c r="BS442" s="1">
        <f t="shared" si="55"/>
        <v>-1242405</v>
      </c>
      <c r="BU442" s="20">
        <f>+BS442-'Gen Fd BS'!AA442+BQ442</f>
        <v>0</v>
      </c>
    </row>
    <row r="443" spans="1:73" hidden="1">
      <c r="A443" s="17" t="s">
        <v>852</v>
      </c>
      <c r="B443" s="12"/>
      <c r="C443" s="12" t="s">
        <v>41</v>
      </c>
      <c r="D443" s="12"/>
      <c r="E443" s="13">
        <v>47894</v>
      </c>
      <c r="AJ443" s="17" t="s">
        <v>852</v>
      </c>
      <c r="AK443" s="12"/>
      <c r="AL443" s="12" t="s">
        <v>41</v>
      </c>
      <c r="AZ443" s="1">
        <f t="shared" si="53"/>
        <v>0</v>
      </c>
      <c r="BJ443" s="1">
        <f t="shared" ref="BJ443:BJ488" si="56">+AZ443+BB443+BD443+BH443</f>
        <v>0</v>
      </c>
      <c r="BL443" s="1">
        <f>+GenRev!AM443-GenExp!BJ443</f>
        <v>0</v>
      </c>
      <c r="BS443" s="1">
        <f t="shared" si="55"/>
        <v>0</v>
      </c>
      <c r="BU443" s="20">
        <f>+BS443-'Gen Fd BS'!AA443+BQ443</f>
        <v>0</v>
      </c>
    </row>
    <row r="444" spans="1:73">
      <c r="A444" s="12" t="s">
        <v>552</v>
      </c>
      <c r="B444" s="12"/>
      <c r="C444" s="12" t="s">
        <v>58</v>
      </c>
      <c r="D444" s="12"/>
      <c r="E444" s="13">
        <v>49510</v>
      </c>
      <c r="F444" s="8"/>
      <c r="G444" s="1">
        <v>4046141</v>
      </c>
      <c r="I444" s="1">
        <v>1004501</v>
      </c>
      <c r="K444" s="1">
        <v>2666</v>
      </c>
      <c r="M444" s="1">
        <v>821572</v>
      </c>
      <c r="O444" s="1">
        <v>295885</v>
      </c>
      <c r="Q444" s="1">
        <v>164686</v>
      </c>
      <c r="S444" s="1">
        <v>72495</v>
      </c>
      <c r="U444" s="1">
        <v>616930</v>
      </c>
      <c r="W444" s="1">
        <v>270460</v>
      </c>
      <c r="Y444" s="1">
        <v>0</v>
      </c>
      <c r="AA444" s="1">
        <v>600199</v>
      </c>
      <c r="AC444" s="1">
        <v>547822</v>
      </c>
      <c r="AE444" s="1">
        <v>0</v>
      </c>
      <c r="AG444" s="1">
        <v>0</v>
      </c>
      <c r="AI444" s="1">
        <v>687</v>
      </c>
      <c r="AJ444" s="12" t="s">
        <v>552</v>
      </c>
      <c r="AK444" s="12"/>
      <c r="AL444" s="12" t="s">
        <v>58</v>
      </c>
      <c r="AN444" s="1">
        <v>139260</v>
      </c>
      <c r="AP444" s="1">
        <v>86360</v>
      </c>
      <c r="AR444" s="1">
        <v>0</v>
      </c>
      <c r="AT444" s="1">
        <v>34002</v>
      </c>
      <c r="AV444" s="1">
        <v>10601</v>
      </c>
      <c r="AX444" s="1">
        <v>0</v>
      </c>
      <c r="AZ444" s="1">
        <f t="shared" si="53"/>
        <v>8714267</v>
      </c>
      <c r="BB444" s="1">
        <v>38846</v>
      </c>
      <c r="BH444" s="1">
        <v>0</v>
      </c>
      <c r="BJ444" s="1">
        <f t="shared" si="56"/>
        <v>8753113</v>
      </c>
      <c r="BL444" s="1">
        <f>+GenRev!AM444-GenExp!BJ444</f>
        <v>1110353</v>
      </c>
      <c r="BN444" s="1">
        <v>1802939</v>
      </c>
      <c r="BP444" s="1">
        <v>0</v>
      </c>
      <c r="BQ444" s="1">
        <v>0</v>
      </c>
      <c r="BS444" s="1">
        <f t="shared" si="55"/>
        <v>2913292</v>
      </c>
      <c r="BU444" s="20">
        <f>+BS444-'Gen Fd BS'!AA444+BQ444</f>
        <v>0</v>
      </c>
    </row>
    <row r="445" spans="1:73" hidden="1">
      <c r="A445" s="17" t="s">
        <v>853</v>
      </c>
      <c r="B445" s="12"/>
      <c r="C445" s="12" t="s">
        <v>542</v>
      </c>
      <c r="D445" s="12"/>
      <c r="E445" s="13">
        <v>49395</v>
      </c>
      <c r="AJ445" s="17" t="s">
        <v>853</v>
      </c>
      <c r="AK445" s="12"/>
      <c r="AL445" s="12" t="s">
        <v>542</v>
      </c>
      <c r="AZ445" s="1">
        <f t="shared" si="53"/>
        <v>0</v>
      </c>
      <c r="BJ445" s="1">
        <f t="shared" si="56"/>
        <v>0</v>
      </c>
      <c r="BL445" s="1">
        <f>+GenRev!AM445-GenExp!BJ445</f>
        <v>0</v>
      </c>
      <c r="BS445" s="1">
        <f t="shared" si="55"/>
        <v>0</v>
      </c>
      <c r="BU445" s="20">
        <f>+BS445-'Gen Fd BS'!AA445+BQ445</f>
        <v>0</v>
      </c>
    </row>
    <row r="446" spans="1:73" hidden="1">
      <c r="A446" s="17" t="s">
        <v>854</v>
      </c>
      <c r="B446" s="12"/>
      <c r="C446" s="12" t="s">
        <v>486</v>
      </c>
      <c r="D446" s="12"/>
      <c r="E446" s="13">
        <v>48579</v>
      </c>
      <c r="AJ446" s="17" t="s">
        <v>854</v>
      </c>
      <c r="AK446" s="12"/>
      <c r="AL446" s="12" t="s">
        <v>486</v>
      </c>
      <c r="AZ446" s="1">
        <f t="shared" si="53"/>
        <v>0</v>
      </c>
      <c r="BJ446" s="1">
        <f t="shared" si="56"/>
        <v>0</v>
      </c>
      <c r="BL446" s="1">
        <f>+GenRev!AM446-GenExp!BJ446</f>
        <v>0</v>
      </c>
      <c r="BS446" s="1">
        <f t="shared" si="55"/>
        <v>0</v>
      </c>
      <c r="BU446" s="20">
        <f>+BS446-'Gen Fd BS'!AA446+BQ446</f>
        <v>0</v>
      </c>
    </row>
    <row r="447" spans="1:73">
      <c r="A447" s="12" t="s">
        <v>300</v>
      </c>
      <c r="B447" s="12"/>
      <c r="C447" s="12" t="s">
        <v>20</v>
      </c>
      <c r="D447" s="12"/>
      <c r="E447" s="13">
        <v>44636</v>
      </c>
      <c r="G447" s="1">
        <v>60024551</v>
      </c>
      <c r="I447" s="1">
        <v>16048304</v>
      </c>
      <c r="K447" s="1">
        <v>3608556</v>
      </c>
      <c r="M447" s="1">
        <f>8651+22152</f>
        <v>30803</v>
      </c>
      <c r="O447" s="1">
        <v>7967301</v>
      </c>
      <c r="Q447" s="1">
        <v>5004891</v>
      </c>
      <c r="S447" s="1">
        <v>711398</v>
      </c>
      <c r="U447" s="1">
        <v>10920103</v>
      </c>
      <c r="W447" s="1">
        <v>3013476</v>
      </c>
      <c r="Y447" s="1">
        <v>872927</v>
      </c>
      <c r="AA447" s="1">
        <v>10918614</v>
      </c>
      <c r="AC447" s="1">
        <v>5926464</v>
      </c>
      <c r="AE447" s="1">
        <v>2393082</v>
      </c>
      <c r="AG447" s="1">
        <v>0</v>
      </c>
      <c r="AI447" s="1">
        <v>62745</v>
      </c>
      <c r="AJ447" s="12" t="s">
        <v>300</v>
      </c>
      <c r="AK447" s="12"/>
      <c r="AL447" s="12" t="s">
        <v>20</v>
      </c>
      <c r="AN447" s="1">
        <v>1516456</v>
      </c>
      <c r="AP447" s="1">
        <v>18988</v>
      </c>
      <c r="AR447" s="1">
        <v>0</v>
      </c>
      <c r="AT447" s="1">
        <v>1412371</v>
      </c>
      <c r="AV447" s="1">
        <v>739943</v>
      </c>
      <c r="AX447" s="1">
        <v>0</v>
      </c>
      <c r="AZ447" s="1">
        <f t="shared" si="53"/>
        <v>131190973</v>
      </c>
      <c r="BB447" s="1">
        <v>267821</v>
      </c>
      <c r="BH447" s="1">
        <v>0</v>
      </c>
      <c r="BJ447" s="1">
        <f t="shared" si="56"/>
        <v>131458794</v>
      </c>
      <c r="BL447" s="1">
        <f>+GenRev!AM447-GenExp!BJ447</f>
        <v>-4104296</v>
      </c>
      <c r="BN447" s="1">
        <v>10946501</v>
      </c>
      <c r="BP447" s="1">
        <v>0</v>
      </c>
      <c r="BQ447" s="1">
        <v>0</v>
      </c>
      <c r="BS447" s="1">
        <f t="shared" si="55"/>
        <v>6842205</v>
      </c>
      <c r="BU447" s="20">
        <f>+BS447-'Gen Fd BS'!AA447+BQ447</f>
        <v>0</v>
      </c>
    </row>
    <row r="448" spans="1:73">
      <c r="A448" s="12" t="s">
        <v>393</v>
      </c>
      <c r="B448" s="12"/>
      <c r="C448" s="12" t="s">
        <v>34</v>
      </c>
      <c r="D448" s="12"/>
      <c r="E448" s="13">
        <v>47597</v>
      </c>
      <c r="G448" s="1">
        <v>4749452</v>
      </c>
      <c r="I448" s="1">
        <v>765033</v>
      </c>
      <c r="K448" s="1">
        <v>66946</v>
      </c>
      <c r="M448" s="1">
        <f>771+377128</f>
        <v>377899</v>
      </c>
      <c r="O448" s="1">
        <v>505337</v>
      </c>
      <c r="Q448" s="1">
        <v>648037</v>
      </c>
      <c r="S448" s="1">
        <v>31837</v>
      </c>
      <c r="U448" s="1">
        <v>920453</v>
      </c>
      <c r="W448" s="1">
        <v>365085</v>
      </c>
      <c r="Y448" s="1">
        <v>135686</v>
      </c>
      <c r="AA448" s="1">
        <v>665707</v>
      </c>
      <c r="AC448" s="1">
        <v>517980</v>
      </c>
      <c r="AE448" s="1">
        <v>163506</v>
      </c>
      <c r="AG448" s="1">
        <v>0</v>
      </c>
      <c r="AI448" s="1">
        <v>2016</v>
      </c>
      <c r="AJ448" s="12" t="s">
        <v>393</v>
      </c>
      <c r="AK448" s="12"/>
      <c r="AL448" s="12" t="s">
        <v>34</v>
      </c>
      <c r="AN448" s="1">
        <v>245235</v>
      </c>
      <c r="AP448" s="1">
        <v>43356</v>
      </c>
      <c r="AR448" s="1">
        <v>0</v>
      </c>
      <c r="AT448" s="1">
        <v>81817</v>
      </c>
      <c r="AV448" s="1">
        <v>0</v>
      </c>
      <c r="AX448" s="1">
        <v>0</v>
      </c>
      <c r="AZ448" s="1">
        <f t="shared" si="53"/>
        <v>10285382</v>
      </c>
      <c r="BB448" s="1">
        <v>71264</v>
      </c>
      <c r="BH448" s="1">
        <v>0</v>
      </c>
      <c r="BJ448" s="1">
        <f t="shared" si="56"/>
        <v>10356646</v>
      </c>
      <c r="BL448" s="1">
        <f>+GenRev!AM448-GenExp!BJ448</f>
        <v>-828839</v>
      </c>
      <c r="BN448" s="1">
        <v>1609679</v>
      </c>
      <c r="BP448" s="1">
        <v>0</v>
      </c>
      <c r="BQ448" s="1">
        <v>0</v>
      </c>
      <c r="BS448" s="1">
        <f t="shared" si="55"/>
        <v>780840</v>
      </c>
      <c r="BU448" s="20">
        <f>+BS448-'Gen Fd BS'!AA448+BQ448</f>
        <v>0</v>
      </c>
    </row>
    <row r="449" spans="1:73" hidden="1">
      <c r="A449" s="17" t="s">
        <v>855</v>
      </c>
      <c r="B449" s="12"/>
      <c r="C449" s="12" t="s">
        <v>523</v>
      </c>
      <c r="D449" s="12"/>
      <c r="E449" s="13">
        <v>45575</v>
      </c>
      <c r="AJ449" s="17" t="s">
        <v>855</v>
      </c>
      <c r="AK449" s="12"/>
      <c r="AL449" s="12" t="s">
        <v>523</v>
      </c>
      <c r="AZ449" s="1">
        <f t="shared" si="53"/>
        <v>0</v>
      </c>
      <c r="BJ449" s="1">
        <f t="shared" si="56"/>
        <v>0</v>
      </c>
      <c r="BL449" s="1">
        <f>+GenRev!AM449-GenExp!BJ449</f>
        <v>0</v>
      </c>
      <c r="BS449" s="1">
        <f t="shared" si="55"/>
        <v>0</v>
      </c>
      <c r="BU449" s="20">
        <f>+BS449-'Gen Fd BS'!AA449+BQ449</f>
        <v>0</v>
      </c>
    </row>
    <row r="450" spans="1:73">
      <c r="A450" s="12" t="s">
        <v>318</v>
      </c>
      <c r="B450" s="12"/>
      <c r="C450" s="12" t="s">
        <v>24</v>
      </c>
      <c r="D450" s="12"/>
      <c r="E450" s="13">
        <v>46813</v>
      </c>
      <c r="G450" s="1">
        <v>10270179</v>
      </c>
      <c r="I450" s="1">
        <v>2811481</v>
      </c>
      <c r="K450" s="1">
        <v>126205</v>
      </c>
      <c r="M450" s="1">
        <v>470543</v>
      </c>
      <c r="O450" s="1">
        <v>1406901</v>
      </c>
      <c r="Q450" s="1">
        <v>769112</v>
      </c>
      <c r="S450" s="1">
        <v>35669</v>
      </c>
      <c r="U450" s="1">
        <v>1472551</v>
      </c>
      <c r="W450" s="1">
        <v>517634</v>
      </c>
      <c r="Y450" s="1">
        <v>1843</v>
      </c>
      <c r="AA450" s="1">
        <v>1908306</v>
      </c>
      <c r="AC450" s="1">
        <v>868401</v>
      </c>
      <c r="AE450" s="1">
        <v>101409</v>
      </c>
      <c r="AG450" s="1">
        <v>0</v>
      </c>
      <c r="AI450" s="1">
        <v>0</v>
      </c>
      <c r="AJ450" s="12" t="s">
        <v>318</v>
      </c>
      <c r="AK450" s="12"/>
      <c r="AL450" s="12" t="s">
        <v>24</v>
      </c>
      <c r="AN450" s="1">
        <v>485858</v>
      </c>
      <c r="AP450" s="1">
        <v>163679</v>
      </c>
      <c r="AR450" s="1">
        <v>0</v>
      </c>
      <c r="AT450" s="1">
        <v>0</v>
      </c>
      <c r="AV450" s="1">
        <v>0</v>
      </c>
      <c r="AX450" s="1">
        <v>0</v>
      </c>
      <c r="AZ450" s="1">
        <f t="shared" si="53"/>
        <v>21409771</v>
      </c>
      <c r="BB450" s="1">
        <v>51487</v>
      </c>
      <c r="BH450" s="1">
        <v>0</v>
      </c>
      <c r="BJ450" s="1">
        <f t="shared" si="56"/>
        <v>21461258</v>
      </c>
      <c r="BL450" s="1">
        <f>+GenRev!AM450-GenExp!BJ450</f>
        <v>98097</v>
      </c>
      <c r="BN450" s="1">
        <v>5032685</v>
      </c>
      <c r="BP450" s="1">
        <v>-9894</v>
      </c>
      <c r="BQ450" s="1">
        <v>0</v>
      </c>
      <c r="BS450" s="1">
        <f t="shared" si="55"/>
        <v>5140676</v>
      </c>
      <c r="BU450" s="20">
        <f>+BS450-'Gen Fd BS'!AA450+BQ450</f>
        <v>0</v>
      </c>
    </row>
    <row r="451" spans="1:73" hidden="1">
      <c r="A451" s="17" t="s">
        <v>856</v>
      </c>
      <c r="B451" s="17"/>
      <c r="C451" s="17" t="s">
        <v>10</v>
      </c>
      <c r="D451" s="12"/>
      <c r="E451" s="13"/>
      <c r="AJ451" s="17" t="s">
        <v>856</v>
      </c>
      <c r="AK451" s="17"/>
      <c r="AL451" s="17" t="s">
        <v>10</v>
      </c>
      <c r="AZ451" s="1">
        <f t="shared" si="53"/>
        <v>0</v>
      </c>
      <c r="BJ451" s="1">
        <f t="shared" si="56"/>
        <v>0</v>
      </c>
      <c r="BL451" s="1">
        <f>+GenRev!AM451-GenExp!BJ451</f>
        <v>0</v>
      </c>
      <c r="BS451" s="1">
        <f t="shared" si="55"/>
        <v>0</v>
      </c>
      <c r="BU451" s="20">
        <f>+BS451-'Gen Fd BS'!AA451+BQ451</f>
        <v>0</v>
      </c>
    </row>
    <row r="452" spans="1:73">
      <c r="A452" s="12" t="s">
        <v>205</v>
      </c>
      <c r="B452" s="12"/>
      <c r="C452" s="12" t="s">
        <v>41</v>
      </c>
      <c r="D452" s="12"/>
      <c r="E452" s="13">
        <v>47902</v>
      </c>
      <c r="G452" s="1">
        <v>9655226</v>
      </c>
      <c r="I452" s="1">
        <v>452927</v>
      </c>
      <c r="K452" s="1">
        <v>124395</v>
      </c>
      <c r="M452" s="1">
        <v>1138724</v>
      </c>
      <c r="O452" s="1">
        <v>1309509</v>
      </c>
      <c r="Q452" s="1">
        <v>1305046</v>
      </c>
      <c r="S452" s="1">
        <v>93238</v>
      </c>
      <c r="U452" s="1">
        <v>1529150</v>
      </c>
      <c r="W452" s="1">
        <v>694981</v>
      </c>
      <c r="Y452" s="1">
        <v>199467</v>
      </c>
      <c r="AA452" s="1">
        <v>3842121</v>
      </c>
      <c r="AC452" s="1">
        <v>1074001</v>
      </c>
      <c r="AE452" s="1">
        <v>24042</v>
      </c>
      <c r="AG452" s="1">
        <v>0</v>
      </c>
      <c r="AI452" s="1">
        <v>177748</v>
      </c>
      <c r="AJ452" s="12" t="s">
        <v>205</v>
      </c>
      <c r="AK452" s="12"/>
      <c r="AL452" s="12" t="s">
        <v>41</v>
      </c>
      <c r="AN452" s="1">
        <v>862850</v>
      </c>
      <c r="AP452" s="1">
        <v>0</v>
      </c>
      <c r="AR452" s="1">
        <v>0</v>
      </c>
      <c r="AT452" s="1">
        <v>62770</v>
      </c>
      <c r="AV452" s="1">
        <v>4271</v>
      </c>
      <c r="AX452" s="1">
        <v>0</v>
      </c>
      <c r="AZ452" s="1">
        <f t="shared" si="53"/>
        <v>22550466</v>
      </c>
      <c r="BB452" s="1">
        <v>2180000</v>
      </c>
      <c r="BH452" s="1">
        <v>0</v>
      </c>
      <c r="BJ452" s="1">
        <f t="shared" si="56"/>
        <v>24730466</v>
      </c>
      <c r="BL452" s="1">
        <f>+GenRev!AM452-GenExp!BJ452</f>
        <v>2439839</v>
      </c>
      <c r="BN452" s="1">
        <v>13926083</v>
      </c>
      <c r="BP452" s="1">
        <v>0</v>
      </c>
      <c r="BQ452" s="1">
        <v>0</v>
      </c>
      <c r="BS452" s="1">
        <f t="shared" si="55"/>
        <v>16365922</v>
      </c>
      <c r="BU452" s="20">
        <f>+BS452-'Gen Fd BS'!AA452+BQ452</f>
        <v>0</v>
      </c>
    </row>
    <row r="453" spans="1:73">
      <c r="A453" s="12" t="s">
        <v>205</v>
      </c>
      <c r="B453" s="12"/>
      <c r="C453" s="12" t="s">
        <v>62</v>
      </c>
      <c r="D453" s="12"/>
      <c r="E453" s="13">
        <v>49924</v>
      </c>
      <c r="G453" s="1">
        <v>18484663</v>
      </c>
      <c r="I453" s="1">
        <v>3170459</v>
      </c>
      <c r="K453" s="1">
        <v>2364746</v>
      </c>
      <c r="M453" s="1">
        <f>208675+34813</f>
        <v>243488</v>
      </c>
      <c r="O453" s="1">
        <v>2541928</v>
      </c>
      <c r="Q453" s="1">
        <v>946734</v>
      </c>
      <c r="S453" s="1">
        <v>126917</v>
      </c>
      <c r="U453" s="1">
        <v>2979225</v>
      </c>
      <c r="W453" s="1">
        <v>949038</v>
      </c>
      <c r="Y453" s="1">
        <v>49990</v>
      </c>
      <c r="AA453" s="1">
        <v>4169865</v>
      </c>
      <c r="AC453" s="1">
        <v>2295634</v>
      </c>
      <c r="AE453" s="1">
        <v>534519</v>
      </c>
      <c r="AG453" s="1">
        <v>0</v>
      </c>
      <c r="AI453" s="1">
        <v>0</v>
      </c>
      <c r="AJ453" s="12" t="s">
        <v>205</v>
      </c>
      <c r="AK453" s="12"/>
      <c r="AL453" s="12" t="s">
        <v>62</v>
      </c>
      <c r="AN453" s="1">
        <v>824674</v>
      </c>
      <c r="AP453" s="1">
        <v>161142</v>
      </c>
      <c r="AR453" s="1">
        <v>0</v>
      </c>
      <c r="AT453" s="1">
        <v>200000</v>
      </c>
      <c r="AV453" s="1">
        <v>5746</v>
      </c>
      <c r="AX453" s="1">
        <v>0</v>
      </c>
      <c r="AZ453" s="1">
        <f t="shared" si="53"/>
        <v>40048768</v>
      </c>
      <c r="BB453" s="1">
        <v>0</v>
      </c>
      <c r="BH453" s="1">
        <v>0</v>
      </c>
      <c r="BJ453" s="1">
        <f t="shared" si="56"/>
        <v>40048768</v>
      </c>
      <c r="BL453" s="1">
        <f>+GenRev!AM453-GenExp!BJ453</f>
        <v>-598588</v>
      </c>
      <c r="BN453" s="1">
        <v>21675526</v>
      </c>
      <c r="BP453" s="1">
        <v>0</v>
      </c>
      <c r="BQ453" s="1">
        <v>0</v>
      </c>
      <c r="BS453" s="1">
        <f t="shared" si="55"/>
        <v>21076938</v>
      </c>
      <c r="BU453" s="20">
        <f>+BS453-'Gen Fd BS'!AA453+BQ453</f>
        <v>0</v>
      </c>
    </row>
    <row r="454" spans="1:73">
      <c r="A454" s="12" t="s">
        <v>651</v>
      </c>
      <c r="B454" s="12"/>
      <c r="C454" s="12" t="s">
        <v>72</v>
      </c>
      <c r="D454" s="12"/>
      <c r="E454" s="12">
        <v>45583</v>
      </c>
      <c r="G454" s="1">
        <v>22666158</v>
      </c>
      <c r="I454" s="1">
        <v>4206043</v>
      </c>
      <c r="K454" s="1">
        <v>124329</v>
      </c>
      <c r="M454" s="1">
        <v>0</v>
      </c>
      <c r="O454" s="1">
        <v>2219696</v>
      </c>
      <c r="Q454" s="1">
        <v>745326</v>
      </c>
      <c r="S454" s="1">
        <v>31225</v>
      </c>
      <c r="U454" s="1">
        <v>2932619</v>
      </c>
      <c r="W454" s="1">
        <v>920113</v>
      </c>
      <c r="Y454" s="1">
        <v>202098</v>
      </c>
      <c r="AA454" s="1">
        <v>3908707</v>
      </c>
      <c r="AC454" s="1">
        <v>1653776</v>
      </c>
      <c r="AE454" s="1">
        <v>537512</v>
      </c>
      <c r="AG454" s="1">
        <v>0</v>
      </c>
      <c r="AI454" s="1">
        <v>19984</v>
      </c>
      <c r="AJ454" s="12" t="s">
        <v>651</v>
      </c>
      <c r="AK454" s="12"/>
      <c r="AL454" s="12" t="s">
        <v>72</v>
      </c>
      <c r="AN454" s="1">
        <v>859794</v>
      </c>
      <c r="AP454" s="1">
        <v>182521</v>
      </c>
      <c r="AR454" s="1">
        <v>0</v>
      </c>
      <c r="AT454" s="1">
        <v>110115</v>
      </c>
      <c r="AV454" s="1">
        <v>5143</v>
      </c>
      <c r="AX454" s="1">
        <v>0</v>
      </c>
      <c r="AZ454" s="1">
        <f>SUM(G454:AX454)</f>
        <v>41325159</v>
      </c>
      <c r="BB454" s="1">
        <v>0</v>
      </c>
      <c r="BH454" s="1">
        <v>0</v>
      </c>
      <c r="BJ454" s="1">
        <f t="shared" si="56"/>
        <v>41325159</v>
      </c>
      <c r="BL454" s="1">
        <f>+GenRev!AM454-GenExp!BJ454</f>
        <v>-2760188</v>
      </c>
      <c r="BN454" s="1">
        <v>1231193</v>
      </c>
      <c r="BP454" s="1">
        <v>0</v>
      </c>
      <c r="BQ454" s="1">
        <v>0</v>
      </c>
      <c r="BS454" s="1">
        <f t="shared" si="55"/>
        <v>-1528995</v>
      </c>
      <c r="BU454" s="20">
        <f>+BS454-'Gen Fd BS'!AA454+BQ454</f>
        <v>0</v>
      </c>
    </row>
    <row r="455" spans="1:73">
      <c r="A455" s="12" t="s">
        <v>345</v>
      </c>
      <c r="B455" s="12"/>
      <c r="C455" s="12" t="s">
        <v>28</v>
      </c>
      <c r="D455" s="12"/>
      <c r="E455" s="13">
        <v>47076</v>
      </c>
      <c r="G455" s="1">
        <v>2250215</v>
      </c>
      <c r="I455" s="1">
        <v>183008</v>
      </c>
      <c r="K455" s="1">
        <v>218698</v>
      </c>
      <c r="M455" s="1">
        <v>23976</v>
      </c>
      <c r="O455" s="1">
        <v>39925</v>
      </c>
      <c r="Q455" s="1">
        <v>126110</v>
      </c>
      <c r="S455" s="1">
        <v>19500</v>
      </c>
      <c r="U455" s="1">
        <v>463057</v>
      </c>
      <c r="W455" s="1">
        <v>188845</v>
      </c>
      <c r="Y455" s="1">
        <v>1227</v>
      </c>
      <c r="AA455" s="1">
        <v>416968</v>
      </c>
      <c r="AC455" s="1">
        <v>228371</v>
      </c>
      <c r="AE455" s="1">
        <v>73237</v>
      </c>
      <c r="AG455" s="1">
        <v>0</v>
      </c>
      <c r="AI455" s="1">
        <v>0</v>
      </c>
      <c r="AJ455" s="12" t="s">
        <v>345</v>
      </c>
      <c r="AK455" s="12"/>
      <c r="AL455" s="12" t="s">
        <v>28</v>
      </c>
      <c r="AN455" s="1">
        <v>216577</v>
      </c>
      <c r="AP455" s="1">
        <v>75</v>
      </c>
      <c r="AR455" s="1">
        <v>0</v>
      </c>
      <c r="AT455" s="1">
        <v>0</v>
      </c>
      <c r="AV455" s="1">
        <v>0</v>
      </c>
      <c r="AX455" s="1">
        <v>0</v>
      </c>
      <c r="AZ455" s="1">
        <f t="shared" si="53"/>
        <v>4449789</v>
      </c>
      <c r="BB455" s="1">
        <v>0</v>
      </c>
      <c r="BH455" s="1">
        <v>0</v>
      </c>
      <c r="BJ455" s="1">
        <f t="shared" si="56"/>
        <v>4449789</v>
      </c>
      <c r="BL455" s="1">
        <f>+GenRev!AM455-GenExp!BJ455</f>
        <v>182736</v>
      </c>
      <c r="BN455" s="1">
        <v>581368</v>
      </c>
      <c r="BP455" s="1">
        <v>0</v>
      </c>
      <c r="BQ455" s="1">
        <v>0</v>
      </c>
      <c r="BS455" s="1">
        <f t="shared" si="55"/>
        <v>764104</v>
      </c>
      <c r="BU455" s="20">
        <f>+BS455-'Gen Fd BS'!AA455+BQ455</f>
        <v>0</v>
      </c>
    </row>
    <row r="456" spans="1:73">
      <c r="A456" s="12" t="s">
        <v>326</v>
      </c>
      <c r="B456" s="12"/>
      <c r="C456" s="12" t="s">
        <v>25</v>
      </c>
      <c r="D456" s="12"/>
      <c r="E456" s="13">
        <v>46896</v>
      </c>
      <c r="G456" s="1">
        <v>43879538</v>
      </c>
      <c r="I456" s="1">
        <v>7074834</v>
      </c>
      <c r="K456" s="1">
        <v>1080428</v>
      </c>
      <c r="M456" s="1">
        <v>2947604</v>
      </c>
      <c r="O456" s="1">
        <v>4311662</v>
      </c>
      <c r="Q456" s="1">
        <v>6395468</v>
      </c>
      <c r="S456" s="1">
        <v>569839</v>
      </c>
      <c r="U456" s="1">
        <v>8475904</v>
      </c>
      <c r="W456" s="1">
        <v>1489781</v>
      </c>
      <c r="Y456" s="1">
        <v>572732</v>
      </c>
      <c r="AA456" s="1">
        <v>9302771</v>
      </c>
      <c r="AC456" s="1">
        <v>6234801</v>
      </c>
      <c r="AE456" s="1">
        <v>163720</v>
      </c>
      <c r="AG456" s="1">
        <v>0</v>
      </c>
      <c r="AI456" s="1">
        <v>0</v>
      </c>
      <c r="AJ456" s="12" t="s">
        <v>326</v>
      </c>
      <c r="AK456" s="12"/>
      <c r="AL456" s="12" t="s">
        <v>25</v>
      </c>
      <c r="AN456" s="1">
        <v>1862376</v>
      </c>
      <c r="AP456" s="1">
        <v>57827</v>
      </c>
      <c r="AR456" s="1">
        <v>0</v>
      </c>
      <c r="AT456" s="1">
        <v>0</v>
      </c>
      <c r="AV456" s="1">
        <v>0</v>
      </c>
      <c r="AX456" s="1">
        <v>0</v>
      </c>
      <c r="AZ456" s="1">
        <f t="shared" si="53"/>
        <v>94419285</v>
      </c>
      <c r="BB456" s="1">
        <v>0</v>
      </c>
      <c r="BH456" s="1">
        <v>0</v>
      </c>
      <c r="BJ456" s="1">
        <f t="shared" si="56"/>
        <v>94419285</v>
      </c>
      <c r="BL456" s="1">
        <f>+GenRev!AM456-GenExp!BJ456</f>
        <v>-6287924</v>
      </c>
      <c r="BN456" s="1">
        <v>12473926</v>
      </c>
      <c r="BP456" s="1">
        <v>0</v>
      </c>
      <c r="BQ456" s="1">
        <v>0</v>
      </c>
      <c r="BS456" s="1">
        <f t="shared" si="55"/>
        <v>6186002</v>
      </c>
      <c r="BU456" s="20">
        <f>+BS456-'Gen Fd BS'!AA456+BQ456</f>
        <v>0</v>
      </c>
    </row>
    <row r="457" spans="1:73">
      <c r="A457" s="12" t="s">
        <v>346</v>
      </c>
      <c r="B457" s="12"/>
      <c r="C457" s="12" t="s">
        <v>28</v>
      </c>
      <c r="D457" s="12"/>
      <c r="E457" s="13">
        <v>47084</v>
      </c>
      <c r="G457" s="1">
        <v>6158809</v>
      </c>
      <c r="I457" s="1">
        <v>880222</v>
      </c>
      <c r="K457" s="1">
        <v>132541</v>
      </c>
      <c r="M457" s="1">
        <v>0</v>
      </c>
      <c r="O457" s="1">
        <v>710609</v>
      </c>
      <c r="Q457" s="1">
        <v>679804</v>
      </c>
      <c r="S457" s="1">
        <v>41225</v>
      </c>
      <c r="U457" s="1">
        <v>935381</v>
      </c>
      <c r="W457" s="1">
        <v>301732</v>
      </c>
      <c r="Y457" s="1">
        <v>44389</v>
      </c>
      <c r="AA457" s="1">
        <v>1377449</v>
      </c>
      <c r="AC457" s="1">
        <v>758218</v>
      </c>
      <c r="AE457" s="1">
        <v>108308</v>
      </c>
      <c r="AG457" s="1">
        <v>0</v>
      </c>
      <c r="AI457" s="1">
        <v>0</v>
      </c>
      <c r="AJ457" s="12" t="s">
        <v>346</v>
      </c>
      <c r="AK457" s="12"/>
      <c r="AL457" s="12" t="s">
        <v>28</v>
      </c>
      <c r="AN457" s="1">
        <v>377842</v>
      </c>
      <c r="AP457" s="1">
        <v>0</v>
      </c>
      <c r="AR457" s="1">
        <v>0</v>
      </c>
      <c r="AT457" s="1">
        <v>0</v>
      </c>
      <c r="AV457" s="1">
        <v>0</v>
      </c>
      <c r="AX457" s="1">
        <v>0</v>
      </c>
      <c r="AZ457" s="1">
        <f t="shared" si="53"/>
        <v>12506529</v>
      </c>
      <c r="BB457" s="1">
        <v>11000</v>
      </c>
      <c r="BH457" s="1">
        <v>0</v>
      </c>
      <c r="BJ457" s="1">
        <f t="shared" si="56"/>
        <v>12517529</v>
      </c>
      <c r="BL457" s="1">
        <f>+GenRev!AM457-GenExp!BJ457</f>
        <v>-1406318</v>
      </c>
      <c r="BN457" s="1">
        <v>3098769</v>
      </c>
      <c r="BP457" s="1">
        <v>0</v>
      </c>
      <c r="BQ457" s="1">
        <v>0</v>
      </c>
      <c r="BS457" s="1">
        <f t="shared" si="55"/>
        <v>1692451</v>
      </c>
      <c r="BU457" s="20">
        <f>+BS457-'Gen Fd BS'!AA457+BQ457</f>
        <v>0</v>
      </c>
    </row>
    <row r="458" spans="1:73">
      <c r="A458" s="12" t="s">
        <v>490</v>
      </c>
      <c r="B458" s="12"/>
      <c r="C458" s="12" t="s">
        <v>48</v>
      </c>
      <c r="D458" s="12"/>
      <c r="E458" s="13">
        <v>44644</v>
      </c>
      <c r="G458" s="1">
        <v>15831759</v>
      </c>
      <c r="I458" s="1">
        <v>0</v>
      </c>
      <c r="K458" s="1">
        <v>0</v>
      </c>
      <c r="M458" s="1">
        <v>0</v>
      </c>
      <c r="O458" s="1">
        <v>1377771</v>
      </c>
      <c r="Q458" s="1">
        <v>1895663</v>
      </c>
      <c r="S458" s="1">
        <v>29714</v>
      </c>
      <c r="U458" s="1">
        <v>2207591</v>
      </c>
      <c r="W458" s="1">
        <v>393654</v>
      </c>
      <c r="Y458" s="1">
        <v>30502</v>
      </c>
      <c r="AA458" s="1">
        <v>2840859</v>
      </c>
      <c r="AC458" s="1">
        <v>1422758</v>
      </c>
      <c r="AE458" s="1">
        <v>303857</v>
      </c>
      <c r="AG458" s="1">
        <v>0</v>
      </c>
      <c r="AI458" s="1">
        <v>0</v>
      </c>
      <c r="AJ458" s="12" t="s">
        <v>490</v>
      </c>
      <c r="AK458" s="12"/>
      <c r="AL458" s="12" t="s">
        <v>48</v>
      </c>
      <c r="AN458" s="1">
        <v>334994</v>
      </c>
      <c r="AP458" s="1">
        <v>0</v>
      </c>
      <c r="AR458" s="1">
        <v>0</v>
      </c>
      <c r="AT458" s="1">
        <v>38801</v>
      </c>
      <c r="AV458" s="1">
        <v>615</v>
      </c>
      <c r="AX458" s="1">
        <v>0</v>
      </c>
      <c r="AZ458" s="1">
        <f t="shared" si="53"/>
        <v>26708538</v>
      </c>
      <c r="BB458" s="1">
        <v>0</v>
      </c>
      <c r="BH458" s="1">
        <v>0</v>
      </c>
      <c r="BJ458" s="1">
        <f t="shared" si="56"/>
        <v>26708538</v>
      </c>
      <c r="BL458" s="1">
        <f>+GenRev!AM458-GenExp!BJ458</f>
        <v>562104</v>
      </c>
      <c r="BN458" s="1">
        <v>4896722</v>
      </c>
      <c r="BP458" s="1">
        <v>6837</v>
      </c>
      <c r="BQ458" s="1">
        <v>0</v>
      </c>
      <c r="BS458" s="1">
        <f t="shared" si="55"/>
        <v>5451989</v>
      </c>
      <c r="BU458" s="20">
        <f>+BS458-'Gen Fd BS'!AA458+BQ458</f>
        <v>0</v>
      </c>
    </row>
    <row r="459" spans="1:73" hidden="1">
      <c r="A459" s="17" t="s">
        <v>857</v>
      </c>
      <c r="B459" s="12"/>
      <c r="C459" s="12" t="s">
        <v>27</v>
      </c>
      <c r="D459" s="12"/>
      <c r="E459" s="13">
        <v>46995</v>
      </c>
      <c r="AJ459" s="17" t="s">
        <v>857</v>
      </c>
      <c r="AK459" s="12"/>
      <c r="AL459" s="12" t="s">
        <v>27</v>
      </c>
      <c r="AZ459" s="1">
        <f t="shared" si="53"/>
        <v>0</v>
      </c>
      <c r="BJ459" s="1">
        <f t="shared" si="56"/>
        <v>0</v>
      </c>
      <c r="BL459" s="1">
        <f>+GenRev!AM459-GenExp!BJ459</f>
        <v>0</v>
      </c>
      <c r="BS459" s="1">
        <f t="shared" si="55"/>
        <v>0</v>
      </c>
      <c r="BU459" s="20">
        <f>+BS459-'Gen Fd BS'!AA459+BQ459</f>
        <v>0</v>
      </c>
    </row>
    <row r="460" spans="1:73">
      <c r="A460" s="12" t="s">
        <v>338</v>
      </c>
      <c r="B460" s="12"/>
      <c r="C460" s="12" t="s">
        <v>62</v>
      </c>
      <c r="D460" s="12"/>
      <c r="E460" s="13">
        <v>49932</v>
      </c>
      <c r="G460" s="1">
        <v>24559892</v>
      </c>
      <c r="I460" s="1">
        <v>4633101</v>
      </c>
      <c r="K460" s="1">
        <v>1649911</v>
      </c>
      <c r="M460" s="1">
        <f>2641+275345</f>
        <v>277986</v>
      </c>
      <c r="O460" s="1">
        <v>2318105</v>
      </c>
      <c r="Q460" s="1">
        <v>2725254</v>
      </c>
      <c r="S460" s="1">
        <v>64225</v>
      </c>
      <c r="U460" s="1">
        <v>3638368</v>
      </c>
      <c r="W460" s="1">
        <v>859497</v>
      </c>
      <c r="Y460" s="1">
        <v>148536</v>
      </c>
      <c r="AA460" s="1">
        <v>5373918</v>
      </c>
      <c r="AC460" s="1">
        <v>2519314</v>
      </c>
      <c r="AE460" s="1">
        <v>207044</v>
      </c>
      <c r="AG460" s="1">
        <v>0</v>
      </c>
      <c r="AI460" s="1">
        <v>0</v>
      </c>
      <c r="AJ460" s="12" t="s">
        <v>338</v>
      </c>
      <c r="AK460" s="12"/>
      <c r="AL460" s="12" t="s">
        <v>62</v>
      </c>
      <c r="AN460" s="1">
        <v>630276</v>
      </c>
      <c r="AP460" s="1">
        <v>0</v>
      </c>
      <c r="AR460" s="1">
        <v>0</v>
      </c>
      <c r="AT460" s="1">
        <v>0</v>
      </c>
      <c r="AV460" s="1">
        <v>0</v>
      </c>
      <c r="AX460" s="1">
        <v>0</v>
      </c>
      <c r="AZ460" s="1">
        <f t="shared" si="53"/>
        <v>49605427</v>
      </c>
      <c r="BB460" s="1">
        <v>47420</v>
      </c>
      <c r="BH460" s="1">
        <v>0</v>
      </c>
      <c r="BJ460" s="1">
        <f t="shared" si="56"/>
        <v>49652847</v>
      </c>
      <c r="BL460" s="1">
        <f>+GenRev!AM460-GenExp!BJ460</f>
        <v>-3217204</v>
      </c>
      <c r="BN460" s="1">
        <v>5734796</v>
      </c>
      <c r="BP460" s="1">
        <v>11737</v>
      </c>
      <c r="BQ460" s="1">
        <v>0</v>
      </c>
      <c r="BS460" s="1">
        <f t="shared" si="55"/>
        <v>2505855</v>
      </c>
      <c r="BU460" s="20">
        <f>+BS460-'Gen Fd BS'!AA460+BQ460</f>
        <v>0</v>
      </c>
    </row>
    <row r="461" spans="1:73">
      <c r="A461" s="12" t="s">
        <v>475</v>
      </c>
      <c r="B461" s="12"/>
      <c r="C461" s="12" t="s">
        <v>46</v>
      </c>
      <c r="D461" s="12"/>
      <c r="E461" s="13">
        <v>48421</v>
      </c>
      <c r="G461" s="1">
        <v>6587522</v>
      </c>
      <c r="I461" s="1">
        <v>741835</v>
      </c>
      <c r="K461" s="1">
        <v>170757</v>
      </c>
      <c r="M461" s="1">
        <v>27677</v>
      </c>
      <c r="O461" s="1">
        <v>251235</v>
      </c>
      <c r="Q461" s="1">
        <v>288106</v>
      </c>
      <c r="S461" s="1">
        <v>103252</v>
      </c>
      <c r="U461" s="1">
        <v>722950</v>
      </c>
      <c r="W461" s="1">
        <v>302152</v>
      </c>
      <c r="Y461" s="1">
        <v>0</v>
      </c>
      <c r="AA461" s="1">
        <v>898125</v>
      </c>
      <c r="AC461" s="1">
        <v>448158</v>
      </c>
      <c r="AE461" s="1">
        <v>0</v>
      </c>
      <c r="AG461" s="1">
        <v>0</v>
      </c>
      <c r="AI461" s="1">
        <v>0</v>
      </c>
      <c r="AJ461" s="12" t="s">
        <v>475</v>
      </c>
      <c r="AK461" s="12"/>
      <c r="AL461" s="12" t="s">
        <v>46</v>
      </c>
      <c r="AN461" s="1">
        <v>295413</v>
      </c>
      <c r="AP461" s="1">
        <v>98</v>
      </c>
      <c r="AR461" s="1">
        <v>0</v>
      </c>
      <c r="AT461" s="1">
        <v>83148</v>
      </c>
      <c r="AV461" s="1">
        <v>9282</v>
      </c>
      <c r="AX461" s="1">
        <v>0</v>
      </c>
      <c r="AZ461" s="1">
        <f t="shared" si="53"/>
        <v>10929710</v>
      </c>
      <c r="BB461" s="1">
        <v>18362</v>
      </c>
      <c r="BH461" s="1">
        <v>0</v>
      </c>
      <c r="BJ461" s="1">
        <f t="shared" si="56"/>
        <v>10948072</v>
      </c>
      <c r="BL461" s="1">
        <f>+GenRev!AM461-GenExp!BJ461</f>
        <v>201657</v>
      </c>
      <c r="BN461" s="1">
        <v>2817335</v>
      </c>
      <c r="BP461" s="1">
        <v>0</v>
      </c>
      <c r="BQ461" s="1">
        <v>0</v>
      </c>
      <c r="BS461" s="1">
        <f t="shared" si="55"/>
        <v>3018992</v>
      </c>
      <c r="BU461" s="20">
        <f>+BS461-'Gen Fd BS'!AA461+BQ461</f>
        <v>0</v>
      </c>
    </row>
    <row r="462" spans="1:73" ht="12" customHeight="1">
      <c r="A462" s="12" t="s">
        <v>547</v>
      </c>
      <c r="B462" s="12"/>
      <c r="C462" s="12" t="s">
        <v>112</v>
      </c>
      <c r="D462" s="12"/>
      <c r="E462" s="13">
        <v>49460</v>
      </c>
      <c r="F462" s="8"/>
      <c r="G462" s="1">
        <v>2703837</v>
      </c>
      <c r="I462" s="1">
        <v>851209</v>
      </c>
      <c r="K462" s="1">
        <v>216764</v>
      </c>
      <c r="M462" s="1">
        <v>516794</v>
      </c>
      <c r="O462" s="1">
        <v>396195</v>
      </c>
      <c r="Q462" s="1">
        <v>294793</v>
      </c>
      <c r="S462" s="1">
        <v>21174</v>
      </c>
      <c r="U462" s="1">
        <v>733517</v>
      </c>
      <c r="W462" s="1">
        <v>236632</v>
      </c>
      <c r="Y462" s="1">
        <v>6210</v>
      </c>
      <c r="AA462" s="1">
        <v>1005296</v>
      </c>
      <c r="AC462" s="1">
        <v>410662</v>
      </c>
      <c r="AE462" s="1">
        <v>0</v>
      </c>
      <c r="AG462" s="1">
        <v>0</v>
      </c>
      <c r="AI462" s="1">
        <v>0</v>
      </c>
      <c r="AJ462" s="12" t="s">
        <v>547</v>
      </c>
      <c r="AK462" s="12"/>
      <c r="AL462" s="12" t="s">
        <v>112</v>
      </c>
      <c r="AN462" s="1">
        <v>240770</v>
      </c>
      <c r="AP462" s="1">
        <v>43190</v>
      </c>
      <c r="AR462" s="1">
        <v>0</v>
      </c>
      <c r="AT462" s="1">
        <v>33509</v>
      </c>
      <c r="AV462" s="1">
        <v>37980</v>
      </c>
      <c r="AX462" s="1">
        <v>0</v>
      </c>
      <c r="AZ462" s="1">
        <f t="shared" si="53"/>
        <v>7748532</v>
      </c>
      <c r="BB462" s="1">
        <v>98000</v>
      </c>
      <c r="BH462" s="1">
        <v>0</v>
      </c>
      <c r="BJ462" s="1">
        <f t="shared" si="56"/>
        <v>7846532</v>
      </c>
      <c r="BL462" s="1">
        <f>+GenRev!AM462-GenExp!BJ462</f>
        <v>634825</v>
      </c>
      <c r="BN462" s="1">
        <v>1514257</v>
      </c>
      <c r="BP462" s="1">
        <v>0</v>
      </c>
      <c r="BQ462" s="1">
        <v>0</v>
      </c>
      <c r="BS462" s="1">
        <f t="shared" si="55"/>
        <v>2149082</v>
      </c>
      <c r="BU462" s="20">
        <f>+BS462-'Gen Fd BS'!AA462+BQ462</f>
        <v>0</v>
      </c>
    </row>
    <row r="463" spans="1:73" ht="12" customHeight="1">
      <c r="A463" s="17" t="s">
        <v>467</v>
      </c>
      <c r="B463" s="12"/>
      <c r="C463" s="12" t="s">
        <v>45</v>
      </c>
      <c r="D463" s="12"/>
      <c r="E463" s="13">
        <v>48348</v>
      </c>
      <c r="G463" s="1">
        <v>10541439</v>
      </c>
      <c r="I463" s="1">
        <v>1376078</v>
      </c>
      <c r="K463" s="1">
        <v>195662</v>
      </c>
      <c r="M463" s="1">
        <f>4143+11473</f>
        <v>15616</v>
      </c>
      <c r="O463" s="1">
        <v>1252779</v>
      </c>
      <c r="Q463" s="1">
        <v>397396</v>
      </c>
      <c r="S463" s="1">
        <v>30476</v>
      </c>
      <c r="U463" s="1">
        <v>1497214</v>
      </c>
      <c r="W463" s="1">
        <v>542256</v>
      </c>
      <c r="Y463" s="1">
        <v>374</v>
      </c>
      <c r="AA463" s="1">
        <v>2009524</v>
      </c>
      <c r="AC463" s="1">
        <v>781171</v>
      </c>
      <c r="AE463" s="1">
        <v>0</v>
      </c>
      <c r="AG463" s="1">
        <v>0</v>
      </c>
      <c r="AI463" s="1">
        <v>0</v>
      </c>
      <c r="AJ463" s="12" t="s">
        <v>467</v>
      </c>
      <c r="AK463" s="12"/>
      <c r="AL463" s="12" t="s">
        <v>45</v>
      </c>
      <c r="AN463" s="1">
        <v>392172</v>
      </c>
      <c r="AP463" s="1">
        <v>0</v>
      </c>
      <c r="AR463" s="1">
        <v>0</v>
      </c>
      <c r="AT463" s="1">
        <v>0</v>
      </c>
      <c r="AV463" s="1">
        <v>0</v>
      </c>
      <c r="AX463" s="1">
        <v>0</v>
      </c>
      <c r="AZ463" s="1">
        <f t="shared" si="53"/>
        <v>19032157</v>
      </c>
      <c r="BB463" s="1">
        <v>0</v>
      </c>
      <c r="BH463" s="1">
        <v>0</v>
      </c>
      <c r="BJ463" s="1">
        <f t="shared" si="56"/>
        <v>19032157</v>
      </c>
      <c r="BL463" s="1">
        <f>+GenRev!AM463-GenExp!BJ463</f>
        <v>-843282</v>
      </c>
      <c r="BN463" s="1">
        <v>2423536</v>
      </c>
      <c r="BP463" s="1">
        <v>0</v>
      </c>
      <c r="BQ463" s="1">
        <v>0</v>
      </c>
      <c r="BS463" s="1">
        <f t="shared" si="55"/>
        <v>1580254</v>
      </c>
      <c r="BU463" s="20">
        <f>+BS463-'Gen Fd BS'!AA463+BQ463</f>
        <v>0</v>
      </c>
    </row>
    <row r="464" spans="1:73" ht="12" customHeight="1">
      <c r="A464" s="12" t="s">
        <v>522</v>
      </c>
      <c r="B464" s="12"/>
      <c r="C464" s="12" t="s">
        <v>53</v>
      </c>
      <c r="D464" s="12"/>
      <c r="E464" s="13">
        <v>44651</v>
      </c>
      <c r="G464" s="1">
        <v>8359471</v>
      </c>
      <c r="I464" s="1">
        <v>1610882</v>
      </c>
      <c r="K464" s="1">
        <v>165387</v>
      </c>
      <c r="M464" s="1">
        <v>871921</v>
      </c>
      <c r="O464" s="1">
        <v>1704144</v>
      </c>
      <c r="Q464" s="1">
        <v>433902</v>
      </c>
      <c r="S464" s="1">
        <v>19185</v>
      </c>
      <c r="U464" s="1">
        <v>1297247</v>
      </c>
      <c r="W464" s="1">
        <v>667667</v>
      </c>
      <c r="Y464" s="1">
        <v>0</v>
      </c>
      <c r="AA464" s="1">
        <v>2118477</v>
      </c>
      <c r="AC464" s="1">
        <v>947924</v>
      </c>
      <c r="AE464" s="1">
        <v>96908</v>
      </c>
      <c r="AG464" s="1">
        <v>0</v>
      </c>
      <c r="AI464" s="1">
        <v>50867</v>
      </c>
      <c r="AJ464" s="12" t="s">
        <v>522</v>
      </c>
      <c r="AK464" s="12"/>
      <c r="AL464" s="12" t="s">
        <v>53</v>
      </c>
      <c r="AN464" s="1">
        <v>378635</v>
      </c>
      <c r="AP464" s="1">
        <v>27209</v>
      </c>
      <c r="AR464" s="1">
        <v>0</v>
      </c>
      <c r="AT464" s="1">
        <v>0</v>
      </c>
      <c r="AV464" s="1">
        <v>0</v>
      </c>
      <c r="AX464" s="1">
        <v>0</v>
      </c>
      <c r="AZ464" s="1">
        <f t="shared" si="53"/>
        <v>18749826</v>
      </c>
      <c r="BB464" s="1">
        <v>361169</v>
      </c>
      <c r="BH464" s="1">
        <v>0</v>
      </c>
      <c r="BJ464" s="1">
        <f t="shared" si="56"/>
        <v>19110995</v>
      </c>
      <c r="BL464" s="1">
        <f>+GenRev!AM464-GenExp!BJ464</f>
        <v>1104526</v>
      </c>
      <c r="BN464" s="1">
        <v>7306490</v>
      </c>
      <c r="BP464" s="1">
        <v>0</v>
      </c>
      <c r="BQ464" s="1">
        <v>0</v>
      </c>
      <c r="BS464" s="1">
        <f t="shared" si="55"/>
        <v>8411016</v>
      </c>
      <c r="BU464" s="20">
        <f>+BS464-'Gen Fd BS'!AA464+BQ464</f>
        <v>0</v>
      </c>
    </row>
    <row r="465" spans="1:73" ht="12" customHeight="1">
      <c r="A465" s="12" t="s">
        <v>564</v>
      </c>
      <c r="B465" s="12"/>
      <c r="C465" s="12" t="s">
        <v>59</v>
      </c>
      <c r="D465" s="12"/>
      <c r="E465" s="13">
        <v>44669</v>
      </c>
      <c r="G465" s="1">
        <v>12517522</v>
      </c>
      <c r="I465" s="1">
        <v>2851279</v>
      </c>
      <c r="K465" s="1">
        <v>442357</v>
      </c>
      <c r="M465" s="1">
        <f>279698+29000</f>
        <v>308698</v>
      </c>
      <c r="O465" s="1">
        <v>967447</v>
      </c>
      <c r="Q465" s="1">
        <v>1186332</v>
      </c>
      <c r="S465" s="1">
        <v>30589</v>
      </c>
      <c r="U465" s="1">
        <v>1549083</v>
      </c>
      <c r="W465" s="1">
        <v>464959</v>
      </c>
      <c r="Y465" s="1">
        <v>67125</v>
      </c>
      <c r="AA465" s="1">
        <v>1793370</v>
      </c>
      <c r="AC465" s="1">
        <v>488643</v>
      </c>
      <c r="AE465" s="1">
        <v>55938</v>
      </c>
      <c r="AG465" s="1">
        <v>1500</v>
      </c>
      <c r="AI465" s="1">
        <v>258</v>
      </c>
      <c r="AJ465" s="12" t="s">
        <v>564</v>
      </c>
      <c r="AK465" s="12"/>
      <c r="AL465" s="12" t="s">
        <v>59</v>
      </c>
      <c r="AN465" s="1">
        <v>342274</v>
      </c>
      <c r="AP465" s="1">
        <v>0</v>
      </c>
      <c r="AR465" s="1">
        <v>0</v>
      </c>
      <c r="AT465" s="1">
        <v>51429</v>
      </c>
      <c r="AV465" s="1">
        <v>11460</v>
      </c>
      <c r="AX465" s="1">
        <v>0</v>
      </c>
      <c r="AZ465" s="1">
        <f t="shared" si="53"/>
        <v>23130263</v>
      </c>
      <c r="BB465" s="1">
        <v>7526</v>
      </c>
      <c r="BH465" s="1">
        <v>0</v>
      </c>
      <c r="BJ465" s="1">
        <f t="shared" si="56"/>
        <v>23137789</v>
      </c>
      <c r="BL465" s="1">
        <f>+GenRev!AM465-GenExp!BJ465</f>
        <v>1086340</v>
      </c>
      <c r="BN465" s="1">
        <v>890043</v>
      </c>
      <c r="BP465" s="1">
        <v>0</v>
      </c>
      <c r="BQ465" s="1">
        <v>0</v>
      </c>
      <c r="BS465" s="1">
        <f t="shared" si="55"/>
        <v>1976383</v>
      </c>
      <c r="BU465" s="20">
        <f>+BS465-'Gen Fd BS'!AA465+BQ465</f>
        <v>0</v>
      </c>
    </row>
    <row r="466" spans="1:73" ht="12" hidden="1" customHeight="1">
      <c r="A466" s="17" t="s">
        <v>858</v>
      </c>
      <c r="B466" s="12"/>
      <c r="C466" s="12" t="s">
        <v>57</v>
      </c>
      <c r="D466" s="12"/>
      <c r="E466" s="13">
        <v>49288</v>
      </c>
      <c r="AJ466" s="17" t="s">
        <v>858</v>
      </c>
      <c r="AK466" s="12"/>
      <c r="AL466" s="12" t="s">
        <v>57</v>
      </c>
      <c r="AZ466" s="1">
        <f t="shared" si="53"/>
        <v>0</v>
      </c>
      <c r="BJ466" s="1">
        <f t="shared" si="56"/>
        <v>0</v>
      </c>
      <c r="BL466" s="1">
        <f>+GenRev!AM466-GenExp!BJ466</f>
        <v>0</v>
      </c>
      <c r="BS466" s="1">
        <f t="shared" si="55"/>
        <v>0</v>
      </c>
      <c r="BU466" s="20">
        <f>+BS466-'Gen Fd BS'!AA466+BQ466</f>
        <v>0</v>
      </c>
    </row>
    <row r="467" spans="1:73" ht="12" customHeight="1">
      <c r="A467" s="12" t="s">
        <v>372</v>
      </c>
      <c r="B467" s="12"/>
      <c r="C467" s="12" t="s">
        <v>32</v>
      </c>
      <c r="D467" s="12"/>
      <c r="E467" s="13">
        <v>44677</v>
      </c>
      <c r="G467" s="1">
        <v>29926682</v>
      </c>
      <c r="I467" s="1">
        <v>7098349</v>
      </c>
      <c r="K467" s="1">
        <v>0</v>
      </c>
      <c r="M467" s="1">
        <v>3823265</v>
      </c>
      <c r="O467" s="1">
        <v>4051548</v>
      </c>
      <c r="Q467" s="1">
        <v>5941783</v>
      </c>
      <c r="S467" s="1">
        <v>417868</v>
      </c>
      <c r="U467" s="1">
        <v>6500234</v>
      </c>
      <c r="W467" s="1">
        <v>2209012</v>
      </c>
      <c r="Y467" s="1">
        <v>381051</v>
      </c>
      <c r="AA467" s="1">
        <v>8302401</v>
      </c>
      <c r="AC467" s="1">
        <v>5817891</v>
      </c>
      <c r="AE467" s="1">
        <v>786300</v>
      </c>
      <c r="AG467" s="1">
        <v>0</v>
      </c>
      <c r="AI467" s="1">
        <v>107605</v>
      </c>
      <c r="AJ467" s="12" t="s">
        <v>372</v>
      </c>
      <c r="AK467" s="12"/>
      <c r="AL467" s="12" t="s">
        <v>32</v>
      </c>
      <c r="AN467" s="1">
        <v>404087</v>
      </c>
      <c r="AP467" s="1">
        <v>151663</v>
      </c>
      <c r="AR467" s="1">
        <v>0</v>
      </c>
      <c r="AT467" s="1">
        <v>0</v>
      </c>
      <c r="AV467" s="1">
        <v>77519</v>
      </c>
      <c r="AX467" s="1">
        <v>0</v>
      </c>
      <c r="AZ467" s="1">
        <f t="shared" si="53"/>
        <v>75997258</v>
      </c>
      <c r="BB467" s="1">
        <v>4339536</v>
      </c>
      <c r="BH467" s="1">
        <v>0</v>
      </c>
      <c r="BJ467" s="1">
        <f t="shared" si="56"/>
        <v>80336794</v>
      </c>
      <c r="BL467" s="1">
        <f>+GenRev!AM467-GenExp!BJ467</f>
        <v>-12083022</v>
      </c>
      <c r="BN467" s="1">
        <v>34538565</v>
      </c>
      <c r="BP467" s="1">
        <v>0</v>
      </c>
      <c r="BQ467" s="1">
        <v>0</v>
      </c>
      <c r="BS467" s="1">
        <f t="shared" si="55"/>
        <v>22455543</v>
      </c>
      <c r="BU467" s="20">
        <f>+BS467-'Gen Fd BS'!AA467+BQ467</f>
        <v>0</v>
      </c>
    </row>
    <row r="468" spans="1:73" ht="12" customHeight="1">
      <c r="A468" s="12" t="s">
        <v>213</v>
      </c>
      <c r="B468" s="12"/>
      <c r="C468" s="12" t="s">
        <v>12</v>
      </c>
      <c r="D468" s="12"/>
      <c r="E468" s="13">
        <v>45880</v>
      </c>
      <c r="G468" s="1">
        <v>4164421</v>
      </c>
      <c r="I468" s="1">
        <v>963118</v>
      </c>
      <c r="K468" s="1">
        <v>216290</v>
      </c>
      <c r="M468" s="1">
        <v>596135</v>
      </c>
      <c r="O468" s="1">
        <v>654962</v>
      </c>
      <c r="Q468" s="1">
        <v>171749</v>
      </c>
      <c r="S468" s="1">
        <v>24021</v>
      </c>
      <c r="U468" s="1">
        <v>971373</v>
      </c>
      <c r="W468" s="1">
        <v>290294</v>
      </c>
      <c r="Y468" s="1">
        <v>40207</v>
      </c>
      <c r="AA468" s="1">
        <v>987911</v>
      </c>
      <c r="AC468" s="1">
        <v>946432</v>
      </c>
      <c r="AE468" s="1">
        <v>65642</v>
      </c>
      <c r="AG468" s="1">
        <v>0</v>
      </c>
      <c r="AI468" s="1">
        <v>25396</v>
      </c>
      <c r="AJ468" s="12" t="s">
        <v>213</v>
      </c>
      <c r="AK468" s="12"/>
      <c r="AL468" s="12" t="s">
        <v>12</v>
      </c>
      <c r="AN468" s="1">
        <v>276263</v>
      </c>
      <c r="AP468" s="1">
        <v>0</v>
      </c>
      <c r="AR468" s="1">
        <v>0</v>
      </c>
      <c r="AT468" s="1">
        <v>72687</v>
      </c>
      <c r="AV468" s="1">
        <v>2844</v>
      </c>
      <c r="AX468" s="1">
        <v>0</v>
      </c>
      <c r="AZ468" s="1">
        <f t="shared" si="53"/>
        <v>10469745</v>
      </c>
      <c r="BB468" s="1">
        <v>21738</v>
      </c>
      <c r="BH468" s="1">
        <v>0</v>
      </c>
      <c r="BJ468" s="1">
        <f t="shared" si="56"/>
        <v>10491483</v>
      </c>
      <c r="BL468" s="1">
        <f>+GenRev!AM468-GenExp!BJ468</f>
        <v>572763</v>
      </c>
      <c r="BN468" s="1">
        <v>525243</v>
      </c>
      <c r="BP468" s="1">
        <v>0</v>
      </c>
      <c r="BQ468" s="1">
        <v>0</v>
      </c>
      <c r="BS468" s="1">
        <f t="shared" si="55"/>
        <v>1098006</v>
      </c>
      <c r="BU468" s="20">
        <f>+BS468-'Gen Fd BS'!AA468+BQ468</f>
        <v>0</v>
      </c>
    </row>
    <row r="469" spans="1:73" ht="12" customHeight="1">
      <c r="A469" s="17" t="s">
        <v>765</v>
      </c>
      <c r="B469" s="17"/>
      <c r="C469" s="17" t="s">
        <v>56</v>
      </c>
      <c r="D469" s="17"/>
      <c r="E469" s="13"/>
      <c r="F469" s="8"/>
      <c r="G469" s="1">
        <v>10672246</v>
      </c>
      <c r="I469" s="1">
        <v>3488452</v>
      </c>
      <c r="K469" s="1">
        <v>364130</v>
      </c>
      <c r="M469" s="1">
        <f>78754+1342818</f>
        <v>1421572</v>
      </c>
      <c r="O469" s="1">
        <v>1427216</v>
      </c>
      <c r="Q469" s="1">
        <v>711383</v>
      </c>
      <c r="S469" s="1">
        <v>48040</v>
      </c>
      <c r="U469" s="1">
        <v>2390385</v>
      </c>
      <c r="W469" s="1">
        <v>645803</v>
      </c>
      <c r="Y469" s="1">
        <v>257984</v>
      </c>
      <c r="AA469" s="1">
        <v>2557807</v>
      </c>
      <c r="AC469" s="1">
        <v>1237930</v>
      </c>
      <c r="AE469" s="1">
        <v>681929</v>
      </c>
      <c r="AG469" s="1">
        <v>0</v>
      </c>
      <c r="AI469" s="1">
        <v>0</v>
      </c>
      <c r="AJ469" s="17" t="s">
        <v>765</v>
      </c>
      <c r="AK469" s="12"/>
      <c r="AL469" s="12" t="s">
        <v>56</v>
      </c>
      <c r="AN469" s="1">
        <v>576937</v>
      </c>
      <c r="AP469" s="1">
        <v>11545</v>
      </c>
      <c r="AR469" s="1">
        <v>0</v>
      </c>
      <c r="AT469" s="1">
        <v>0</v>
      </c>
      <c r="AV469" s="1">
        <v>0</v>
      </c>
      <c r="AX469" s="1">
        <v>0</v>
      </c>
      <c r="AZ469" s="1">
        <f t="shared" si="53"/>
        <v>26493359</v>
      </c>
      <c r="BB469" s="1">
        <v>313274</v>
      </c>
      <c r="BH469" s="1">
        <v>0</v>
      </c>
      <c r="BJ469" s="1">
        <f t="shared" si="56"/>
        <v>26806633</v>
      </c>
      <c r="BL469" s="1">
        <f>+GenRev!AM469-GenExp!BJ469</f>
        <v>978918</v>
      </c>
      <c r="BN469" s="1">
        <v>308491</v>
      </c>
      <c r="BP469" s="1">
        <v>0</v>
      </c>
      <c r="BQ469" s="1">
        <v>0</v>
      </c>
      <c r="BS469" s="1">
        <f t="shared" si="55"/>
        <v>1287409</v>
      </c>
      <c r="BU469" s="20">
        <f>+BS469-'Gen Fd BS'!AA469+BQ469</f>
        <v>0</v>
      </c>
    </row>
    <row r="470" spans="1:73" ht="12" customHeight="1">
      <c r="A470" s="17" t="s">
        <v>373</v>
      </c>
      <c r="B470" s="17"/>
      <c r="C470" s="17" t="s">
        <v>32</v>
      </c>
      <c r="D470" s="17"/>
      <c r="E470" s="13">
        <v>44693</v>
      </c>
      <c r="F470" s="8"/>
      <c r="G470" s="1">
        <v>6261538</v>
      </c>
      <c r="I470" s="1">
        <v>1460955</v>
      </c>
      <c r="K470" s="1">
        <v>93119</v>
      </c>
      <c r="M470" s="1">
        <v>418440</v>
      </c>
      <c r="O470" s="1">
        <v>814573</v>
      </c>
      <c r="Q470" s="1">
        <v>480298</v>
      </c>
      <c r="S470" s="1">
        <v>49120</v>
      </c>
      <c r="U470" s="1">
        <v>1216539</v>
      </c>
      <c r="W470" s="1">
        <v>351592</v>
      </c>
      <c r="Y470" s="1">
        <v>21745</v>
      </c>
      <c r="AA470" s="1">
        <v>891186</v>
      </c>
      <c r="AC470" s="1">
        <v>176967</v>
      </c>
      <c r="AE470" s="1">
        <v>254165</v>
      </c>
      <c r="AG470" s="1">
        <v>0</v>
      </c>
      <c r="AI470" s="1">
        <v>11711</v>
      </c>
      <c r="AJ470" s="17" t="s">
        <v>373</v>
      </c>
      <c r="AK470" s="17"/>
      <c r="AL470" s="17" t="s">
        <v>32</v>
      </c>
      <c r="AN470" s="1">
        <v>468488</v>
      </c>
      <c r="AP470" s="1">
        <v>0</v>
      </c>
      <c r="AR470" s="1">
        <v>0</v>
      </c>
      <c r="AT470" s="1">
        <v>59279</v>
      </c>
      <c r="AV470" s="1">
        <v>15553</v>
      </c>
      <c r="AX470" s="1">
        <v>0</v>
      </c>
      <c r="AZ470" s="1">
        <f t="shared" si="53"/>
        <v>13045268</v>
      </c>
      <c r="BB470" s="1">
        <v>51550</v>
      </c>
      <c r="BH470" s="1">
        <v>0</v>
      </c>
      <c r="BJ470" s="1">
        <f t="shared" si="56"/>
        <v>13096818</v>
      </c>
      <c r="BL470" s="1">
        <f>+GenRev!AM470-GenExp!BJ470</f>
        <v>379156</v>
      </c>
      <c r="BN470" s="1">
        <v>2070781</v>
      </c>
      <c r="BP470" s="1">
        <v>0</v>
      </c>
      <c r="BQ470" s="1">
        <v>0</v>
      </c>
      <c r="BS470" s="1">
        <f t="shared" si="55"/>
        <v>2449937</v>
      </c>
      <c r="BU470" s="20">
        <f>+BS470-'Gen Fd BS'!AA470+BQ470</f>
        <v>0</v>
      </c>
    </row>
    <row r="471" spans="1:73" ht="12" customHeight="1">
      <c r="A471" s="12" t="s">
        <v>594</v>
      </c>
      <c r="B471" s="12"/>
      <c r="C471" s="12" t="s">
        <v>63</v>
      </c>
      <c r="D471" s="12"/>
      <c r="E471" s="13">
        <v>50054</v>
      </c>
      <c r="G471" s="1">
        <v>14274540</v>
      </c>
      <c r="I471" s="1">
        <v>1415083</v>
      </c>
      <c r="K471" s="1">
        <v>467968</v>
      </c>
      <c r="M471" s="1">
        <f>1357828+949904</f>
        <v>2307732</v>
      </c>
      <c r="O471" s="1">
        <v>1315643</v>
      </c>
      <c r="Q471" s="1">
        <v>1185855</v>
      </c>
      <c r="S471" s="1">
        <v>367650</v>
      </c>
      <c r="U471" s="1">
        <v>2274678</v>
      </c>
      <c r="W471" s="1">
        <v>979521</v>
      </c>
      <c r="Y471" s="1">
        <v>62303</v>
      </c>
      <c r="AA471" s="1">
        <v>3450411</v>
      </c>
      <c r="AC471" s="1">
        <v>2057911</v>
      </c>
      <c r="AE471" s="1">
        <v>264829</v>
      </c>
      <c r="AG471" s="1">
        <v>0</v>
      </c>
      <c r="AI471" s="1">
        <v>0</v>
      </c>
      <c r="AJ471" s="12" t="s">
        <v>594</v>
      </c>
      <c r="AK471" s="12"/>
      <c r="AL471" s="12" t="s">
        <v>63</v>
      </c>
      <c r="AN471" s="1">
        <v>830995</v>
      </c>
      <c r="AP471" s="1">
        <v>3600</v>
      </c>
      <c r="AR471" s="1">
        <v>0</v>
      </c>
      <c r="AT471" s="1">
        <v>12459</v>
      </c>
      <c r="AV471" s="1">
        <v>870</v>
      </c>
      <c r="AX471" s="1">
        <v>0</v>
      </c>
      <c r="AZ471" s="1">
        <f t="shared" si="53"/>
        <v>31272048</v>
      </c>
      <c r="BB471" s="1">
        <v>102000</v>
      </c>
      <c r="BH471" s="1">
        <v>0</v>
      </c>
      <c r="BJ471" s="1">
        <f t="shared" si="56"/>
        <v>31374048</v>
      </c>
      <c r="BL471" s="1">
        <f>+GenRev!AM471-GenExp!BJ471</f>
        <v>-1203494</v>
      </c>
      <c r="BN471" s="1">
        <v>13750331</v>
      </c>
      <c r="BP471" s="1">
        <v>0</v>
      </c>
      <c r="BQ471" s="1">
        <v>0</v>
      </c>
      <c r="BS471" s="1">
        <f t="shared" si="55"/>
        <v>12546837</v>
      </c>
      <c r="BU471" s="20">
        <f>+BS471-'Gen Fd BS'!AA471+BQ471</f>
        <v>0</v>
      </c>
    </row>
    <row r="472" spans="1:73" ht="12" customHeight="1">
      <c r="A472" s="12" t="s">
        <v>339</v>
      </c>
      <c r="B472" s="12"/>
      <c r="C472" s="12" t="s">
        <v>27</v>
      </c>
      <c r="D472" s="12"/>
      <c r="E472" s="13">
        <v>47001</v>
      </c>
      <c r="G472" s="1">
        <v>26415086</v>
      </c>
      <c r="I472" s="1">
        <v>3508093</v>
      </c>
      <c r="K472" s="1">
        <v>115335</v>
      </c>
      <c r="M472" s="1">
        <f>500+819782</f>
        <v>820282</v>
      </c>
      <c r="O472" s="1">
        <v>3052719</v>
      </c>
      <c r="Q472" s="1">
        <v>1741279</v>
      </c>
      <c r="S472" s="1">
        <v>56366</v>
      </c>
      <c r="U472" s="1">
        <v>5498970</v>
      </c>
      <c r="W472" s="1">
        <v>696917</v>
      </c>
      <c r="Y472" s="1">
        <v>438969</v>
      </c>
      <c r="AA472" s="1">
        <v>5215084</v>
      </c>
      <c r="AC472" s="1">
        <v>1911563</v>
      </c>
      <c r="AE472" s="1">
        <v>823304</v>
      </c>
      <c r="AG472" s="1">
        <v>0</v>
      </c>
      <c r="AI472" s="1">
        <v>2000</v>
      </c>
      <c r="AJ472" s="12" t="s">
        <v>339</v>
      </c>
      <c r="AK472" s="12"/>
      <c r="AL472" s="12" t="s">
        <v>27</v>
      </c>
      <c r="AN472" s="1">
        <v>218312</v>
      </c>
      <c r="AP472" s="1">
        <v>0</v>
      </c>
      <c r="AR472" s="1">
        <v>0</v>
      </c>
      <c r="AT472" s="1">
        <v>24196</v>
      </c>
      <c r="AV472" s="1">
        <v>5756</v>
      </c>
      <c r="AX472" s="1">
        <v>0</v>
      </c>
      <c r="AZ472" s="1">
        <f t="shared" si="53"/>
        <v>50544231</v>
      </c>
      <c r="BB472" s="1">
        <v>0</v>
      </c>
      <c r="BH472" s="1">
        <v>0</v>
      </c>
      <c r="BJ472" s="1">
        <f t="shared" si="56"/>
        <v>50544231</v>
      </c>
      <c r="BL472" s="1">
        <f>+GenRev!AM472-GenExp!BJ472</f>
        <v>2840432</v>
      </c>
      <c r="BN472" s="1">
        <v>942406</v>
      </c>
      <c r="BP472" s="1">
        <v>170905</v>
      </c>
      <c r="BQ472" s="1">
        <v>0</v>
      </c>
      <c r="BS472" s="1">
        <f t="shared" si="55"/>
        <v>3611933</v>
      </c>
      <c r="BU472" s="20">
        <f>+BS472-'Gen Fd BS'!AA472+BQ472</f>
        <v>0</v>
      </c>
    </row>
    <row r="473" spans="1:73" ht="12" customHeight="1">
      <c r="A473" s="12" t="s">
        <v>301</v>
      </c>
      <c r="B473" s="12"/>
      <c r="C473" s="12" t="s">
        <v>20</v>
      </c>
      <c r="D473" s="12"/>
      <c r="E473" s="13">
        <v>46599</v>
      </c>
      <c r="F473" s="8"/>
      <c r="G473" s="1">
        <v>4903044</v>
      </c>
      <c r="I473" s="1">
        <v>2001147</v>
      </c>
      <c r="K473" s="1">
        <v>46874</v>
      </c>
      <c r="M473" s="1">
        <v>0</v>
      </c>
      <c r="O473" s="1">
        <v>745886</v>
      </c>
      <c r="Q473" s="1">
        <v>163548</v>
      </c>
      <c r="S473" s="1">
        <v>269308</v>
      </c>
      <c r="U473" s="1">
        <v>991594</v>
      </c>
      <c r="W473" s="1">
        <v>445503</v>
      </c>
      <c r="Y473" s="1">
        <v>103370</v>
      </c>
      <c r="AA473" s="1">
        <v>1040255</v>
      </c>
      <c r="AC473" s="1">
        <v>931044</v>
      </c>
      <c r="AE473" s="1">
        <v>250613</v>
      </c>
      <c r="AG473" s="1">
        <v>0</v>
      </c>
      <c r="AI473" s="1">
        <v>529</v>
      </c>
      <c r="AJ473" s="12" t="s">
        <v>301</v>
      </c>
      <c r="AK473" s="12"/>
      <c r="AL473" s="12" t="s">
        <v>20</v>
      </c>
      <c r="AN473" s="1">
        <v>142641</v>
      </c>
      <c r="AP473" s="1">
        <v>0</v>
      </c>
      <c r="AR473" s="1">
        <v>0</v>
      </c>
      <c r="AT473" s="1">
        <v>66935</v>
      </c>
      <c r="AV473" s="1">
        <v>4511</v>
      </c>
      <c r="AX473" s="1">
        <v>0</v>
      </c>
      <c r="AZ473" s="1">
        <f t="shared" si="53"/>
        <v>12106802</v>
      </c>
      <c r="BB473" s="1">
        <v>104430</v>
      </c>
      <c r="BH473" s="1">
        <v>0</v>
      </c>
      <c r="BJ473" s="1">
        <f t="shared" si="56"/>
        <v>12211232</v>
      </c>
      <c r="BL473" s="1">
        <f>+GenRev!AM473-GenExp!BJ473</f>
        <v>-29244</v>
      </c>
      <c r="BN473" s="1">
        <v>567385</v>
      </c>
      <c r="BP473" s="1">
        <v>0</v>
      </c>
      <c r="BQ473" s="1">
        <v>0</v>
      </c>
      <c r="BS473" s="1">
        <f t="shared" si="55"/>
        <v>538141</v>
      </c>
      <c r="BU473" s="20">
        <f>+BS473-'Gen Fd BS'!AA473+BQ473</f>
        <v>0</v>
      </c>
    </row>
    <row r="474" spans="1:73" ht="12" customHeight="1">
      <c r="A474" s="12" t="s">
        <v>476</v>
      </c>
      <c r="B474" s="12"/>
      <c r="C474" s="12" t="s">
        <v>46</v>
      </c>
      <c r="D474" s="12"/>
      <c r="E474" s="13">
        <v>48439</v>
      </c>
      <c r="G474" s="1">
        <v>3199245</v>
      </c>
      <c r="I474" s="1">
        <v>573826</v>
      </c>
      <c r="K474" s="1">
        <v>192648</v>
      </c>
      <c r="M474" s="1">
        <v>1350075</v>
      </c>
      <c r="O474" s="1">
        <v>240534</v>
      </c>
      <c r="Q474" s="1">
        <v>196552</v>
      </c>
      <c r="S474" s="1">
        <v>37331</v>
      </c>
      <c r="U474" s="1">
        <v>789061</v>
      </c>
      <c r="W474" s="1">
        <v>228445</v>
      </c>
      <c r="Y474" s="1">
        <v>8309</v>
      </c>
      <c r="AA474" s="1">
        <v>433713</v>
      </c>
      <c r="AC474" s="1">
        <v>387653</v>
      </c>
      <c r="AE474" s="1">
        <v>30298</v>
      </c>
      <c r="AG474" s="1">
        <v>0</v>
      </c>
      <c r="AI474" s="1">
        <v>0</v>
      </c>
      <c r="AJ474" s="12" t="s">
        <v>476</v>
      </c>
      <c r="AK474" s="12"/>
      <c r="AL474" s="12" t="s">
        <v>46</v>
      </c>
      <c r="AN474" s="1">
        <v>146133</v>
      </c>
      <c r="AP474" s="1">
        <v>0</v>
      </c>
      <c r="AR474" s="1">
        <v>0</v>
      </c>
      <c r="AT474" s="1">
        <v>122207</v>
      </c>
      <c r="AV474" s="1">
        <v>17400</v>
      </c>
      <c r="AX474" s="1">
        <v>0</v>
      </c>
      <c r="AZ474" s="1">
        <f t="shared" si="53"/>
        <v>7953430</v>
      </c>
      <c r="BB474" s="1">
        <v>0</v>
      </c>
      <c r="BH474" s="1">
        <v>0</v>
      </c>
      <c r="BJ474" s="1">
        <f t="shared" si="56"/>
        <v>7953430</v>
      </c>
      <c r="BL474" s="1">
        <f>+GenRev!AM474-GenExp!BJ474</f>
        <v>-343038</v>
      </c>
      <c r="BN474" s="1">
        <v>2613902</v>
      </c>
      <c r="BP474" s="1">
        <v>0</v>
      </c>
      <c r="BQ474" s="1">
        <v>0</v>
      </c>
      <c r="BS474" s="1">
        <f t="shared" si="55"/>
        <v>2270864</v>
      </c>
      <c r="BU474" s="20">
        <f>+BS474-'Gen Fd BS'!AA474+BQ474</f>
        <v>0</v>
      </c>
    </row>
    <row r="475" spans="1:73" ht="12" customHeight="1">
      <c r="A475" s="12" t="s">
        <v>386</v>
      </c>
      <c r="B475" s="12"/>
      <c r="C475" s="12" t="s">
        <v>383</v>
      </c>
      <c r="D475" s="12"/>
      <c r="E475" s="13">
        <v>47506</v>
      </c>
      <c r="G475" s="1">
        <v>2447390</v>
      </c>
      <c r="I475" s="1">
        <v>149209</v>
      </c>
      <c r="K475" s="1">
        <v>155830</v>
      </c>
      <c r="M475" s="1">
        <v>33358</v>
      </c>
      <c r="O475" s="1">
        <v>181836</v>
      </c>
      <c r="Q475" s="1">
        <v>175098</v>
      </c>
      <c r="S475" s="1">
        <v>21979</v>
      </c>
      <c r="U475" s="1">
        <v>577246</v>
      </c>
      <c r="W475" s="1">
        <v>211432</v>
      </c>
      <c r="Y475" s="1">
        <v>0</v>
      </c>
      <c r="AA475" s="1">
        <v>502612</v>
      </c>
      <c r="AC475" s="1">
        <v>386251</v>
      </c>
      <c r="AE475" s="1">
        <v>242</v>
      </c>
      <c r="AG475" s="1">
        <v>0</v>
      </c>
      <c r="AI475" s="1">
        <v>792</v>
      </c>
      <c r="AJ475" s="12" t="s">
        <v>386</v>
      </c>
      <c r="AK475" s="12"/>
      <c r="AL475" s="12" t="s">
        <v>383</v>
      </c>
      <c r="AN475" s="1">
        <v>141142</v>
      </c>
      <c r="AP475" s="1">
        <v>251</v>
      </c>
      <c r="AR475" s="1">
        <v>0</v>
      </c>
      <c r="AT475" s="1">
        <v>0</v>
      </c>
      <c r="AV475" s="1">
        <v>0</v>
      </c>
      <c r="AX475" s="1">
        <v>0</v>
      </c>
      <c r="AZ475" s="1">
        <f t="shared" si="53"/>
        <v>4984668</v>
      </c>
      <c r="BB475" s="1">
        <v>90438</v>
      </c>
      <c r="BH475" s="1">
        <v>0</v>
      </c>
      <c r="BJ475" s="1">
        <f t="shared" si="56"/>
        <v>5075106</v>
      </c>
      <c r="BL475" s="1">
        <f>+GenRev!AM475-GenExp!BJ475</f>
        <v>-152308</v>
      </c>
      <c r="BN475" s="1">
        <v>879071</v>
      </c>
      <c r="BP475" s="1">
        <v>0</v>
      </c>
      <c r="BQ475" s="1">
        <v>0</v>
      </c>
      <c r="BS475" s="1">
        <f t="shared" si="55"/>
        <v>726763</v>
      </c>
      <c r="BU475" s="20">
        <f>+BS475-'Gen Fd BS'!AA475+BQ475</f>
        <v>0</v>
      </c>
    </row>
    <row r="476" spans="1:73" ht="12" customHeight="1">
      <c r="A476" s="12" t="s">
        <v>273</v>
      </c>
      <c r="B476" s="12"/>
      <c r="C476" s="12" t="s">
        <v>19</v>
      </c>
      <c r="D476" s="12"/>
      <c r="E476" s="13">
        <v>46474</v>
      </c>
      <c r="G476" s="1">
        <v>5606370</v>
      </c>
      <c r="I476" s="1">
        <v>558258</v>
      </c>
      <c r="K476" s="1">
        <v>252609</v>
      </c>
      <c r="M476" s="1">
        <v>68823</v>
      </c>
      <c r="O476" s="1">
        <v>516242</v>
      </c>
      <c r="Q476" s="1">
        <v>480364</v>
      </c>
      <c r="S476" s="1">
        <v>44496</v>
      </c>
      <c r="U476" s="1">
        <v>318292</v>
      </c>
      <c r="W476" s="1">
        <v>313403</v>
      </c>
      <c r="Y476" s="1">
        <v>10675</v>
      </c>
      <c r="AA476" s="1">
        <v>1255947</v>
      </c>
      <c r="AC476" s="1">
        <v>782151</v>
      </c>
      <c r="AE476" s="1">
        <v>2689</v>
      </c>
      <c r="AG476" s="1">
        <v>0</v>
      </c>
      <c r="AI476" s="1">
        <v>0</v>
      </c>
      <c r="AJ476" s="12" t="s">
        <v>273</v>
      </c>
      <c r="AK476" s="12"/>
      <c r="AL476" s="12" t="s">
        <v>19</v>
      </c>
      <c r="AN476" s="1">
        <v>238835</v>
      </c>
      <c r="AP476" s="1">
        <v>0</v>
      </c>
      <c r="AR476" s="1">
        <v>0</v>
      </c>
      <c r="AT476" s="1">
        <v>18720</v>
      </c>
      <c r="AV476" s="1">
        <v>11609</v>
      </c>
      <c r="AX476" s="1">
        <v>0</v>
      </c>
      <c r="AZ476" s="1">
        <f t="shared" si="53"/>
        <v>10479483</v>
      </c>
      <c r="BB476" s="1">
        <v>8154</v>
      </c>
      <c r="BH476" s="1">
        <v>0</v>
      </c>
      <c r="BJ476" s="1">
        <f t="shared" si="56"/>
        <v>10487637</v>
      </c>
      <c r="BL476" s="1">
        <f>+GenRev!AM476-GenExp!BJ476</f>
        <v>-267584</v>
      </c>
      <c r="BN476" s="1">
        <v>2898707</v>
      </c>
      <c r="BP476" s="1">
        <v>0</v>
      </c>
      <c r="BQ476" s="1">
        <v>0</v>
      </c>
      <c r="BS476" s="1">
        <f t="shared" si="55"/>
        <v>2631123</v>
      </c>
      <c r="BU476" s="20">
        <f>+BS476-'Gen Fd BS'!AA476+BQ476</f>
        <v>0</v>
      </c>
    </row>
    <row r="477" spans="1:73" ht="12" customHeight="1">
      <c r="A477" s="12" t="s">
        <v>766</v>
      </c>
      <c r="B477" s="12"/>
      <c r="C477" s="12" t="s">
        <v>77</v>
      </c>
      <c r="D477" s="12"/>
      <c r="E477" s="13">
        <v>46078</v>
      </c>
      <c r="G477" s="1">
        <v>3972707</v>
      </c>
      <c r="I477" s="1">
        <v>719551</v>
      </c>
      <c r="K477" s="1">
        <v>436472</v>
      </c>
      <c r="M477" s="1">
        <v>11473</v>
      </c>
      <c r="O477" s="1">
        <v>402092</v>
      </c>
      <c r="Q477" s="1">
        <v>634750</v>
      </c>
      <c r="S477" s="1">
        <v>128238</v>
      </c>
      <c r="U477" s="1">
        <v>650654</v>
      </c>
      <c r="W477" s="1">
        <v>304289</v>
      </c>
      <c r="Y477" s="1">
        <v>0</v>
      </c>
      <c r="AA477" s="1">
        <v>1003697</v>
      </c>
      <c r="AC477" s="1">
        <v>588828</v>
      </c>
      <c r="AE477" s="1">
        <v>18741</v>
      </c>
      <c r="AG477" s="1">
        <v>0</v>
      </c>
      <c r="AI477" s="1">
        <v>272</v>
      </c>
      <c r="AJ477" s="12" t="s">
        <v>766</v>
      </c>
      <c r="AK477" s="12"/>
      <c r="AL477" s="12" t="s">
        <v>77</v>
      </c>
      <c r="AN477" s="1">
        <v>104433</v>
      </c>
      <c r="AP477" s="1">
        <v>0</v>
      </c>
      <c r="AR477" s="1">
        <v>0</v>
      </c>
      <c r="AT477" s="1">
        <v>27000</v>
      </c>
      <c r="AV477" s="1">
        <v>24919</v>
      </c>
      <c r="AX477" s="1">
        <v>0</v>
      </c>
      <c r="AZ477" s="1">
        <f t="shared" si="53"/>
        <v>9028116</v>
      </c>
      <c r="BB477" s="1">
        <v>0</v>
      </c>
      <c r="BH477" s="1">
        <v>0</v>
      </c>
      <c r="BJ477" s="1">
        <f t="shared" si="56"/>
        <v>9028116</v>
      </c>
      <c r="BL477" s="1">
        <f>+GenRev!AM477-GenExp!BJ477</f>
        <v>334947</v>
      </c>
      <c r="BN477" s="1">
        <v>403034</v>
      </c>
      <c r="BP477" s="1">
        <v>0</v>
      </c>
      <c r="BQ477" s="1">
        <v>0</v>
      </c>
      <c r="BS477" s="1">
        <f t="shared" si="55"/>
        <v>737981</v>
      </c>
      <c r="BU477" s="20">
        <f>+BS477-'Gen Fd BS'!AA477+BQ477</f>
        <v>0</v>
      </c>
    </row>
    <row r="478" spans="1:73" ht="12" customHeight="1">
      <c r="A478" s="12" t="s">
        <v>642</v>
      </c>
      <c r="B478" s="12"/>
      <c r="C478" s="12" t="s">
        <v>71</v>
      </c>
      <c r="D478" s="12"/>
      <c r="E478" s="13">
        <v>45591</v>
      </c>
      <c r="G478" s="1">
        <v>4499814</v>
      </c>
      <c r="I478" s="1">
        <v>652898</v>
      </c>
      <c r="K478" s="1">
        <v>77257</v>
      </c>
      <c r="M478" s="1">
        <v>7041</v>
      </c>
      <c r="O478" s="1">
        <v>326200</v>
      </c>
      <c r="Q478" s="1">
        <v>591744</v>
      </c>
      <c r="S478" s="1">
        <v>34174</v>
      </c>
      <c r="U478" s="1">
        <v>709948</v>
      </c>
      <c r="W478" s="1">
        <v>245840</v>
      </c>
      <c r="Y478" s="1">
        <v>0</v>
      </c>
      <c r="AA478" s="1">
        <v>926453</v>
      </c>
      <c r="AC478" s="1">
        <v>313568</v>
      </c>
      <c r="AE478" s="1">
        <v>0</v>
      </c>
      <c r="AG478" s="1">
        <v>0</v>
      </c>
      <c r="AI478" s="1">
        <v>0</v>
      </c>
      <c r="AJ478" s="12" t="s">
        <v>642</v>
      </c>
      <c r="AK478" s="12"/>
      <c r="AL478" s="12" t="s">
        <v>71</v>
      </c>
      <c r="AN478" s="1">
        <v>135895</v>
      </c>
      <c r="AP478" s="1">
        <v>0</v>
      </c>
      <c r="AR478" s="1">
        <v>0</v>
      </c>
      <c r="AT478" s="1">
        <v>0</v>
      </c>
      <c r="AV478" s="1">
        <v>0</v>
      </c>
      <c r="AX478" s="1">
        <v>0</v>
      </c>
      <c r="AZ478" s="1">
        <f t="shared" si="53"/>
        <v>8520832</v>
      </c>
      <c r="BB478" s="1">
        <v>0</v>
      </c>
      <c r="BH478" s="1">
        <v>0</v>
      </c>
      <c r="BJ478" s="1">
        <f t="shared" si="56"/>
        <v>8520832</v>
      </c>
      <c r="BL478" s="1">
        <f>+GenRev!AM478-GenExp!BJ478</f>
        <v>-3581</v>
      </c>
      <c r="BN478" s="1">
        <v>2728640</v>
      </c>
      <c r="BP478" s="1">
        <v>0</v>
      </c>
      <c r="BQ478" s="1">
        <v>0</v>
      </c>
      <c r="BS478" s="1">
        <f t="shared" si="55"/>
        <v>2725059</v>
      </c>
      <c r="BU478" s="20">
        <f>+BS478-'Gen Fd BS'!AA478+BQ478</f>
        <v>0</v>
      </c>
    </row>
    <row r="479" spans="1:73" ht="12" customHeight="1">
      <c r="A479" s="12" t="s">
        <v>477</v>
      </c>
      <c r="B479" s="12"/>
      <c r="C479" s="12" t="s">
        <v>46</v>
      </c>
      <c r="D479" s="12"/>
      <c r="E479" s="13">
        <v>48447</v>
      </c>
      <c r="G479" s="1">
        <v>9136289</v>
      </c>
      <c r="I479" s="1">
        <v>1073190</v>
      </c>
      <c r="K479" s="1">
        <v>189344</v>
      </c>
      <c r="M479" s="1">
        <v>0</v>
      </c>
      <c r="O479" s="1">
        <v>429875</v>
      </c>
      <c r="Q479" s="1">
        <v>585268</v>
      </c>
      <c r="S479" s="1">
        <v>15855</v>
      </c>
      <c r="U479" s="1">
        <v>1431084</v>
      </c>
      <c r="W479" s="1">
        <v>447110</v>
      </c>
      <c r="Y479" s="1">
        <v>34189</v>
      </c>
      <c r="AA479" s="1">
        <v>1263415</v>
      </c>
      <c r="AC479" s="1">
        <v>960705</v>
      </c>
      <c r="AE479" s="1">
        <v>76349</v>
      </c>
      <c r="AG479" s="1">
        <v>0</v>
      </c>
      <c r="AI479" s="1">
        <v>0</v>
      </c>
      <c r="AJ479" s="12" t="s">
        <v>477</v>
      </c>
      <c r="AK479" s="12"/>
      <c r="AL479" s="12" t="s">
        <v>46</v>
      </c>
      <c r="AN479" s="1">
        <v>18457</v>
      </c>
      <c r="AP479" s="1">
        <v>328796</v>
      </c>
      <c r="AR479" s="1">
        <v>0</v>
      </c>
      <c r="AT479" s="1">
        <v>4880</v>
      </c>
      <c r="AV479" s="1">
        <v>120</v>
      </c>
      <c r="AX479" s="1">
        <v>0</v>
      </c>
      <c r="AZ479" s="1">
        <f t="shared" si="53"/>
        <v>15994926</v>
      </c>
      <c r="BB479" s="1">
        <v>96218</v>
      </c>
      <c r="BH479" s="1">
        <v>0</v>
      </c>
      <c r="BJ479" s="1">
        <f t="shared" si="56"/>
        <v>16091144</v>
      </c>
      <c r="BL479" s="1">
        <f>+GenRev!AM479-GenExp!BJ479</f>
        <v>-699732</v>
      </c>
      <c r="BN479" s="1">
        <v>2321077</v>
      </c>
      <c r="BP479" s="1">
        <v>0</v>
      </c>
      <c r="BQ479" s="1">
        <v>0</v>
      </c>
      <c r="BS479" s="1">
        <f t="shared" si="55"/>
        <v>1621345</v>
      </c>
      <c r="BU479" s="20">
        <f>+BS479-'Gen Fd BS'!AA479+BQ479</f>
        <v>0</v>
      </c>
    </row>
    <row r="480" spans="1:73" ht="12" customHeight="1">
      <c r="A480" s="12" t="s">
        <v>274</v>
      </c>
      <c r="B480" s="12"/>
      <c r="C480" s="12" t="s">
        <v>19</v>
      </c>
      <c r="D480" s="12"/>
      <c r="E480" s="13">
        <v>46482</v>
      </c>
      <c r="F480" s="8"/>
      <c r="G480" s="1">
        <v>9035789</v>
      </c>
      <c r="I480" s="1">
        <v>1762952</v>
      </c>
      <c r="K480" s="1">
        <v>299083</v>
      </c>
      <c r="M480" s="1">
        <v>100</v>
      </c>
      <c r="O480" s="1">
        <v>425520</v>
      </c>
      <c r="Q480" s="1">
        <v>624941</v>
      </c>
      <c r="S480" s="1">
        <v>79425</v>
      </c>
      <c r="U480" s="1">
        <v>1323473</v>
      </c>
      <c r="W480" s="1">
        <v>557024</v>
      </c>
      <c r="Y480" s="1">
        <v>0</v>
      </c>
      <c r="AA480" s="1">
        <v>1718481</v>
      </c>
      <c r="AC480" s="1">
        <v>1525022</v>
      </c>
      <c r="AE480" s="1">
        <v>306771</v>
      </c>
      <c r="AG480" s="1">
        <v>0</v>
      </c>
      <c r="AI480" s="1">
        <v>0</v>
      </c>
      <c r="AJ480" s="12" t="s">
        <v>274</v>
      </c>
      <c r="AK480" s="12"/>
      <c r="AL480" s="12" t="s">
        <v>19</v>
      </c>
      <c r="AN480" s="1">
        <v>292283</v>
      </c>
      <c r="AP480" s="1">
        <v>156134</v>
      </c>
      <c r="AR480" s="1">
        <v>0</v>
      </c>
      <c r="AT480" s="1">
        <v>164987</v>
      </c>
      <c r="AV480" s="1">
        <v>72235</v>
      </c>
      <c r="AX480" s="1">
        <v>0</v>
      </c>
      <c r="AZ480" s="1">
        <f t="shared" si="53"/>
        <v>18344220</v>
      </c>
      <c r="BB480" s="1">
        <v>109947</v>
      </c>
      <c r="BH480" s="1">
        <v>0</v>
      </c>
      <c r="BJ480" s="1">
        <f t="shared" si="56"/>
        <v>18454167</v>
      </c>
      <c r="BL480" s="1">
        <f>+GenRev!AM480-GenExp!BJ480</f>
        <v>908504</v>
      </c>
      <c r="BN480" s="1">
        <v>2993316</v>
      </c>
      <c r="BP480" s="1">
        <v>0</v>
      </c>
      <c r="BQ480" s="1">
        <v>0</v>
      </c>
      <c r="BS480" s="1">
        <f t="shared" si="55"/>
        <v>3901820</v>
      </c>
      <c r="BU480" s="20">
        <f>+BS480-'Gen Fd BS'!AA480+BQ480</f>
        <v>0</v>
      </c>
    </row>
    <row r="481" spans="1:73" s="16" customFormat="1" hidden="1">
      <c r="A481" s="12" t="s">
        <v>932</v>
      </c>
      <c r="B481" s="14"/>
      <c r="C481" s="14" t="s">
        <v>383</v>
      </c>
      <c r="D481" s="14"/>
      <c r="E481" s="13">
        <v>47514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2" t="s">
        <v>932</v>
      </c>
      <c r="AK481" s="12"/>
      <c r="AL481" s="12" t="s">
        <v>383</v>
      </c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>
        <f t="shared" si="53"/>
        <v>0</v>
      </c>
      <c r="BA481" s="1"/>
      <c r="BB481" s="1"/>
      <c r="BC481" s="1"/>
      <c r="BD481" s="1"/>
      <c r="BE481" s="1"/>
      <c r="BF481" s="1"/>
      <c r="BG481" s="1"/>
      <c r="BH481" s="1"/>
      <c r="BI481" s="1"/>
      <c r="BJ481" s="1">
        <f t="shared" si="56"/>
        <v>0</v>
      </c>
      <c r="BK481" s="1"/>
      <c r="BL481" s="1">
        <f>+GenRev!AM481-GenExp!BJ481</f>
        <v>0</v>
      </c>
      <c r="BM481" s="1"/>
      <c r="BN481" s="1"/>
      <c r="BO481" s="1"/>
      <c r="BP481" s="1"/>
      <c r="BQ481" s="1"/>
      <c r="BR481" s="1"/>
      <c r="BS481" s="1">
        <f t="shared" si="55"/>
        <v>0</v>
      </c>
      <c r="BT481" s="1"/>
      <c r="BU481" s="20">
        <f>+BS481-'Gen Fd BS'!AA481+BQ481</f>
        <v>0</v>
      </c>
    </row>
    <row r="482" spans="1:73" s="16" customFormat="1">
      <c r="A482" s="14" t="s">
        <v>435</v>
      </c>
      <c r="B482" s="14"/>
      <c r="C482" s="14" t="s">
        <v>41</v>
      </c>
      <c r="D482" s="14"/>
      <c r="E482" s="13"/>
      <c r="G482" s="1">
        <v>20085302</v>
      </c>
      <c r="H482" s="1"/>
      <c r="I482" s="1">
        <v>2967030</v>
      </c>
      <c r="J482" s="1"/>
      <c r="K482" s="1">
        <v>0</v>
      </c>
      <c r="L482" s="1"/>
      <c r="M482" s="1">
        <v>724546</v>
      </c>
      <c r="N482" s="1"/>
      <c r="O482" s="1">
        <v>1592448</v>
      </c>
      <c r="P482" s="1"/>
      <c r="Q482" s="1">
        <v>1536694</v>
      </c>
      <c r="R482" s="1"/>
      <c r="S482" s="1">
        <v>22304</v>
      </c>
      <c r="T482" s="1"/>
      <c r="U482" s="1">
        <v>3916163</v>
      </c>
      <c r="V482" s="1"/>
      <c r="W482" s="1">
        <v>841560</v>
      </c>
      <c r="X482" s="1"/>
      <c r="Y482" s="1">
        <v>119733</v>
      </c>
      <c r="Z482" s="1"/>
      <c r="AA482" s="1">
        <v>4655855</v>
      </c>
      <c r="AB482" s="1"/>
      <c r="AC482" s="1">
        <v>4737098</v>
      </c>
      <c r="AD482" s="1"/>
      <c r="AE482" s="1">
        <v>23792</v>
      </c>
      <c r="AF482" s="1"/>
      <c r="AG482" s="1">
        <v>32432</v>
      </c>
      <c r="AH482" s="1"/>
      <c r="AI482" s="1">
        <v>30245</v>
      </c>
      <c r="AJ482" s="12" t="s">
        <v>435</v>
      </c>
      <c r="AK482" s="12"/>
      <c r="AL482" s="12" t="s">
        <v>41</v>
      </c>
      <c r="AM482" s="1"/>
      <c r="AN482" s="1">
        <v>362786</v>
      </c>
      <c r="AO482" s="1"/>
      <c r="AP482" s="1">
        <v>0</v>
      </c>
      <c r="AQ482" s="1"/>
      <c r="AR482" s="1">
        <v>0</v>
      </c>
      <c r="AS482" s="1"/>
      <c r="AT482" s="1">
        <v>0</v>
      </c>
      <c r="AU482" s="1"/>
      <c r="AV482" s="1">
        <v>0</v>
      </c>
      <c r="AW482" s="1"/>
      <c r="AX482" s="1">
        <v>0</v>
      </c>
      <c r="AY482" s="1"/>
      <c r="AZ482" s="1">
        <f t="shared" si="53"/>
        <v>41647988</v>
      </c>
      <c r="BA482" s="1"/>
      <c r="BB482" s="1">
        <v>231220</v>
      </c>
      <c r="BC482" s="1"/>
      <c r="BD482" s="1"/>
      <c r="BE482" s="1"/>
      <c r="BF482" s="1"/>
      <c r="BG482" s="1"/>
      <c r="BH482" s="1">
        <v>0</v>
      </c>
      <c r="BI482" s="1"/>
      <c r="BJ482" s="1">
        <f t="shared" si="56"/>
        <v>41879208</v>
      </c>
      <c r="BK482" s="1"/>
      <c r="BL482" s="1">
        <f>+GenRev!AM482-GenExp!BJ482</f>
        <v>-1455500</v>
      </c>
      <c r="BM482" s="1"/>
      <c r="BN482" s="1">
        <v>3964266</v>
      </c>
      <c r="BO482" s="1"/>
      <c r="BP482" s="1">
        <v>-14963</v>
      </c>
      <c r="BQ482" s="1">
        <v>0</v>
      </c>
      <c r="BR482" s="1"/>
      <c r="BS482" s="1">
        <f t="shared" si="55"/>
        <v>2523729</v>
      </c>
      <c r="BT482" s="1"/>
      <c r="BU482" s="20">
        <f>+BS482-'Gen Fd BS'!AA482+BQ482</f>
        <v>0</v>
      </c>
    </row>
    <row r="483" spans="1:73">
      <c r="A483" s="12" t="s">
        <v>435</v>
      </c>
      <c r="B483" s="12"/>
      <c r="C483" s="12" t="s">
        <v>43</v>
      </c>
      <c r="D483" s="12"/>
      <c r="E483" s="13">
        <v>48090</v>
      </c>
      <c r="G483" s="1">
        <v>3216927</v>
      </c>
      <c r="I483" s="1">
        <v>648535</v>
      </c>
      <c r="K483" s="1">
        <v>110567</v>
      </c>
      <c r="M483" s="1">
        <v>0</v>
      </c>
      <c r="O483" s="1">
        <v>154709</v>
      </c>
      <c r="Q483" s="1">
        <v>51549</v>
      </c>
      <c r="S483" s="1">
        <v>17985</v>
      </c>
      <c r="U483" s="1">
        <v>418549</v>
      </c>
      <c r="W483" s="1">
        <v>245271</v>
      </c>
      <c r="Y483" s="1">
        <v>0</v>
      </c>
      <c r="AA483" s="1">
        <v>681090</v>
      </c>
      <c r="AC483" s="1">
        <v>374289</v>
      </c>
      <c r="AE483" s="1">
        <v>108362</v>
      </c>
      <c r="AG483" s="1">
        <v>0</v>
      </c>
      <c r="AI483" s="1">
        <v>0</v>
      </c>
      <c r="AJ483" s="12" t="s">
        <v>435</v>
      </c>
      <c r="AK483" s="12"/>
      <c r="AL483" s="12" t="s">
        <v>43</v>
      </c>
      <c r="AN483" s="1">
        <v>108823</v>
      </c>
      <c r="AP483" s="1">
        <v>0</v>
      </c>
      <c r="AR483" s="1">
        <v>0</v>
      </c>
      <c r="AT483" s="1">
        <v>0</v>
      </c>
      <c r="AV483" s="1">
        <v>1733</v>
      </c>
      <c r="AX483" s="1">
        <v>0</v>
      </c>
      <c r="AZ483" s="1">
        <f t="shared" si="53"/>
        <v>6138389</v>
      </c>
      <c r="BB483" s="1">
        <v>8561</v>
      </c>
      <c r="BH483" s="1">
        <v>0</v>
      </c>
      <c r="BJ483" s="1">
        <f t="shared" si="56"/>
        <v>6146950</v>
      </c>
      <c r="BL483" s="1">
        <f>+GenRev!AM483-GenExp!BJ483</f>
        <v>178402</v>
      </c>
      <c r="BN483" s="1">
        <v>-448293</v>
      </c>
      <c r="BP483" s="1">
        <v>0</v>
      </c>
      <c r="BQ483" s="1">
        <v>0</v>
      </c>
      <c r="BS483" s="1">
        <f t="shared" si="55"/>
        <v>-269891</v>
      </c>
      <c r="BU483" s="20">
        <f>+BS483-'Gen Fd BS'!AA483+BQ483</f>
        <v>0</v>
      </c>
    </row>
    <row r="484" spans="1:73">
      <c r="A484" s="12" t="s">
        <v>424</v>
      </c>
      <c r="B484" s="12"/>
      <c r="C484" s="12" t="s">
        <v>420</v>
      </c>
      <c r="D484" s="12"/>
      <c r="E484" s="13">
        <v>47944</v>
      </c>
      <c r="G484" s="1">
        <v>8342463</v>
      </c>
      <c r="I484" s="1">
        <v>2373359</v>
      </c>
      <c r="K484" s="1">
        <v>332192</v>
      </c>
      <c r="M484" s="1">
        <v>0</v>
      </c>
      <c r="O484" s="1">
        <v>469936</v>
      </c>
      <c r="Q484" s="1">
        <v>420273</v>
      </c>
      <c r="S484" s="1">
        <v>233854</v>
      </c>
      <c r="U484" s="1">
        <v>1395169</v>
      </c>
      <c r="W484" s="1">
        <v>340248</v>
      </c>
      <c r="Y484" s="1">
        <v>0</v>
      </c>
      <c r="AA484" s="1">
        <v>1886681</v>
      </c>
      <c r="AC484" s="1">
        <v>1300947</v>
      </c>
      <c r="AE484" s="1">
        <v>106045</v>
      </c>
      <c r="AG484" s="1">
        <v>0</v>
      </c>
      <c r="AI484" s="1">
        <v>0</v>
      </c>
      <c r="AJ484" s="12" t="s">
        <v>424</v>
      </c>
      <c r="AK484" s="12"/>
      <c r="AL484" s="12" t="s">
        <v>420</v>
      </c>
      <c r="AN484" s="1">
        <v>223706</v>
      </c>
      <c r="AP484" s="1">
        <v>0</v>
      </c>
      <c r="AR484" s="1">
        <v>0</v>
      </c>
      <c r="AT484" s="1">
        <v>0</v>
      </c>
      <c r="AV484" s="1">
        <v>0</v>
      </c>
      <c r="AX484" s="1">
        <v>0</v>
      </c>
      <c r="AZ484" s="1">
        <f t="shared" si="53"/>
        <v>17424873</v>
      </c>
      <c r="BB484" s="1">
        <v>494451</v>
      </c>
      <c r="BH484" s="1">
        <v>0</v>
      </c>
      <c r="BJ484" s="1">
        <f t="shared" si="56"/>
        <v>17919324</v>
      </c>
      <c r="BL484" s="1">
        <f>+GenRev!AM484-GenExp!BJ484</f>
        <v>-1885249</v>
      </c>
      <c r="BN484" s="1">
        <v>2094192</v>
      </c>
      <c r="BP484" s="1">
        <v>0</v>
      </c>
      <c r="BQ484" s="1">
        <v>0</v>
      </c>
      <c r="BS484" s="1">
        <f t="shared" si="55"/>
        <v>208943</v>
      </c>
      <c r="BU484" s="20">
        <f>+BS484-'Gen Fd BS'!AA484+BQ484</f>
        <v>0</v>
      </c>
    </row>
    <row r="485" spans="1:73" ht="12" customHeight="1">
      <c r="A485" s="12" t="s">
        <v>896</v>
      </c>
      <c r="B485" s="12"/>
      <c r="C485" s="12" t="s">
        <v>20</v>
      </c>
      <c r="D485" s="12"/>
      <c r="E485" s="13">
        <v>44701</v>
      </c>
      <c r="G485" s="1">
        <v>14074511</v>
      </c>
      <c r="I485" s="1">
        <v>3530076</v>
      </c>
      <c r="K485" s="1">
        <v>445609</v>
      </c>
      <c r="M485" s="1">
        <v>51038</v>
      </c>
      <c r="O485" s="1">
        <v>1767986</v>
      </c>
      <c r="Q485" s="1">
        <v>903833</v>
      </c>
      <c r="S485" s="1">
        <v>32757</v>
      </c>
      <c r="U485" s="1">
        <v>1930205</v>
      </c>
      <c r="W485" s="1">
        <v>809365</v>
      </c>
      <c r="Y485" s="1">
        <v>446151</v>
      </c>
      <c r="AA485" s="1">
        <v>3537847</v>
      </c>
      <c r="AC485" s="1">
        <v>1434891</v>
      </c>
      <c r="AE485" s="1">
        <v>719771</v>
      </c>
      <c r="AG485" s="1">
        <v>0</v>
      </c>
      <c r="AI485" s="1">
        <v>10528</v>
      </c>
      <c r="AJ485" s="12" t="s">
        <v>896</v>
      </c>
      <c r="AK485" s="12"/>
      <c r="AL485" s="12" t="s">
        <v>20</v>
      </c>
      <c r="AN485" s="1">
        <v>776028</v>
      </c>
      <c r="AP485" s="1">
        <v>0</v>
      </c>
      <c r="AR485" s="1">
        <v>0</v>
      </c>
      <c r="AT485" s="1">
        <v>82268</v>
      </c>
      <c r="AV485" s="1">
        <v>12519</v>
      </c>
      <c r="AX485" s="1">
        <v>0</v>
      </c>
      <c r="AZ485" s="1">
        <f t="shared" si="53"/>
        <v>30565383</v>
      </c>
      <c r="BB485" s="1">
        <v>210926</v>
      </c>
      <c r="BH485" s="1">
        <v>0</v>
      </c>
      <c r="BJ485" s="1">
        <f t="shared" si="56"/>
        <v>30776309</v>
      </c>
      <c r="BL485" s="1">
        <f>+GenRev!AM485-GenExp!BJ485</f>
        <v>651928</v>
      </c>
      <c r="BN485" s="1">
        <v>-281290</v>
      </c>
      <c r="BP485" s="1">
        <v>0</v>
      </c>
      <c r="BQ485" s="1">
        <v>0</v>
      </c>
      <c r="BS485" s="1">
        <f t="shared" si="55"/>
        <v>370638</v>
      </c>
      <c r="BU485" s="20">
        <f>+BS485-'Gen Fd BS'!AA485+BQ485</f>
        <v>0</v>
      </c>
    </row>
    <row r="486" spans="1:73" ht="12" customHeight="1">
      <c r="A486" s="12" t="s">
        <v>362</v>
      </c>
      <c r="B486" s="12"/>
      <c r="C486" s="12" t="s">
        <v>31</v>
      </c>
      <c r="D486" s="12"/>
      <c r="E486" s="13">
        <v>47308</v>
      </c>
      <c r="G486" s="1">
        <v>8351485</v>
      </c>
      <c r="I486" s="1">
        <v>1341616</v>
      </c>
      <c r="K486" s="1">
        <v>335804</v>
      </c>
      <c r="M486" s="1">
        <v>0</v>
      </c>
      <c r="O486" s="1">
        <v>464968</v>
      </c>
      <c r="Q486" s="1">
        <v>593626</v>
      </c>
      <c r="S486" s="1">
        <v>29395</v>
      </c>
      <c r="U486" s="1">
        <v>823456</v>
      </c>
      <c r="W486" s="1">
        <v>459260</v>
      </c>
      <c r="Y486" s="1">
        <v>0</v>
      </c>
      <c r="AA486" s="1">
        <v>1547796</v>
      </c>
      <c r="AC486" s="1">
        <v>811487</v>
      </c>
      <c r="AE486" s="1">
        <v>938</v>
      </c>
      <c r="AG486" s="1">
        <v>0</v>
      </c>
      <c r="AI486" s="1">
        <v>0</v>
      </c>
      <c r="AJ486" s="12" t="s">
        <v>362</v>
      </c>
      <c r="AK486" s="12"/>
      <c r="AL486" s="12" t="s">
        <v>31</v>
      </c>
      <c r="AN486" s="1">
        <v>25117</v>
      </c>
      <c r="AP486" s="1">
        <v>1089800</v>
      </c>
      <c r="AR486" s="1">
        <v>0</v>
      </c>
      <c r="AT486" s="1">
        <v>0</v>
      </c>
      <c r="AV486" s="1">
        <v>0</v>
      </c>
      <c r="AX486" s="1">
        <v>35597</v>
      </c>
      <c r="AZ486" s="1">
        <f t="shared" si="53"/>
        <v>15910345</v>
      </c>
      <c r="BB486" s="1">
        <v>212387</v>
      </c>
      <c r="BH486" s="1">
        <v>0</v>
      </c>
      <c r="BJ486" s="1">
        <f t="shared" si="56"/>
        <v>16122732</v>
      </c>
      <c r="BL486" s="1">
        <f>+GenRev!AM486-GenExp!BJ486</f>
        <v>-995466</v>
      </c>
      <c r="BN486" s="1">
        <v>1179612</v>
      </c>
      <c r="BP486" s="1">
        <v>0</v>
      </c>
      <c r="BQ486" s="1">
        <v>0</v>
      </c>
      <c r="BS486" s="1">
        <f t="shared" si="55"/>
        <v>184146</v>
      </c>
      <c r="BU486" s="20">
        <f>+BS486-'Gen Fd BS'!AA486+BQ486</f>
        <v>0</v>
      </c>
    </row>
    <row r="487" spans="1:73" ht="12" customHeight="1">
      <c r="A487" s="12" t="s">
        <v>536</v>
      </c>
      <c r="B487" s="12"/>
      <c r="C487" s="12" t="s">
        <v>56</v>
      </c>
      <c r="D487" s="12"/>
      <c r="E487" s="13">
        <v>49213</v>
      </c>
      <c r="G487" s="1">
        <v>4585509</v>
      </c>
      <c r="I487" s="1">
        <v>838819</v>
      </c>
      <c r="K487" s="1">
        <v>267182</v>
      </c>
      <c r="M487" s="1">
        <f>4603+506013</f>
        <v>510616</v>
      </c>
      <c r="O487" s="1">
        <v>542718</v>
      </c>
      <c r="Q487" s="1">
        <v>367473</v>
      </c>
      <c r="S487" s="1">
        <v>70332</v>
      </c>
      <c r="U487" s="1">
        <v>717741</v>
      </c>
      <c r="W487" s="1">
        <v>324453</v>
      </c>
      <c r="Y487" s="1">
        <v>11990</v>
      </c>
      <c r="AA487" s="1">
        <v>806512</v>
      </c>
      <c r="AC487" s="1">
        <v>511547</v>
      </c>
      <c r="AE487" s="1">
        <v>0</v>
      </c>
      <c r="AG487" s="1">
        <v>0</v>
      </c>
      <c r="AI487" s="1">
        <v>0</v>
      </c>
      <c r="AJ487" s="12" t="s">
        <v>536</v>
      </c>
      <c r="AK487" s="12"/>
      <c r="AL487" s="12" t="s">
        <v>56</v>
      </c>
      <c r="AN487" s="1">
        <v>270232</v>
      </c>
      <c r="AP487" s="1">
        <v>0</v>
      </c>
      <c r="AR487" s="1">
        <v>0</v>
      </c>
      <c r="AT487" s="1">
        <v>0</v>
      </c>
      <c r="AV487" s="1">
        <v>14121</v>
      </c>
      <c r="AX487" s="1">
        <v>0</v>
      </c>
      <c r="AZ487" s="1">
        <f t="shared" si="53"/>
        <v>9839245</v>
      </c>
      <c r="BB487" s="1">
        <v>0</v>
      </c>
      <c r="BH487" s="1">
        <v>0</v>
      </c>
      <c r="BJ487" s="1">
        <f t="shared" si="56"/>
        <v>9839245</v>
      </c>
      <c r="BL487" s="1">
        <f>+GenRev!AM487-GenExp!BJ487</f>
        <v>791861</v>
      </c>
      <c r="BN487" s="1">
        <v>-879246</v>
      </c>
      <c r="BP487" s="1">
        <v>0</v>
      </c>
      <c r="BQ487" s="1">
        <v>0</v>
      </c>
      <c r="BS487" s="1">
        <f t="shared" si="55"/>
        <v>-87385</v>
      </c>
      <c r="BU487" s="20">
        <f>+BS487-'Gen Fd BS'!AA487+BQ487</f>
        <v>0</v>
      </c>
    </row>
    <row r="488" spans="1:73" ht="12" customHeight="1">
      <c r="A488" s="17" t="s">
        <v>897</v>
      </c>
      <c r="B488" s="12"/>
      <c r="C488" s="12" t="s">
        <v>227</v>
      </c>
      <c r="D488" s="12"/>
      <c r="E488" s="13">
        <v>46144</v>
      </c>
      <c r="G488" s="1">
        <v>10874280</v>
      </c>
      <c r="I488" s="1">
        <v>1482966</v>
      </c>
      <c r="K488" s="1">
        <v>0</v>
      </c>
      <c r="M488" s="1">
        <v>593808</v>
      </c>
      <c r="O488" s="1">
        <v>998553</v>
      </c>
      <c r="Q488" s="1">
        <v>956952</v>
      </c>
      <c r="S488" s="1">
        <v>22390</v>
      </c>
      <c r="U488" s="1">
        <v>1279374</v>
      </c>
      <c r="W488" s="1">
        <v>704285</v>
      </c>
      <c r="Y488" s="1">
        <v>0</v>
      </c>
      <c r="AA488" s="1">
        <v>1837656</v>
      </c>
      <c r="AC488" s="1">
        <v>1823639</v>
      </c>
      <c r="AE488" s="1">
        <v>3012</v>
      </c>
      <c r="AG488" s="1">
        <v>0</v>
      </c>
      <c r="AI488" s="1">
        <v>467671</v>
      </c>
      <c r="AJ488" s="17" t="s">
        <v>897</v>
      </c>
      <c r="AK488" s="12"/>
      <c r="AL488" s="12" t="s">
        <v>227</v>
      </c>
      <c r="AN488" s="1">
        <v>0</v>
      </c>
      <c r="AP488" s="1">
        <v>146103</v>
      </c>
      <c r="AR488" s="1">
        <v>0</v>
      </c>
      <c r="AT488" s="1">
        <v>148767</v>
      </c>
      <c r="AV488" s="1">
        <v>52603</v>
      </c>
      <c r="AX488" s="1">
        <v>0</v>
      </c>
      <c r="AZ488" s="1">
        <f t="shared" si="53"/>
        <v>21392059</v>
      </c>
      <c r="BB488" s="1">
        <v>0</v>
      </c>
      <c r="BH488" s="1">
        <v>0</v>
      </c>
      <c r="BJ488" s="1">
        <f t="shared" si="56"/>
        <v>21392059</v>
      </c>
      <c r="BL488" s="1">
        <f>+GenRev!AM488-GenExp!BJ488</f>
        <v>-576305</v>
      </c>
      <c r="BN488" s="1">
        <v>3086465</v>
      </c>
      <c r="BP488" s="1">
        <v>0</v>
      </c>
      <c r="BQ488" s="1">
        <v>0</v>
      </c>
      <c r="BS488" s="1">
        <f t="shared" si="55"/>
        <v>2510160</v>
      </c>
      <c r="BU488" s="20">
        <f>+BS488-'Gen Fd BS'!AA488+BQ488</f>
        <v>0</v>
      </c>
    </row>
    <row r="489" spans="1:73">
      <c r="A489" s="12" t="s">
        <v>652</v>
      </c>
      <c r="B489" s="12"/>
      <c r="C489" s="12" t="s">
        <v>72</v>
      </c>
      <c r="D489" s="12"/>
      <c r="E489" s="12">
        <v>45609</v>
      </c>
      <c r="G489" s="1">
        <v>10670970</v>
      </c>
      <c r="I489" s="1">
        <v>1879501</v>
      </c>
      <c r="K489" s="1">
        <v>279095</v>
      </c>
      <c r="M489" s="1">
        <v>17698</v>
      </c>
      <c r="O489" s="1">
        <v>1739078</v>
      </c>
      <c r="Q489" s="1">
        <v>1077135</v>
      </c>
      <c r="S489" s="1">
        <v>46075</v>
      </c>
      <c r="U489" s="1">
        <v>2026683</v>
      </c>
      <c r="W489" s="1">
        <v>425256</v>
      </c>
      <c r="Y489" s="1">
        <v>106262</v>
      </c>
      <c r="AA489" s="1">
        <v>4412829</v>
      </c>
      <c r="AC489" s="1">
        <v>924569</v>
      </c>
      <c r="AE489" s="1">
        <v>444565</v>
      </c>
      <c r="AG489" s="1">
        <v>0</v>
      </c>
      <c r="AI489" s="1">
        <v>32638</v>
      </c>
      <c r="AJ489" s="12" t="s">
        <v>652</v>
      </c>
      <c r="AK489" s="12"/>
      <c r="AL489" s="12" t="s">
        <v>72</v>
      </c>
      <c r="AN489" s="1">
        <v>463470</v>
      </c>
      <c r="AP489" s="1">
        <v>11132</v>
      </c>
      <c r="AR489" s="1">
        <v>0</v>
      </c>
      <c r="AT489" s="1">
        <v>0</v>
      </c>
      <c r="AV489" s="1">
        <v>0</v>
      </c>
      <c r="AX489" s="1">
        <v>0</v>
      </c>
      <c r="AZ489" s="1">
        <f>SUM(G489:AX489)</f>
        <v>24556956</v>
      </c>
      <c r="BB489" s="1">
        <v>44000</v>
      </c>
      <c r="BH489" s="1">
        <v>0</v>
      </c>
      <c r="BJ489" s="1">
        <f>+AZ489+BB489+BD489+BH489</f>
        <v>24600956</v>
      </c>
      <c r="BL489" s="1">
        <f>+GenRev!AM489-GenExp!BJ489</f>
        <v>-1248312</v>
      </c>
      <c r="BN489" s="1">
        <v>11822413</v>
      </c>
      <c r="BP489" s="1">
        <v>0</v>
      </c>
      <c r="BQ489" s="1">
        <v>0</v>
      </c>
      <c r="BS489" s="1">
        <f>+BN489+BL489-BP489</f>
        <v>10574101</v>
      </c>
      <c r="BU489" s="20">
        <f>+BS489-'Gen Fd BS'!AA489+BQ489</f>
        <v>0</v>
      </c>
    </row>
    <row r="490" spans="1:73">
      <c r="A490" s="12" t="s">
        <v>570</v>
      </c>
      <c r="B490" s="12"/>
      <c r="C490" s="12" t="s">
        <v>61</v>
      </c>
      <c r="D490" s="12"/>
      <c r="E490" s="12">
        <v>49817</v>
      </c>
      <c r="G490" s="1">
        <v>2019612</v>
      </c>
      <c r="I490" s="1">
        <v>354888</v>
      </c>
      <c r="K490" s="1">
        <v>0</v>
      </c>
      <c r="M490" s="1">
        <v>8440</v>
      </c>
      <c r="O490" s="1">
        <v>88367</v>
      </c>
      <c r="Q490" s="1">
        <v>111193</v>
      </c>
      <c r="S490" s="1">
        <v>7733</v>
      </c>
      <c r="U490" s="1">
        <v>362683</v>
      </c>
      <c r="W490" s="1">
        <v>135874</v>
      </c>
      <c r="Y490" s="1">
        <v>496</v>
      </c>
      <c r="AA490" s="1">
        <v>244795</v>
      </c>
      <c r="AC490" s="1">
        <v>117509</v>
      </c>
      <c r="AE490" s="1">
        <v>107373</v>
      </c>
      <c r="AG490" s="1">
        <v>0</v>
      </c>
      <c r="AI490" s="1">
        <v>10925</v>
      </c>
      <c r="AJ490" s="12" t="s">
        <v>570</v>
      </c>
      <c r="AK490" s="12"/>
      <c r="AL490" s="12" t="s">
        <v>61</v>
      </c>
      <c r="AN490" s="1">
        <v>129822</v>
      </c>
      <c r="AP490" s="1">
        <v>21501</v>
      </c>
      <c r="AR490" s="1">
        <v>0</v>
      </c>
      <c r="AT490" s="1">
        <v>0</v>
      </c>
      <c r="AV490" s="1">
        <v>0</v>
      </c>
      <c r="AX490" s="1">
        <v>0</v>
      </c>
      <c r="AZ490" s="1">
        <f>SUM(G490:AX490)</f>
        <v>3721211</v>
      </c>
      <c r="BB490" s="1">
        <v>5000</v>
      </c>
      <c r="BH490" s="1">
        <v>0</v>
      </c>
      <c r="BJ490" s="1">
        <f>+AZ490+BB490+BD490+BH490</f>
        <v>3726211</v>
      </c>
      <c r="BL490" s="1">
        <f>+GenRev!AM490-GenExp!BJ490</f>
        <v>-37373</v>
      </c>
      <c r="BN490" s="1">
        <v>960811</v>
      </c>
      <c r="BP490" s="1">
        <v>0</v>
      </c>
      <c r="BQ490" s="1">
        <v>0</v>
      </c>
      <c r="BS490" s="1">
        <f>+BN490+BL490-BP490</f>
        <v>923438</v>
      </c>
      <c r="BU490" s="20">
        <f>+BS490-'Gen Fd BS'!AA490+BQ490</f>
        <v>0</v>
      </c>
    </row>
    <row r="491" spans="1:73">
      <c r="A491" s="17" t="s">
        <v>725</v>
      </c>
      <c r="B491" s="17"/>
      <c r="C491" s="17" t="s">
        <v>114</v>
      </c>
      <c r="D491" s="17"/>
      <c r="E491" s="13"/>
      <c r="G491" s="1">
        <v>7457813</v>
      </c>
      <c r="I491" s="1">
        <v>1458188</v>
      </c>
      <c r="K491" s="1">
        <v>321943</v>
      </c>
      <c r="M491" s="1">
        <v>1899834</v>
      </c>
      <c r="O491" s="1">
        <v>748245</v>
      </c>
      <c r="Q491" s="1">
        <v>790779</v>
      </c>
      <c r="S491" s="1">
        <v>31531</v>
      </c>
      <c r="U491" s="1">
        <v>1336455</v>
      </c>
      <c r="W491" s="1">
        <v>466370</v>
      </c>
      <c r="Y491" s="1">
        <v>17351</v>
      </c>
      <c r="AA491" s="1">
        <v>1747003</v>
      </c>
      <c r="AC491" s="1">
        <v>643511</v>
      </c>
      <c r="AE491" s="1">
        <v>102657</v>
      </c>
      <c r="AG491" s="1">
        <v>0</v>
      </c>
      <c r="AI491" s="1">
        <v>12442</v>
      </c>
      <c r="AJ491" s="17" t="s">
        <v>725</v>
      </c>
      <c r="AK491" s="12"/>
      <c r="AL491" s="12" t="s">
        <v>114</v>
      </c>
      <c r="AN491" s="1">
        <v>405242</v>
      </c>
      <c r="AP491" s="1">
        <v>0</v>
      </c>
      <c r="AR491" s="1">
        <v>0</v>
      </c>
      <c r="AT491" s="1">
        <v>0</v>
      </c>
      <c r="AV491" s="1">
        <v>2436</v>
      </c>
      <c r="AX491" s="1">
        <v>0</v>
      </c>
      <c r="AZ491" s="1">
        <f t="shared" ref="AZ491:AZ553" si="57">SUM(G491:AX491)</f>
        <v>17441800</v>
      </c>
      <c r="BB491" s="1">
        <v>0</v>
      </c>
      <c r="BH491" s="1">
        <v>0</v>
      </c>
      <c r="BJ491" s="1">
        <f t="shared" ref="BJ491:BJ553" si="58">+AZ491+BB491+BD491+BH491</f>
        <v>17441800</v>
      </c>
      <c r="BL491" s="1">
        <f>+GenRev!AM491-GenExp!BJ491</f>
        <v>1491335</v>
      </c>
      <c r="BN491" s="1">
        <v>-50451</v>
      </c>
      <c r="BP491" s="1">
        <v>0</v>
      </c>
      <c r="BQ491" s="1">
        <v>0</v>
      </c>
      <c r="BS491" s="1">
        <f t="shared" ref="BS491:BS553" si="59">+BN491+BL491-BP491</f>
        <v>1440884</v>
      </c>
      <c r="BU491" s="20">
        <f>+BS491-'Gen Fd BS'!AA491+BQ491</f>
        <v>0</v>
      </c>
    </row>
    <row r="492" spans="1:73">
      <c r="A492" s="12" t="s">
        <v>319</v>
      </c>
      <c r="B492" s="12"/>
      <c r="C492" s="12" t="s">
        <v>24</v>
      </c>
      <c r="D492" s="12"/>
      <c r="E492" s="13">
        <v>44743</v>
      </c>
      <c r="G492" s="1">
        <v>18828736</v>
      </c>
      <c r="I492" s="1">
        <v>5321233</v>
      </c>
      <c r="K492" s="1">
        <v>1678162</v>
      </c>
      <c r="M492" s="1">
        <v>510534</v>
      </c>
      <c r="O492" s="1">
        <v>1526093</v>
      </c>
      <c r="Q492" s="1">
        <v>982034</v>
      </c>
      <c r="S492" s="1">
        <v>274123</v>
      </c>
      <c r="U492" s="1">
        <v>2747833</v>
      </c>
      <c r="W492" s="1">
        <v>697587</v>
      </c>
      <c r="Y492" s="1">
        <v>198493</v>
      </c>
      <c r="AA492" s="1">
        <v>3363834</v>
      </c>
      <c r="AC492" s="1">
        <v>1365471</v>
      </c>
      <c r="AE492" s="1">
        <v>941752</v>
      </c>
      <c r="AG492" s="1">
        <v>0</v>
      </c>
      <c r="AI492" s="1">
        <v>67682</v>
      </c>
      <c r="AJ492" s="12" t="s">
        <v>319</v>
      </c>
      <c r="AK492" s="12"/>
      <c r="AL492" s="12" t="s">
        <v>24</v>
      </c>
      <c r="AN492" s="1">
        <v>648113</v>
      </c>
      <c r="AP492" s="1">
        <v>0</v>
      </c>
      <c r="AR492" s="1">
        <v>0</v>
      </c>
      <c r="AT492" s="1">
        <v>211285</v>
      </c>
      <c r="AV492" s="1">
        <v>56430</v>
      </c>
      <c r="AX492" s="1">
        <v>0</v>
      </c>
      <c r="AZ492" s="1">
        <f t="shared" si="57"/>
        <v>39419395</v>
      </c>
      <c r="BB492" s="1">
        <v>56952</v>
      </c>
      <c r="BH492" s="1">
        <v>0</v>
      </c>
      <c r="BJ492" s="1">
        <f t="shared" si="58"/>
        <v>39476347</v>
      </c>
      <c r="BL492" s="1">
        <f>+GenRev!AM492-GenExp!BJ492</f>
        <v>-536813</v>
      </c>
      <c r="BN492" s="1">
        <v>2328038</v>
      </c>
      <c r="BP492" s="1">
        <v>0</v>
      </c>
      <c r="BQ492" s="1">
        <v>0</v>
      </c>
      <c r="BS492" s="1">
        <f t="shared" si="59"/>
        <v>1791225</v>
      </c>
      <c r="BU492" s="20">
        <f>+BS492-'Gen Fd BS'!AA492+BQ492</f>
        <v>0</v>
      </c>
    </row>
    <row r="493" spans="1:73">
      <c r="A493" s="12" t="s">
        <v>584</v>
      </c>
      <c r="B493" s="12"/>
      <c r="C493" s="12" t="s">
        <v>62</v>
      </c>
      <c r="D493" s="12"/>
      <c r="E493" s="13">
        <v>49940</v>
      </c>
      <c r="G493" s="1">
        <v>5288858</v>
      </c>
      <c r="I493" s="1">
        <v>1851440</v>
      </c>
      <c r="K493" s="1">
        <v>349507</v>
      </c>
      <c r="M493" s="1">
        <v>241988</v>
      </c>
      <c r="O493" s="1">
        <v>1209407</v>
      </c>
      <c r="Q493" s="1">
        <v>148153</v>
      </c>
      <c r="S493" s="1">
        <v>12378</v>
      </c>
      <c r="U493" s="1">
        <v>873275</v>
      </c>
      <c r="W493" s="1">
        <v>358938</v>
      </c>
      <c r="Y493" s="1">
        <v>79456</v>
      </c>
      <c r="AA493" s="1">
        <v>850702</v>
      </c>
      <c r="AC493" s="1">
        <v>936122</v>
      </c>
      <c r="AE493" s="1">
        <v>40874</v>
      </c>
      <c r="AG493" s="1">
        <v>0</v>
      </c>
      <c r="AI493" s="1">
        <v>0</v>
      </c>
      <c r="AJ493" s="12" t="s">
        <v>584</v>
      </c>
      <c r="AK493" s="12"/>
      <c r="AL493" s="12" t="s">
        <v>62</v>
      </c>
      <c r="AN493" s="1">
        <v>318969</v>
      </c>
      <c r="AP493" s="1">
        <v>0</v>
      </c>
      <c r="AR493" s="1">
        <v>0</v>
      </c>
      <c r="AT493" s="1">
        <v>0</v>
      </c>
      <c r="AV493" s="1">
        <v>0</v>
      </c>
      <c r="AX493" s="1">
        <v>0</v>
      </c>
      <c r="AZ493" s="1">
        <f t="shared" si="57"/>
        <v>12560067</v>
      </c>
      <c r="BB493" s="1">
        <v>0</v>
      </c>
      <c r="BH493" s="1">
        <v>0</v>
      </c>
      <c r="BJ493" s="1">
        <f t="shared" si="58"/>
        <v>12560067</v>
      </c>
      <c r="BL493" s="1">
        <f>+GenRev!AM493-GenExp!BJ493</f>
        <v>-346182</v>
      </c>
      <c r="BN493" s="1">
        <v>1161645</v>
      </c>
      <c r="BP493" s="1">
        <v>0</v>
      </c>
      <c r="BQ493" s="1">
        <v>0</v>
      </c>
      <c r="BS493" s="1">
        <f t="shared" si="59"/>
        <v>815463</v>
      </c>
      <c r="BU493" s="20">
        <f>+BS493-'Gen Fd BS'!AA493+BQ493</f>
        <v>0</v>
      </c>
    </row>
    <row r="494" spans="1:73">
      <c r="A494" s="12" t="s">
        <v>529</v>
      </c>
      <c r="B494" s="12"/>
      <c r="C494" s="12" t="s">
        <v>55</v>
      </c>
      <c r="D494" s="12"/>
      <c r="E494" s="13">
        <v>49130</v>
      </c>
      <c r="G494" s="1">
        <v>6168383</v>
      </c>
      <c r="I494" s="1">
        <v>1296257</v>
      </c>
      <c r="K494" s="1">
        <v>0</v>
      </c>
      <c r="M494" s="1">
        <v>11805</v>
      </c>
      <c r="O494" s="1">
        <v>543289</v>
      </c>
      <c r="Q494" s="1">
        <v>675761</v>
      </c>
      <c r="S494" s="1">
        <v>15688</v>
      </c>
      <c r="U494" s="1">
        <v>1801774</v>
      </c>
      <c r="W494" s="1">
        <v>299520</v>
      </c>
      <c r="Y494" s="1">
        <v>0</v>
      </c>
      <c r="AA494" s="1">
        <v>1175208</v>
      </c>
      <c r="AC494" s="1">
        <v>1121864</v>
      </c>
      <c r="AE494" s="1">
        <v>100198</v>
      </c>
      <c r="AG494" s="1">
        <v>0</v>
      </c>
      <c r="AI494" s="1">
        <v>0</v>
      </c>
      <c r="AJ494" s="12" t="s">
        <v>529</v>
      </c>
      <c r="AK494" s="12"/>
      <c r="AL494" s="12" t="s">
        <v>55</v>
      </c>
      <c r="AN494" s="1">
        <v>251402</v>
      </c>
      <c r="AP494" s="1">
        <v>1095840</v>
      </c>
      <c r="AR494" s="1">
        <v>0</v>
      </c>
      <c r="AT494" s="1">
        <v>0</v>
      </c>
      <c r="AV494" s="1">
        <v>0</v>
      </c>
      <c r="AX494" s="1">
        <v>0</v>
      </c>
      <c r="AZ494" s="1">
        <f t="shared" si="57"/>
        <v>14556989</v>
      </c>
      <c r="BB494" s="1">
        <v>51796</v>
      </c>
      <c r="BH494" s="1">
        <v>0</v>
      </c>
      <c r="BJ494" s="1">
        <f t="shared" si="58"/>
        <v>14608785</v>
      </c>
      <c r="BL494" s="1">
        <f>+GenRev!AM494-GenExp!BJ494</f>
        <v>-249784</v>
      </c>
      <c r="BN494" s="1">
        <v>5832451</v>
      </c>
      <c r="BP494" s="1">
        <v>0</v>
      </c>
      <c r="BQ494" s="1">
        <v>0</v>
      </c>
      <c r="BS494" s="1">
        <f t="shared" si="59"/>
        <v>5582667</v>
      </c>
      <c r="BU494" s="20">
        <f>+BS494-'Gen Fd BS'!AA494+BQ494</f>
        <v>0</v>
      </c>
    </row>
    <row r="495" spans="1:73">
      <c r="A495" s="12" t="s">
        <v>468</v>
      </c>
      <c r="B495" s="12"/>
      <c r="C495" s="12" t="s">
        <v>45</v>
      </c>
      <c r="D495" s="12"/>
      <c r="E495" s="13">
        <v>48355</v>
      </c>
      <c r="G495" s="1">
        <v>2484486</v>
      </c>
      <c r="I495" s="1">
        <v>1577599</v>
      </c>
      <c r="K495" s="1">
        <v>0</v>
      </c>
      <c r="M495" s="1">
        <v>0</v>
      </c>
      <c r="O495" s="1">
        <v>157969</v>
      </c>
      <c r="Q495" s="1">
        <v>57489</v>
      </c>
      <c r="S495" s="1">
        <v>18002</v>
      </c>
      <c r="U495" s="1">
        <v>661584</v>
      </c>
      <c r="W495" s="1">
        <v>260429</v>
      </c>
      <c r="Y495" s="1">
        <v>0</v>
      </c>
      <c r="AA495" s="1">
        <v>473223</v>
      </c>
      <c r="AC495" s="1">
        <v>136150</v>
      </c>
      <c r="AE495" s="1">
        <v>4200</v>
      </c>
      <c r="AG495" s="1">
        <v>0</v>
      </c>
      <c r="AI495" s="1">
        <v>0</v>
      </c>
      <c r="AJ495" s="12" t="s">
        <v>468</v>
      </c>
      <c r="AK495" s="12"/>
      <c r="AL495" s="12" t="s">
        <v>45</v>
      </c>
      <c r="AN495" s="1">
        <v>183204</v>
      </c>
      <c r="AP495" s="1">
        <v>0</v>
      </c>
      <c r="AR495" s="1">
        <v>0</v>
      </c>
      <c r="AT495" s="1">
        <v>0</v>
      </c>
      <c r="AV495" s="1">
        <v>0</v>
      </c>
      <c r="AX495" s="1">
        <v>0</v>
      </c>
      <c r="AZ495" s="1">
        <f t="shared" si="57"/>
        <v>6014335</v>
      </c>
      <c r="BB495" s="1">
        <v>5575</v>
      </c>
      <c r="BH495" s="1">
        <v>0</v>
      </c>
      <c r="BJ495" s="1">
        <f>+AZ495+BB495+BD495+BH495</f>
        <v>6019910</v>
      </c>
      <c r="BL495" s="1">
        <f>+GenRev!AM495-GenExp!BJ495</f>
        <v>95381</v>
      </c>
      <c r="BN495" s="1">
        <v>221334</v>
      </c>
      <c r="BP495" s="1">
        <v>0</v>
      </c>
      <c r="BQ495" s="1">
        <v>0</v>
      </c>
      <c r="BS495" s="1">
        <f t="shared" si="59"/>
        <v>316715</v>
      </c>
      <c r="BU495" s="20">
        <f>+BS495-'Gen Fd BS'!AA495+BQ495</f>
        <v>0</v>
      </c>
    </row>
    <row r="496" spans="1:73">
      <c r="A496" s="12" t="s">
        <v>567</v>
      </c>
      <c r="B496" s="12"/>
      <c r="C496" s="12" t="s">
        <v>60</v>
      </c>
      <c r="D496" s="12"/>
      <c r="E496" s="13">
        <v>49684</v>
      </c>
      <c r="G496" s="1">
        <v>4033267</v>
      </c>
      <c r="I496" s="1">
        <v>865695</v>
      </c>
      <c r="K496" s="1">
        <v>200887</v>
      </c>
      <c r="M496" s="1">
        <v>0</v>
      </c>
      <c r="O496" s="1">
        <v>107644</v>
      </c>
      <c r="Q496" s="1">
        <v>258662</v>
      </c>
      <c r="S496" s="1">
        <v>62569</v>
      </c>
      <c r="U496" s="1">
        <v>579410</v>
      </c>
      <c r="W496" s="1">
        <v>230474</v>
      </c>
      <c r="Y496" s="1">
        <v>0</v>
      </c>
      <c r="AA496" s="1">
        <v>598046</v>
      </c>
      <c r="AC496" s="1">
        <v>524206</v>
      </c>
      <c r="AE496" s="1">
        <v>0</v>
      </c>
      <c r="AG496" s="1">
        <v>0</v>
      </c>
      <c r="AI496" s="1">
        <v>2254</v>
      </c>
      <c r="AJ496" s="12" t="s">
        <v>567</v>
      </c>
      <c r="AK496" s="12"/>
      <c r="AL496" s="12" t="s">
        <v>60</v>
      </c>
      <c r="AN496" s="1">
        <v>159238</v>
      </c>
      <c r="AP496" s="1">
        <v>222624</v>
      </c>
      <c r="AR496" s="1">
        <v>0</v>
      </c>
      <c r="AT496" s="1">
        <v>5350</v>
      </c>
      <c r="AV496" s="1">
        <v>704</v>
      </c>
      <c r="AX496" s="1">
        <v>0</v>
      </c>
      <c r="AZ496" s="1">
        <f t="shared" si="57"/>
        <v>7851030</v>
      </c>
      <c r="BB496" s="1">
        <v>214891</v>
      </c>
      <c r="BH496" s="1">
        <v>0</v>
      </c>
      <c r="BJ496" s="1">
        <f t="shared" si="58"/>
        <v>8065921</v>
      </c>
      <c r="BL496" s="1">
        <f>+GenRev!AM496-GenExp!BJ496</f>
        <v>953981</v>
      </c>
      <c r="BN496" s="1">
        <v>1043135</v>
      </c>
      <c r="BP496" s="1">
        <v>0</v>
      </c>
      <c r="BQ496" s="1">
        <v>0</v>
      </c>
      <c r="BS496" s="1">
        <f>+BN496+BL496-BP496</f>
        <v>1997116</v>
      </c>
      <c r="BU496" s="20">
        <f>+BS496-'Gen Fd BS'!AA496+BQ496</f>
        <v>0</v>
      </c>
    </row>
    <row r="497" spans="1:73">
      <c r="A497" s="12" t="s">
        <v>222</v>
      </c>
      <c r="B497" s="12"/>
      <c r="C497" s="12" t="s">
        <v>15</v>
      </c>
      <c r="D497" s="12"/>
      <c r="E497" s="13">
        <v>46003</v>
      </c>
      <c r="G497" s="20">
        <v>3325689</v>
      </c>
      <c r="H497" s="20"/>
      <c r="I497" s="20">
        <v>345422</v>
      </c>
      <c r="J497" s="20"/>
      <c r="K497" s="20">
        <v>25532</v>
      </c>
      <c r="L497" s="20"/>
      <c r="M497" s="20">
        <v>0</v>
      </c>
      <c r="N497" s="20"/>
      <c r="O497" s="20">
        <v>256313</v>
      </c>
      <c r="P497" s="20"/>
      <c r="Q497" s="20">
        <v>133467</v>
      </c>
      <c r="R497" s="20"/>
      <c r="S497" s="20">
        <v>37331</v>
      </c>
      <c r="T497" s="20"/>
      <c r="U497" s="20">
        <v>572106</v>
      </c>
      <c r="V497" s="20"/>
      <c r="W497" s="20">
        <v>290164</v>
      </c>
      <c r="X497" s="20"/>
      <c r="Y497" s="20">
        <v>0</v>
      </c>
      <c r="Z497" s="20"/>
      <c r="AA497" s="20">
        <v>602405</v>
      </c>
      <c r="AB497" s="20"/>
      <c r="AC497" s="20">
        <v>211878</v>
      </c>
      <c r="AD497" s="20"/>
      <c r="AE497" s="20">
        <v>0</v>
      </c>
      <c r="AF497" s="20"/>
      <c r="AG497" s="20">
        <v>0</v>
      </c>
      <c r="AH497" s="20"/>
      <c r="AI497" s="20">
        <v>0</v>
      </c>
      <c r="AJ497" s="12" t="s">
        <v>222</v>
      </c>
      <c r="AK497" s="12"/>
      <c r="AL497" s="12" t="s">
        <v>15</v>
      </c>
      <c r="AM497" s="72"/>
      <c r="AN497" s="20">
        <v>116540</v>
      </c>
      <c r="AO497" s="20"/>
      <c r="AP497" s="20">
        <v>0</v>
      </c>
      <c r="AQ497" s="20"/>
      <c r="AR497" s="20">
        <v>0</v>
      </c>
      <c r="AS497" s="20"/>
      <c r="AT497" s="20">
        <v>0</v>
      </c>
      <c r="AU497" s="20"/>
      <c r="AV497" s="20">
        <v>0</v>
      </c>
      <c r="AW497" s="20"/>
      <c r="AX497" s="20">
        <v>0</v>
      </c>
      <c r="AY497" s="20"/>
      <c r="AZ497" s="20">
        <f t="shared" si="57"/>
        <v>5916847</v>
      </c>
      <c r="BA497" s="20"/>
      <c r="BB497" s="20">
        <v>28817</v>
      </c>
      <c r="BC497" s="20"/>
      <c r="BD497" s="20"/>
      <c r="BE497" s="20"/>
      <c r="BF497" s="20"/>
      <c r="BG497" s="20"/>
      <c r="BH497" s="20">
        <v>0</v>
      </c>
      <c r="BI497" s="20"/>
      <c r="BJ497" s="20">
        <f t="shared" si="58"/>
        <v>5945664</v>
      </c>
      <c r="BK497" s="20"/>
      <c r="BL497" s="20">
        <f>+GenRev!AM497-GenExp!BJ497</f>
        <v>351973</v>
      </c>
      <c r="BM497" s="20"/>
      <c r="BN497" s="20">
        <v>992206</v>
      </c>
      <c r="BO497" s="20"/>
      <c r="BP497" s="20">
        <v>0</v>
      </c>
      <c r="BQ497" s="20">
        <v>0</v>
      </c>
      <c r="BR497" s="20"/>
      <c r="BS497" s="20">
        <f t="shared" si="59"/>
        <v>1344179</v>
      </c>
      <c r="BT497" s="20"/>
      <c r="BU497" s="20">
        <f>+BS497-'Gen Fd BS'!AA497+BQ497</f>
        <v>0</v>
      </c>
    </row>
    <row r="498" spans="1:73">
      <c r="A498" s="17" t="s">
        <v>303</v>
      </c>
      <c r="B498" s="12"/>
      <c r="C498" s="12" t="s">
        <v>20</v>
      </c>
      <c r="D498" s="12"/>
      <c r="E498" s="13">
        <v>44750</v>
      </c>
      <c r="G498" s="1">
        <v>35342125</v>
      </c>
      <c r="I498" s="1">
        <v>12416850</v>
      </c>
      <c r="K498" s="1">
        <v>148774</v>
      </c>
      <c r="M498" s="1">
        <v>0</v>
      </c>
      <c r="O498" s="1">
        <v>5977461</v>
      </c>
      <c r="Q498" s="1">
        <v>6006383</v>
      </c>
      <c r="S498" s="1">
        <v>22044</v>
      </c>
      <c r="U498" s="1">
        <v>6171374</v>
      </c>
      <c r="W498" s="1">
        <v>1727877</v>
      </c>
      <c r="Y498" s="1">
        <v>849645</v>
      </c>
      <c r="AA498" s="1">
        <v>13325863</v>
      </c>
      <c r="AC498" s="1">
        <v>4356262</v>
      </c>
      <c r="AE498" s="1">
        <v>1963753</v>
      </c>
      <c r="AG498" s="1">
        <v>0</v>
      </c>
      <c r="AI498" s="1">
        <v>49537</v>
      </c>
      <c r="AJ498" s="12" t="s">
        <v>303</v>
      </c>
      <c r="AK498" s="12"/>
      <c r="AL498" s="12" t="s">
        <v>20</v>
      </c>
      <c r="AN498" s="1">
        <v>997974</v>
      </c>
      <c r="AP498" s="1">
        <v>0</v>
      </c>
      <c r="AR498" s="1">
        <v>0</v>
      </c>
      <c r="AT498" s="1">
        <v>0</v>
      </c>
      <c r="AV498" s="1">
        <v>0</v>
      </c>
      <c r="AX498" s="1">
        <v>0</v>
      </c>
      <c r="AZ498" s="1">
        <f t="shared" si="57"/>
        <v>89355922</v>
      </c>
      <c r="BB498" s="1">
        <v>475000</v>
      </c>
      <c r="BH498" s="1">
        <v>0</v>
      </c>
      <c r="BJ498" s="1">
        <f t="shared" si="58"/>
        <v>89830922</v>
      </c>
      <c r="BL498" s="1">
        <f>+GenRev!AM498-GenExp!BJ498</f>
        <v>-6556969</v>
      </c>
      <c r="BN498" s="1">
        <v>26746816</v>
      </c>
      <c r="BP498" s="1">
        <v>0</v>
      </c>
      <c r="BQ498" s="1">
        <v>0</v>
      </c>
      <c r="BS498" s="1">
        <f t="shared" si="59"/>
        <v>20189847</v>
      </c>
      <c r="BU498" s="20">
        <f>+BS498-'Gen Fd BS'!AA498+BQ498</f>
        <v>0</v>
      </c>
    </row>
    <row r="499" spans="1:73" hidden="1">
      <c r="A499" s="17" t="s">
        <v>872</v>
      </c>
      <c r="B499" s="17"/>
      <c r="C499" s="17" t="s">
        <v>10</v>
      </c>
      <c r="D499" s="12"/>
      <c r="E499" s="13"/>
      <c r="AJ499" s="17" t="s">
        <v>872</v>
      </c>
      <c r="AK499" s="17"/>
      <c r="AL499" s="17" t="s">
        <v>10</v>
      </c>
      <c r="AZ499" s="1">
        <f t="shared" si="57"/>
        <v>0</v>
      </c>
      <c r="BJ499" s="1">
        <f t="shared" si="58"/>
        <v>0</v>
      </c>
      <c r="BL499" s="1">
        <f>+GenRev!AM499-GenExp!BJ499</f>
        <v>0</v>
      </c>
      <c r="BS499" s="1">
        <f t="shared" si="59"/>
        <v>0</v>
      </c>
      <c r="BU499" s="20">
        <f>+BS499-'Gen Fd BS'!AA499+BQ499</f>
        <v>0</v>
      </c>
    </row>
    <row r="500" spans="1:73">
      <c r="A500" s="12" t="s">
        <v>447</v>
      </c>
      <c r="B500" s="12"/>
      <c r="C500" s="12" t="s">
        <v>44</v>
      </c>
      <c r="D500" s="12"/>
      <c r="E500" s="13">
        <v>44768</v>
      </c>
      <c r="G500" s="1">
        <v>7872090</v>
      </c>
      <c r="I500" s="1">
        <v>2134328</v>
      </c>
      <c r="K500" s="1">
        <v>110535</v>
      </c>
      <c r="M500" s="1">
        <v>0</v>
      </c>
      <c r="O500" s="1">
        <v>806492</v>
      </c>
      <c r="Q500" s="1">
        <v>631117</v>
      </c>
      <c r="S500" s="1">
        <v>34016</v>
      </c>
      <c r="U500" s="1">
        <v>1557426</v>
      </c>
      <c r="W500" s="1">
        <v>573929</v>
      </c>
      <c r="Y500" s="1">
        <v>195896</v>
      </c>
      <c r="AA500" s="1">
        <v>1524217</v>
      </c>
      <c r="AC500" s="1">
        <v>964497</v>
      </c>
      <c r="AE500" s="1">
        <v>697633</v>
      </c>
      <c r="AG500" s="1">
        <v>0</v>
      </c>
      <c r="AI500" s="1">
        <v>0</v>
      </c>
      <c r="AJ500" s="12" t="s">
        <v>447</v>
      </c>
      <c r="AK500" s="12"/>
      <c r="AL500" s="12" t="s">
        <v>44</v>
      </c>
      <c r="AN500" s="1">
        <v>417255</v>
      </c>
      <c r="AP500" s="1">
        <v>5982</v>
      </c>
      <c r="AR500" s="1">
        <v>0</v>
      </c>
      <c r="AT500" s="1">
        <v>0</v>
      </c>
      <c r="AV500" s="1">
        <v>0</v>
      </c>
      <c r="AX500" s="1">
        <v>0</v>
      </c>
      <c r="AZ500" s="1">
        <f t="shared" si="57"/>
        <v>17525413</v>
      </c>
      <c r="BB500" s="1">
        <v>62708</v>
      </c>
      <c r="BH500" s="1">
        <v>0</v>
      </c>
      <c r="BJ500" s="1">
        <f t="shared" si="58"/>
        <v>17588121</v>
      </c>
      <c r="BL500" s="1">
        <f>+GenRev!AM500-GenExp!BJ500</f>
        <v>1341024</v>
      </c>
      <c r="BN500" s="1">
        <v>8652828</v>
      </c>
      <c r="BP500" s="1">
        <v>0</v>
      </c>
      <c r="BQ500" s="1">
        <v>0</v>
      </c>
      <c r="BS500" s="1">
        <f t="shared" si="59"/>
        <v>9993852</v>
      </c>
      <c r="BU500" s="20">
        <f>+BS500-'Gen Fd BS'!AA500+BQ500</f>
        <v>0</v>
      </c>
    </row>
    <row r="501" spans="1:73">
      <c r="A501" s="12" t="s">
        <v>548</v>
      </c>
      <c r="B501" s="12"/>
      <c r="C501" s="12" t="s">
        <v>112</v>
      </c>
      <c r="D501" s="12"/>
      <c r="E501" s="13">
        <v>44776</v>
      </c>
      <c r="F501" s="8"/>
      <c r="G501" s="1">
        <v>8128799</v>
      </c>
      <c r="I501" s="1">
        <v>2033677</v>
      </c>
      <c r="K501" s="1">
        <v>199600</v>
      </c>
      <c r="M501" s="1">
        <v>1610</v>
      </c>
      <c r="O501" s="1">
        <v>736839</v>
      </c>
      <c r="Q501" s="1">
        <v>970431</v>
      </c>
      <c r="S501" s="1">
        <v>42287</v>
      </c>
      <c r="U501" s="1">
        <v>1355630</v>
      </c>
      <c r="W501" s="1">
        <v>679057</v>
      </c>
      <c r="Y501" s="1">
        <v>0</v>
      </c>
      <c r="AA501" s="1">
        <v>1764689</v>
      </c>
      <c r="AC501" s="1">
        <v>795284</v>
      </c>
      <c r="AE501" s="1">
        <v>74540</v>
      </c>
      <c r="AG501" s="1">
        <v>0</v>
      </c>
      <c r="AI501" s="1">
        <v>5380</v>
      </c>
      <c r="AJ501" s="12" t="s">
        <v>548</v>
      </c>
      <c r="AK501" s="12"/>
      <c r="AL501" s="12" t="s">
        <v>112</v>
      </c>
      <c r="AN501" s="1">
        <v>437121</v>
      </c>
      <c r="AP501" s="1">
        <v>0</v>
      </c>
      <c r="AR501" s="1">
        <v>0</v>
      </c>
      <c r="AT501" s="1">
        <v>145890</v>
      </c>
      <c r="AV501" s="1">
        <v>48966</v>
      </c>
      <c r="AX501" s="1">
        <v>0</v>
      </c>
      <c r="AZ501" s="1">
        <f t="shared" si="57"/>
        <v>17419800</v>
      </c>
      <c r="BB501" s="1">
        <v>0</v>
      </c>
      <c r="BH501" s="1">
        <v>0</v>
      </c>
      <c r="BJ501" s="1">
        <f t="shared" si="58"/>
        <v>17419800</v>
      </c>
      <c r="BL501" s="1">
        <f>+GenRev!AM501-GenExp!BJ501</f>
        <v>821763</v>
      </c>
      <c r="BN501" s="1">
        <v>3563342</v>
      </c>
      <c r="BP501" s="1">
        <v>0</v>
      </c>
      <c r="BQ501" s="1">
        <v>0</v>
      </c>
      <c r="BS501" s="1">
        <f t="shared" si="59"/>
        <v>4385105</v>
      </c>
      <c r="BU501" s="20">
        <f>+BS501-'Gen Fd BS'!AA501+BQ501</f>
        <v>0</v>
      </c>
    </row>
    <row r="502" spans="1:73">
      <c r="A502" s="17" t="s">
        <v>571</v>
      </c>
      <c r="B502" s="12"/>
      <c r="C502" s="12" t="s">
        <v>61</v>
      </c>
      <c r="D502" s="12"/>
      <c r="E502" s="13">
        <v>44784</v>
      </c>
      <c r="G502" s="1">
        <v>16582648</v>
      </c>
      <c r="I502" s="1">
        <v>3064563</v>
      </c>
      <c r="K502" s="1">
        <v>101606</v>
      </c>
      <c r="M502" s="1">
        <v>0</v>
      </c>
      <c r="O502" s="1">
        <v>1894553</v>
      </c>
      <c r="Q502" s="1">
        <v>1110788</v>
      </c>
      <c r="S502" s="1">
        <v>14471</v>
      </c>
      <c r="U502" s="1">
        <v>2148052</v>
      </c>
      <c r="W502" s="1">
        <v>723688</v>
      </c>
      <c r="Y502" s="1">
        <v>72222</v>
      </c>
      <c r="AA502" s="1">
        <v>2719431</v>
      </c>
      <c r="AC502" s="1">
        <v>855965</v>
      </c>
      <c r="AE502" s="1">
        <v>702527</v>
      </c>
      <c r="AG502" s="1">
        <v>0</v>
      </c>
      <c r="AI502" s="1">
        <v>16958</v>
      </c>
      <c r="AJ502" s="12" t="s">
        <v>571</v>
      </c>
      <c r="AK502" s="12"/>
      <c r="AL502" s="12" t="s">
        <v>61</v>
      </c>
      <c r="AN502" s="1">
        <v>427944</v>
      </c>
      <c r="AP502" s="1">
        <v>0</v>
      </c>
      <c r="AR502" s="1">
        <v>0</v>
      </c>
      <c r="AT502" s="1">
        <v>74201</v>
      </c>
      <c r="AV502" s="1">
        <v>30800</v>
      </c>
      <c r="AX502" s="1">
        <v>0</v>
      </c>
      <c r="AZ502" s="1">
        <f t="shared" si="57"/>
        <v>30540417</v>
      </c>
      <c r="BB502" s="1">
        <v>133000</v>
      </c>
      <c r="BH502" s="1">
        <v>0</v>
      </c>
      <c r="BJ502" s="1">
        <f t="shared" si="58"/>
        <v>30673417</v>
      </c>
      <c r="BL502" s="1">
        <f>+GenRev!AM502-GenExp!BJ502</f>
        <v>2424132</v>
      </c>
      <c r="BN502" s="1">
        <v>-1506783</v>
      </c>
      <c r="BP502" s="1">
        <v>0</v>
      </c>
      <c r="BQ502" s="1">
        <v>0</v>
      </c>
      <c r="BS502" s="1">
        <f t="shared" si="59"/>
        <v>917349</v>
      </c>
      <c r="BU502" s="20">
        <f>+BS502-'Gen Fd BS'!AA502+BQ502</f>
        <v>0</v>
      </c>
    </row>
    <row r="503" spans="1:73">
      <c r="A503" s="12" t="s">
        <v>304</v>
      </c>
      <c r="B503" s="12"/>
      <c r="C503" s="12" t="s">
        <v>20</v>
      </c>
      <c r="D503" s="12"/>
      <c r="E503" s="13">
        <v>46607</v>
      </c>
      <c r="F503" s="8"/>
      <c r="G503" s="1">
        <v>32724180</v>
      </c>
      <c r="I503" s="1">
        <v>7069584</v>
      </c>
      <c r="K503" s="1">
        <v>568269</v>
      </c>
      <c r="M503" s="1">
        <v>599515</v>
      </c>
      <c r="O503" s="1">
        <v>3600637</v>
      </c>
      <c r="Q503" s="1">
        <v>1631440</v>
      </c>
      <c r="S503" s="1">
        <v>49986</v>
      </c>
      <c r="U503" s="1">
        <v>3606576</v>
      </c>
      <c r="W503" s="1">
        <v>1669138</v>
      </c>
      <c r="Y503" s="1">
        <v>1183297</v>
      </c>
      <c r="AA503" s="1">
        <v>6880918</v>
      </c>
      <c r="AC503" s="1">
        <v>3053913</v>
      </c>
      <c r="AE503" s="1">
        <v>1049364</v>
      </c>
      <c r="AG503" s="1">
        <v>0</v>
      </c>
      <c r="AI503" s="1">
        <v>0</v>
      </c>
      <c r="AJ503" s="12" t="s">
        <v>304</v>
      </c>
      <c r="AK503" s="12"/>
      <c r="AL503" s="12" t="s">
        <v>20</v>
      </c>
      <c r="AN503" s="1">
        <v>1144964</v>
      </c>
      <c r="AP503" s="1">
        <v>5850</v>
      </c>
      <c r="AR503" s="1">
        <v>0</v>
      </c>
      <c r="AT503" s="1">
        <v>0</v>
      </c>
      <c r="AV503" s="1">
        <v>0</v>
      </c>
      <c r="AX503" s="1">
        <v>0</v>
      </c>
      <c r="AZ503" s="1">
        <f t="shared" si="57"/>
        <v>64837631</v>
      </c>
      <c r="BB503" s="1">
        <v>22000</v>
      </c>
      <c r="BH503" s="1">
        <v>0</v>
      </c>
      <c r="BJ503" s="1">
        <f t="shared" si="58"/>
        <v>64859631</v>
      </c>
      <c r="BL503" s="1">
        <f>+GenRev!AM503-GenExp!BJ503</f>
        <v>-2619573</v>
      </c>
      <c r="BN503" s="1">
        <v>9045404</v>
      </c>
      <c r="BP503" s="1">
        <v>0</v>
      </c>
      <c r="BQ503" s="1">
        <v>0</v>
      </c>
      <c r="BS503" s="1">
        <f t="shared" si="59"/>
        <v>6425831</v>
      </c>
      <c r="BU503" s="20">
        <f>+BS503-'Gen Fd BS'!AA503+BQ503</f>
        <v>0</v>
      </c>
    </row>
    <row r="504" spans="1:73">
      <c r="A504" s="12" t="s">
        <v>767</v>
      </c>
      <c r="B504" s="12"/>
      <c r="C504" s="12" t="s">
        <v>37</v>
      </c>
      <c r="D504" s="12"/>
      <c r="E504" s="13">
        <v>47738</v>
      </c>
      <c r="G504" s="1">
        <v>3295543</v>
      </c>
      <c r="I504" s="1">
        <v>326068</v>
      </c>
      <c r="K504" s="1">
        <v>173716</v>
      </c>
      <c r="M504" s="1">
        <v>617410</v>
      </c>
      <c r="O504" s="1">
        <v>160956</v>
      </c>
      <c r="Q504" s="1">
        <v>274249</v>
      </c>
      <c r="S504" s="1">
        <v>34467</v>
      </c>
      <c r="U504" s="1">
        <v>926029</v>
      </c>
      <c r="W504" s="1">
        <v>253891</v>
      </c>
      <c r="Y504" s="1">
        <v>0</v>
      </c>
      <c r="AA504" s="1">
        <v>1000272</v>
      </c>
      <c r="AC504" s="1">
        <v>621866</v>
      </c>
      <c r="AE504" s="1">
        <v>0</v>
      </c>
      <c r="AG504" s="1">
        <v>0</v>
      </c>
      <c r="AI504" s="1">
        <v>0</v>
      </c>
      <c r="AJ504" s="12" t="s">
        <v>767</v>
      </c>
      <c r="AK504" s="12"/>
      <c r="AL504" s="12" t="s">
        <v>37</v>
      </c>
      <c r="AN504" s="1">
        <v>208122</v>
      </c>
      <c r="AP504" s="1">
        <v>18267</v>
      </c>
      <c r="AR504" s="1">
        <v>0</v>
      </c>
      <c r="AT504" s="1">
        <v>5938</v>
      </c>
      <c r="AV504" s="1">
        <v>1576</v>
      </c>
      <c r="AX504" s="1">
        <v>0</v>
      </c>
      <c r="AZ504" s="1">
        <f t="shared" si="57"/>
        <v>7918370</v>
      </c>
      <c r="BB504" s="1">
        <v>1140</v>
      </c>
      <c r="BH504" s="1">
        <v>0</v>
      </c>
      <c r="BJ504" s="1">
        <f t="shared" si="58"/>
        <v>7919510</v>
      </c>
      <c r="BL504" s="1">
        <f>+GenRev!AM504-GenExp!BJ504</f>
        <v>-603501</v>
      </c>
      <c r="BN504" s="1">
        <v>3370831</v>
      </c>
      <c r="BP504" s="1">
        <v>0</v>
      </c>
      <c r="BQ504" s="1">
        <v>0</v>
      </c>
      <c r="BS504" s="1">
        <f t="shared" si="59"/>
        <v>2767330</v>
      </c>
      <c r="BU504" s="20">
        <f>+BS504-'Gen Fd BS'!AA504+BQ504</f>
        <v>0</v>
      </c>
    </row>
    <row r="505" spans="1:73">
      <c r="A505" s="12" t="s">
        <v>305</v>
      </c>
      <c r="B505" s="12"/>
      <c r="C505" s="12" t="s">
        <v>20</v>
      </c>
      <c r="D505" s="12"/>
      <c r="E505" s="13">
        <v>44792</v>
      </c>
      <c r="G505" s="1">
        <v>23069452</v>
      </c>
      <c r="I505" s="1">
        <v>7027799</v>
      </c>
      <c r="K505" s="1">
        <v>2002039</v>
      </c>
      <c r="M505" s="1">
        <v>0</v>
      </c>
      <c r="O505" s="1">
        <v>3740501</v>
      </c>
      <c r="Q505" s="1">
        <v>1113635</v>
      </c>
      <c r="S505" s="1">
        <v>211052</v>
      </c>
      <c r="U505" s="1">
        <v>3535610</v>
      </c>
      <c r="W505" s="1">
        <v>1760143</v>
      </c>
      <c r="Y505" s="1">
        <v>311723</v>
      </c>
      <c r="AA505" s="1">
        <v>6713603</v>
      </c>
      <c r="AC505" s="1">
        <v>3120835</v>
      </c>
      <c r="AE505" s="1">
        <v>1110225</v>
      </c>
      <c r="AG505" s="1">
        <v>0</v>
      </c>
      <c r="AI505" s="1">
        <v>61934</v>
      </c>
      <c r="AJ505" s="12" t="s">
        <v>305</v>
      </c>
      <c r="AK505" s="12"/>
      <c r="AL505" s="12" t="s">
        <v>20</v>
      </c>
      <c r="AN505" s="1">
        <v>1000926</v>
      </c>
      <c r="AP505" s="1">
        <v>0</v>
      </c>
      <c r="AR505" s="1">
        <v>0</v>
      </c>
      <c r="AT505" s="1">
        <v>0</v>
      </c>
      <c r="AV505" s="1">
        <v>0</v>
      </c>
      <c r="AX505" s="1">
        <v>0</v>
      </c>
      <c r="AZ505" s="1">
        <f t="shared" si="57"/>
        <v>54779477</v>
      </c>
      <c r="BB505" s="1">
        <v>705206</v>
      </c>
      <c r="BH505" s="1">
        <v>0</v>
      </c>
      <c r="BJ505" s="1">
        <f t="shared" si="58"/>
        <v>55484683</v>
      </c>
      <c r="BL505" s="1">
        <f>+GenRev!AM505-GenExp!BJ505</f>
        <v>1480804</v>
      </c>
      <c r="BN505" s="1">
        <v>8718977</v>
      </c>
      <c r="BP505" s="1">
        <v>0</v>
      </c>
      <c r="BQ505" s="1">
        <v>0</v>
      </c>
      <c r="BS505" s="1">
        <f t="shared" si="59"/>
        <v>10199781</v>
      </c>
      <c r="BU505" s="20">
        <f>+BS505-'Gen Fd BS'!AA505+BQ505</f>
        <v>0</v>
      </c>
    </row>
    <row r="506" spans="1:73">
      <c r="A506" s="12" t="s">
        <v>425</v>
      </c>
      <c r="B506" s="12"/>
      <c r="C506" s="12" t="s">
        <v>420</v>
      </c>
      <c r="D506" s="12"/>
      <c r="E506" s="13">
        <v>47951</v>
      </c>
      <c r="G506" s="1">
        <v>7809685</v>
      </c>
      <c r="I506" s="1">
        <v>1138531</v>
      </c>
      <c r="K506" s="1">
        <v>249379</v>
      </c>
      <c r="M506" s="1">
        <f>110392+11331</f>
        <v>121723</v>
      </c>
      <c r="O506" s="1">
        <v>602952</v>
      </c>
      <c r="Q506" s="1">
        <v>614144</v>
      </c>
      <c r="S506" s="1">
        <v>103426</v>
      </c>
      <c r="U506" s="1">
        <v>1297369</v>
      </c>
      <c r="W506" s="1">
        <v>346698</v>
      </c>
      <c r="Y506" s="1">
        <v>0</v>
      </c>
      <c r="AA506" s="1">
        <v>1067117</v>
      </c>
      <c r="AC506" s="1">
        <v>884169</v>
      </c>
      <c r="AE506" s="1">
        <v>71415</v>
      </c>
      <c r="AG506" s="1">
        <v>7318</v>
      </c>
      <c r="AI506" s="1">
        <v>0</v>
      </c>
      <c r="AJ506" s="12" t="s">
        <v>425</v>
      </c>
      <c r="AK506" s="12"/>
      <c r="AL506" s="12" t="s">
        <v>420</v>
      </c>
      <c r="AN506" s="1">
        <v>239094</v>
      </c>
      <c r="AP506" s="1">
        <v>39767</v>
      </c>
      <c r="AR506" s="1">
        <v>0</v>
      </c>
      <c r="AT506" s="1">
        <v>328342</v>
      </c>
      <c r="AV506" s="1">
        <v>72646</v>
      </c>
      <c r="AX506" s="1">
        <v>0</v>
      </c>
      <c r="AZ506" s="1">
        <f t="shared" si="57"/>
        <v>14993775</v>
      </c>
      <c r="BB506" s="1">
        <v>535999</v>
      </c>
      <c r="BH506" s="1">
        <v>0</v>
      </c>
      <c r="BJ506" s="1">
        <f t="shared" si="58"/>
        <v>15529774</v>
      </c>
      <c r="BL506" s="1">
        <f>+GenRev!AM506-GenExp!BJ506</f>
        <v>-729624</v>
      </c>
      <c r="BN506" s="1">
        <v>3710677</v>
      </c>
      <c r="BP506" s="1">
        <v>0</v>
      </c>
      <c r="BQ506" s="1">
        <v>0</v>
      </c>
      <c r="BS506" s="1">
        <f t="shared" si="59"/>
        <v>2981053</v>
      </c>
      <c r="BU506" s="20">
        <f>+BS506-'Gen Fd BS'!AA506+BQ506</f>
        <v>0</v>
      </c>
    </row>
    <row r="507" spans="1:73">
      <c r="A507" s="12"/>
      <c r="B507" s="12"/>
      <c r="C507" s="12"/>
      <c r="D507" s="12"/>
      <c r="E507" s="13"/>
      <c r="AJ507" s="12"/>
      <c r="AK507" s="12"/>
      <c r="AL507" s="12"/>
    </row>
    <row r="508" spans="1:73">
      <c r="A508" s="12"/>
      <c r="B508" s="12"/>
      <c r="C508" s="12"/>
      <c r="D508" s="12"/>
      <c r="E508" s="13"/>
      <c r="AI508" s="20" t="s">
        <v>709</v>
      </c>
      <c r="AJ508" s="12"/>
      <c r="AK508" s="12"/>
      <c r="AL508" s="12"/>
      <c r="BS508" s="41" t="s">
        <v>709</v>
      </c>
    </row>
    <row r="509" spans="1:73">
      <c r="A509" s="12"/>
      <c r="B509" s="12"/>
      <c r="C509" s="12"/>
      <c r="D509" s="12"/>
      <c r="E509" s="13"/>
      <c r="AJ509" s="12"/>
      <c r="AK509" s="12"/>
      <c r="AL509" s="12"/>
    </row>
    <row r="510" spans="1:73">
      <c r="A510" s="12" t="s">
        <v>469</v>
      </c>
      <c r="B510" s="12"/>
      <c r="C510" s="12" t="s">
        <v>45</v>
      </c>
      <c r="D510" s="12"/>
      <c r="E510" s="13">
        <v>48363</v>
      </c>
      <c r="G510" s="16">
        <v>5091446</v>
      </c>
      <c r="H510" s="16"/>
      <c r="I510" s="16">
        <v>835316</v>
      </c>
      <c r="J510" s="16"/>
      <c r="K510" s="16">
        <v>174971</v>
      </c>
      <c r="L510" s="16"/>
      <c r="M510" s="16">
        <v>219910</v>
      </c>
      <c r="N510" s="16"/>
      <c r="O510" s="16">
        <v>336152</v>
      </c>
      <c r="P510" s="16"/>
      <c r="Q510" s="16">
        <v>612521</v>
      </c>
      <c r="R510" s="16"/>
      <c r="S510" s="16">
        <v>63718</v>
      </c>
      <c r="T510" s="16"/>
      <c r="U510" s="16">
        <v>871337</v>
      </c>
      <c r="V510" s="16"/>
      <c r="W510" s="16">
        <v>402785</v>
      </c>
      <c r="X510" s="16"/>
      <c r="Y510" s="16">
        <v>0</v>
      </c>
      <c r="Z510" s="16"/>
      <c r="AA510" s="16">
        <v>956947</v>
      </c>
      <c r="AB510" s="16"/>
      <c r="AC510" s="16">
        <v>923412</v>
      </c>
      <c r="AD510" s="16"/>
      <c r="AE510" s="16">
        <v>65888</v>
      </c>
      <c r="AF510" s="16"/>
      <c r="AG510" s="16">
        <v>0</v>
      </c>
      <c r="AH510" s="16"/>
      <c r="AI510" s="16">
        <v>1516</v>
      </c>
      <c r="AJ510" s="12" t="s">
        <v>469</v>
      </c>
      <c r="AK510" s="12"/>
      <c r="AL510" s="12" t="s">
        <v>45</v>
      </c>
      <c r="AN510" s="16">
        <v>247475</v>
      </c>
      <c r="AO510" s="16"/>
      <c r="AP510" s="16">
        <v>1212</v>
      </c>
      <c r="AQ510" s="16"/>
      <c r="AR510" s="16">
        <v>0</v>
      </c>
      <c r="AS510" s="16"/>
      <c r="AT510" s="16">
        <v>0</v>
      </c>
      <c r="AU510" s="16"/>
      <c r="AV510" s="16">
        <v>0</v>
      </c>
      <c r="AW510" s="16"/>
      <c r="AX510" s="16">
        <v>0</v>
      </c>
      <c r="AY510" s="16"/>
      <c r="AZ510" s="16">
        <f t="shared" si="57"/>
        <v>10804606</v>
      </c>
      <c r="BA510" s="16"/>
      <c r="BB510" s="16">
        <v>9724</v>
      </c>
      <c r="BC510" s="16"/>
      <c r="BD510" s="16"/>
      <c r="BE510" s="16"/>
      <c r="BF510" s="16"/>
      <c r="BG510" s="16"/>
      <c r="BH510" s="16">
        <v>0</v>
      </c>
      <c r="BI510" s="16"/>
      <c r="BJ510" s="16">
        <f t="shared" si="58"/>
        <v>10814330</v>
      </c>
      <c r="BK510" s="16"/>
      <c r="BL510" s="16">
        <f>+GenRev!AM510-GenExp!BJ510</f>
        <v>-3062</v>
      </c>
      <c r="BM510" s="16"/>
      <c r="BN510" s="16">
        <v>2170079</v>
      </c>
      <c r="BO510" s="16"/>
      <c r="BP510" s="16">
        <v>0</v>
      </c>
      <c r="BQ510" s="16">
        <v>0</v>
      </c>
      <c r="BR510" s="16"/>
      <c r="BS510" s="16">
        <f t="shared" si="59"/>
        <v>2167017</v>
      </c>
      <c r="BT510" s="16"/>
      <c r="BU510" s="72">
        <f>+BS510-'Gen Fd BS'!AA510+BQ510</f>
        <v>0</v>
      </c>
    </row>
    <row r="511" spans="1:73">
      <c r="A511" s="12" t="s">
        <v>537</v>
      </c>
      <c r="B511" s="12"/>
      <c r="C511" s="12" t="s">
        <v>56</v>
      </c>
      <c r="D511" s="12"/>
      <c r="E511" s="13">
        <v>49221</v>
      </c>
      <c r="G511" s="1">
        <v>6543235</v>
      </c>
      <c r="I511" s="1">
        <v>1537848</v>
      </c>
      <c r="K511" s="1">
        <v>102120</v>
      </c>
      <c r="M511" s="1">
        <f>35230+960187</f>
        <v>995417</v>
      </c>
      <c r="O511" s="1">
        <v>1234386</v>
      </c>
      <c r="Q511" s="1">
        <v>415510</v>
      </c>
      <c r="S511" s="1">
        <v>32832</v>
      </c>
      <c r="U511" s="1">
        <v>1317992</v>
      </c>
      <c r="W511" s="1">
        <v>409138</v>
      </c>
      <c r="Y511" s="1">
        <v>97234</v>
      </c>
      <c r="AA511" s="1">
        <v>1306904</v>
      </c>
      <c r="AC511" s="1">
        <v>1521054</v>
      </c>
      <c r="AE511" s="1">
        <v>89207</v>
      </c>
      <c r="AG511" s="1">
        <v>5</v>
      </c>
      <c r="AI511" s="1">
        <v>0</v>
      </c>
      <c r="AJ511" s="12" t="s">
        <v>537</v>
      </c>
      <c r="AK511" s="12"/>
      <c r="AL511" s="12" t="s">
        <v>56</v>
      </c>
      <c r="AN511" s="1">
        <v>381773</v>
      </c>
      <c r="AP511" s="1">
        <v>0</v>
      </c>
      <c r="AR511" s="1">
        <v>0</v>
      </c>
      <c r="AT511" s="1">
        <v>14361</v>
      </c>
      <c r="AV511" s="1">
        <v>1899</v>
      </c>
      <c r="AX511" s="1">
        <v>0</v>
      </c>
      <c r="AZ511" s="1">
        <f t="shared" si="57"/>
        <v>16000915</v>
      </c>
      <c r="BB511" s="1">
        <v>0</v>
      </c>
      <c r="BH511" s="1">
        <v>0</v>
      </c>
      <c r="BJ511" s="1">
        <f t="shared" si="58"/>
        <v>16000915</v>
      </c>
      <c r="BL511" s="1">
        <f>+GenRev!AM511-GenExp!BJ511</f>
        <v>2461799</v>
      </c>
      <c r="BN511" s="1">
        <v>3359761</v>
      </c>
      <c r="BP511" s="1">
        <v>0</v>
      </c>
      <c r="BQ511" s="1">
        <v>0</v>
      </c>
      <c r="BS511" s="1">
        <f t="shared" si="59"/>
        <v>5821560</v>
      </c>
      <c r="BU511" s="20">
        <f>+BS511-'Gen Fd BS'!AA511+BQ511</f>
        <v>0</v>
      </c>
    </row>
    <row r="512" spans="1:73">
      <c r="A512" s="12" t="s">
        <v>537</v>
      </c>
      <c r="B512" s="12"/>
      <c r="C512" s="12" t="s">
        <v>71</v>
      </c>
      <c r="D512" s="12"/>
      <c r="E512" s="13">
        <v>50583</v>
      </c>
      <c r="G512" s="1">
        <v>6804592</v>
      </c>
      <c r="I512" s="1">
        <v>996884</v>
      </c>
      <c r="K512" s="1">
        <v>333608</v>
      </c>
      <c r="M512" s="1">
        <f>12199+431040</f>
        <v>443239</v>
      </c>
      <c r="O512" s="1">
        <v>313815</v>
      </c>
      <c r="Q512" s="1">
        <v>312942</v>
      </c>
      <c r="S512" s="1">
        <v>33245</v>
      </c>
      <c r="U512" s="1">
        <v>1586992</v>
      </c>
      <c r="W512" s="1">
        <v>329180</v>
      </c>
      <c r="Y512" s="1">
        <v>0</v>
      </c>
      <c r="AA512" s="1">
        <v>949573</v>
      </c>
      <c r="AC512" s="1">
        <v>1031651</v>
      </c>
      <c r="AE512" s="1">
        <v>66846</v>
      </c>
      <c r="AG512" s="1">
        <v>0</v>
      </c>
      <c r="AI512" s="1">
        <v>0</v>
      </c>
      <c r="AJ512" s="12" t="s">
        <v>537</v>
      </c>
      <c r="AK512" s="12"/>
      <c r="AL512" s="12" t="s">
        <v>71</v>
      </c>
      <c r="AN512" s="1">
        <v>298365</v>
      </c>
      <c r="AP512" s="1">
        <v>0</v>
      </c>
      <c r="AR512" s="1">
        <v>0</v>
      </c>
      <c r="AT512" s="1">
        <v>51692</v>
      </c>
      <c r="AV512" s="1">
        <v>9322</v>
      </c>
      <c r="AX512" s="1">
        <v>0</v>
      </c>
      <c r="AZ512" s="1">
        <f t="shared" si="57"/>
        <v>13561946</v>
      </c>
      <c r="BB512" s="1">
        <v>0</v>
      </c>
      <c r="BH512" s="1">
        <v>0</v>
      </c>
      <c r="BJ512" s="1">
        <f t="shared" si="58"/>
        <v>13561946</v>
      </c>
      <c r="BL512" s="1">
        <f>+GenRev!AM512-GenExp!BJ512</f>
        <v>-741697</v>
      </c>
      <c r="BN512" s="1">
        <v>453639</v>
      </c>
      <c r="BP512" s="1">
        <v>0</v>
      </c>
      <c r="BQ512" s="1">
        <v>0</v>
      </c>
      <c r="BS512" s="1">
        <f t="shared" si="59"/>
        <v>-288058</v>
      </c>
      <c r="BU512" s="20">
        <f>+BS512-'Gen Fd BS'!AA512+BQ512</f>
        <v>0</v>
      </c>
    </row>
    <row r="513" spans="1:73">
      <c r="A513" s="12" t="s">
        <v>249</v>
      </c>
      <c r="B513" s="12"/>
      <c r="C513" s="12" t="s">
        <v>17</v>
      </c>
      <c r="D513" s="12"/>
      <c r="E513" s="13">
        <v>46276</v>
      </c>
      <c r="F513" s="8"/>
      <c r="G513" s="1">
        <v>3294274</v>
      </c>
      <c r="I513" s="1">
        <v>433281</v>
      </c>
      <c r="K513" s="1">
        <v>216603</v>
      </c>
      <c r="M513" s="1">
        <v>19583</v>
      </c>
      <c r="O513" s="1">
        <v>364423</v>
      </c>
      <c r="Q513" s="1">
        <v>281887</v>
      </c>
      <c r="S513" s="1">
        <v>31500</v>
      </c>
      <c r="U513" s="1">
        <v>607402</v>
      </c>
      <c r="W513" s="1">
        <v>269406</v>
      </c>
      <c r="Y513" s="1">
        <v>0</v>
      </c>
      <c r="AA513" s="1">
        <v>540781</v>
      </c>
      <c r="AC513" s="1">
        <v>492364</v>
      </c>
      <c r="AE513" s="1">
        <v>15275</v>
      </c>
      <c r="AG513" s="1">
        <v>0</v>
      </c>
      <c r="AI513" s="1">
        <v>0</v>
      </c>
      <c r="AJ513" s="12" t="s">
        <v>249</v>
      </c>
      <c r="AK513" s="12"/>
      <c r="AL513" s="12" t="s">
        <v>17</v>
      </c>
      <c r="AN513" s="1">
        <v>204082</v>
      </c>
      <c r="AP513" s="1">
        <v>3000</v>
      </c>
      <c r="AR513" s="1">
        <v>0</v>
      </c>
      <c r="AT513" s="1">
        <v>61567</v>
      </c>
      <c r="AV513" s="1">
        <v>4553</v>
      </c>
      <c r="AX513" s="1">
        <v>0</v>
      </c>
      <c r="AZ513" s="1">
        <f t="shared" si="57"/>
        <v>6839981</v>
      </c>
      <c r="BB513" s="1">
        <v>0</v>
      </c>
      <c r="BH513" s="1">
        <v>0</v>
      </c>
      <c r="BJ513" s="1">
        <f t="shared" si="58"/>
        <v>6839981</v>
      </c>
      <c r="BL513" s="1">
        <f>+GenRev!AM513-GenExp!BJ513</f>
        <v>462780</v>
      </c>
      <c r="BN513" s="1">
        <v>4933278</v>
      </c>
      <c r="BP513" s="1">
        <v>0</v>
      </c>
      <c r="BQ513" s="1">
        <v>0</v>
      </c>
      <c r="BS513" s="1">
        <f t="shared" si="59"/>
        <v>5396058</v>
      </c>
      <c r="BU513" s="20">
        <f>+BS513-'Gen Fd BS'!AA513+BQ513</f>
        <v>0</v>
      </c>
    </row>
    <row r="514" spans="1:73">
      <c r="A514" s="12" t="s">
        <v>249</v>
      </c>
      <c r="B514" s="12"/>
      <c r="C514" s="12" t="s">
        <v>58</v>
      </c>
      <c r="D514" s="12"/>
      <c r="E514" s="13">
        <v>49528</v>
      </c>
      <c r="G514" s="1">
        <v>4799159</v>
      </c>
      <c r="I514" s="1">
        <v>1011045</v>
      </c>
      <c r="K514" s="1">
        <v>0</v>
      </c>
      <c r="M514" s="1">
        <v>0</v>
      </c>
      <c r="O514" s="1">
        <v>495034</v>
      </c>
      <c r="Q514" s="1">
        <v>209719</v>
      </c>
      <c r="S514" s="1">
        <v>11854</v>
      </c>
      <c r="U514" s="1">
        <v>585002</v>
      </c>
      <c r="W514" s="1">
        <v>177496</v>
      </c>
      <c r="Y514" s="1">
        <v>139187</v>
      </c>
      <c r="AA514" s="1">
        <v>768054</v>
      </c>
      <c r="AC514" s="1">
        <v>905355</v>
      </c>
      <c r="AE514" s="1">
        <v>67553</v>
      </c>
      <c r="AG514" s="1">
        <v>0</v>
      </c>
      <c r="AI514" s="1">
        <v>0</v>
      </c>
      <c r="AJ514" s="12" t="s">
        <v>249</v>
      </c>
      <c r="AK514" s="12"/>
      <c r="AL514" s="12" t="s">
        <v>58</v>
      </c>
      <c r="AN514" s="1">
        <v>187587</v>
      </c>
      <c r="AP514" s="1">
        <v>0</v>
      </c>
      <c r="AR514" s="1">
        <v>0</v>
      </c>
      <c r="AT514" s="1">
        <v>34000</v>
      </c>
      <c r="AV514" s="1">
        <v>71983</v>
      </c>
      <c r="AX514" s="1">
        <v>0</v>
      </c>
      <c r="AZ514" s="1">
        <f t="shared" si="57"/>
        <v>9463028</v>
      </c>
      <c r="BB514" s="1">
        <v>14000</v>
      </c>
      <c r="BH514" s="1">
        <v>0</v>
      </c>
      <c r="BJ514" s="1">
        <f t="shared" si="58"/>
        <v>9477028</v>
      </c>
      <c r="BL514" s="1">
        <f>+GenRev!AM514-GenExp!BJ514</f>
        <v>1102832</v>
      </c>
      <c r="BN514" s="1">
        <v>4608043</v>
      </c>
      <c r="BP514" s="1">
        <v>0</v>
      </c>
      <c r="BQ514" s="1">
        <v>0</v>
      </c>
      <c r="BS514" s="1">
        <f t="shared" si="59"/>
        <v>5710875</v>
      </c>
      <c r="BU514" s="20">
        <f>+BS514-'Gen Fd BS'!AA514+BQ514</f>
        <v>0</v>
      </c>
    </row>
    <row r="515" spans="1:73">
      <c r="A515" s="12" t="s">
        <v>269</v>
      </c>
      <c r="B515" s="12"/>
      <c r="C515" s="12" t="s">
        <v>114</v>
      </c>
      <c r="D515" s="12"/>
      <c r="E515" s="13">
        <v>46441</v>
      </c>
      <c r="G515" s="1">
        <v>3244568</v>
      </c>
      <c r="I515" s="1">
        <v>498955</v>
      </c>
      <c r="K515" s="1">
        <v>263291</v>
      </c>
      <c r="M515" s="1">
        <v>4880</v>
      </c>
      <c r="O515" s="1">
        <v>395694</v>
      </c>
      <c r="Q515" s="1">
        <v>248358</v>
      </c>
      <c r="S515" s="1">
        <v>1279583</v>
      </c>
      <c r="U515" s="1">
        <v>709851</v>
      </c>
      <c r="W515" s="1">
        <v>230214</v>
      </c>
      <c r="Y515" s="1">
        <v>55845</v>
      </c>
      <c r="AA515" s="1">
        <v>813129</v>
      </c>
      <c r="AC515" s="1">
        <v>738358</v>
      </c>
      <c r="AE515" s="1">
        <v>0</v>
      </c>
      <c r="AG515" s="1">
        <v>0</v>
      </c>
      <c r="AI515" s="1">
        <v>0</v>
      </c>
      <c r="AJ515" s="12" t="s">
        <v>269</v>
      </c>
      <c r="AK515" s="12"/>
      <c r="AL515" s="12" t="s">
        <v>114</v>
      </c>
      <c r="AN515" s="1">
        <v>134165</v>
      </c>
      <c r="AP515" s="1">
        <v>43707</v>
      </c>
      <c r="AR515" s="1">
        <v>0</v>
      </c>
      <c r="AT515" s="1">
        <v>9640</v>
      </c>
      <c r="AV515" s="1">
        <v>2791</v>
      </c>
      <c r="AX515" s="1">
        <v>0</v>
      </c>
      <c r="AZ515" s="1">
        <f>SUM(G515:AX515)</f>
        <v>8673029</v>
      </c>
      <c r="BB515" s="1">
        <v>60000</v>
      </c>
      <c r="BH515" s="1">
        <v>0</v>
      </c>
      <c r="BJ515" s="1">
        <f>+AZ515+BB515+BD515+BH515</f>
        <v>8733029</v>
      </c>
      <c r="BL515" s="1">
        <f>+GenRev!AM515-GenExp!BJ515</f>
        <v>-253500</v>
      </c>
      <c r="BN515" s="1">
        <v>232528</v>
      </c>
      <c r="BP515" s="1">
        <v>0</v>
      </c>
      <c r="BQ515" s="1">
        <v>0</v>
      </c>
      <c r="BS515" s="1">
        <f>+BN515+BL515-BP515</f>
        <v>-20972</v>
      </c>
      <c r="BU515" s="20">
        <f>+BS515-'Gen Fd BS'!AA515+BQ515</f>
        <v>0</v>
      </c>
    </row>
    <row r="516" spans="1:73">
      <c r="A516" s="12" t="s">
        <v>269</v>
      </c>
      <c r="B516" s="12"/>
      <c r="C516" s="12" t="s">
        <v>484</v>
      </c>
      <c r="D516" s="12"/>
      <c r="E516" s="13">
        <v>46441</v>
      </c>
      <c r="G516" s="1">
        <v>2629089</v>
      </c>
      <c r="I516" s="1">
        <v>548326</v>
      </c>
      <c r="K516" s="1">
        <v>189268</v>
      </c>
      <c r="M516" s="1">
        <v>0</v>
      </c>
      <c r="O516" s="1">
        <v>234353</v>
      </c>
      <c r="Q516" s="1">
        <v>272862</v>
      </c>
      <c r="S516" s="1">
        <v>23837</v>
      </c>
      <c r="U516" s="1">
        <v>338049</v>
      </c>
      <c r="W516" s="1">
        <v>278076</v>
      </c>
      <c r="Y516" s="1">
        <v>0</v>
      </c>
      <c r="AA516" s="1">
        <v>539449</v>
      </c>
      <c r="AC516" s="1">
        <v>827875</v>
      </c>
      <c r="AE516" s="1">
        <v>53279</v>
      </c>
      <c r="AG516" s="1">
        <v>0</v>
      </c>
      <c r="AI516" s="1">
        <v>0</v>
      </c>
      <c r="AJ516" s="12" t="s">
        <v>269</v>
      </c>
      <c r="AK516" s="12"/>
      <c r="AL516" s="12" t="s">
        <v>484</v>
      </c>
      <c r="AN516" s="1">
        <v>92437</v>
      </c>
      <c r="AP516" s="1">
        <v>0</v>
      </c>
      <c r="AR516" s="1">
        <v>0</v>
      </c>
      <c r="AT516" s="1">
        <v>10765</v>
      </c>
      <c r="AV516" s="1">
        <v>1424</v>
      </c>
      <c r="AX516" s="1">
        <v>0</v>
      </c>
      <c r="AZ516" s="1">
        <f t="shared" si="57"/>
        <v>6039089</v>
      </c>
      <c r="BB516" s="1">
        <v>66878</v>
      </c>
      <c r="BH516" s="1">
        <v>0</v>
      </c>
      <c r="BJ516" s="1">
        <f t="shared" si="58"/>
        <v>6105967</v>
      </c>
      <c r="BL516" s="1">
        <f>+GenRev!AM516-GenExp!BJ516</f>
        <v>-1080</v>
      </c>
      <c r="BN516" s="1">
        <v>1306613</v>
      </c>
      <c r="BP516" s="1">
        <v>0</v>
      </c>
      <c r="BQ516" s="1">
        <v>0</v>
      </c>
      <c r="BS516" s="1">
        <f t="shared" si="59"/>
        <v>1305533</v>
      </c>
      <c r="BU516" s="20">
        <f>+BS516-'Gen Fd BS'!AA516+BQ516</f>
        <v>0</v>
      </c>
    </row>
    <row r="517" spans="1:73" hidden="1">
      <c r="A517" s="12" t="s">
        <v>873</v>
      </c>
      <c r="B517" s="12"/>
      <c r="C517" s="12" t="s">
        <v>524</v>
      </c>
      <c r="D517" s="12"/>
      <c r="E517" s="13"/>
      <c r="AJ517" s="12" t="s">
        <v>873</v>
      </c>
      <c r="AK517" s="12"/>
      <c r="AL517" s="12" t="s">
        <v>524</v>
      </c>
      <c r="AZ517" s="1">
        <f t="shared" si="57"/>
        <v>0</v>
      </c>
      <c r="BJ517" s="1">
        <f t="shared" si="58"/>
        <v>0</v>
      </c>
      <c r="BL517" s="1">
        <f>+GenRev!AM517-GenExp!BJ517</f>
        <v>0</v>
      </c>
      <c r="BS517" s="1">
        <f t="shared" si="59"/>
        <v>0</v>
      </c>
      <c r="BU517" s="20">
        <f>+BS517-'Gen Fd BS'!AA517+BQ517</f>
        <v>0</v>
      </c>
    </row>
    <row r="518" spans="1:73">
      <c r="A518" s="12" t="s">
        <v>615</v>
      </c>
      <c r="B518" s="12"/>
      <c r="C518" s="12" t="s">
        <v>64</v>
      </c>
      <c r="D518" s="12"/>
      <c r="E518" s="13">
        <v>50237</v>
      </c>
      <c r="G518" s="1">
        <v>2448578</v>
      </c>
      <c r="I518" s="1">
        <v>126615</v>
      </c>
      <c r="K518" s="1">
        <v>0</v>
      </c>
      <c r="M518" s="1">
        <v>0</v>
      </c>
      <c r="O518" s="1">
        <v>546541</v>
      </c>
      <c r="Q518" s="1">
        <v>126932</v>
      </c>
      <c r="S518" s="1">
        <v>74749</v>
      </c>
      <c r="U518" s="1">
        <v>458771</v>
      </c>
      <c r="W518" s="1">
        <v>234186</v>
      </c>
      <c r="Y518" s="1">
        <v>19915</v>
      </c>
      <c r="AA518" s="1">
        <v>345717</v>
      </c>
      <c r="AC518" s="1">
        <v>301758</v>
      </c>
      <c r="AE518" s="1">
        <v>0</v>
      </c>
      <c r="AG518" s="1">
        <v>0</v>
      </c>
      <c r="AI518" s="1">
        <v>0</v>
      </c>
      <c r="AJ518" s="12" t="s">
        <v>615</v>
      </c>
      <c r="AK518" s="12"/>
      <c r="AL518" s="12" t="s">
        <v>64</v>
      </c>
      <c r="AN518" s="1">
        <v>58633</v>
      </c>
      <c r="AP518" s="1">
        <v>0</v>
      </c>
      <c r="AR518" s="1">
        <v>0</v>
      </c>
      <c r="AT518" s="1">
        <v>0</v>
      </c>
      <c r="AV518" s="1">
        <v>0</v>
      </c>
      <c r="AX518" s="1">
        <v>0</v>
      </c>
      <c r="AZ518" s="1">
        <f t="shared" si="57"/>
        <v>4742395</v>
      </c>
      <c r="BB518" s="1">
        <v>0</v>
      </c>
      <c r="BH518" s="1">
        <v>0</v>
      </c>
      <c r="BJ518" s="1">
        <f t="shared" si="58"/>
        <v>4742395</v>
      </c>
      <c r="BL518" s="1">
        <f>+GenRev!AM518-GenExp!BJ518</f>
        <v>139871</v>
      </c>
      <c r="BN518" s="1">
        <v>709949</v>
      </c>
      <c r="BP518" s="1">
        <v>0</v>
      </c>
      <c r="BQ518" s="1">
        <v>0</v>
      </c>
      <c r="BS518" s="1">
        <f t="shared" si="59"/>
        <v>849820</v>
      </c>
      <c r="BU518" s="20">
        <f>+BS518-'Gen Fd BS'!AA518+BQ518</f>
        <v>0</v>
      </c>
    </row>
    <row r="519" spans="1:73">
      <c r="A519" s="12" t="s">
        <v>434</v>
      </c>
      <c r="B519" s="12"/>
      <c r="C519" s="12" t="s">
        <v>42</v>
      </c>
      <c r="D519" s="12"/>
      <c r="E519" s="13">
        <v>48041</v>
      </c>
      <c r="F519" s="8"/>
      <c r="G519" s="1">
        <v>14635971</v>
      </c>
      <c r="I519" s="1">
        <v>2825964</v>
      </c>
      <c r="K519" s="1">
        <v>479805</v>
      </c>
      <c r="M519" s="1">
        <v>1692779</v>
      </c>
      <c r="O519" s="1">
        <v>2028028</v>
      </c>
      <c r="Q519" s="1">
        <v>1548354</v>
      </c>
      <c r="S519" s="1">
        <v>52388</v>
      </c>
      <c r="U519" s="1">
        <v>3017346</v>
      </c>
      <c r="W519" s="1">
        <v>851924</v>
      </c>
      <c r="Y519" s="1">
        <v>85499</v>
      </c>
      <c r="AA519" s="1">
        <v>2244584</v>
      </c>
      <c r="AC519" s="1">
        <v>2334777</v>
      </c>
      <c r="AE519" s="1">
        <v>573523</v>
      </c>
      <c r="AG519" s="1">
        <v>0</v>
      </c>
      <c r="AI519" s="1">
        <v>1176</v>
      </c>
      <c r="AJ519" s="12" t="s">
        <v>434</v>
      </c>
      <c r="AK519" s="12"/>
      <c r="AL519" s="12" t="s">
        <v>42</v>
      </c>
      <c r="AN519" s="1">
        <v>522285</v>
      </c>
      <c r="AP519" s="1">
        <v>0</v>
      </c>
      <c r="AR519" s="1">
        <v>0</v>
      </c>
      <c r="AT519" s="1">
        <v>0</v>
      </c>
      <c r="AV519" s="1">
        <v>0</v>
      </c>
      <c r="AX519" s="1">
        <v>0</v>
      </c>
      <c r="AZ519" s="1">
        <f t="shared" si="57"/>
        <v>32894403</v>
      </c>
      <c r="BB519" s="1">
        <v>0</v>
      </c>
      <c r="BH519" s="1">
        <v>0</v>
      </c>
      <c r="BJ519" s="1">
        <f t="shared" si="58"/>
        <v>32894403</v>
      </c>
      <c r="BL519" s="1">
        <f>+GenRev!AM519-GenExp!BJ519</f>
        <v>228405</v>
      </c>
      <c r="BN519" s="1">
        <v>5301507</v>
      </c>
      <c r="BP519" s="1">
        <v>0</v>
      </c>
      <c r="BQ519" s="1">
        <v>0</v>
      </c>
      <c r="BS519" s="1">
        <f t="shared" si="59"/>
        <v>5529912</v>
      </c>
      <c r="BU519" s="20">
        <f>+BS519-'Gen Fd BS'!AA519+BQ519</f>
        <v>0</v>
      </c>
    </row>
    <row r="520" spans="1:73">
      <c r="A520" s="12" t="s">
        <v>374</v>
      </c>
      <c r="B520" s="12"/>
      <c r="C520" s="12" t="s">
        <v>32</v>
      </c>
      <c r="D520" s="12"/>
      <c r="E520" s="13">
        <v>47381</v>
      </c>
      <c r="G520" s="1">
        <v>13854110</v>
      </c>
      <c r="I520" s="1">
        <v>2860372</v>
      </c>
      <c r="K520" s="1">
        <v>5015</v>
      </c>
      <c r="M520" s="1">
        <v>462385</v>
      </c>
      <c r="O520" s="1">
        <v>1427827</v>
      </c>
      <c r="Q520" s="1">
        <v>865690</v>
      </c>
      <c r="S520" s="1">
        <v>68406</v>
      </c>
      <c r="U520" s="1">
        <v>2385211</v>
      </c>
      <c r="W520" s="1">
        <v>933996</v>
      </c>
      <c r="Y520" s="1">
        <v>0</v>
      </c>
      <c r="AA520" s="1">
        <v>3609812</v>
      </c>
      <c r="AC520" s="1">
        <v>1698131</v>
      </c>
      <c r="AE520" s="1">
        <v>22983</v>
      </c>
      <c r="AG520" s="1">
        <v>0</v>
      </c>
      <c r="AI520" s="1">
        <v>0</v>
      </c>
      <c r="AJ520" s="12" t="s">
        <v>374</v>
      </c>
      <c r="AK520" s="12"/>
      <c r="AL520" s="12" t="s">
        <v>32</v>
      </c>
      <c r="AN520" s="1">
        <v>578926</v>
      </c>
      <c r="AP520" s="1">
        <v>0</v>
      </c>
      <c r="AR520" s="1">
        <v>0</v>
      </c>
      <c r="AT520" s="1">
        <v>800000</v>
      </c>
      <c r="AV520" s="1">
        <v>31063</v>
      </c>
      <c r="AX520" s="1">
        <v>0</v>
      </c>
      <c r="AZ520" s="1">
        <f t="shared" si="57"/>
        <v>29603927</v>
      </c>
      <c r="BB520" s="1">
        <v>0</v>
      </c>
      <c r="BH520" s="1">
        <v>0</v>
      </c>
      <c r="BJ520" s="1">
        <f t="shared" si="58"/>
        <v>29603927</v>
      </c>
      <c r="BL520" s="1">
        <f>+GenRev!AM520-GenExp!BJ520</f>
        <v>461707</v>
      </c>
      <c r="BN520" s="1">
        <v>-702454</v>
      </c>
      <c r="BP520" s="1">
        <v>0</v>
      </c>
      <c r="BQ520" s="1">
        <v>0</v>
      </c>
      <c r="BS520" s="1">
        <f t="shared" si="59"/>
        <v>-240747</v>
      </c>
      <c r="BU520" s="20">
        <f>+BS520-'Gen Fd BS'!AA520+BQ520</f>
        <v>0</v>
      </c>
    </row>
    <row r="521" spans="1:73">
      <c r="A521" s="12" t="s">
        <v>340</v>
      </c>
      <c r="B521" s="12"/>
      <c r="C521" s="12" t="s">
        <v>27</v>
      </c>
      <c r="D521" s="12"/>
      <c r="E521" s="13">
        <v>44800</v>
      </c>
      <c r="F521" s="8"/>
      <c r="G521" s="1">
        <v>91782238</v>
      </c>
      <c r="I521" s="1">
        <v>18817793</v>
      </c>
      <c r="K521" s="1">
        <v>4997187</v>
      </c>
      <c r="M521" s="1">
        <v>465143</v>
      </c>
      <c r="O521" s="1">
        <v>8005228</v>
      </c>
      <c r="Q521" s="1">
        <v>9727463</v>
      </c>
      <c r="S521" s="1">
        <v>43974</v>
      </c>
      <c r="U521" s="1">
        <v>14309649</v>
      </c>
      <c r="W521" s="1">
        <v>2913039</v>
      </c>
      <c r="Y521" s="1">
        <v>490840</v>
      </c>
      <c r="AA521" s="1">
        <v>15759042</v>
      </c>
      <c r="AC521" s="1">
        <v>10643649</v>
      </c>
      <c r="AE521" s="1">
        <v>2968751</v>
      </c>
      <c r="AG521" s="1">
        <v>0</v>
      </c>
      <c r="AI521" s="1">
        <v>106229</v>
      </c>
      <c r="AJ521" s="12" t="s">
        <v>340</v>
      </c>
      <c r="AK521" s="12"/>
      <c r="AL521" s="12" t="s">
        <v>27</v>
      </c>
      <c r="AN521" s="1">
        <v>1596829</v>
      </c>
      <c r="AP521" s="1">
        <v>534352</v>
      </c>
      <c r="AR521" s="1">
        <v>0</v>
      </c>
      <c r="AT521" s="1">
        <v>0</v>
      </c>
      <c r="AV521" s="1">
        <v>0</v>
      </c>
      <c r="AX521" s="1">
        <v>0</v>
      </c>
      <c r="AZ521" s="1">
        <f t="shared" si="57"/>
        <v>183161406</v>
      </c>
      <c r="BB521" s="1">
        <v>1069376</v>
      </c>
      <c r="BH521" s="1">
        <v>0</v>
      </c>
      <c r="BJ521" s="1">
        <f t="shared" si="58"/>
        <v>184230782</v>
      </c>
      <c r="BL521" s="1">
        <f>+GenRev!AM521-GenExp!BJ521</f>
        <v>22089686</v>
      </c>
      <c r="BN521" s="1">
        <v>33227453</v>
      </c>
      <c r="BP521" s="1">
        <v>0</v>
      </c>
      <c r="BQ521" s="1">
        <v>0</v>
      </c>
      <c r="BS521" s="1">
        <f t="shared" si="59"/>
        <v>55317139</v>
      </c>
      <c r="BU521" s="20">
        <f>+BS521-'Gen Fd BS'!AA521+BQ521</f>
        <v>0</v>
      </c>
    </row>
    <row r="522" spans="1:73" hidden="1">
      <c r="A522" s="17" t="s">
        <v>875</v>
      </c>
      <c r="B522" s="12"/>
      <c r="C522" s="12" t="s">
        <v>10</v>
      </c>
      <c r="D522" s="12"/>
      <c r="E522" s="13">
        <v>45807</v>
      </c>
      <c r="AJ522" s="17" t="s">
        <v>875</v>
      </c>
      <c r="AK522" s="12"/>
      <c r="AL522" s="12" t="s">
        <v>10</v>
      </c>
      <c r="AZ522" s="1">
        <f t="shared" si="57"/>
        <v>0</v>
      </c>
      <c r="BJ522" s="1">
        <f t="shared" si="58"/>
        <v>0</v>
      </c>
      <c r="BL522" s="1">
        <f>+GenRev!AM522-GenExp!BJ522</f>
        <v>0</v>
      </c>
      <c r="BS522" s="1">
        <f t="shared" si="59"/>
        <v>0</v>
      </c>
      <c r="BU522" s="20">
        <f>+BS522-'Gen Fd BS'!AA522+BQ522</f>
        <v>0</v>
      </c>
    </row>
    <row r="523" spans="1:73" hidden="1">
      <c r="A523" s="17" t="s">
        <v>874</v>
      </c>
      <c r="B523" s="12"/>
      <c r="C523" s="12" t="s">
        <v>69</v>
      </c>
      <c r="D523" s="12"/>
      <c r="E523" s="13">
        <v>50427</v>
      </c>
      <c r="AJ523" s="17" t="s">
        <v>874</v>
      </c>
      <c r="AK523" s="12"/>
      <c r="AL523" s="12" t="s">
        <v>69</v>
      </c>
      <c r="AZ523" s="1">
        <f t="shared" si="57"/>
        <v>0</v>
      </c>
      <c r="BJ523" s="1">
        <f t="shared" si="58"/>
        <v>0</v>
      </c>
      <c r="BL523" s="1">
        <f>+GenRev!AM523-GenExp!BJ523</f>
        <v>0</v>
      </c>
      <c r="BS523" s="1">
        <f t="shared" si="59"/>
        <v>0</v>
      </c>
      <c r="BU523" s="20">
        <f>+BS523-'Gen Fd BS'!AA523+BQ523</f>
        <v>0</v>
      </c>
    </row>
    <row r="524" spans="1:73">
      <c r="A524" s="17" t="s">
        <v>761</v>
      </c>
      <c r="B524" s="17"/>
      <c r="C524" s="17" t="s">
        <v>17</v>
      </c>
      <c r="D524" s="17"/>
      <c r="E524" s="13"/>
      <c r="G524" s="1">
        <v>34400580</v>
      </c>
      <c r="I524" s="1">
        <v>7331583</v>
      </c>
      <c r="K524" s="1">
        <v>198329</v>
      </c>
      <c r="M524" s="1">
        <v>981705</v>
      </c>
      <c r="O524" s="1">
        <v>4115346</v>
      </c>
      <c r="Q524" s="1">
        <v>1871704</v>
      </c>
      <c r="S524" s="1">
        <v>322573</v>
      </c>
      <c r="U524" s="1">
        <v>5118945</v>
      </c>
      <c r="W524" s="1">
        <v>1416136</v>
      </c>
      <c r="Y524" s="1">
        <v>576928</v>
      </c>
      <c r="AA524" s="1">
        <v>6815343</v>
      </c>
      <c r="AC524" s="1">
        <v>2098924</v>
      </c>
      <c r="AE524" s="1">
        <v>474135</v>
      </c>
      <c r="AG524" s="1">
        <v>0</v>
      </c>
      <c r="AI524" s="1">
        <v>0</v>
      </c>
      <c r="AJ524" s="17" t="s">
        <v>761</v>
      </c>
      <c r="AK524" s="12"/>
      <c r="AL524" s="12" t="s">
        <v>17</v>
      </c>
      <c r="AN524" s="1">
        <v>477244</v>
      </c>
      <c r="AP524" s="1">
        <v>55185</v>
      </c>
      <c r="AR524" s="1">
        <v>0</v>
      </c>
      <c r="AT524" s="1">
        <v>65984</v>
      </c>
      <c r="AV524" s="1">
        <v>231987</v>
      </c>
      <c r="AX524" s="1">
        <v>0</v>
      </c>
      <c r="AZ524" s="1">
        <f t="shared" si="57"/>
        <v>66552631</v>
      </c>
      <c r="BB524" s="1">
        <v>6600</v>
      </c>
      <c r="BH524" s="1">
        <v>0</v>
      </c>
      <c r="BJ524" s="1">
        <f t="shared" si="58"/>
        <v>66559231</v>
      </c>
      <c r="BL524" s="1">
        <f>+GenRev!AM524-GenExp!BJ524</f>
        <v>10741747</v>
      </c>
      <c r="BN524" s="1">
        <v>11121054</v>
      </c>
      <c r="BP524" s="1">
        <v>0</v>
      </c>
      <c r="BQ524" s="1">
        <v>0</v>
      </c>
      <c r="BS524" s="1">
        <f t="shared" si="59"/>
        <v>21862801</v>
      </c>
      <c r="BU524" s="20">
        <f>+BS524-'Gen Fd BS'!AA524+BQ524</f>
        <v>0</v>
      </c>
    </row>
    <row r="525" spans="1:73">
      <c r="A525" s="17" t="s">
        <v>453</v>
      </c>
      <c r="B525" s="12"/>
      <c r="C525" s="12" t="s">
        <v>117</v>
      </c>
      <c r="D525" s="12"/>
      <c r="E525" s="13">
        <v>48223</v>
      </c>
      <c r="G525" s="1">
        <v>16785129</v>
      </c>
      <c r="I525" s="1">
        <v>3913434</v>
      </c>
      <c r="K525" s="1">
        <v>299716</v>
      </c>
      <c r="M525" s="1">
        <f>1582474+737005</f>
        <v>2319479</v>
      </c>
      <c r="O525" s="1">
        <v>1601843</v>
      </c>
      <c r="Q525" s="1">
        <v>557394</v>
      </c>
      <c r="S525" s="1">
        <v>29758</v>
      </c>
      <c r="U525" s="1">
        <v>2796716</v>
      </c>
      <c r="W525" s="1">
        <v>795543</v>
      </c>
      <c r="Y525" s="1">
        <v>0</v>
      </c>
      <c r="AA525" s="1">
        <v>2991708</v>
      </c>
      <c r="AC525" s="1">
        <v>1936389</v>
      </c>
      <c r="AE525" s="1">
        <v>114227</v>
      </c>
      <c r="AG525" s="1">
        <v>0</v>
      </c>
      <c r="AI525" s="1">
        <v>0</v>
      </c>
      <c r="AJ525" s="12" t="s">
        <v>453</v>
      </c>
      <c r="AK525" s="12"/>
      <c r="AL525" s="12" t="s">
        <v>117</v>
      </c>
      <c r="AN525" s="1">
        <v>665715</v>
      </c>
      <c r="AP525" s="1">
        <v>0</v>
      </c>
      <c r="AR525" s="1">
        <v>0</v>
      </c>
      <c r="AT525" s="1">
        <v>0</v>
      </c>
      <c r="AV525" s="1">
        <v>0</v>
      </c>
      <c r="AX525" s="1">
        <v>0</v>
      </c>
      <c r="AZ525" s="1">
        <f t="shared" si="57"/>
        <v>34807051</v>
      </c>
      <c r="BB525" s="1">
        <v>51781</v>
      </c>
      <c r="BH525" s="1">
        <v>0</v>
      </c>
      <c r="BJ525" s="1">
        <f t="shared" si="58"/>
        <v>34858832</v>
      </c>
      <c r="BL525" s="1">
        <f>+GenRev!AM525-GenExp!BJ525</f>
        <v>-1494814</v>
      </c>
      <c r="BN525" s="1">
        <v>-1892186</v>
      </c>
      <c r="BP525" s="1">
        <v>0</v>
      </c>
      <c r="BQ525" s="1">
        <v>0</v>
      </c>
      <c r="BS525" s="1">
        <f t="shared" si="59"/>
        <v>-3387000</v>
      </c>
      <c r="BU525" s="20">
        <f>+BS525-'Gen Fd BS'!AA525+BQ525</f>
        <v>0</v>
      </c>
    </row>
    <row r="526" spans="1:73">
      <c r="A526" s="12" t="s">
        <v>453</v>
      </c>
      <c r="B526" s="12"/>
      <c r="C526" s="12" t="s">
        <v>45</v>
      </c>
      <c r="D526" s="12"/>
      <c r="E526" s="13">
        <v>48371</v>
      </c>
      <c r="G526" s="1">
        <v>4238476</v>
      </c>
      <c r="I526" s="1">
        <v>734125</v>
      </c>
      <c r="K526" s="1">
        <v>187891</v>
      </c>
      <c r="M526" s="1">
        <v>80605</v>
      </c>
      <c r="O526" s="1">
        <v>407188</v>
      </c>
      <c r="Q526" s="1">
        <v>399612</v>
      </c>
      <c r="S526" s="1">
        <v>18541</v>
      </c>
      <c r="U526" s="1">
        <v>1207691</v>
      </c>
      <c r="W526" s="1">
        <v>305335</v>
      </c>
      <c r="Y526" s="1">
        <v>3310</v>
      </c>
      <c r="AA526" s="1">
        <v>925491</v>
      </c>
      <c r="AC526" s="1">
        <v>631808</v>
      </c>
      <c r="AE526" s="1">
        <v>27983</v>
      </c>
      <c r="AG526" s="1">
        <v>0</v>
      </c>
      <c r="AI526" s="1">
        <v>0</v>
      </c>
      <c r="AJ526" s="12" t="s">
        <v>453</v>
      </c>
      <c r="AK526" s="12"/>
      <c r="AL526" s="12" t="s">
        <v>45</v>
      </c>
      <c r="AN526" s="1">
        <v>266250</v>
      </c>
      <c r="AP526" s="1">
        <v>703633</v>
      </c>
      <c r="AR526" s="1">
        <v>0</v>
      </c>
      <c r="AT526" s="1">
        <v>2633</v>
      </c>
      <c r="AV526" s="1">
        <v>307</v>
      </c>
      <c r="AX526" s="1">
        <v>0</v>
      </c>
      <c r="AZ526" s="1">
        <f t="shared" si="57"/>
        <v>10140879</v>
      </c>
      <c r="BB526" s="1">
        <v>60000</v>
      </c>
      <c r="BH526" s="1">
        <v>0</v>
      </c>
      <c r="BJ526" s="1">
        <f t="shared" si="58"/>
        <v>10200879</v>
      </c>
      <c r="BL526" s="1">
        <f>+GenRev!AM526-GenExp!BJ526</f>
        <v>-487836</v>
      </c>
      <c r="BN526" s="1">
        <v>1683986</v>
      </c>
      <c r="BP526" s="1">
        <v>0</v>
      </c>
      <c r="BQ526" s="1">
        <v>0</v>
      </c>
      <c r="BS526" s="1">
        <f t="shared" si="59"/>
        <v>1196150</v>
      </c>
      <c r="BU526" s="20">
        <f>+BS526-'Gen Fd BS'!AA526+BQ526</f>
        <v>0</v>
      </c>
    </row>
    <row r="527" spans="1:73">
      <c r="A527" s="12" t="s">
        <v>453</v>
      </c>
      <c r="B527" s="12"/>
      <c r="C527" s="12" t="s">
        <v>63</v>
      </c>
      <c r="D527" s="12"/>
      <c r="E527" s="13">
        <v>50062</v>
      </c>
      <c r="G527" s="1">
        <v>10217034</v>
      </c>
      <c r="I527" s="1">
        <v>1847611</v>
      </c>
      <c r="K527" s="1">
        <v>284771</v>
      </c>
      <c r="M527" s="1">
        <v>2780280</v>
      </c>
      <c r="O527" s="1">
        <v>1201195</v>
      </c>
      <c r="Q527" s="1">
        <v>907730</v>
      </c>
      <c r="S527" s="1">
        <v>33173</v>
      </c>
      <c r="U527" s="1">
        <v>1571043</v>
      </c>
      <c r="W527" s="1">
        <v>630515</v>
      </c>
      <c r="Y527" s="1">
        <v>133713</v>
      </c>
      <c r="AA527" s="1">
        <v>2232008</v>
      </c>
      <c r="AC527" s="1">
        <v>1397197</v>
      </c>
      <c r="AE527" s="1">
        <v>62879</v>
      </c>
      <c r="AG527" s="1">
        <v>0</v>
      </c>
      <c r="AI527" s="1">
        <v>0</v>
      </c>
      <c r="AJ527" s="12" t="s">
        <v>453</v>
      </c>
      <c r="AK527" s="12"/>
      <c r="AL527" s="12" t="s">
        <v>63</v>
      </c>
      <c r="AN527" s="1">
        <v>330948</v>
      </c>
      <c r="AP527" s="1">
        <v>115158</v>
      </c>
      <c r="AR527" s="1">
        <v>0</v>
      </c>
      <c r="AT527" s="1">
        <v>72951</v>
      </c>
      <c r="AV527" s="1">
        <v>81193</v>
      </c>
      <c r="AX527" s="1">
        <v>0</v>
      </c>
      <c r="AZ527" s="1">
        <f t="shared" si="57"/>
        <v>23899399</v>
      </c>
      <c r="BB527" s="1">
        <v>0</v>
      </c>
      <c r="BH527" s="1">
        <v>0</v>
      </c>
      <c r="BJ527" s="1">
        <f t="shared" si="58"/>
        <v>23899399</v>
      </c>
      <c r="BL527" s="1">
        <f>+GenRev!AM527-GenExp!BJ527</f>
        <v>1108942</v>
      </c>
      <c r="BN527" s="1">
        <v>-1820816</v>
      </c>
      <c r="BP527" s="1">
        <v>0</v>
      </c>
      <c r="BQ527" s="1">
        <v>0</v>
      </c>
      <c r="BS527" s="1">
        <f t="shared" si="59"/>
        <v>-711874</v>
      </c>
      <c r="BU527" s="20">
        <f>+BS527-'Gen Fd BS'!AA527+BQ527</f>
        <v>0</v>
      </c>
    </row>
    <row r="528" spans="1:73">
      <c r="A528" s="12" t="s">
        <v>770</v>
      </c>
      <c r="B528" s="12"/>
      <c r="C528" s="12" t="s">
        <v>32</v>
      </c>
      <c r="D528" s="12"/>
      <c r="E528" s="13">
        <v>44719</v>
      </c>
      <c r="G528" s="1">
        <v>4651081</v>
      </c>
      <c r="I528" s="1">
        <v>1180211</v>
      </c>
      <c r="K528" s="1">
        <v>0</v>
      </c>
      <c r="M528" s="1">
        <v>5361</v>
      </c>
      <c r="O528" s="1">
        <v>561937</v>
      </c>
      <c r="Q528" s="1">
        <v>696952</v>
      </c>
      <c r="S528" s="1">
        <v>12912</v>
      </c>
      <c r="U528" s="1">
        <v>823120</v>
      </c>
      <c r="W528" s="1">
        <v>463847</v>
      </c>
      <c r="Y528" s="1">
        <v>0</v>
      </c>
      <c r="AA528" s="1">
        <v>946364</v>
      </c>
      <c r="AC528" s="1">
        <v>348925</v>
      </c>
      <c r="AE528" s="1">
        <v>136792</v>
      </c>
      <c r="AG528" s="1">
        <v>0</v>
      </c>
      <c r="AI528" s="1">
        <v>0</v>
      </c>
      <c r="AJ528" s="12" t="s">
        <v>770</v>
      </c>
      <c r="AK528" s="12"/>
      <c r="AL528" s="12" t="s">
        <v>32</v>
      </c>
      <c r="AN528" s="1">
        <v>128521</v>
      </c>
      <c r="AP528" s="1">
        <v>0</v>
      </c>
      <c r="AR528" s="1">
        <v>0</v>
      </c>
      <c r="AT528" s="1">
        <v>0</v>
      </c>
      <c r="AV528" s="1">
        <v>17498</v>
      </c>
      <c r="AX528" s="1">
        <v>0</v>
      </c>
      <c r="AZ528" s="1">
        <f t="shared" si="57"/>
        <v>9973521</v>
      </c>
      <c r="BB528" s="1">
        <v>1004799</v>
      </c>
      <c r="BH528" s="1">
        <v>0</v>
      </c>
      <c r="BJ528" s="1">
        <f t="shared" si="58"/>
        <v>10978320</v>
      </c>
      <c r="BL528" s="1">
        <f>+GenRev!AM528-GenExp!BJ528</f>
        <v>1663102</v>
      </c>
      <c r="BN528" s="1">
        <v>3182645</v>
      </c>
      <c r="BP528" s="1">
        <v>0</v>
      </c>
      <c r="BQ528" s="1">
        <v>0</v>
      </c>
      <c r="BS528" s="1">
        <f t="shared" si="59"/>
        <v>4845747</v>
      </c>
      <c r="BU528" s="20">
        <f>+BS528-'Gen Fd BS'!AA528+BQ528</f>
        <v>0</v>
      </c>
    </row>
    <row r="529" spans="1:73">
      <c r="A529" s="17" t="s">
        <v>769</v>
      </c>
      <c r="B529" s="12"/>
      <c r="C529" s="12" t="s">
        <v>15</v>
      </c>
      <c r="D529" s="12"/>
      <c r="E529" s="13">
        <v>45997</v>
      </c>
      <c r="G529" s="1">
        <v>6652274</v>
      </c>
      <c r="I529" s="1">
        <v>945937</v>
      </c>
      <c r="K529" s="1">
        <v>12252</v>
      </c>
      <c r="M529" s="1">
        <v>0</v>
      </c>
      <c r="O529" s="1">
        <v>847567</v>
      </c>
      <c r="Q529" s="1">
        <v>356002</v>
      </c>
      <c r="S529" s="1">
        <v>23367</v>
      </c>
      <c r="U529" s="1">
        <v>1015213</v>
      </c>
      <c r="W529" s="1">
        <v>465197</v>
      </c>
      <c r="Y529" s="1">
        <v>0</v>
      </c>
      <c r="AA529" s="1">
        <v>1350694</v>
      </c>
      <c r="AC529" s="1">
        <v>696355</v>
      </c>
      <c r="AE529" s="1">
        <v>263786</v>
      </c>
      <c r="AG529" s="1">
        <v>0</v>
      </c>
      <c r="AI529" s="1">
        <v>0</v>
      </c>
      <c r="AJ529" s="17" t="s">
        <v>769</v>
      </c>
      <c r="AK529" s="12"/>
      <c r="AL529" s="12" t="s">
        <v>15</v>
      </c>
      <c r="AN529" s="1">
        <v>290418</v>
      </c>
      <c r="AP529" s="1">
        <v>0</v>
      </c>
      <c r="AR529" s="1">
        <v>0</v>
      </c>
      <c r="AT529" s="1">
        <v>26467</v>
      </c>
      <c r="AV529" s="1">
        <v>14223</v>
      </c>
      <c r="AX529" s="1">
        <v>0</v>
      </c>
      <c r="AZ529" s="1">
        <f t="shared" si="57"/>
        <v>12959752</v>
      </c>
      <c r="BB529" s="1">
        <v>583</v>
      </c>
      <c r="BH529" s="1">
        <v>0</v>
      </c>
      <c r="BJ529" s="1">
        <f t="shared" si="58"/>
        <v>12960335</v>
      </c>
      <c r="BL529" s="1">
        <f>+GenRev!AM529-GenExp!BJ529</f>
        <v>-626549</v>
      </c>
      <c r="BN529" s="1">
        <v>2521688</v>
      </c>
      <c r="BP529" s="1">
        <v>0</v>
      </c>
      <c r="BQ529" s="1">
        <v>0</v>
      </c>
      <c r="BS529" s="1">
        <f t="shared" si="59"/>
        <v>1895139</v>
      </c>
      <c r="BU529" s="20">
        <f>+BS529-'Gen Fd BS'!AA529+BQ529</f>
        <v>0</v>
      </c>
    </row>
    <row r="530" spans="1:73" hidden="1">
      <c r="A530" s="17" t="s">
        <v>876</v>
      </c>
      <c r="B530" s="12"/>
      <c r="C530" s="12" t="s">
        <v>486</v>
      </c>
      <c r="D530" s="12"/>
      <c r="E530" s="13">
        <v>48587</v>
      </c>
      <c r="AJ530" s="17" t="s">
        <v>876</v>
      </c>
      <c r="AK530" s="12"/>
      <c r="AL530" s="12" t="s">
        <v>486</v>
      </c>
      <c r="AZ530" s="1">
        <f t="shared" si="57"/>
        <v>0</v>
      </c>
      <c r="BJ530" s="1">
        <f t="shared" si="58"/>
        <v>0</v>
      </c>
      <c r="BL530" s="1">
        <f>+GenRev!AM530-GenExp!BJ530</f>
        <v>0</v>
      </c>
      <c r="BS530" s="1">
        <f t="shared" si="59"/>
        <v>0</v>
      </c>
      <c r="BU530" s="20">
        <f>+BS530-'Gen Fd BS'!AA530+BQ530</f>
        <v>0</v>
      </c>
    </row>
    <row r="531" spans="1:73" hidden="1">
      <c r="A531" s="17" t="s">
        <v>877</v>
      </c>
      <c r="B531" s="12"/>
      <c r="C531" s="12" t="s">
        <v>14</v>
      </c>
      <c r="D531" s="12"/>
      <c r="E531" s="13">
        <v>44727</v>
      </c>
      <c r="AJ531" s="17" t="s">
        <v>877</v>
      </c>
      <c r="AK531" s="12"/>
      <c r="AL531" s="12" t="s">
        <v>14</v>
      </c>
      <c r="AZ531" s="1">
        <f t="shared" si="57"/>
        <v>0</v>
      </c>
      <c r="BJ531" s="1">
        <f t="shared" si="58"/>
        <v>0</v>
      </c>
      <c r="BL531" s="1">
        <f>+GenRev!AM531-GenExp!BJ531</f>
        <v>0</v>
      </c>
      <c r="BS531" s="1">
        <f t="shared" si="59"/>
        <v>0</v>
      </c>
      <c r="BU531" s="20">
        <f>+BS531-'Gen Fd BS'!AA531+BQ531</f>
        <v>0</v>
      </c>
    </row>
    <row r="532" spans="1:73">
      <c r="A532" s="12" t="s">
        <v>412</v>
      </c>
      <c r="B532" s="12"/>
      <c r="C532" s="12" t="s">
        <v>39</v>
      </c>
      <c r="D532" s="12"/>
      <c r="E532" s="13">
        <v>44826</v>
      </c>
      <c r="G532" s="1">
        <v>7944865</v>
      </c>
      <c r="I532" s="1">
        <v>2423156</v>
      </c>
      <c r="K532" s="1">
        <v>884697</v>
      </c>
      <c r="M532" s="1">
        <v>173691</v>
      </c>
      <c r="O532" s="1">
        <v>725589</v>
      </c>
      <c r="Q532" s="1">
        <v>155203</v>
      </c>
      <c r="S532" s="1">
        <v>46747</v>
      </c>
      <c r="U532" s="1">
        <v>1823527</v>
      </c>
      <c r="W532" s="1">
        <v>363472</v>
      </c>
      <c r="Y532" s="1">
        <v>206749</v>
      </c>
      <c r="AA532" s="1">
        <v>1996546</v>
      </c>
      <c r="AC532" s="1">
        <v>551765</v>
      </c>
      <c r="AE532" s="1">
        <v>307</v>
      </c>
      <c r="AG532" s="1">
        <v>0</v>
      </c>
      <c r="AI532" s="1">
        <v>535</v>
      </c>
      <c r="AJ532" s="12" t="s">
        <v>412</v>
      </c>
      <c r="AK532" s="12"/>
      <c r="AL532" s="12" t="s">
        <v>39</v>
      </c>
      <c r="AN532" s="1">
        <v>275486</v>
      </c>
      <c r="AP532" s="1">
        <v>695</v>
      </c>
      <c r="AR532" s="1">
        <v>0</v>
      </c>
      <c r="AT532" s="1">
        <v>0</v>
      </c>
      <c r="AV532" s="1">
        <v>0</v>
      </c>
      <c r="AX532" s="1">
        <v>0</v>
      </c>
      <c r="AZ532" s="1">
        <f t="shared" si="57"/>
        <v>17573030</v>
      </c>
      <c r="BB532" s="1">
        <v>464674</v>
      </c>
      <c r="BH532" s="1">
        <v>0</v>
      </c>
      <c r="BJ532" s="1">
        <f t="shared" si="58"/>
        <v>18037704</v>
      </c>
      <c r="BL532" s="1">
        <f>+GenRev!AM532-GenExp!BJ532</f>
        <v>476292</v>
      </c>
      <c r="BN532" s="1">
        <v>1809123</v>
      </c>
      <c r="BP532" s="1">
        <v>0</v>
      </c>
      <c r="BQ532" s="1">
        <v>0</v>
      </c>
      <c r="BS532" s="1">
        <f t="shared" si="59"/>
        <v>2285415</v>
      </c>
      <c r="BU532" s="20">
        <f>+BS532-'Gen Fd BS'!AA532+BQ532</f>
        <v>0</v>
      </c>
    </row>
    <row r="533" spans="1:73">
      <c r="A533" s="12" t="s">
        <v>595</v>
      </c>
      <c r="B533" s="12"/>
      <c r="C533" s="12" t="s">
        <v>63</v>
      </c>
      <c r="D533" s="12"/>
      <c r="E533" s="13">
        <v>44834</v>
      </c>
      <c r="G533" s="1">
        <v>23822018</v>
      </c>
      <c r="I533" s="1">
        <v>3674739</v>
      </c>
      <c r="K533" s="1">
        <v>1550975</v>
      </c>
      <c r="M533" s="1">
        <v>296893</v>
      </c>
      <c r="O533" s="1">
        <v>2346893</v>
      </c>
      <c r="Q533" s="1">
        <v>2386367</v>
      </c>
      <c r="S533" s="1">
        <v>220646</v>
      </c>
      <c r="U533" s="1">
        <v>2951534</v>
      </c>
      <c r="W533" s="1">
        <v>1157687</v>
      </c>
      <c r="Y533" s="1">
        <v>162635</v>
      </c>
      <c r="AA533" s="1">
        <v>4837326</v>
      </c>
      <c r="AC533" s="1">
        <v>3025255</v>
      </c>
      <c r="AE533" s="1">
        <v>454512</v>
      </c>
      <c r="AG533" s="1">
        <v>0</v>
      </c>
      <c r="AI533" s="1">
        <v>57844</v>
      </c>
      <c r="AJ533" s="12" t="s">
        <v>595</v>
      </c>
      <c r="AK533" s="12"/>
      <c r="AL533" s="12" t="s">
        <v>63</v>
      </c>
      <c r="AN533" s="1">
        <v>826673</v>
      </c>
      <c r="AP533" s="1">
        <v>54616</v>
      </c>
      <c r="AR533" s="1">
        <v>0</v>
      </c>
      <c r="AT533" s="1">
        <v>85000</v>
      </c>
      <c r="AV533" s="1">
        <v>58556</v>
      </c>
      <c r="AX533" s="1">
        <v>0</v>
      </c>
      <c r="AZ533" s="1">
        <f t="shared" si="57"/>
        <v>47970169</v>
      </c>
      <c r="BB533" s="1">
        <v>0</v>
      </c>
      <c r="BH533" s="1">
        <v>0</v>
      </c>
      <c r="BJ533" s="1">
        <f t="shared" si="58"/>
        <v>47970169</v>
      </c>
      <c r="BL533" s="1">
        <f>+GenRev!AM533-GenExp!BJ533</f>
        <v>2289623</v>
      </c>
      <c r="BN533" s="1">
        <v>9105227</v>
      </c>
      <c r="BP533" s="1">
        <v>0</v>
      </c>
      <c r="BQ533" s="1">
        <v>0</v>
      </c>
      <c r="BS533" s="1">
        <f t="shared" si="59"/>
        <v>11394850</v>
      </c>
      <c r="BU533" s="20">
        <f>+BS533-'Gen Fd BS'!AA533+BQ533</f>
        <v>0</v>
      </c>
    </row>
    <row r="534" spans="1:73" hidden="1">
      <c r="A534" s="12" t="s">
        <v>878</v>
      </c>
      <c r="B534" s="12"/>
      <c r="C534" s="12" t="s">
        <v>65</v>
      </c>
      <c r="D534" s="12"/>
      <c r="E534" s="13">
        <v>50294</v>
      </c>
      <c r="AJ534" s="12" t="s">
        <v>878</v>
      </c>
      <c r="AK534" s="12"/>
      <c r="AL534" s="12" t="s">
        <v>65</v>
      </c>
      <c r="AZ534" s="1">
        <f t="shared" si="57"/>
        <v>0</v>
      </c>
      <c r="BJ534" s="1">
        <f t="shared" si="58"/>
        <v>0</v>
      </c>
      <c r="BL534" s="1">
        <f>+GenRev!AM534-GenExp!BJ534</f>
        <v>0</v>
      </c>
      <c r="BS534" s="1">
        <f t="shared" si="59"/>
        <v>0</v>
      </c>
      <c r="BU534" s="20">
        <f>+BS534-'Gen Fd BS'!AA534+BQ534</f>
        <v>0</v>
      </c>
    </row>
    <row r="535" spans="1:73">
      <c r="A535" s="12" t="s">
        <v>538</v>
      </c>
      <c r="B535" s="12"/>
      <c r="C535" s="12" t="s">
        <v>56</v>
      </c>
      <c r="D535" s="12"/>
      <c r="E535" s="13">
        <v>49239</v>
      </c>
      <c r="G535" s="1">
        <v>10089961</v>
      </c>
      <c r="I535" s="1">
        <v>1342288</v>
      </c>
      <c r="K535" s="1">
        <v>90802</v>
      </c>
      <c r="M535" s="1">
        <f>9890+766683</f>
        <v>776573</v>
      </c>
      <c r="O535" s="1">
        <v>1080394</v>
      </c>
      <c r="Q535" s="1">
        <v>1237039</v>
      </c>
      <c r="S535" s="1">
        <v>220178</v>
      </c>
      <c r="U535" s="1">
        <v>1556270</v>
      </c>
      <c r="W535" s="1">
        <v>616666</v>
      </c>
      <c r="Y535" s="1">
        <v>98033</v>
      </c>
      <c r="AA535" s="1">
        <v>1658844</v>
      </c>
      <c r="AC535" s="1">
        <v>954396</v>
      </c>
      <c r="AE535" s="1">
        <v>39425</v>
      </c>
      <c r="AG535" s="1">
        <v>0</v>
      </c>
      <c r="AI535" s="1">
        <v>0</v>
      </c>
      <c r="AJ535" s="12" t="s">
        <v>538</v>
      </c>
      <c r="AK535" s="12"/>
      <c r="AL535" s="12" t="s">
        <v>56</v>
      </c>
      <c r="AN535" s="1">
        <v>452739</v>
      </c>
      <c r="AP535" s="1">
        <v>0</v>
      </c>
      <c r="AR535" s="1">
        <v>0</v>
      </c>
      <c r="AT535" s="1">
        <v>0</v>
      </c>
      <c r="AV535" s="1">
        <v>0</v>
      </c>
      <c r="AX535" s="1">
        <v>0</v>
      </c>
      <c r="AZ535" s="1">
        <f t="shared" si="57"/>
        <v>20213608</v>
      </c>
      <c r="BB535" s="1">
        <v>0</v>
      </c>
      <c r="BH535" s="1">
        <v>0</v>
      </c>
      <c r="BJ535" s="1">
        <f t="shared" si="58"/>
        <v>20213608</v>
      </c>
      <c r="BL535" s="1">
        <f>+GenRev!AM535-GenExp!BJ535</f>
        <v>707855</v>
      </c>
      <c r="BN535" s="1">
        <v>-253567</v>
      </c>
      <c r="BP535" s="1">
        <v>0</v>
      </c>
      <c r="BQ535" s="1">
        <v>0</v>
      </c>
      <c r="BS535" s="1">
        <f t="shared" si="59"/>
        <v>454288</v>
      </c>
      <c r="BU535" s="20">
        <f>+BS535-'Gen Fd BS'!AA535+BQ535</f>
        <v>0</v>
      </c>
    </row>
    <row r="536" spans="1:73">
      <c r="A536" s="12" t="s">
        <v>306</v>
      </c>
      <c r="B536" s="12"/>
      <c r="C536" s="12" t="s">
        <v>20</v>
      </c>
      <c r="D536" s="12"/>
      <c r="E536" s="13">
        <v>44842</v>
      </c>
      <c r="G536" s="1">
        <v>43397599</v>
      </c>
      <c r="I536" s="1">
        <v>4581749</v>
      </c>
      <c r="K536" s="1">
        <v>300727</v>
      </c>
      <c r="M536" s="1">
        <v>0</v>
      </c>
      <c r="O536" s="1">
        <v>2128892</v>
      </c>
      <c r="Q536" s="1">
        <v>2877295</v>
      </c>
      <c r="S536" s="1">
        <v>41274</v>
      </c>
      <c r="U536" s="1">
        <v>2871249</v>
      </c>
      <c r="W536" s="1">
        <v>6273870</v>
      </c>
      <c r="Y536" s="1">
        <v>444972</v>
      </c>
      <c r="AA536" s="1">
        <v>6851906</v>
      </c>
      <c r="AC536" s="1">
        <v>3404731</v>
      </c>
      <c r="AE536" s="1">
        <v>770719</v>
      </c>
      <c r="AG536" s="1">
        <v>0</v>
      </c>
      <c r="AI536" s="1">
        <v>40924</v>
      </c>
      <c r="AJ536" s="12" t="s">
        <v>306</v>
      </c>
      <c r="AK536" s="12"/>
      <c r="AL536" s="12" t="s">
        <v>20</v>
      </c>
      <c r="AN536" s="1">
        <v>271192</v>
      </c>
      <c r="AP536" s="1">
        <v>0</v>
      </c>
      <c r="AR536" s="1">
        <v>0</v>
      </c>
      <c r="AT536" s="1">
        <v>568037</v>
      </c>
      <c r="AV536" s="1">
        <v>325828</v>
      </c>
      <c r="AX536" s="1">
        <v>0</v>
      </c>
      <c r="AZ536" s="1">
        <f t="shared" si="57"/>
        <v>75150964</v>
      </c>
      <c r="BB536" s="1">
        <v>256700</v>
      </c>
      <c r="BH536" s="1">
        <v>0</v>
      </c>
      <c r="BJ536" s="1">
        <f t="shared" si="58"/>
        <v>75407664</v>
      </c>
      <c r="BL536" s="1">
        <f>+GenRev!AM536-GenExp!BJ536</f>
        <v>-3209205</v>
      </c>
      <c r="BN536" s="1">
        <v>-3015931</v>
      </c>
      <c r="BP536" s="1">
        <v>0</v>
      </c>
      <c r="BQ536" s="1">
        <v>0</v>
      </c>
      <c r="BS536" s="1">
        <f t="shared" si="59"/>
        <v>-6225136</v>
      </c>
      <c r="BU536" s="20">
        <f>+BS536-'Gen Fd BS'!AA536+BQ536</f>
        <v>0</v>
      </c>
    </row>
    <row r="537" spans="1:73">
      <c r="A537" s="12" t="s">
        <v>470</v>
      </c>
      <c r="B537" s="12"/>
      <c r="C537" s="12" t="s">
        <v>45</v>
      </c>
      <c r="D537" s="12"/>
      <c r="E537" s="13">
        <v>44859</v>
      </c>
      <c r="F537" s="8"/>
      <c r="G537" s="1">
        <v>6867224</v>
      </c>
      <c r="I537" s="1">
        <v>1780295</v>
      </c>
      <c r="K537" s="1">
        <v>416864</v>
      </c>
      <c r="M537" s="1">
        <v>676496</v>
      </c>
      <c r="O537" s="1">
        <v>562675</v>
      </c>
      <c r="Q537" s="1">
        <v>119844</v>
      </c>
      <c r="S537" s="1">
        <v>49922</v>
      </c>
      <c r="U537" s="1">
        <v>960709</v>
      </c>
      <c r="W537" s="1">
        <v>429421</v>
      </c>
      <c r="Y537" s="1">
        <v>50379</v>
      </c>
      <c r="AA537" s="1">
        <v>1561669</v>
      </c>
      <c r="AC537" s="1">
        <v>367087</v>
      </c>
      <c r="AE537" s="1">
        <v>32195</v>
      </c>
      <c r="AG537" s="1">
        <v>0</v>
      </c>
      <c r="AI537" s="1">
        <v>45087</v>
      </c>
      <c r="AJ537" s="12" t="s">
        <v>470</v>
      </c>
      <c r="AK537" s="12"/>
      <c r="AL537" s="12" t="s">
        <v>45</v>
      </c>
      <c r="AN537" s="1">
        <v>229903</v>
      </c>
      <c r="AP537" s="1">
        <v>780978</v>
      </c>
      <c r="AR537" s="1">
        <v>0</v>
      </c>
      <c r="AT537" s="1">
        <v>0</v>
      </c>
      <c r="AV537" s="1">
        <v>0</v>
      </c>
      <c r="AX537" s="1">
        <v>0</v>
      </c>
      <c r="AZ537" s="1">
        <f t="shared" si="57"/>
        <v>14930748</v>
      </c>
      <c r="BB537" s="1">
        <v>100145</v>
      </c>
      <c r="BH537" s="1">
        <v>0</v>
      </c>
      <c r="BJ537" s="1">
        <f t="shared" si="58"/>
        <v>15030893</v>
      </c>
      <c r="BL537" s="1">
        <f>+GenRev!AM537-GenExp!BJ537</f>
        <v>1512128</v>
      </c>
      <c r="BN537" s="1">
        <v>2756429</v>
      </c>
      <c r="BP537" s="1">
        <v>0</v>
      </c>
      <c r="BQ537" s="1">
        <v>0</v>
      </c>
      <c r="BS537" s="1">
        <f t="shared" si="59"/>
        <v>4268557</v>
      </c>
      <c r="BU537" s="20">
        <f>+BS537-'Gen Fd BS'!AA537+BQ537</f>
        <v>0</v>
      </c>
    </row>
    <row r="538" spans="1:73">
      <c r="A538" s="12" t="s">
        <v>645</v>
      </c>
      <c r="B538" s="12"/>
      <c r="C538" s="12" t="s">
        <v>643</v>
      </c>
      <c r="D538" s="12"/>
      <c r="E538" s="13">
        <v>50658</v>
      </c>
      <c r="G538" s="1">
        <v>2033654</v>
      </c>
      <c r="I538" s="1">
        <v>223798</v>
      </c>
      <c r="K538" s="1">
        <v>14528</v>
      </c>
      <c r="M538" s="1">
        <f>391863+10</f>
        <v>391873</v>
      </c>
      <c r="O538" s="1">
        <v>182005</v>
      </c>
      <c r="Q538" s="1">
        <v>198140</v>
      </c>
      <c r="S538" s="1">
        <v>59758</v>
      </c>
      <c r="U538" s="1">
        <v>329076</v>
      </c>
      <c r="W538" s="1">
        <v>159805</v>
      </c>
      <c r="Y538" s="1">
        <v>7664</v>
      </c>
      <c r="AA538" s="1">
        <v>248251</v>
      </c>
      <c r="AC538" s="1">
        <v>143935</v>
      </c>
      <c r="AE538" s="1">
        <v>24982</v>
      </c>
      <c r="AG538" s="1">
        <v>0</v>
      </c>
      <c r="AI538" s="1">
        <v>0</v>
      </c>
      <c r="AJ538" s="12" t="s">
        <v>645</v>
      </c>
      <c r="AK538" s="12"/>
      <c r="AL538" s="12" t="s">
        <v>643</v>
      </c>
      <c r="AN538" s="1">
        <v>123969</v>
      </c>
      <c r="AP538" s="1">
        <v>219106</v>
      </c>
      <c r="AR538" s="1">
        <v>0</v>
      </c>
      <c r="AT538" s="1">
        <v>37861</v>
      </c>
      <c r="AV538" s="1">
        <v>1288</v>
      </c>
      <c r="AX538" s="1">
        <v>0</v>
      </c>
      <c r="AZ538" s="1">
        <f t="shared" si="57"/>
        <v>4399693</v>
      </c>
      <c r="BB538" s="1">
        <v>14939</v>
      </c>
      <c r="BH538" s="1">
        <v>0</v>
      </c>
      <c r="BJ538" s="1">
        <f t="shared" si="58"/>
        <v>4414632</v>
      </c>
      <c r="BL538" s="1">
        <f>+GenRev!AM538-GenExp!BJ538</f>
        <v>-58659</v>
      </c>
      <c r="BN538" s="1">
        <v>681544</v>
      </c>
      <c r="BP538" s="1">
        <v>0</v>
      </c>
      <c r="BQ538" s="1">
        <v>0</v>
      </c>
      <c r="BS538" s="1">
        <f t="shared" si="59"/>
        <v>622885</v>
      </c>
      <c r="BU538" s="20">
        <f>+BS538-'Gen Fd BS'!AA538+BQ538</f>
        <v>0</v>
      </c>
    </row>
    <row r="539" spans="1:73">
      <c r="A539" s="12" t="s">
        <v>347</v>
      </c>
      <c r="B539" s="12"/>
      <c r="C539" s="12" t="s">
        <v>28</v>
      </c>
      <c r="D539" s="12"/>
      <c r="E539" s="13">
        <v>47092</v>
      </c>
      <c r="G539" s="1">
        <v>6609045</v>
      </c>
      <c r="I539" s="1">
        <v>1034369</v>
      </c>
      <c r="K539" s="1">
        <v>0</v>
      </c>
      <c r="M539" s="1">
        <v>0</v>
      </c>
      <c r="O539" s="1">
        <v>611007</v>
      </c>
      <c r="Q539" s="1">
        <v>608215</v>
      </c>
      <c r="S539" s="1">
        <v>19815</v>
      </c>
      <c r="U539" s="1">
        <v>1329006</v>
      </c>
      <c r="W539" s="1">
        <v>438428</v>
      </c>
      <c r="Y539" s="1">
        <v>1768</v>
      </c>
      <c r="AA539" s="1">
        <v>1371162</v>
      </c>
      <c r="AC539" s="1">
        <v>813567</v>
      </c>
      <c r="AE539" s="1">
        <v>12601</v>
      </c>
      <c r="AG539" s="1">
        <v>0</v>
      </c>
      <c r="AI539" s="1">
        <v>913</v>
      </c>
      <c r="AJ539" s="12" t="s">
        <v>347</v>
      </c>
      <c r="AK539" s="12"/>
      <c r="AL539" s="12" t="s">
        <v>28</v>
      </c>
      <c r="AN539" s="1">
        <v>296325</v>
      </c>
      <c r="AP539" s="1">
        <v>0</v>
      </c>
      <c r="AR539" s="1">
        <v>0</v>
      </c>
      <c r="AT539" s="1">
        <v>0</v>
      </c>
      <c r="AV539" s="1">
        <v>0</v>
      </c>
      <c r="AX539" s="1">
        <v>0</v>
      </c>
      <c r="AZ539" s="1">
        <f t="shared" si="57"/>
        <v>13146221</v>
      </c>
      <c r="BB539" s="1">
        <v>189000</v>
      </c>
      <c r="BH539" s="1">
        <v>0</v>
      </c>
      <c r="BJ539" s="1">
        <f t="shared" si="58"/>
        <v>13335221</v>
      </c>
      <c r="BL539" s="1">
        <f>+GenRev!AM539-GenExp!BJ539</f>
        <v>-301352</v>
      </c>
      <c r="BN539" s="1">
        <v>9774448</v>
      </c>
      <c r="BP539" s="1">
        <v>0</v>
      </c>
      <c r="BQ539" s="1">
        <v>0</v>
      </c>
      <c r="BS539" s="1">
        <f t="shared" si="59"/>
        <v>9473096</v>
      </c>
      <c r="BU539" s="20">
        <f>+BS539-'Gen Fd BS'!AA539+BQ539</f>
        <v>0</v>
      </c>
    </row>
    <row r="540" spans="1:73">
      <c r="A540" s="12" t="s">
        <v>760</v>
      </c>
      <c r="B540" s="12"/>
      <c r="C540" s="12" t="s">
        <v>49</v>
      </c>
      <c r="D540" s="12"/>
      <c r="E540" s="13">
        <v>48652</v>
      </c>
      <c r="G540" s="1">
        <v>9760729</v>
      </c>
      <c r="I540" s="1">
        <v>2035713</v>
      </c>
      <c r="K540" s="1">
        <v>2028282</v>
      </c>
      <c r="M540" s="1">
        <v>0</v>
      </c>
      <c r="O540" s="1">
        <v>933949</v>
      </c>
      <c r="Q540" s="1">
        <v>390931</v>
      </c>
      <c r="S540" s="1">
        <v>27058</v>
      </c>
      <c r="U540" s="1">
        <v>2025283</v>
      </c>
      <c r="W540" s="1">
        <v>712536</v>
      </c>
      <c r="Y540" s="1">
        <v>0</v>
      </c>
      <c r="AA540" s="1">
        <v>2179181</v>
      </c>
      <c r="AC540" s="1">
        <v>2295533</v>
      </c>
      <c r="AE540" s="1">
        <v>41489</v>
      </c>
      <c r="AG540" s="1">
        <v>0</v>
      </c>
      <c r="AI540" s="1">
        <v>0</v>
      </c>
      <c r="AJ540" s="12" t="s">
        <v>493</v>
      </c>
      <c r="AK540" s="12"/>
      <c r="AL540" s="12" t="s">
        <v>49</v>
      </c>
      <c r="AN540" s="1">
        <v>293069</v>
      </c>
      <c r="AP540" s="1">
        <v>0</v>
      </c>
      <c r="AR540" s="1">
        <v>0</v>
      </c>
      <c r="AT540" s="1">
        <v>0</v>
      </c>
      <c r="AV540" s="1">
        <v>9667</v>
      </c>
      <c r="AX540" s="1">
        <v>0</v>
      </c>
      <c r="AZ540" s="1">
        <f t="shared" si="57"/>
        <v>22733420</v>
      </c>
      <c r="BB540" s="1">
        <v>441</v>
      </c>
      <c r="BH540" s="1">
        <v>0</v>
      </c>
      <c r="BJ540" s="1">
        <f t="shared" si="58"/>
        <v>22733861</v>
      </c>
      <c r="BL540" s="1">
        <f>+GenRev!AM540-GenExp!BJ540</f>
        <v>-868143</v>
      </c>
      <c r="BN540" s="1">
        <v>-1914237</v>
      </c>
      <c r="BP540" s="1">
        <v>0</v>
      </c>
      <c r="BQ540" s="1">
        <v>0</v>
      </c>
      <c r="BS540" s="1">
        <f t="shared" si="59"/>
        <v>-2782380</v>
      </c>
      <c r="BU540" s="20">
        <f>+BS540-'Gen Fd BS'!AA540+BQ540</f>
        <v>0</v>
      </c>
    </row>
    <row r="541" spans="1:73">
      <c r="A541" s="12" t="s">
        <v>375</v>
      </c>
      <c r="B541" s="12"/>
      <c r="C541" s="12" t="s">
        <v>32</v>
      </c>
      <c r="D541" s="12"/>
      <c r="E541" s="13">
        <v>44867</v>
      </c>
      <c r="G541" s="1">
        <v>32381681</v>
      </c>
      <c r="I541" s="1">
        <v>7137552</v>
      </c>
      <c r="K541" s="1">
        <v>0</v>
      </c>
      <c r="M541" s="1">
        <v>250459</v>
      </c>
      <c r="O541" s="1">
        <v>4300459</v>
      </c>
      <c r="Q541" s="1">
        <v>3818970</v>
      </c>
      <c r="S541" s="1">
        <v>47091</v>
      </c>
      <c r="U541" s="1">
        <v>5143020</v>
      </c>
      <c r="W541" s="1">
        <v>1659372</v>
      </c>
      <c r="Y541" s="1">
        <v>87396</v>
      </c>
      <c r="AA541" s="1">
        <v>7884810</v>
      </c>
      <c r="AC541" s="1">
        <v>4243148</v>
      </c>
      <c r="AE541" s="1">
        <v>1931282</v>
      </c>
      <c r="AG541" s="1">
        <v>0</v>
      </c>
      <c r="AI541" s="1">
        <v>100</v>
      </c>
      <c r="AJ541" s="12" t="s">
        <v>375</v>
      </c>
      <c r="AK541" s="12"/>
      <c r="AL541" s="12" t="s">
        <v>32</v>
      </c>
      <c r="AN541" s="1">
        <v>863502</v>
      </c>
      <c r="AP541" s="1">
        <v>39289</v>
      </c>
      <c r="AR541" s="1">
        <v>0</v>
      </c>
      <c r="AT541" s="1">
        <v>615000</v>
      </c>
      <c r="AV541" s="1">
        <v>410252</v>
      </c>
      <c r="AX541" s="1">
        <v>0</v>
      </c>
      <c r="AZ541" s="1">
        <f t="shared" si="57"/>
        <v>70813383</v>
      </c>
      <c r="BB541" s="1">
        <v>3092900</v>
      </c>
      <c r="BH541" s="1">
        <v>0</v>
      </c>
      <c r="BJ541" s="1">
        <f t="shared" si="58"/>
        <v>73906283</v>
      </c>
      <c r="BL541" s="1">
        <f>+GenRev!AM541-GenExp!BJ541</f>
        <v>880869</v>
      </c>
      <c r="BN541" s="1">
        <v>54195852</v>
      </c>
      <c r="BP541" s="1">
        <v>0</v>
      </c>
      <c r="BQ541" s="1">
        <v>0</v>
      </c>
      <c r="BS541" s="1">
        <f t="shared" si="59"/>
        <v>55076721</v>
      </c>
      <c r="BU541" s="20">
        <f>+BS541-'Gen Fd BS'!AA541+BQ541</f>
        <v>0</v>
      </c>
    </row>
    <row r="542" spans="1:73">
      <c r="A542" s="12" t="s">
        <v>454</v>
      </c>
      <c r="B542" s="12"/>
      <c r="C542" s="12" t="s">
        <v>117</v>
      </c>
      <c r="D542" s="12"/>
      <c r="E542" s="13">
        <v>44875</v>
      </c>
      <c r="F542" s="8"/>
      <c r="G542" s="1">
        <v>33315539</v>
      </c>
      <c r="I542" s="1">
        <v>8024886</v>
      </c>
      <c r="K542" s="1">
        <v>2053470</v>
      </c>
      <c r="M542" s="1">
        <v>1598673</v>
      </c>
      <c r="O542" s="1">
        <v>5771350</v>
      </c>
      <c r="Q542" s="1">
        <v>2491355</v>
      </c>
      <c r="S542" s="1">
        <v>26884</v>
      </c>
      <c r="U542" s="1">
        <v>8482191</v>
      </c>
      <c r="W542" s="1">
        <v>1624128</v>
      </c>
      <c r="Y542" s="1">
        <v>190572</v>
      </c>
      <c r="AA542" s="1">
        <v>9166847</v>
      </c>
      <c r="AC542" s="1">
        <v>5085917</v>
      </c>
      <c r="AE542" s="1">
        <v>761224</v>
      </c>
      <c r="AG542" s="1">
        <v>0</v>
      </c>
      <c r="AI542" s="1">
        <v>40421</v>
      </c>
      <c r="AJ542" s="12" t="s">
        <v>454</v>
      </c>
      <c r="AK542" s="12"/>
      <c r="AL542" s="12" t="s">
        <v>117</v>
      </c>
      <c r="AN542" s="1">
        <v>1492424</v>
      </c>
      <c r="AP542" s="1">
        <v>0</v>
      </c>
      <c r="AR542" s="1">
        <v>0</v>
      </c>
      <c r="AT542" s="1">
        <v>123252</v>
      </c>
      <c r="AV542" s="1">
        <v>6636</v>
      </c>
      <c r="AX542" s="1">
        <v>0</v>
      </c>
      <c r="AZ542" s="1">
        <f t="shared" si="57"/>
        <v>80255769</v>
      </c>
      <c r="BB542" s="1">
        <v>380559</v>
      </c>
      <c r="BH542" s="1">
        <v>0</v>
      </c>
      <c r="BJ542" s="1">
        <f t="shared" si="58"/>
        <v>80636328</v>
      </c>
      <c r="BL542" s="1">
        <f>+GenRev!AM542-GenExp!BJ542</f>
        <v>-5808949</v>
      </c>
      <c r="BN542" s="1">
        <v>4925050</v>
      </c>
      <c r="BP542" s="1">
        <v>0</v>
      </c>
      <c r="BQ542" s="1">
        <v>0</v>
      </c>
      <c r="BS542" s="1">
        <f t="shared" si="59"/>
        <v>-883899</v>
      </c>
      <c r="BU542" s="20">
        <f>+BS542-'Gen Fd BS'!AA542+BQ542</f>
        <v>0</v>
      </c>
    </row>
    <row r="543" spans="1:73">
      <c r="A543" s="12" t="s">
        <v>426</v>
      </c>
      <c r="B543" s="12"/>
      <c r="C543" s="12" t="s">
        <v>420</v>
      </c>
      <c r="D543" s="12"/>
      <c r="E543" s="13">
        <v>47969</v>
      </c>
      <c r="G543" s="1">
        <v>3940000</v>
      </c>
      <c r="I543" s="1">
        <v>680018</v>
      </c>
      <c r="K543" s="1">
        <v>216724</v>
      </c>
      <c r="M543" s="1">
        <v>0</v>
      </c>
      <c r="O543" s="1">
        <v>259738</v>
      </c>
      <c r="Q543" s="1">
        <v>232385</v>
      </c>
      <c r="S543" s="1">
        <v>63832</v>
      </c>
      <c r="U543" s="1">
        <v>615319</v>
      </c>
      <c r="W543" s="1">
        <v>339769</v>
      </c>
      <c r="Y543" s="1">
        <v>0</v>
      </c>
      <c r="AA543" s="1">
        <v>559955</v>
      </c>
      <c r="AC543" s="1">
        <v>840757</v>
      </c>
      <c r="AE543" s="1">
        <v>37357</v>
      </c>
      <c r="AG543" s="1">
        <v>0</v>
      </c>
      <c r="AI543" s="1">
        <v>0</v>
      </c>
      <c r="AJ543" s="12" t="s">
        <v>426</v>
      </c>
      <c r="AK543" s="12"/>
      <c r="AL543" s="12" t="s">
        <v>420</v>
      </c>
      <c r="AN543" s="1">
        <v>150031</v>
      </c>
      <c r="AP543" s="1">
        <v>0</v>
      </c>
      <c r="AR543" s="1">
        <v>0</v>
      </c>
      <c r="AT543" s="1">
        <v>0</v>
      </c>
      <c r="AV543" s="1">
        <v>0</v>
      </c>
      <c r="AX543" s="1">
        <v>0</v>
      </c>
      <c r="AZ543" s="1">
        <f t="shared" si="57"/>
        <v>7935885</v>
      </c>
      <c r="BB543" s="1">
        <v>28099</v>
      </c>
      <c r="BH543" s="1">
        <v>0</v>
      </c>
      <c r="BJ543" s="1">
        <f t="shared" si="58"/>
        <v>7963984</v>
      </c>
      <c r="BL543" s="1">
        <f>+GenRev!AM543-GenExp!BJ543</f>
        <v>-594187</v>
      </c>
      <c r="BN543" s="1">
        <v>3759380</v>
      </c>
      <c r="BP543" s="1">
        <v>0</v>
      </c>
      <c r="BQ543" s="1">
        <v>0</v>
      </c>
      <c r="BS543" s="1">
        <f>+BN543+BL543-BP543</f>
        <v>3165193</v>
      </c>
      <c r="BU543" s="20">
        <f>+BS543-'Gen Fd BS'!AA543+BQ543</f>
        <v>0</v>
      </c>
    </row>
    <row r="544" spans="1:73">
      <c r="A544" s="17" t="s">
        <v>236</v>
      </c>
      <c r="B544" s="12"/>
      <c r="C544" s="12" t="s">
        <v>227</v>
      </c>
      <c r="D544" s="12"/>
      <c r="E544" s="13">
        <v>46151</v>
      </c>
      <c r="F544" s="8"/>
      <c r="G544" s="1">
        <v>13330356</v>
      </c>
      <c r="I544" s="1">
        <v>1858601</v>
      </c>
      <c r="K544" s="1">
        <v>0</v>
      </c>
      <c r="M544" s="1">
        <v>1031389</v>
      </c>
      <c r="O544" s="1">
        <v>1501729</v>
      </c>
      <c r="Q544" s="1">
        <v>1886913</v>
      </c>
      <c r="S544" s="1">
        <v>56906</v>
      </c>
      <c r="U544" s="1">
        <v>2143981</v>
      </c>
      <c r="W544" s="1">
        <v>1206631</v>
      </c>
      <c r="Y544" s="1">
        <v>1330</v>
      </c>
      <c r="AA544" s="1">
        <v>2631743</v>
      </c>
      <c r="AC544" s="1">
        <v>1776925</v>
      </c>
      <c r="AE544" s="1">
        <v>100370</v>
      </c>
      <c r="AG544" s="1">
        <v>0</v>
      </c>
      <c r="AI544" s="1">
        <v>0</v>
      </c>
      <c r="AJ544" s="12" t="s">
        <v>236</v>
      </c>
      <c r="AK544" s="12"/>
      <c r="AL544" s="12" t="s">
        <v>227</v>
      </c>
      <c r="AN544" s="1">
        <v>518084</v>
      </c>
      <c r="AP544" s="1">
        <v>2000</v>
      </c>
      <c r="AR544" s="1">
        <v>0</v>
      </c>
      <c r="AT544" s="1">
        <v>0</v>
      </c>
      <c r="AV544" s="1">
        <v>0</v>
      </c>
      <c r="AX544" s="1">
        <v>0</v>
      </c>
      <c r="AZ544" s="1">
        <f t="shared" si="57"/>
        <v>28046958</v>
      </c>
      <c r="BB544" s="1">
        <v>0</v>
      </c>
      <c r="BH544" s="1">
        <v>0</v>
      </c>
      <c r="BJ544" s="1">
        <f t="shared" si="58"/>
        <v>28046958</v>
      </c>
      <c r="BL544" s="1">
        <f>+GenRev!AM544-GenExp!BJ544</f>
        <v>1674322</v>
      </c>
      <c r="BN544" s="1">
        <v>12537159</v>
      </c>
      <c r="BP544" s="1">
        <v>0</v>
      </c>
      <c r="BQ544" s="1">
        <v>0</v>
      </c>
      <c r="BS544" s="1">
        <f t="shared" si="59"/>
        <v>14211481</v>
      </c>
      <c r="BU544" s="20">
        <f>+BS544-'Gen Fd BS'!AA544+BQ544</f>
        <v>0</v>
      </c>
    </row>
    <row r="545" spans="1:73">
      <c r="A545" s="12" t="s">
        <v>596</v>
      </c>
      <c r="B545" s="12"/>
      <c r="C545" s="12" t="s">
        <v>63</v>
      </c>
      <c r="D545" s="12"/>
      <c r="E545" s="13">
        <v>44883</v>
      </c>
      <c r="G545" s="1">
        <v>13582576</v>
      </c>
      <c r="I545" s="1">
        <v>2474206</v>
      </c>
      <c r="K545" s="1">
        <v>928144</v>
      </c>
      <c r="M545" s="1">
        <v>7988</v>
      </c>
      <c r="O545" s="1">
        <v>1058149</v>
      </c>
      <c r="Q545" s="1">
        <v>380503</v>
      </c>
      <c r="S545" s="1">
        <v>31469</v>
      </c>
      <c r="U545" s="1">
        <v>1180020</v>
      </c>
      <c r="W545" s="1">
        <v>561144</v>
      </c>
      <c r="Y545" s="1">
        <v>49229</v>
      </c>
      <c r="AA545" s="1">
        <v>913821</v>
      </c>
      <c r="AC545" s="1">
        <v>1445861</v>
      </c>
      <c r="AE545" s="1">
        <v>266809</v>
      </c>
      <c r="AG545" s="1">
        <v>0</v>
      </c>
      <c r="AI545" s="1">
        <v>0</v>
      </c>
      <c r="AJ545" s="12" t="s">
        <v>596</v>
      </c>
      <c r="AK545" s="12"/>
      <c r="AL545" s="12" t="s">
        <v>63</v>
      </c>
      <c r="AN545" s="1">
        <v>647849</v>
      </c>
      <c r="AP545" s="1">
        <v>0</v>
      </c>
      <c r="AR545" s="1">
        <v>0</v>
      </c>
      <c r="AT545" s="1">
        <v>0</v>
      </c>
      <c r="AV545" s="1">
        <v>0</v>
      </c>
      <c r="AX545" s="1">
        <v>0</v>
      </c>
      <c r="AZ545" s="1">
        <f t="shared" si="57"/>
        <v>23527768</v>
      </c>
      <c r="BB545" s="1">
        <v>0</v>
      </c>
      <c r="BH545" s="1">
        <v>0</v>
      </c>
      <c r="BJ545" s="1">
        <f t="shared" si="58"/>
        <v>23527768</v>
      </c>
      <c r="BL545" s="1">
        <f>+GenRev!AM545-GenExp!BJ545</f>
        <v>1059858</v>
      </c>
      <c r="BN545" s="1">
        <v>800197</v>
      </c>
      <c r="BP545" s="1">
        <v>0</v>
      </c>
      <c r="BQ545" s="1">
        <v>0</v>
      </c>
      <c r="BS545" s="1">
        <f t="shared" si="59"/>
        <v>1860055</v>
      </c>
      <c r="BU545" s="20">
        <f>+BS545-'Gen Fd BS'!AA545+BQ545</f>
        <v>0</v>
      </c>
    </row>
    <row r="546" spans="1:73">
      <c r="A546" s="12" t="s">
        <v>527</v>
      </c>
      <c r="B546" s="12"/>
      <c r="C546" s="12" t="s">
        <v>54</v>
      </c>
      <c r="D546" s="12"/>
      <c r="E546" s="13">
        <v>49098</v>
      </c>
      <c r="G546" s="1">
        <v>13935451</v>
      </c>
      <c r="I546" s="1">
        <v>2709411</v>
      </c>
      <c r="K546" s="1">
        <v>723112</v>
      </c>
      <c r="M546" s="1">
        <v>166686</v>
      </c>
      <c r="O546" s="1">
        <v>1140768</v>
      </c>
      <c r="Q546" s="1">
        <v>995898</v>
      </c>
      <c r="S546" s="1">
        <v>129569</v>
      </c>
      <c r="U546" s="1">
        <v>2873587</v>
      </c>
      <c r="W546" s="1">
        <v>658520</v>
      </c>
      <c r="Y546" s="1">
        <v>99009</v>
      </c>
      <c r="AA546" s="1">
        <v>2700388</v>
      </c>
      <c r="AC546" s="1">
        <v>1624703</v>
      </c>
      <c r="AE546" s="1">
        <v>145961</v>
      </c>
      <c r="AG546" s="1">
        <v>0</v>
      </c>
      <c r="AI546" s="1">
        <v>12517</v>
      </c>
      <c r="AJ546" s="12" t="s">
        <v>527</v>
      </c>
      <c r="AK546" s="12"/>
      <c r="AL546" s="12" t="s">
        <v>54</v>
      </c>
      <c r="AN546" s="1">
        <v>502220</v>
      </c>
      <c r="AP546" s="1">
        <v>125088</v>
      </c>
      <c r="AR546" s="1">
        <v>0</v>
      </c>
      <c r="AT546" s="1">
        <v>179658</v>
      </c>
      <c r="AV546" s="1">
        <v>8434</v>
      </c>
      <c r="AX546" s="1">
        <v>0</v>
      </c>
      <c r="AZ546" s="1">
        <f t="shared" si="57"/>
        <v>28730980</v>
      </c>
      <c r="BB546" s="1">
        <v>100154</v>
      </c>
      <c r="BH546" s="1">
        <v>0</v>
      </c>
      <c r="BJ546" s="1">
        <f t="shared" si="58"/>
        <v>28831134</v>
      </c>
      <c r="BL546" s="1">
        <f>+GenRev!AM546-GenExp!BJ546</f>
        <v>158764</v>
      </c>
      <c r="BN546" s="1">
        <v>6030599</v>
      </c>
      <c r="BP546" s="1">
        <v>6277</v>
      </c>
      <c r="BQ546" s="1">
        <v>0</v>
      </c>
      <c r="BS546" s="1">
        <f t="shared" si="59"/>
        <v>6183086</v>
      </c>
      <c r="BU546" s="20">
        <f>+BS546-'Gen Fd BS'!AA546+BQ546</f>
        <v>0</v>
      </c>
    </row>
    <row r="547" spans="1:73" ht="12.75" customHeight="1">
      <c r="A547" s="12" t="s">
        <v>250</v>
      </c>
      <c r="B547" s="12"/>
      <c r="C547" s="12" t="s">
        <v>17</v>
      </c>
      <c r="D547" s="12"/>
      <c r="E547" s="13">
        <v>46243</v>
      </c>
      <c r="G547" s="1">
        <v>12072382</v>
      </c>
      <c r="I547" s="1">
        <v>2697059</v>
      </c>
      <c r="K547" s="1">
        <v>555224</v>
      </c>
      <c r="M547" s="1">
        <f>5726+14730+866036</f>
        <v>886492</v>
      </c>
      <c r="O547" s="1">
        <v>1583028</v>
      </c>
      <c r="Q547" s="1">
        <v>969143</v>
      </c>
      <c r="S547" s="1">
        <v>80432</v>
      </c>
      <c r="U547" s="1">
        <v>2515445</v>
      </c>
      <c r="W547" s="1">
        <v>539368</v>
      </c>
      <c r="Y547" s="1">
        <v>64641</v>
      </c>
      <c r="AA547" s="1">
        <v>2520941</v>
      </c>
      <c r="AC547" s="1">
        <v>1264556</v>
      </c>
      <c r="AE547" s="1">
        <v>146973</v>
      </c>
      <c r="AG547" s="1">
        <v>0</v>
      </c>
      <c r="AI547" s="1">
        <v>1692</v>
      </c>
      <c r="AJ547" s="12" t="s">
        <v>250</v>
      </c>
      <c r="AK547" s="12"/>
      <c r="AL547" s="12" t="s">
        <v>17</v>
      </c>
      <c r="AN547" s="1">
        <v>391953</v>
      </c>
      <c r="AP547" s="1">
        <v>300</v>
      </c>
      <c r="AR547" s="1">
        <v>0</v>
      </c>
      <c r="AT547" s="1">
        <v>0</v>
      </c>
      <c r="AV547" s="1">
        <v>0</v>
      </c>
      <c r="AX547" s="1">
        <v>0</v>
      </c>
      <c r="AZ547" s="1">
        <f t="shared" si="57"/>
        <v>26289629</v>
      </c>
      <c r="BB547" s="1">
        <v>0</v>
      </c>
      <c r="BH547" s="1">
        <v>0</v>
      </c>
      <c r="BJ547" s="1">
        <f t="shared" si="58"/>
        <v>26289629</v>
      </c>
      <c r="BL547" s="1">
        <f>+GenRev!AM547-GenExp!BJ547</f>
        <v>336053</v>
      </c>
      <c r="BN547" s="1">
        <v>1979917</v>
      </c>
      <c r="BP547" s="1">
        <v>0</v>
      </c>
      <c r="BQ547" s="1">
        <v>0</v>
      </c>
      <c r="BS547" s="1">
        <f t="shared" si="59"/>
        <v>2315970</v>
      </c>
      <c r="BU547" s="20">
        <f>+BS547-'Gen Fd BS'!AA547+BQ547</f>
        <v>0</v>
      </c>
    </row>
    <row r="548" spans="1:73">
      <c r="A548" s="12" t="s">
        <v>910</v>
      </c>
      <c r="B548" s="12"/>
      <c r="C548" s="12" t="s">
        <v>32</v>
      </c>
      <c r="D548" s="12"/>
      <c r="E548" s="13">
        <v>47399</v>
      </c>
      <c r="G548" s="1">
        <v>9475339</v>
      </c>
      <c r="I548" s="1">
        <v>2194523</v>
      </c>
      <c r="K548" s="1">
        <v>0</v>
      </c>
      <c r="M548" s="1">
        <v>55255</v>
      </c>
      <c r="O548" s="1">
        <v>1282068</v>
      </c>
      <c r="Q548" s="1">
        <v>1501958</v>
      </c>
      <c r="S548" s="1">
        <v>41760</v>
      </c>
      <c r="U548" s="1">
        <v>1549466</v>
      </c>
      <c r="W548" s="1">
        <v>653625</v>
      </c>
      <c r="Y548" s="1">
        <v>5850</v>
      </c>
      <c r="AA548" s="1">
        <v>1768755</v>
      </c>
      <c r="AC548" s="1">
        <v>1331619</v>
      </c>
      <c r="AE548" s="1">
        <v>799533</v>
      </c>
      <c r="AG548" s="1">
        <v>0</v>
      </c>
      <c r="AI548" s="1">
        <v>50096</v>
      </c>
      <c r="AJ548" s="12" t="s">
        <v>910</v>
      </c>
      <c r="AK548" s="12"/>
      <c r="AL548" s="12" t="s">
        <v>32</v>
      </c>
      <c r="AN548" s="1">
        <v>256242</v>
      </c>
      <c r="AP548" s="1">
        <v>62</v>
      </c>
      <c r="AR548" s="1">
        <v>0</v>
      </c>
      <c r="AT548" s="1">
        <v>0</v>
      </c>
      <c r="AV548" s="1">
        <v>0</v>
      </c>
      <c r="AX548" s="1">
        <v>0</v>
      </c>
      <c r="AZ548" s="1">
        <f t="shared" si="57"/>
        <v>20966151</v>
      </c>
      <c r="BB548" s="1">
        <v>0</v>
      </c>
      <c r="BH548" s="1">
        <v>0</v>
      </c>
      <c r="BJ548" s="1">
        <f t="shared" si="58"/>
        <v>20966151</v>
      </c>
      <c r="BL548" s="1">
        <f>+GenRev!AM548-GenExp!BJ548</f>
        <v>934631</v>
      </c>
      <c r="BN548" s="1">
        <v>8433624</v>
      </c>
      <c r="BP548" s="1">
        <v>0</v>
      </c>
      <c r="BQ548" s="1">
        <v>0</v>
      </c>
      <c r="BS548" s="1">
        <f t="shared" si="59"/>
        <v>9368255</v>
      </c>
      <c r="BU548" s="20">
        <f>+BS548-'Gen Fd BS'!AA548+BQ548</f>
        <v>0</v>
      </c>
    </row>
    <row r="549" spans="1:73">
      <c r="A549" s="12" t="s">
        <v>568</v>
      </c>
      <c r="B549" s="12"/>
      <c r="C549" s="12" t="s">
        <v>60</v>
      </c>
      <c r="D549" s="12"/>
      <c r="E549" s="13">
        <v>44891</v>
      </c>
      <c r="G549" s="1">
        <v>10407487</v>
      </c>
      <c r="I549" s="1">
        <v>3863466</v>
      </c>
      <c r="K549" s="1">
        <v>215195</v>
      </c>
      <c r="M549" s="1">
        <v>0</v>
      </c>
      <c r="O549" s="1">
        <v>829088</v>
      </c>
      <c r="Q549" s="1">
        <v>1046515</v>
      </c>
      <c r="S549" s="1">
        <v>33188</v>
      </c>
      <c r="U549" s="1">
        <v>1781379</v>
      </c>
      <c r="W549" s="1">
        <v>549278</v>
      </c>
      <c r="Y549" s="1">
        <v>58573</v>
      </c>
      <c r="AA549" s="1">
        <v>2277181</v>
      </c>
      <c r="AC549" s="1">
        <v>771462</v>
      </c>
      <c r="AE549" s="1">
        <v>18134</v>
      </c>
      <c r="AG549" s="1">
        <v>0</v>
      </c>
      <c r="AI549" s="1">
        <v>1533</v>
      </c>
      <c r="AJ549" s="12" t="s">
        <v>568</v>
      </c>
      <c r="AK549" s="12"/>
      <c r="AL549" s="12" t="s">
        <v>60</v>
      </c>
      <c r="AN549" s="1">
        <v>297174</v>
      </c>
      <c r="AP549" s="1">
        <v>0</v>
      </c>
      <c r="AR549" s="1">
        <v>0</v>
      </c>
      <c r="AT549" s="1">
        <v>150000</v>
      </c>
      <c r="AV549" s="1">
        <v>54091</v>
      </c>
      <c r="AX549" s="1">
        <v>0</v>
      </c>
      <c r="AZ549" s="1">
        <f t="shared" si="57"/>
        <v>22353744</v>
      </c>
      <c r="BB549" s="1">
        <v>254328</v>
      </c>
      <c r="BH549" s="1">
        <v>0</v>
      </c>
      <c r="BJ549" s="1">
        <f t="shared" si="58"/>
        <v>22608072</v>
      </c>
      <c r="BL549" s="1">
        <f>+GenRev!AM549-GenExp!BJ549</f>
        <v>46155</v>
      </c>
      <c r="BN549" s="1">
        <v>2919171</v>
      </c>
      <c r="BP549" s="1">
        <v>0</v>
      </c>
      <c r="BQ549" s="1">
        <v>0</v>
      </c>
      <c r="BS549" s="1">
        <f t="shared" si="59"/>
        <v>2965326</v>
      </c>
      <c r="BU549" s="20">
        <f>+BS549-'Gen Fd BS'!AA549+BQ549</f>
        <v>0</v>
      </c>
    </row>
    <row r="550" spans="1:73">
      <c r="A550" s="12" t="s">
        <v>491</v>
      </c>
      <c r="B550" s="12"/>
      <c r="C550" s="12" t="s">
        <v>48</v>
      </c>
      <c r="D550" s="12"/>
      <c r="E550" s="13">
        <v>45617</v>
      </c>
      <c r="G550" s="1">
        <v>9137546</v>
      </c>
      <c r="I550" s="1">
        <v>0</v>
      </c>
      <c r="K550" s="1">
        <v>0</v>
      </c>
      <c r="M550" s="1">
        <v>0</v>
      </c>
      <c r="O550" s="1">
        <v>853004</v>
      </c>
      <c r="Q550" s="1">
        <v>1115724</v>
      </c>
      <c r="S550" s="1">
        <v>28782</v>
      </c>
      <c r="U550" s="1">
        <v>1032940</v>
      </c>
      <c r="W550" s="1">
        <v>504212</v>
      </c>
      <c r="Y550" s="1">
        <v>0</v>
      </c>
      <c r="AA550" s="1">
        <v>2138281</v>
      </c>
      <c r="AC550" s="1">
        <v>930622</v>
      </c>
      <c r="AE550" s="1">
        <v>286818</v>
      </c>
      <c r="AG550" s="1">
        <v>0</v>
      </c>
      <c r="AI550" s="1">
        <v>7687</v>
      </c>
      <c r="AJ550" s="12" t="s">
        <v>491</v>
      </c>
      <c r="AK550" s="12"/>
      <c r="AL550" s="12" t="s">
        <v>48</v>
      </c>
      <c r="AN550" s="1">
        <v>456092</v>
      </c>
      <c r="AP550" s="1">
        <v>0</v>
      </c>
      <c r="AR550" s="1">
        <v>0</v>
      </c>
      <c r="AT550" s="1">
        <v>57371</v>
      </c>
      <c r="AV550" s="1">
        <v>18683</v>
      </c>
      <c r="AX550" s="1">
        <v>0</v>
      </c>
      <c r="AZ550" s="1">
        <f t="shared" si="57"/>
        <v>16567762</v>
      </c>
      <c r="BB550" s="1">
        <v>58500</v>
      </c>
      <c r="BH550" s="1">
        <v>0</v>
      </c>
      <c r="BJ550" s="1">
        <f t="shared" si="58"/>
        <v>16626262</v>
      </c>
      <c r="BL550" s="1">
        <f>+GenRev!AM550-GenExp!BJ550</f>
        <v>700232</v>
      </c>
      <c r="BN550" s="1">
        <v>-586379</v>
      </c>
      <c r="BP550" s="1">
        <v>0</v>
      </c>
      <c r="BQ550" s="1">
        <v>0</v>
      </c>
      <c r="BS550" s="1">
        <f t="shared" si="59"/>
        <v>113853</v>
      </c>
      <c r="BU550" s="20">
        <f>+BS550-'Gen Fd BS'!AA550+BQ550</f>
        <v>0</v>
      </c>
    </row>
    <row r="551" spans="1:73">
      <c r="A551" s="12" t="s">
        <v>455</v>
      </c>
      <c r="B551" s="12"/>
      <c r="C551" s="12" t="s">
        <v>117</v>
      </c>
      <c r="D551" s="12"/>
      <c r="E551" s="13">
        <v>44909</v>
      </c>
      <c r="G551" s="1">
        <v>202523082</v>
      </c>
      <c r="I551" s="1">
        <v>0</v>
      </c>
      <c r="K551" s="1">
        <v>0</v>
      </c>
      <c r="M551" s="1">
        <v>0</v>
      </c>
      <c r="O551" s="1">
        <v>109603555</v>
      </c>
      <c r="Q551" s="1">
        <v>0</v>
      </c>
      <c r="S551" s="1">
        <v>0</v>
      </c>
      <c r="U551" s="1">
        <v>0</v>
      </c>
      <c r="W551" s="1">
        <v>0</v>
      </c>
      <c r="Y551" s="1">
        <v>0</v>
      </c>
      <c r="AA551" s="1">
        <v>0</v>
      </c>
      <c r="AC551" s="1">
        <v>0</v>
      </c>
      <c r="AE551" s="1">
        <v>0</v>
      </c>
      <c r="AG551" s="1">
        <v>9713224</v>
      </c>
      <c r="AI551" s="1">
        <v>0</v>
      </c>
      <c r="AJ551" s="12" t="s">
        <v>455</v>
      </c>
      <c r="AK551" s="12"/>
      <c r="AL551" s="12" t="s">
        <v>117</v>
      </c>
      <c r="AN551" s="1">
        <v>4061405</v>
      </c>
      <c r="AP551" s="1">
        <v>191730</v>
      </c>
      <c r="AR551" s="1">
        <v>0</v>
      </c>
      <c r="AT551" s="1">
        <v>0</v>
      </c>
      <c r="AV551" s="1">
        <v>0</v>
      </c>
      <c r="AX551" s="1">
        <v>0</v>
      </c>
      <c r="AZ551" s="1">
        <f t="shared" si="57"/>
        <v>326092996</v>
      </c>
      <c r="BB551" s="1">
        <v>3592570</v>
      </c>
      <c r="BH551" s="1">
        <v>0</v>
      </c>
      <c r="BJ551" s="1">
        <f t="shared" si="58"/>
        <v>329685566</v>
      </c>
      <c r="BL551" s="1">
        <f>+GenRev!AM551-GenExp!BJ551</f>
        <v>-8518425</v>
      </c>
      <c r="BN551" s="1">
        <v>-4186818</v>
      </c>
      <c r="BP551" s="1">
        <v>0</v>
      </c>
      <c r="BQ551" s="1">
        <v>0</v>
      </c>
      <c r="BS551" s="1">
        <f t="shared" si="59"/>
        <v>-12705243</v>
      </c>
      <c r="BU551" s="20">
        <f>+BS551-'Gen Fd BS'!AA551+BQ551</f>
        <v>0</v>
      </c>
    </row>
    <row r="552" spans="1:73" hidden="1">
      <c r="A552" s="12" t="s">
        <v>952</v>
      </c>
      <c r="B552" s="12"/>
      <c r="C552" s="12" t="s">
        <v>117</v>
      </c>
      <c r="D552" s="12"/>
      <c r="E552" s="13"/>
      <c r="AJ552" s="12" t="s">
        <v>952</v>
      </c>
      <c r="AK552" s="12"/>
      <c r="AL552" s="12" t="s">
        <v>117</v>
      </c>
      <c r="AZ552" s="1">
        <f t="shared" si="57"/>
        <v>0</v>
      </c>
      <c r="BJ552" s="1">
        <f t="shared" si="58"/>
        <v>0</v>
      </c>
      <c r="BL552" s="1">
        <f>+GenRev!AM552-GenExp!BJ552</f>
        <v>0</v>
      </c>
      <c r="BS552" s="1">
        <f t="shared" si="59"/>
        <v>0</v>
      </c>
      <c r="BU552" s="20">
        <f>+BS552-'Gen Fd BS'!AA552+BQ552</f>
        <v>0</v>
      </c>
    </row>
    <row r="553" spans="1:73">
      <c r="A553" s="12" t="s">
        <v>902</v>
      </c>
      <c r="B553" s="12"/>
      <c r="C553" s="12" t="s">
        <v>39</v>
      </c>
      <c r="D553" s="12"/>
      <c r="E553" s="13">
        <v>44917</v>
      </c>
      <c r="G553" s="1">
        <v>3285527</v>
      </c>
      <c r="I553" s="1">
        <v>604509</v>
      </c>
      <c r="K553" s="1">
        <v>120849</v>
      </c>
      <c r="M553" s="1">
        <f>78743+44966</f>
        <v>123709</v>
      </c>
      <c r="O553" s="1">
        <v>287038</v>
      </c>
      <c r="Q553" s="1">
        <v>144935</v>
      </c>
      <c r="S553" s="1">
        <v>9694</v>
      </c>
      <c r="U553" s="1">
        <v>820550</v>
      </c>
      <c r="W553" s="1">
        <v>295442</v>
      </c>
      <c r="Y553" s="1">
        <v>0</v>
      </c>
      <c r="AA553" s="1">
        <v>979547</v>
      </c>
      <c r="AC553" s="1">
        <v>151335</v>
      </c>
      <c r="AE553" s="1">
        <v>766</v>
      </c>
      <c r="AG553" s="1">
        <v>0</v>
      </c>
      <c r="AI553" s="1">
        <v>91</v>
      </c>
      <c r="AJ553" s="12" t="s">
        <v>902</v>
      </c>
      <c r="AK553" s="12"/>
      <c r="AL553" s="12" t="s">
        <v>39</v>
      </c>
      <c r="AN553" s="1">
        <v>171493</v>
      </c>
      <c r="AP553" s="1">
        <v>0</v>
      </c>
      <c r="AR553" s="1">
        <v>0</v>
      </c>
      <c r="AT553" s="1">
        <v>9273</v>
      </c>
      <c r="AV553" s="1">
        <v>1794</v>
      </c>
      <c r="AX553" s="1">
        <v>0</v>
      </c>
      <c r="AZ553" s="1">
        <f t="shared" si="57"/>
        <v>7006552</v>
      </c>
      <c r="BB553" s="1">
        <v>25000</v>
      </c>
      <c r="BH553" s="1">
        <v>0</v>
      </c>
      <c r="BJ553" s="1">
        <f t="shared" si="58"/>
        <v>7031552</v>
      </c>
      <c r="BL553" s="1">
        <f>+GenRev!AM553-GenExp!BJ553</f>
        <v>-381639</v>
      </c>
      <c r="BN553" s="1">
        <v>2591849</v>
      </c>
      <c r="BP553" s="1">
        <v>0</v>
      </c>
      <c r="BQ553" s="1">
        <v>0</v>
      </c>
      <c r="BS553" s="1">
        <f t="shared" si="59"/>
        <v>2210210</v>
      </c>
      <c r="BU553" s="20">
        <f>+BS553-'Gen Fd BS'!AA553+BQ553</f>
        <v>0</v>
      </c>
    </row>
    <row r="554" spans="1:73">
      <c r="A554" s="12" t="s">
        <v>242</v>
      </c>
      <c r="B554" s="12"/>
      <c r="C554" s="12" t="s">
        <v>240</v>
      </c>
      <c r="D554" s="12"/>
      <c r="E554" s="13">
        <v>46201</v>
      </c>
      <c r="G554" s="1">
        <v>4287854</v>
      </c>
      <c r="I554" s="1">
        <v>1051381</v>
      </c>
      <c r="K554" s="1">
        <v>202728</v>
      </c>
      <c r="M554" s="1">
        <v>0</v>
      </c>
      <c r="O554" s="1">
        <v>324975</v>
      </c>
      <c r="Q554" s="1">
        <v>242866</v>
      </c>
      <c r="S554" s="1">
        <v>43536</v>
      </c>
      <c r="U554" s="1">
        <v>756521</v>
      </c>
      <c r="W554" s="1">
        <v>276567</v>
      </c>
      <c r="Y554" s="1">
        <v>7837</v>
      </c>
      <c r="AA554" s="1">
        <v>1031515</v>
      </c>
      <c r="AC554" s="1">
        <v>794575</v>
      </c>
      <c r="AE554" s="1">
        <v>189770</v>
      </c>
      <c r="AG554" s="1">
        <v>0</v>
      </c>
      <c r="AI554" s="1">
        <v>0</v>
      </c>
      <c r="AJ554" s="12" t="s">
        <v>242</v>
      </c>
      <c r="AK554" s="12"/>
      <c r="AL554" s="12" t="s">
        <v>240</v>
      </c>
      <c r="AN554" s="1">
        <v>283184</v>
      </c>
      <c r="AP554" s="1">
        <v>0</v>
      </c>
      <c r="AR554" s="1">
        <v>0</v>
      </c>
      <c r="AT554" s="1">
        <v>0</v>
      </c>
      <c r="AV554" s="1">
        <v>0</v>
      </c>
      <c r="AX554" s="1">
        <v>0</v>
      </c>
      <c r="AZ554" s="1">
        <f t="shared" ref="AZ554:AZ577" si="60">SUM(G554:AX554)</f>
        <v>9493309</v>
      </c>
      <c r="BB554" s="1">
        <v>163942</v>
      </c>
      <c r="BH554" s="1">
        <v>0</v>
      </c>
      <c r="BJ554" s="1">
        <f t="shared" ref="BJ554:BJ576" si="61">+AZ554+BB554+BD554+BH554</f>
        <v>9657251</v>
      </c>
      <c r="BL554" s="1">
        <f>+GenRev!AM554-GenExp!BJ554</f>
        <v>-393725</v>
      </c>
      <c r="BN554" s="1">
        <v>1383862</v>
      </c>
      <c r="BP554" s="1">
        <v>0</v>
      </c>
      <c r="BQ554" s="1">
        <v>0</v>
      </c>
      <c r="BS554" s="1">
        <f t="shared" ref="BS554:BS617" si="62">+BN554+BL554-BP554</f>
        <v>990137</v>
      </c>
      <c r="BU554" s="20">
        <f>+BS554-'Gen Fd BS'!AA554+BQ554</f>
        <v>0</v>
      </c>
    </row>
    <row r="555" spans="1:73">
      <c r="A555" s="12" t="s">
        <v>541</v>
      </c>
      <c r="B555" s="12"/>
      <c r="C555" s="12" t="s">
        <v>57</v>
      </c>
      <c r="D555" s="12"/>
      <c r="E555" s="13">
        <v>91397</v>
      </c>
      <c r="F555" s="8"/>
      <c r="G555" s="1">
        <v>4566018</v>
      </c>
      <c r="I555" s="1">
        <v>755491</v>
      </c>
      <c r="K555" s="1">
        <v>96752</v>
      </c>
      <c r="M555" s="1">
        <v>0</v>
      </c>
      <c r="O555" s="1">
        <v>415748</v>
      </c>
      <c r="Q555" s="1">
        <v>465132</v>
      </c>
      <c r="S555" s="1">
        <v>21801</v>
      </c>
      <c r="U555" s="1">
        <v>1086952</v>
      </c>
      <c r="W555" s="1">
        <v>213765</v>
      </c>
      <c r="Y555" s="1">
        <v>0</v>
      </c>
      <c r="AA555" s="1">
        <v>659905</v>
      </c>
      <c r="AC555" s="1">
        <v>472047</v>
      </c>
      <c r="AE555" s="1">
        <v>22341</v>
      </c>
      <c r="AG555" s="1">
        <v>0</v>
      </c>
      <c r="AI555" s="1">
        <v>0</v>
      </c>
      <c r="AJ555" s="12" t="s">
        <v>541</v>
      </c>
      <c r="AK555" s="12"/>
      <c r="AL555" s="12" t="s">
        <v>57</v>
      </c>
      <c r="AN555" s="1">
        <v>232472</v>
      </c>
      <c r="AP555" s="1">
        <v>0</v>
      </c>
      <c r="AR555" s="1">
        <v>0</v>
      </c>
      <c r="AT555" s="1">
        <v>0</v>
      </c>
      <c r="AV555" s="1">
        <v>0</v>
      </c>
      <c r="AX555" s="1">
        <v>0</v>
      </c>
      <c r="AZ555" s="1">
        <f t="shared" si="60"/>
        <v>9008424</v>
      </c>
      <c r="BB555" s="1">
        <v>7259</v>
      </c>
      <c r="BH555" s="1">
        <v>0</v>
      </c>
      <c r="BJ555" s="1">
        <f t="shared" si="61"/>
        <v>9015683</v>
      </c>
      <c r="BL555" s="1">
        <f>+GenRev!AM555-GenExp!BJ555</f>
        <v>-158648</v>
      </c>
      <c r="BN555" s="1">
        <v>3231122</v>
      </c>
      <c r="BP555" s="1">
        <v>0</v>
      </c>
      <c r="BQ555" s="1">
        <v>0</v>
      </c>
      <c r="BS555" s="1">
        <f t="shared" si="62"/>
        <v>3072474</v>
      </c>
      <c r="BU555" s="20">
        <f>+BS555-'Gen Fd BS'!AA555+BQ555</f>
        <v>0</v>
      </c>
    </row>
    <row r="556" spans="1:73">
      <c r="A556" s="12" t="s">
        <v>216</v>
      </c>
      <c r="B556" s="12"/>
      <c r="C556" s="12" t="s">
        <v>13</v>
      </c>
      <c r="D556" s="12"/>
      <c r="E556" s="13">
        <v>45922</v>
      </c>
      <c r="G556" s="1">
        <v>3413431</v>
      </c>
      <c r="I556" s="1">
        <v>880396</v>
      </c>
      <c r="K556" s="1">
        <v>71393</v>
      </c>
      <c r="M556" s="1">
        <f>33998+609331</f>
        <v>643329</v>
      </c>
      <c r="O556" s="1">
        <v>266569</v>
      </c>
      <c r="Q556" s="1">
        <v>85801</v>
      </c>
      <c r="S556" s="1">
        <v>55083</v>
      </c>
      <c r="U556" s="1">
        <v>436319</v>
      </c>
      <c r="W556" s="1">
        <v>273764</v>
      </c>
      <c r="Y556" s="1">
        <v>0</v>
      </c>
      <c r="AA556" s="1">
        <v>942792</v>
      </c>
      <c r="AC556" s="1">
        <v>536278</v>
      </c>
      <c r="AE556" s="1">
        <v>17984</v>
      </c>
      <c r="AG556" s="1">
        <v>0</v>
      </c>
      <c r="AI556" s="1">
        <v>64000</v>
      </c>
      <c r="AJ556" s="12" t="s">
        <v>216</v>
      </c>
      <c r="AK556" s="12"/>
      <c r="AL556" s="12" t="s">
        <v>13</v>
      </c>
      <c r="AN556" s="1">
        <v>92012</v>
      </c>
      <c r="AP556" s="1">
        <v>0</v>
      </c>
      <c r="AR556" s="1">
        <v>0</v>
      </c>
      <c r="AT556" s="1">
        <v>25202</v>
      </c>
      <c r="AV556" s="1">
        <v>4383</v>
      </c>
      <c r="AX556" s="1">
        <v>0</v>
      </c>
      <c r="AZ556" s="1">
        <f t="shared" si="60"/>
        <v>7808736</v>
      </c>
      <c r="BB556" s="1">
        <v>12310</v>
      </c>
      <c r="BH556" s="1">
        <v>0</v>
      </c>
      <c r="BJ556" s="1">
        <f t="shared" si="61"/>
        <v>7821046</v>
      </c>
      <c r="BL556" s="1">
        <f>+GenRev!AM556-GenExp!BJ556</f>
        <v>-21969</v>
      </c>
      <c r="BN556" s="1">
        <v>-332959</v>
      </c>
      <c r="BP556" s="1">
        <v>0</v>
      </c>
      <c r="BQ556" s="1">
        <v>0</v>
      </c>
      <c r="BS556" s="1">
        <f t="shared" si="62"/>
        <v>-354928</v>
      </c>
      <c r="BU556" s="20">
        <f>+BS556-'Gen Fd BS'!AA556+BQ556</f>
        <v>0</v>
      </c>
    </row>
    <row r="557" spans="1:73">
      <c r="A557" s="12" t="s">
        <v>514</v>
      </c>
      <c r="B557" s="12"/>
      <c r="C557" s="12" t="s">
        <v>51</v>
      </c>
      <c r="D557" s="12"/>
      <c r="E557" s="13">
        <v>48876</v>
      </c>
      <c r="F557" s="8"/>
      <c r="G557" s="1">
        <v>10718179</v>
      </c>
      <c r="I557" s="1">
        <v>2204207</v>
      </c>
      <c r="K557" s="1">
        <v>343257</v>
      </c>
      <c r="M557" s="1">
        <v>14778</v>
      </c>
      <c r="O557" s="1">
        <v>562326</v>
      </c>
      <c r="Q557" s="1">
        <v>1160773</v>
      </c>
      <c r="S557" s="1">
        <v>1439929</v>
      </c>
      <c r="U557" s="1">
        <v>1916615</v>
      </c>
      <c r="W557" s="1">
        <v>535810</v>
      </c>
      <c r="Y557" s="1">
        <v>0</v>
      </c>
      <c r="AA557" s="1">
        <v>1807127</v>
      </c>
      <c r="AC557" s="1">
        <v>1600672</v>
      </c>
      <c r="AE557" s="1">
        <v>283994</v>
      </c>
      <c r="AG557" s="1">
        <v>0</v>
      </c>
      <c r="AI557" s="1">
        <v>0</v>
      </c>
      <c r="AJ557" s="12" t="s">
        <v>514</v>
      </c>
      <c r="AK557" s="12"/>
      <c r="AL557" s="12" t="s">
        <v>51</v>
      </c>
      <c r="AN557" s="1">
        <v>12071</v>
      </c>
      <c r="AP557" s="1">
        <v>18598</v>
      </c>
      <c r="AR557" s="1">
        <v>0</v>
      </c>
      <c r="AT557" s="1">
        <v>21667</v>
      </c>
      <c r="AV557" s="1">
        <v>2597</v>
      </c>
      <c r="AX557" s="1">
        <v>0</v>
      </c>
      <c r="AZ557" s="1">
        <f t="shared" si="60"/>
        <v>22642600</v>
      </c>
      <c r="BB557" s="1">
        <v>0</v>
      </c>
      <c r="BH557" s="1">
        <v>0</v>
      </c>
      <c r="BJ557" s="1">
        <f t="shared" si="61"/>
        <v>22642600</v>
      </c>
      <c r="BL557" s="1">
        <f>+GenRev!AM557-GenExp!BJ557</f>
        <v>108574</v>
      </c>
      <c r="BN557" s="1">
        <v>-1949711</v>
      </c>
      <c r="BP557" s="1">
        <v>0</v>
      </c>
      <c r="BQ557" s="1">
        <v>0</v>
      </c>
      <c r="BS557" s="1">
        <f t="shared" si="62"/>
        <v>-1841137</v>
      </c>
      <c r="BU557" s="20">
        <f>+BS557-'Gen Fd BS'!AA557+BQ557</f>
        <v>0</v>
      </c>
    </row>
    <row r="558" spans="1:73" hidden="1">
      <c r="A558" s="17" t="s">
        <v>859</v>
      </c>
      <c r="B558" s="12"/>
      <c r="C558" s="12" t="s">
        <v>21</v>
      </c>
      <c r="D558" s="12"/>
      <c r="E558" s="13">
        <v>46680</v>
      </c>
      <c r="AJ558" s="17" t="s">
        <v>859</v>
      </c>
      <c r="AK558" s="12"/>
      <c r="AL558" s="12" t="s">
        <v>21</v>
      </c>
      <c r="AZ558" s="1">
        <f t="shared" si="60"/>
        <v>0</v>
      </c>
      <c r="BJ558" s="1">
        <f t="shared" si="61"/>
        <v>0</v>
      </c>
      <c r="BL558" s="1">
        <f>+GenRev!AM558-GenExp!BJ558</f>
        <v>0</v>
      </c>
      <c r="BS558" s="1">
        <f t="shared" si="62"/>
        <v>0</v>
      </c>
      <c r="BU558" s="20">
        <f>+BS558-'Gen Fd BS'!AA558+BQ558</f>
        <v>0</v>
      </c>
    </row>
    <row r="559" spans="1:73" hidden="1">
      <c r="A559" s="17" t="s">
        <v>933</v>
      </c>
      <c r="B559" s="12"/>
      <c r="C559" s="12" t="s">
        <v>71</v>
      </c>
      <c r="D559" s="12"/>
      <c r="E559" s="13">
        <v>50591</v>
      </c>
      <c r="AJ559" s="17" t="s">
        <v>933</v>
      </c>
      <c r="AK559" s="12"/>
      <c r="AL559" s="12" t="s">
        <v>71</v>
      </c>
      <c r="AZ559" s="1">
        <f t="shared" si="60"/>
        <v>0</v>
      </c>
      <c r="BJ559" s="1">
        <f t="shared" si="61"/>
        <v>0</v>
      </c>
      <c r="BL559" s="1">
        <f>+GenRev!AM559-GenExp!BJ559</f>
        <v>0</v>
      </c>
      <c r="BS559" s="1">
        <f t="shared" si="62"/>
        <v>0</v>
      </c>
      <c r="BU559" s="20">
        <f>+BS559-'Gen Fd BS'!AA559+BQ559</f>
        <v>0</v>
      </c>
    </row>
    <row r="560" spans="1:73">
      <c r="A560" s="12" t="s">
        <v>505</v>
      </c>
      <c r="B560" s="12"/>
      <c r="C560" s="12" t="s">
        <v>50</v>
      </c>
      <c r="D560" s="12"/>
      <c r="E560" s="13">
        <v>48694</v>
      </c>
      <c r="G560" s="1">
        <v>15652453</v>
      </c>
      <c r="I560" s="1">
        <v>3079067</v>
      </c>
      <c r="K560" s="1">
        <v>0</v>
      </c>
      <c r="M560" s="1">
        <v>409839</v>
      </c>
      <c r="O560" s="1">
        <v>1162402</v>
      </c>
      <c r="Q560" s="1">
        <v>1370350</v>
      </c>
      <c r="S560" s="1">
        <v>50415</v>
      </c>
      <c r="U560" s="1">
        <v>2183949</v>
      </c>
      <c r="W560" s="1">
        <v>580024</v>
      </c>
      <c r="Y560" s="1">
        <v>576818</v>
      </c>
      <c r="AA560" s="1">
        <v>3227929</v>
      </c>
      <c r="AC560" s="1">
        <v>1490251</v>
      </c>
      <c r="AE560" s="1">
        <v>1243903</v>
      </c>
      <c r="AG560" s="1">
        <v>0</v>
      </c>
      <c r="AI560" s="1">
        <v>10415</v>
      </c>
      <c r="AJ560" s="12" t="s">
        <v>505</v>
      </c>
      <c r="AK560" s="12"/>
      <c r="AL560" s="12" t="s">
        <v>50</v>
      </c>
      <c r="AN560" s="1">
        <v>454209</v>
      </c>
      <c r="AP560" s="1">
        <v>26850</v>
      </c>
      <c r="AR560" s="1">
        <v>0</v>
      </c>
      <c r="AT560" s="1">
        <v>0</v>
      </c>
      <c r="AV560" s="1">
        <v>0</v>
      </c>
      <c r="AX560" s="1">
        <v>0</v>
      </c>
      <c r="AZ560" s="1">
        <f t="shared" si="60"/>
        <v>31518874</v>
      </c>
      <c r="BB560" s="1">
        <v>328722</v>
      </c>
      <c r="BH560" s="1">
        <v>0</v>
      </c>
      <c r="BJ560" s="1">
        <f t="shared" si="61"/>
        <v>31847596</v>
      </c>
      <c r="BL560" s="1">
        <f>+GenRev!AM560-GenExp!BJ560</f>
        <v>1077943</v>
      </c>
      <c r="BN560" s="1">
        <v>7732004</v>
      </c>
      <c r="BP560" s="1">
        <v>0</v>
      </c>
      <c r="BQ560" s="1">
        <v>0</v>
      </c>
      <c r="BS560" s="1">
        <f t="shared" si="62"/>
        <v>8809947</v>
      </c>
      <c r="BU560" s="20">
        <f>+BS560-'Gen Fd BS'!AA560+BQ560</f>
        <v>0</v>
      </c>
    </row>
    <row r="561" spans="1:73">
      <c r="A561" s="12" t="s">
        <v>492</v>
      </c>
      <c r="B561" s="12"/>
      <c r="C561" s="12" t="s">
        <v>48</v>
      </c>
      <c r="D561" s="12"/>
      <c r="E561" s="12">
        <v>44925</v>
      </c>
      <c r="F561" s="8"/>
      <c r="G561" s="1">
        <v>20377232</v>
      </c>
      <c r="I561" s="1">
        <v>4420977</v>
      </c>
      <c r="K561" s="1">
        <v>18504</v>
      </c>
      <c r="M561" s="1">
        <v>1857930</v>
      </c>
      <c r="O561" s="1">
        <v>2071176</v>
      </c>
      <c r="Q561" s="1">
        <v>948185</v>
      </c>
      <c r="S561" s="1">
        <v>710876</v>
      </c>
      <c r="U561" s="1">
        <v>3043913</v>
      </c>
      <c r="W561" s="1">
        <v>494263</v>
      </c>
      <c r="Y561" s="1">
        <v>592301</v>
      </c>
      <c r="AA561" s="1">
        <v>3320097</v>
      </c>
      <c r="AC561" s="1">
        <v>1742197</v>
      </c>
      <c r="AE561" s="1">
        <v>56622</v>
      </c>
      <c r="AG561" s="1">
        <v>0</v>
      </c>
      <c r="AI561" s="1">
        <v>0</v>
      </c>
      <c r="AJ561" s="12" t="s">
        <v>492</v>
      </c>
      <c r="AK561" s="12"/>
      <c r="AL561" s="12" t="s">
        <v>48</v>
      </c>
      <c r="AN561" s="1">
        <v>0</v>
      </c>
      <c r="AP561" s="1">
        <v>219869</v>
      </c>
      <c r="AR561" s="1">
        <v>0</v>
      </c>
      <c r="AT561" s="1">
        <v>147669</v>
      </c>
      <c r="AV561" s="1">
        <v>4713</v>
      </c>
      <c r="AX561" s="1">
        <v>0</v>
      </c>
      <c r="AZ561" s="1">
        <f t="shared" si="60"/>
        <v>40026524</v>
      </c>
      <c r="BB561" s="1">
        <v>62054</v>
      </c>
      <c r="BH561" s="1">
        <v>18000</v>
      </c>
      <c r="BJ561" s="1">
        <f t="shared" si="61"/>
        <v>40106578</v>
      </c>
      <c r="BL561" s="1">
        <f>+GenRev!AM561-GenExp!BJ561</f>
        <v>541055</v>
      </c>
      <c r="BN561" s="1">
        <v>10998388</v>
      </c>
      <c r="BP561" s="1">
        <v>0</v>
      </c>
      <c r="BQ561" s="1">
        <v>0</v>
      </c>
      <c r="BS561" s="1">
        <f t="shared" si="62"/>
        <v>11539443</v>
      </c>
      <c r="BU561" s="20">
        <f>+BS561-'Gen Fd BS'!AA561+BQ561</f>
        <v>0</v>
      </c>
    </row>
    <row r="562" spans="1:73">
      <c r="A562" s="12" t="s">
        <v>624</v>
      </c>
      <c r="B562" s="12"/>
      <c r="C562" s="12" t="s">
        <v>65</v>
      </c>
      <c r="D562" s="12"/>
      <c r="E562" s="13">
        <v>50302</v>
      </c>
      <c r="G562" s="1">
        <v>5183603</v>
      </c>
      <c r="I562" s="1">
        <v>582586</v>
      </c>
      <c r="K562" s="1">
        <v>142490</v>
      </c>
      <c r="M562" s="1">
        <v>970410</v>
      </c>
      <c r="O562" s="1">
        <v>521567</v>
      </c>
      <c r="Q562" s="1">
        <v>606335</v>
      </c>
      <c r="S562" s="1">
        <v>19272</v>
      </c>
      <c r="U562" s="1">
        <v>856470</v>
      </c>
      <c r="W562" s="1">
        <v>352055</v>
      </c>
      <c r="Y562" s="1">
        <v>0</v>
      </c>
      <c r="AA562" s="1">
        <v>995277</v>
      </c>
      <c r="AC562" s="1">
        <v>784122</v>
      </c>
      <c r="AE562" s="1">
        <v>90132</v>
      </c>
      <c r="AG562" s="1">
        <v>0</v>
      </c>
      <c r="AI562" s="1">
        <v>0</v>
      </c>
      <c r="AJ562" s="12" t="s">
        <v>624</v>
      </c>
      <c r="AK562" s="12"/>
      <c r="AL562" s="12" t="s">
        <v>65</v>
      </c>
      <c r="AN562" s="1">
        <v>248857</v>
      </c>
      <c r="AP562" s="1">
        <v>197418</v>
      </c>
      <c r="AR562" s="1">
        <v>0</v>
      </c>
      <c r="AT562" s="1">
        <v>42960</v>
      </c>
      <c r="AV562" s="1">
        <v>2484</v>
      </c>
      <c r="AX562" s="1">
        <v>0</v>
      </c>
      <c r="AZ562" s="1">
        <f t="shared" si="60"/>
        <v>11596038</v>
      </c>
      <c r="BB562" s="1">
        <v>30247</v>
      </c>
      <c r="BH562" s="1">
        <v>0</v>
      </c>
      <c r="BJ562" s="1">
        <f t="shared" si="61"/>
        <v>11626285</v>
      </c>
      <c r="BL562" s="1">
        <f>+GenRev!AM562-GenExp!BJ562</f>
        <v>235612</v>
      </c>
      <c r="BN562" s="1">
        <v>1579403</v>
      </c>
      <c r="BP562" s="1">
        <v>6130</v>
      </c>
      <c r="BQ562" s="1">
        <v>0</v>
      </c>
      <c r="BS562" s="1">
        <f t="shared" si="62"/>
        <v>1808885</v>
      </c>
      <c r="BU562" s="20">
        <f>+BS562-'Gen Fd BS'!AA562+BQ562</f>
        <v>0</v>
      </c>
    </row>
    <row r="563" spans="1:73">
      <c r="A563" s="12" t="s">
        <v>585</v>
      </c>
      <c r="B563" s="12"/>
      <c r="C563" s="12" t="s">
        <v>62</v>
      </c>
      <c r="D563" s="12"/>
      <c r="E563" s="13">
        <v>49957</v>
      </c>
      <c r="G563" s="1">
        <v>5397675</v>
      </c>
      <c r="I563" s="1">
        <v>1043405</v>
      </c>
      <c r="K563" s="1">
        <v>201766</v>
      </c>
      <c r="M563" s="1">
        <v>16026</v>
      </c>
      <c r="O563" s="1">
        <v>633421</v>
      </c>
      <c r="Q563" s="1">
        <v>388939</v>
      </c>
      <c r="S563" s="1">
        <v>14358</v>
      </c>
      <c r="U563" s="1">
        <v>1066399</v>
      </c>
      <c r="W563" s="1">
        <v>275083</v>
      </c>
      <c r="Y563" s="1">
        <v>45525</v>
      </c>
      <c r="AA563" s="1">
        <v>645768</v>
      </c>
      <c r="AC563" s="1">
        <v>809614</v>
      </c>
      <c r="AE563" s="1">
        <v>20770</v>
      </c>
      <c r="AG563" s="1">
        <v>0</v>
      </c>
      <c r="AI563" s="1">
        <v>0</v>
      </c>
      <c r="AJ563" s="12" t="s">
        <v>585</v>
      </c>
      <c r="AK563" s="12"/>
      <c r="AL563" s="12" t="s">
        <v>62</v>
      </c>
      <c r="AN563" s="1">
        <v>385619</v>
      </c>
      <c r="AP563" s="1">
        <v>0</v>
      </c>
      <c r="AR563" s="1">
        <v>0</v>
      </c>
      <c r="AT563" s="1">
        <v>15599</v>
      </c>
      <c r="AV563" s="1">
        <v>1596</v>
      </c>
      <c r="AX563" s="1">
        <v>0</v>
      </c>
      <c r="AZ563" s="1">
        <f t="shared" si="60"/>
        <v>10961563</v>
      </c>
      <c r="BB563" s="1">
        <v>93112</v>
      </c>
      <c r="BH563" s="1">
        <v>0</v>
      </c>
      <c r="BJ563" s="1">
        <f t="shared" si="61"/>
        <v>11054675</v>
      </c>
      <c r="BL563" s="1">
        <f>+GenRev!AM563-GenExp!BJ563</f>
        <v>-138019</v>
      </c>
      <c r="BN563" s="1">
        <v>3100</v>
      </c>
      <c r="BP563" s="1">
        <v>0</v>
      </c>
      <c r="BQ563" s="1">
        <v>0</v>
      </c>
      <c r="BS563" s="1">
        <f t="shared" si="62"/>
        <v>-134919</v>
      </c>
      <c r="BU563" s="20">
        <f>+BS563-'Gen Fd BS'!AA563+BQ563</f>
        <v>0</v>
      </c>
    </row>
    <row r="564" spans="1:73" hidden="1">
      <c r="A564" s="17" t="s">
        <v>865</v>
      </c>
      <c r="B564" s="12"/>
      <c r="C564" s="12" t="s">
        <v>57</v>
      </c>
      <c r="D564" s="12"/>
      <c r="E564" s="13">
        <v>49296</v>
      </c>
      <c r="AJ564" s="17" t="s">
        <v>865</v>
      </c>
      <c r="AK564" s="12"/>
      <c r="AL564" s="12" t="s">
        <v>57</v>
      </c>
      <c r="AZ564" s="1">
        <f t="shared" si="60"/>
        <v>0</v>
      </c>
      <c r="BJ564" s="1">
        <f t="shared" si="61"/>
        <v>0</v>
      </c>
      <c r="BL564" s="1">
        <f>+GenRev!AM564-GenExp!BJ564</f>
        <v>0</v>
      </c>
      <c r="BS564" s="1">
        <f t="shared" si="62"/>
        <v>0</v>
      </c>
      <c r="BU564" s="20">
        <f>+BS564-'Gen Fd BS'!AA564+BQ564</f>
        <v>0</v>
      </c>
    </row>
    <row r="565" spans="1:73">
      <c r="A565" s="12" t="s">
        <v>597</v>
      </c>
      <c r="B565" s="12"/>
      <c r="C565" s="12" t="s">
        <v>63</v>
      </c>
      <c r="D565" s="12"/>
      <c r="E565" s="13">
        <v>50070</v>
      </c>
      <c r="G565" s="1">
        <v>20293607</v>
      </c>
      <c r="I565" s="1">
        <v>2107527</v>
      </c>
      <c r="K565" s="1">
        <v>313703</v>
      </c>
      <c r="M565" s="1">
        <v>3327</v>
      </c>
      <c r="O565" s="1">
        <v>2045705</v>
      </c>
      <c r="Q565" s="1">
        <v>1880608</v>
      </c>
      <c r="S565" s="1">
        <v>270329</v>
      </c>
      <c r="U565" s="1">
        <v>2897087</v>
      </c>
      <c r="W565" s="1">
        <v>1126088</v>
      </c>
      <c r="Y565" s="1">
        <v>96131</v>
      </c>
      <c r="AA565" s="1">
        <v>3776228</v>
      </c>
      <c r="AC565" s="1">
        <v>2639415</v>
      </c>
      <c r="AE565" s="1">
        <v>691713</v>
      </c>
      <c r="AG565" s="1">
        <v>0</v>
      </c>
      <c r="AI565" s="1">
        <v>0</v>
      </c>
      <c r="AJ565" s="12" t="s">
        <v>597</v>
      </c>
      <c r="AK565" s="12"/>
      <c r="AL565" s="12" t="s">
        <v>63</v>
      </c>
      <c r="AN565" s="1">
        <v>809620</v>
      </c>
      <c r="AP565" s="1">
        <v>0</v>
      </c>
      <c r="AR565" s="1">
        <v>0</v>
      </c>
      <c r="AT565" s="1">
        <v>150804</v>
      </c>
      <c r="AV565" s="1">
        <v>75058</v>
      </c>
      <c r="AX565" s="1">
        <v>0</v>
      </c>
      <c r="AZ565" s="1">
        <f t="shared" si="60"/>
        <v>39176950</v>
      </c>
      <c r="BB565" s="1">
        <v>0</v>
      </c>
      <c r="BH565" s="1">
        <v>0</v>
      </c>
      <c r="BJ565" s="1">
        <f t="shared" ref="BJ565:BJ573" si="63">+AZ565+BB565+BD565+BH565</f>
        <v>39176950</v>
      </c>
      <c r="BL565" s="20">
        <f>+GenRev!AM565-GenExp!BJ565</f>
        <v>-246863</v>
      </c>
      <c r="BN565" s="1">
        <v>28723937</v>
      </c>
      <c r="BP565" s="1">
        <v>0</v>
      </c>
      <c r="BQ565" s="1">
        <v>0</v>
      </c>
      <c r="BS565" s="1">
        <f t="shared" ref="BS565:BS573" si="64">+BN565+BL565-BP565</f>
        <v>28477074</v>
      </c>
      <c r="BU565" s="20">
        <f>+BS565-'Gen Fd BS'!AA565+BQ565</f>
        <v>0</v>
      </c>
    </row>
    <row r="566" spans="1:73" hidden="1">
      <c r="A566" s="12" t="s">
        <v>931</v>
      </c>
      <c r="B566" s="12"/>
      <c r="C566" s="12" t="s">
        <v>15</v>
      </c>
      <c r="D566" s="12"/>
      <c r="E566" s="13">
        <v>46011</v>
      </c>
      <c r="AJ566" s="12" t="s">
        <v>931</v>
      </c>
      <c r="AK566" s="12"/>
      <c r="AL566" s="12" t="s">
        <v>15</v>
      </c>
      <c r="AZ566" s="1">
        <f t="shared" si="60"/>
        <v>0</v>
      </c>
      <c r="BJ566" s="1">
        <f t="shared" si="63"/>
        <v>0</v>
      </c>
      <c r="BL566" s="1">
        <f>+GenRev!AM566-GenExp!BJ566</f>
        <v>0</v>
      </c>
      <c r="BS566" s="1">
        <f t="shared" si="64"/>
        <v>0</v>
      </c>
      <c r="BU566" s="1">
        <f>+BS566-'Gen Fd BS'!AA566+BQ566</f>
        <v>0</v>
      </c>
    </row>
    <row r="567" spans="1:73">
      <c r="A567" s="12" t="s">
        <v>553</v>
      </c>
      <c r="B567" s="12"/>
      <c r="C567" s="12" t="s">
        <v>58</v>
      </c>
      <c r="D567" s="12"/>
      <c r="E567" s="13">
        <v>49536</v>
      </c>
      <c r="G567" s="1">
        <v>8501114</v>
      </c>
      <c r="I567" s="1">
        <v>748707</v>
      </c>
      <c r="K567" s="1">
        <v>9847</v>
      </c>
      <c r="M567" s="1">
        <v>0</v>
      </c>
      <c r="O567" s="1">
        <v>533681</v>
      </c>
      <c r="Q567" s="1">
        <v>557485</v>
      </c>
      <c r="S567" s="1">
        <v>771923</v>
      </c>
      <c r="U567" s="1">
        <v>918513</v>
      </c>
      <c r="W567" s="1">
        <v>434295</v>
      </c>
      <c r="Y567" s="1">
        <v>39316</v>
      </c>
      <c r="AA567" s="1">
        <v>1071654</v>
      </c>
      <c r="AC567" s="1">
        <v>721014</v>
      </c>
      <c r="AE567" s="1">
        <v>0</v>
      </c>
      <c r="AG567" s="1">
        <v>0</v>
      </c>
      <c r="AI567" s="1">
        <v>0</v>
      </c>
      <c r="AJ567" s="12" t="s">
        <v>553</v>
      </c>
      <c r="AK567" s="12"/>
      <c r="AL567" s="12" t="s">
        <v>58</v>
      </c>
      <c r="AN567" s="1">
        <v>130616</v>
      </c>
      <c r="AP567" s="1">
        <v>184131</v>
      </c>
      <c r="AR567" s="1">
        <v>0</v>
      </c>
      <c r="AT567" s="1">
        <v>213295</v>
      </c>
      <c r="AV567" s="1">
        <v>31100</v>
      </c>
      <c r="AX567" s="1">
        <v>0</v>
      </c>
      <c r="AZ567" s="1">
        <f t="shared" si="60"/>
        <v>14866691</v>
      </c>
      <c r="BB567" s="1">
        <v>401015</v>
      </c>
      <c r="BH567" s="1">
        <v>0</v>
      </c>
      <c r="BJ567" s="1">
        <f t="shared" si="63"/>
        <v>15267706</v>
      </c>
      <c r="BL567" s="1">
        <f>+GenRev!AM567-GenExp!BJ567</f>
        <v>1856313</v>
      </c>
      <c r="BN567" s="1">
        <v>7912600</v>
      </c>
      <c r="BP567" s="1">
        <v>0</v>
      </c>
      <c r="BQ567" s="1">
        <v>0</v>
      </c>
      <c r="BS567" s="1">
        <f t="shared" si="64"/>
        <v>9768913</v>
      </c>
      <c r="BU567" s="1">
        <f>+BS567-'Gen Fd BS'!AA567+BQ567</f>
        <v>0</v>
      </c>
    </row>
    <row r="568" spans="1:73">
      <c r="A568" s="12" t="s">
        <v>270</v>
      </c>
      <c r="B568" s="12"/>
      <c r="C568" s="12" t="s">
        <v>114</v>
      </c>
      <c r="D568" s="12"/>
      <c r="E568" s="13">
        <v>46458</v>
      </c>
      <c r="G568" s="1">
        <v>5554293</v>
      </c>
      <c r="I568" s="1">
        <v>1216926</v>
      </c>
      <c r="K568" s="1">
        <v>206153</v>
      </c>
      <c r="M568" s="1">
        <f>8694+27321</f>
        <v>36015</v>
      </c>
      <c r="O568" s="1">
        <v>237235</v>
      </c>
      <c r="Q568" s="1">
        <v>516232</v>
      </c>
      <c r="S568" s="1">
        <v>61572</v>
      </c>
      <c r="U568" s="1">
        <v>663580</v>
      </c>
      <c r="W568" s="1">
        <v>259690</v>
      </c>
      <c r="Y568" s="1">
        <v>0</v>
      </c>
      <c r="AA568" s="1">
        <v>1074142</v>
      </c>
      <c r="AC568" s="1">
        <v>708348</v>
      </c>
      <c r="AE568" s="1">
        <v>10060</v>
      </c>
      <c r="AG568" s="1">
        <v>0</v>
      </c>
      <c r="AI568" s="1">
        <v>1039</v>
      </c>
      <c r="AJ568" s="12" t="s">
        <v>270</v>
      </c>
      <c r="AK568" s="12"/>
      <c r="AL568" s="12" t="s">
        <v>114</v>
      </c>
      <c r="AN568" s="1">
        <v>308056</v>
      </c>
      <c r="AP568" s="1">
        <v>152</v>
      </c>
      <c r="AR568" s="1">
        <v>0</v>
      </c>
      <c r="AT568" s="1">
        <v>22049</v>
      </c>
      <c r="AV568" s="1">
        <v>4064</v>
      </c>
      <c r="AX568" s="1">
        <v>0</v>
      </c>
      <c r="AZ568" s="1">
        <f t="shared" si="60"/>
        <v>10879606</v>
      </c>
      <c r="BB568" s="1">
        <v>0</v>
      </c>
      <c r="BH568" s="1">
        <v>0</v>
      </c>
      <c r="BJ568" s="1">
        <f t="shared" si="63"/>
        <v>10879606</v>
      </c>
      <c r="BL568" s="1">
        <f>+GenRev!AM568-GenExp!BJ568</f>
        <v>1187</v>
      </c>
      <c r="BN568" s="1">
        <v>2917024</v>
      </c>
      <c r="BP568" s="1">
        <v>0</v>
      </c>
      <c r="BQ568" s="1">
        <v>0</v>
      </c>
      <c r="BS568" s="1">
        <f t="shared" si="64"/>
        <v>2918211</v>
      </c>
      <c r="BU568" s="1">
        <f>+BS568-'Gen Fd BS'!AA568+BQ568</f>
        <v>0</v>
      </c>
    </row>
    <row r="569" spans="1:73">
      <c r="A569" s="12" t="s">
        <v>341</v>
      </c>
      <c r="B569" s="12"/>
      <c r="C569" s="12" t="s">
        <v>27</v>
      </c>
      <c r="D569" s="12"/>
      <c r="E569" s="13">
        <v>44933</v>
      </c>
      <c r="G569" s="1">
        <v>38942007</v>
      </c>
      <c r="I569" s="1">
        <v>7296488</v>
      </c>
      <c r="K569" s="1">
        <v>150195</v>
      </c>
      <c r="M569" s="1">
        <v>0</v>
      </c>
      <c r="O569" s="1">
        <v>4291589</v>
      </c>
      <c r="Q569" s="1">
        <v>5815839</v>
      </c>
      <c r="S569" s="1">
        <v>38944</v>
      </c>
      <c r="U569" s="1">
        <v>4070557</v>
      </c>
      <c r="W569" s="1">
        <v>1589478</v>
      </c>
      <c r="Y569" s="1">
        <v>661026</v>
      </c>
      <c r="AA569" s="1">
        <v>6676707</v>
      </c>
      <c r="AC569" s="1">
        <v>1605693</v>
      </c>
      <c r="AE569" s="1">
        <v>2003045</v>
      </c>
      <c r="AG569" s="1">
        <v>0</v>
      </c>
      <c r="AI569" s="1">
        <v>0</v>
      </c>
      <c r="AJ569" s="12" t="s">
        <v>341</v>
      </c>
      <c r="AK569" s="12"/>
      <c r="AL569" s="12" t="s">
        <v>27</v>
      </c>
      <c r="AN569" s="1">
        <v>1174991</v>
      </c>
      <c r="AP569" s="1">
        <v>0</v>
      </c>
      <c r="AR569" s="1">
        <v>0</v>
      </c>
      <c r="AT569" s="1">
        <v>0</v>
      </c>
      <c r="AV569" s="1">
        <v>0</v>
      </c>
      <c r="AX569" s="1">
        <v>0</v>
      </c>
      <c r="AZ569" s="1">
        <f t="shared" si="60"/>
        <v>74316559</v>
      </c>
      <c r="BB569" s="1">
        <v>990404</v>
      </c>
      <c r="BH569" s="1">
        <v>0</v>
      </c>
      <c r="BJ569" s="1">
        <f t="shared" si="63"/>
        <v>75306963</v>
      </c>
      <c r="BL569" s="1">
        <f>+GenRev!AM569-GenExp!BJ569</f>
        <v>1723290</v>
      </c>
      <c r="BN569" s="1">
        <v>48535179</v>
      </c>
      <c r="BP569" s="1">
        <v>0</v>
      </c>
      <c r="BQ569" s="1">
        <v>0</v>
      </c>
      <c r="BS569" s="1">
        <f t="shared" si="64"/>
        <v>50258469</v>
      </c>
      <c r="BU569" s="1">
        <f>+BS569-'Gen Fd BS'!AA569+BQ569</f>
        <v>0</v>
      </c>
    </row>
    <row r="570" spans="1:73" hidden="1">
      <c r="A570" s="17" t="s">
        <v>866</v>
      </c>
      <c r="B570" s="12"/>
      <c r="C570" s="12" t="s">
        <v>653</v>
      </c>
      <c r="D570" s="12"/>
      <c r="E570" s="13">
        <v>45625</v>
      </c>
      <c r="AJ570" s="17" t="s">
        <v>866</v>
      </c>
      <c r="AK570" s="12"/>
      <c r="AL570" s="12" t="s">
        <v>653</v>
      </c>
      <c r="AZ570" s="1">
        <f t="shared" si="60"/>
        <v>0</v>
      </c>
      <c r="BJ570" s="1">
        <f t="shared" si="63"/>
        <v>0</v>
      </c>
      <c r="BL570" s="1">
        <f>+GenRev!AM570-GenExp!BJ570</f>
        <v>0</v>
      </c>
      <c r="BS570" s="1">
        <f t="shared" si="64"/>
        <v>0</v>
      </c>
      <c r="BU570" s="1">
        <f>+BS570-'Gen Fd BS'!AA570+BQ570</f>
        <v>0</v>
      </c>
    </row>
    <row r="571" spans="1:73" hidden="1">
      <c r="A571" s="17" t="s">
        <v>867</v>
      </c>
      <c r="B571" s="12"/>
      <c r="C571" s="12" t="s">
        <v>383</v>
      </c>
      <c r="D571" s="12"/>
      <c r="E571" s="13">
        <v>47522</v>
      </c>
      <c r="AJ571" s="17" t="s">
        <v>867</v>
      </c>
      <c r="AK571" s="12"/>
      <c r="AL571" s="12" t="s">
        <v>383</v>
      </c>
      <c r="AZ571" s="1">
        <f t="shared" si="60"/>
        <v>0</v>
      </c>
      <c r="BJ571" s="1">
        <f t="shared" si="63"/>
        <v>0</v>
      </c>
      <c r="BL571" s="1">
        <f>+GenRev!AM571-GenExp!BJ571</f>
        <v>0</v>
      </c>
      <c r="BS571" s="1">
        <f t="shared" si="64"/>
        <v>0</v>
      </c>
      <c r="BU571" s="1">
        <f>+BS571-'Gen Fd BS'!AA571+BQ571</f>
        <v>0</v>
      </c>
    </row>
    <row r="572" spans="1:73">
      <c r="A572" s="12" t="s">
        <v>243</v>
      </c>
      <c r="B572" s="12"/>
      <c r="C572" s="12" t="s">
        <v>240</v>
      </c>
      <c r="D572" s="12"/>
      <c r="E572" s="13">
        <v>44941</v>
      </c>
      <c r="G572" s="1">
        <v>10756131</v>
      </c>
      <c r="I572" s="1">
        <v>3300248</v>
      </c>
      <c r="K572" s="1">
        <v>342768</v>
      </c>
      <c r="M572" s="1">
        <v>41960</v>
      </c>
      <c r="O572" s="1">
        <v>1226038</v>
      </c>
      <c r="Q572" s="1">
        <v>641960</v>
      </c>
      <c r="S572" s="1">
        <v>19598</v>
      </c>
      <c r="U572" s="1">
        <v>1984381</v>
      </c>
      <c r="W572" s="1">
        <v>292162</v>
      </c>
      <c r="Y572" s="1">
        <v>207898</v>
      </c>
      <c r="AA572" s="1">
        <v>1665957</v>
      </c>
      <c r="AC572" s="1">
        <v>693395</v>
      </c>
      <c r="AE572" s="1">
        <v>86043</v>
      </c>
      <c r="AG572" s="1">
        <v>0</v>
      </c>
      <c r="AI572" s="1">
        <v>99982</v>
      </c>
      <c r="AJ572" s="12" t="s">
        <v>243</v>
      </c>
      <c r="AK572" s="12"/>
      <c r="AL572" s="12" t="s">
        <v>240</v>
      </c>
      <c r="AN572" s="1">
        <v>424427</v>
      </c>
      <c r="AP572" s="1">
        <v>381864</v>
      </c>
      <c r="AR572" s="1">
        <v>0</v>
      </c>
      <c r="AT572" s="1">
        <v>91215</v>
      </c>
      <c r="AV572" s="1">
        <v>67359</v>
      </c>
      <c r="AX572" s="1">
        <v>0</v>
      </c>
      <c r="AZ572" s="1">
        <f t="shared" si="60"/>
        <v>22323386</v>
      </c>
      <c r="BB572" s="1">
        <v>0</v>
      </c>
      <c r="BH572" s="1">
        <v>0</v>
      </c>
      <c r="BJ572" s="1">
        <f t="shared" si="63"/>
        <v>22323386</v>
      </c>
      <c r="BL572" s="1">
        <f>+GenRev!AM572-GenExp!BJ572</f>
        <v>-29869</v>
      </c>
      <c r="BN572" s="1">
        <v>4259387</v>
      </c>
      <c r="BP572" s="1">
        <v>0</v>
      </c>
      <c r="BQ572" s="1">
        <v>0</v>
      </c>
      <c r="BS572" s="1">
        <f t="shared" si="64"/>
        <v>4229518</v>
      </c>
      <c r="BU572" s="1">
        <f>+BS572-'Gen Fd BS'!AA572+BQ572</f>
        <v>0</v>
      </c>
    </row>
    <row r="573" spans="1:73" hidden="1">
      <c r="A573" s="17" t="s">
        <v>868</v>
      </c>
      <c r="B573" s="12"/>
      <c r="C573" s="12" t="s">
        <v>59</v>
      </c>
      <c r="D573" s="12"/>
      <c r="E573" s="13">
        <v>49643</v>
      </c>
      <c r="AJ573" s="17" t="s">
        <v>868</v>
      </c>
      <c r="AK573" s="12"/>
      <c r="AL573" s="12" t="s">
        <v>59</v>
      </c>
      <c r="AZ573" s="1">
        <f t="shared" si="60"/>
        <v>0</v>
      </c>
      <c r="BJ573" s="1">
        <f t="shared" si="63"/>
        <v>0</v>
      </c>
      <c r="BL573" s="1">
        <f>+GenRev!AM573-GenExp!BJ573</f>
        <v>0</v>
      </c>
      <c r="BS573" s="1">
        <f t="shared" si="64"/>
        <v>0</v>
      </c>
      <c r="BU573" s="1">
        <f>+BS573-'Gen Fd BS'!AA573+BQ573</f>
        <v>0</v>
      </c>
    </row>
    <row r="574" spans="1:73" s="16" customFormat="1">
      <c r="A574" s="14" t="s">
        <v>506</v>
      </c>
      <c r="B574" s="14"/>
      <c r="C574" s="14" t="s">
        <v>50</v>
      </c>
      <c r="D574" s="14"/>
      <c r="E574" s="13">
        <v>48744</v>
      </c>
      <c r="G574" s="1">
        <v>8132532</v>
      </c>
      <c r="H574" s="1"/>
      <c r="I574" s="1">
        <v>1105324</v>
      </c>
      <c r="J574" s="1"/>
      <c r="K574" s="1">
        <v>415276</v>
      </c>
      <c r="L574" s="1"/>
      <c r="M574" s="1">
        <v>545929</v>
      </c>
      <c r="N574" s="1"/>
      <c r="O574" s="1">
        <v>922872</v>
      </c>
      <c r="P574" s="1"/>
      <c r="Q574" s="1">
        <v>1382785</v>
      </c>
      <c r="R574" s="1"/>
      <c r="S574" s="1">
        <v>29685</v>
      </c>
      <c r="T574" s="1"/>
      <c r="U574" s="1">
        <v>1408028</v>
      </c>
      <c r="V574" s="1"/>
      <c r="W574" s="1">
        <v>327933</v>
      </c>
      <c r="X574" s="1"/>
      <c r="Y574" s="1">
        <v>23044</v>
      </c>
      <c r="Z574" s="1"/>
      <c r="AA574" s="1">
        <v>1811363</v>
      </c>
      <c r="AB574" s="1"/>
      <c r="AC574" s="1">
        <v>876310</v>
      </c>
      <c r="AD574" s="1"/>
      <c r="AE574" s="1">
        <v>303949</v>
      </c>
      <c r="AF574" s="1"/>
      <c r="AG574" s="1">
        <v>0</v>
      </c>
      <c r="AH574" s="1"/>
      <c r="AI574" s="1">
        <v>0</v>
      </c>
      <c r="AJ574" s="12" t="s">
        <v>506</v>
      </c>
      <c r="AK574" s="12"/>
      <c r="AL574" s="12" t="s">
        <v>50</v>
      </c>
      <c r="AM574" s="1"/>
      <c r="AN574" s="1">
        <v>440924</v>
      </c>
      <c r="AO574" s="1"/>
      <c r="AP574" s="1">
        <v>90598</v>
      </c>
      <c r="AQ574" s="1"/>
      <c r="AR574" s="1">
        <v>0</v>
      </c>
      <c r="AS574" s="1"/>
      <c r="AT574" s="1">
        <v>136107</v>
      </c>
      <c r="AU574" s="1"/>
      <c r="AV574" s="1">
        <v>50751</v>
      </c>
      <c r="AW574" s="1"/>
      <c r="AX574" s="1">
        <v>0</v>
      </c>
      <c r="AY574" s="1"/>
      <c r="AZ574" s="1">
        <f t="shared" si="60"/>
        <v>18003410</v>
      </c>
      <c r="BA574" s="1"/>
      <c r="BB574" s="1">
        <v>78060</v>
      </c>
      <c r="BC574" s="1"/>
      <c r="BD574" s="1"/>
      <c r="BE574" s="1"/>
      <c r="BF574" s="1"/>
      <c r="BG574" s="1"/>
      <c r="BH574" s="1">
        <v>0</v>
      </c>
      <c r="BI574" s="1"/>
      <c r="BJ574" s="1">
        <f t="shared" si="61"/>
        <v>18081470</v>
      </c>
      <c r="BK574" s="1"/>
      <c r="BL574" s="1">
        <f>+GenRev!AM574-GenExp!BJ574</f>
        <v>-2000692</v>
      </c>
      <c r="BM574" s="1"/>
      <c r="BN574" s="1">
        <v>6170119</v>
      </c>
      <c r="BO574" s="1"/>
      <c r="BP574" s="1">
        <v>0</v>
      </c>
      <c r="BQ574" s="1">
        <v>0</v>
      </c>
      <c r="BR574" s="1"/>
      <c r="BS574" s="1">
        <f t="shared" si="62"/>
        <v>4169427</v>
      </c>
      <c r="BT574" s="1"/>
      <c r="BU574" s="1">
        <f>+BS574-'Gen Fd BS'!AA574+BQ574</f>
        <v>0</v>
      </c>
    </row>
    <row r="575" spans="1:73">
      <c r="A575" s="12" t="s">
        <v>382</v>
      </c>
      <c r="B575" s="12"/>
      <c r="C575" s="12" t="s">
        <v>33</v>
      </c>
      <c r="D575" s="12"/>
      <c r="E575" s="13">
        <v>47464</v>
      </c>
      <c r="G575" s="1">
        <v>4596092</v>
      </c>
      <c r="I575" s="1">
        <v>484892</v>
      </c>
      <c r="K575" s="1">
        <v>188420</v>
      </c>
      <c r="M575" s="1">
        <v>0</v>
      </c>
      <c r="O575" s="1">
        <v>533824</v>
      </c>
      <c r="Q575" s="1">
        <v>326922</v>
      </c>
      <c r="S575" s="1">
        <v>50514</v>
      </c>
      <c r="U575" s="1">
        <v>782180</v>
      </c>
      <c r="W575" s="1">
        <v>358134</v>
      </c>
      <c r="Y575" s="1">
        <v>0</v>
      </c>
      <c r="AA575" s="1">
        <v>1118149</v>
      </c>
      <c r="AC575" s="1">
        <v>451113</v>
      </c>
      <c r="AE575" s="1">
        <v>20100</v>
      </c>
      <c r="AG575" s="1">
        <v>0</v>
      </c>
      <c r="AI575" s="1">
        <v>0</v>
      </c>
      <c r="AJ575" s="12" t="s">
        <v>382</v>
      </c>
      <c r="AK575" s="12"/>
      <c r="AL575" s="12" t="s">
        <v>33</v>
      </c>
      <c r="AN575" s="1">
        <v>266775</v>
      </c>
      <c r="AP575" s="1">
        <v>0</v>
      </c>
      <c r="AR575" s="1">
        <v>0</v>
      </c>
      <c r="AT575" s="1">
        <v>0</v>
      </c>
      <c r="AV575" s="1">
        <v>0</v>
      </c>
      <c r="AX575" s="1">
        <v>0</v>
      </c>
      <c r="AZ575" s="1">
        <f t="shared" si="60"/>
        <v>9177115</v>
      </c>
      <c r="BB575" s="1">
        <v>63086</v>
      </c>
      <c r="BH575" s="1">
        <v>0</v>
      </c>
      <c r="BJ575" s="1">
        <f t="shared" si="61"/>
        <v>9240201</v>
      </c>
      <c r="BL575" s="1">
        <f>+GenRev!AM575-GenExp!BJ575</f>
        <v>182231</v>
      </c>
      <c r="BN575" s="1">
        <v>6006314</v>
      </c>
      <c r="BP575" s="1">
        <v>0</v>
      </c>
      <c r="BQ575" s="1">
        <v>0</v>
      </c>
      <c r="BS575" s="1">
        <f t="shared" si="62"/>
        <v>6188545</v>
      </c>
      <c r="BU575" s="1">
        <f>+BS575-'Gen Fd BS'!AA575+BQ575</f>
        <v>0</v>
      </c>
    </row>
    <row r="576" spans="1:73">
      <c r="A576" s="12" t="s">
        <v>629</v>
      </c>
      <c r="B576" s="12"/>
      <c r="C576" s="12" t="s">
        <v>67</v>
      </c>
      <c r="D576" s="12"/>
      <c r="E576" s="13">
        <v>44966</v>
      </c>
      <c r="G576" s="1">
        <v>10486343</v>
      </c>
      <c r="I576" s="1">
        <v>2045329</v>
      </c>
      <c r="K576" s="1">
        <v>681</v>
      </c>
      <c r="M576" s="1">
        <v>0</v>
      </c>
      <c r="O576" s="1">
        <v>935378</v>
      </c>
      <c r="Q576" s="1">
        <v>1057432</v>
      </c>
      <c r="S576" s="1">
        <v>45118</v>
      </c>
      <c r="U576" s="1">
        <v>970608</v>
      </c>
      <c r="W576" s="1">
        <v>496920</v>
      </c>
      <c r="Y576" s="1">
        <v>0</v>
      </c>
      <c r="AA576" s="1">
        <v>1845916</v>
      </c>
      <c r="AC576" s="1">
        <v>354404</v>
      </c>
      <c r="AE576" s="1">
        <v>214271</v>
      </c>
      <c r="AG576" s="1">
        <v>0</v>
      </c>
      <c r="AI576" s="1">
        <v>10</v>
      </c>
      <c r="AJ576" s="12" t="s">
        <v>629</v>
      </c>
      <c r="AK576" s="12"/>
      <c r="AL576" s="12" t="s">
        <v>67</v>
      </c>
      <c r="AN576" s="1">
        <v>291483</v>
      </c>
      <c r="AP576" s="1">
        <v>6963</v>
      </c>
      <c r="AR576" s="1">
        <v>0</v>
      </c>
      <c r="AT576" s="1">
        <v>0</v>
      </c>
      <c r="AV576" s="1">
        <v>0</v>
      </c>
      <c r="AX576" s="1">
        <v>0</v>
      </c>
      <c r="AZ576" s="1">
        <f t="shared" si="60"/>
        <v>18750856</v>
      </c>
      <c r="BB576" s="1">
        <v>0</v>
      </c>
      <c r="BH576" s="1">
        <v>0</v>
      </c>
      <c r="BJ576" s="1">
        <f t="shared" si="61"/>
        <v>18750856</v>
      </c>
      <c r="BL576" s="1">
        <f>+GenRev!AM576-GenExp!BJ576</f>
        <v>-167686</v>
      </c>
      <c r="BN576" s="1">
        <v>5802823</v>
      </c>
      <c r="BP576" s="1">
        <v>0</v>
      </c>
      <c r="BQ576" s="1">
        <v>0</v>
      </c>
      <c r="BS576" s="1">
        <f t="shared" si="62"/>
        <v>5635137</v>
      </c>
      <c r="BU576" s="1">
        <f>+BS576-'Gen Fd BS'!AA576+BQ576</f>
        <v>0</v>
      </c>
    </row>
    <row r="577" spans="1:73">
      <c r="A577" s="12" t="s">
        <v>507</v>
      </c>
      <c r="B577" s="12"/>
      <c r="C577" s="12" t="s">
        <v>50</v>
      </c>
      <c r="D577" s="12"/>
      <c r="E577" s="13">
        <v>44958</v>
      </c>
      <c r="G577" s="1">
        <v>16599638</v>
      </c>
      <c r="I577" s="1">
        <v>3484569</v>
      </c>
      <c r="K577" s="1">
        <v>567326</v>
      </c>
      <c r="M577" s="1">
        <v>1654689</v>
      </c>
      <c r="O577" s="1">
        <v>2623750</v>
      </c>
      <c r="Q577" s="1">
        <v>1535001</v>
      </c>
      <c r="S577" s="1">
        <v>104125</v>
      </c>
      <c r="U577" s="1">
        <v>2384353</v>
      </c>
      <c r="W577" s="1">
        <v>1097731</v>
      </c>
      <c r="Y577" s="1">
        <v>0</v>
      </c>
      <c r="AA577" s="1">
        <v>2210827</v>
      </c>
      <c r="AC577" s="1">
        <v>1454841</v>
      </c>
      <c r="AE577" s="1">
        <v>735734</v>
      </c>
      <c r="AG577" s="1">
        <v>0</v>
      </c>
      <c r="AI577" s="1">
        <v>0</v>
      </c>
      <c r="AJ577" s="12" t="s">
        <v>507</v>
      </c>
      <c r="AK577" s="12"/>
      <c r="AL577" s="12" t="s">
        <v>50</v>
      </c>
      <c r="AN577" s="1">
        <v>280318</v>
      </c>
      <c r="AP577" s="1">
        <v>515659</v>
      </c>
      <c r="AR577" s="1">
        <v>0</v>
      </c>
      <c r="AT577" s="1">
        <v>146259</v>
      </c>
      <c r="AV577" s="1">
        <v>11901</v>
      </c>
      <c r="AX577" s="1">
        <v>0</v>
      </c>
      <c r="AZ577" s="1">
        <f t="shared" si="60"/>
        <v>35406721</v>
      </c>
      <c r="BB577" s="1">
        <v>65525</v>
      </c>
      <c r="BH577" s="1">
        <v>0</v>
      </c>
      <c r="BJ577" s="1">
        <f>+AZ577+BB577+BD577+BH577</f>
        <v>35472246</v>
      </c>
      <c r="BL577" s="1">
        <f>+GenRev!AM577-GenExp!BJ577</f>
        <v>-3335065</v>
      </c>
      <c r="BN577" s="1">
        <v>13925062</v>
      </c>
      <c r="BP577" s="1">
        <v>0</v>
      </c>
      <c r="BQ577" s="1">
        <v>0</v>
      </c>
      <c r="BS577" s="1">
        <f t="shared" si="62"/>
        <v>10589997</v>
      </c>
      <c r="BU577" s="1">
        <f>+BS577-'Gen Fd BS'!AA577+BQ577</f>
        <v>0</v>
      </c>
    </row>
    <row r="578" spans="1:73" hidden="1">
      <c r="A578" s="17" t="s">
        <v>870</v>
      </c>
      <c r="B578" s="12"/>
      <c r="C578" s="12" t="s">
        <v>33</v>
      </c>
      <c r="D578" s="12"/>
      <c r="E578" s="13">
        <v>47472</v>
      </c>
      <c r="AJ578" s="17" t="s">
        <v>870</v>
      </c>
      <c r="AK578" s="12"/>
      <c r="AL578" s="12" t="s">
        <v>33</v>
      </c>
      <c r="AZ578" s="1">
        <f>SUM(G578:AX578)</f>
        <v>0</v>
      </c>
      <c r="BJ578" s="1">
        <f>+AZ578+BB578+BD578+BH578</f>
        <v>0</v>
      </c>
      <c r="BL578" s="1">
        <f>+GenRev!AM578-GenExp!BJ578</f>
        <v>0</v>
      </c>
      <c r="BS578" s="1">
        <f t="shared" si="62"/>
        <v>0</v>
      </c>
      <c r="BU578" s="1">
        <f>+BS578-'Gen Fd BS'!AA578+BQ578</f>
        <v>0</v>
      </c>
    </row>
    <row r="579" spans="1:73">
      <c r="A579" s="12" t="s">
        <v>320</v>
      </c>
      <c r="B579" s="12"/>
      <c r="C579" s="12" t="s">
        <v>24</v>
      </c>
      <c r="D579" s="12"/>
      <c r="E579" s="13">
        <v>46821</v>
      </c>
      <c r="G579" s="1">
        <v>8771069</v>
      </c>
      <c r="I579" s="1">
        <v>1689824</v>
      </c>
      <c r="K579" s="1">
        <v>334828</v>
      </c>
      <c r="M579" s="1">
        <v>1039481</v>
      </c>
      <c r="O579" s="1">
        <v>815108</v>
      </c>
      <c r="Q579" s="1">
        <v>1795067</v>
      </c>
      <c r="S579" s="1">
        <v>162564</v>
      </c>
      <c r="U579" s="1">
        <v>1660879</v>
      </c>
      <c r="W579" s="1">
        <v>565989</v>
      </c>
      <c r="Y579" s="1">
        <v>98766</v>
      </c>
      <c r="AA579" s="1">
        <v>2025454</v>
      </c>
      <c r="AC579" s="1">
        <v>1334067</v>
      </c>
      <c r="AE579" s="1">
        <v>56679</v>
      </c>
      <c r="AG579" s="1">
        <v>0</v>
      </c>
      <c r="AI579" s="1">
        <v>0</v>
      </c>
      <c r="AJ579" s="12" t="s">
        <v>320</v>
      </c>
      <c r="AK579" s="12"/>
      <c r="AL579" s="12" t="s">
        <v>24</v>
      </c>
      <c r="AN579" s="1">
        <v>588375</v>
      </c>
      <c r="AP579" s="1">
        <v>2303256</v>
      </c>
      <c r="AR579" s="1">
        <v>0</v>
      </c>
      <c r="AT579" s="1">
        <v>942042</v>
      </c>
      <c r="AV579" s="1">
        <v>150443</v>
      </c>
      <c r="AX579" s="1">
        <v>0</v>
      </c>
      <c r="AZ579" s="1">
        <f t="shared" ref="AZ579:AZ580" si="65">SUM(G579:AX579)</f>
        <v>24333891</v>
      </c>
      <c r="BB579" s="1">
        <v>0</v>
      </c>
      <c r="BH579" s="1">
        <v>0</v>
      </c>
      <c r="BJ579" s="1">
        <f t="shared" ref="BJ579:BJ580" si="66">+AZ579+BB579+BD579+BH579</f>
        <v>24333891</v>
      </c>
      <c r="BL579" s="1">
        <f>+GenRev!AM579-GenExp!BJ579</f>
        <v>2348394</v>
      </c>
      <c r="BN579" s="1">
        <v>10040330</v>
      </c>
      <c r="BP579" s="1">
        <v>1423</v>
      </c>
      <c r="BQ579" s="1">
        <v>0</v>
      </c>
      <c r="BS579" s="1">
        <f t="shared" si="62"/>
        <v>12387301</v>
      </c>
      <c r="BU579" s="1">
        <f>+BS579-'Gen Fd BS'!AA579+BQ579</f>
        <v>0</v>
      </c>
    </row>
    <row r="580" spans="1:73" hidden="1">
      <c r="A580" s="17" t="s">
        <v>871</v>
      </c>
      <c r="B580" s="17"/>
      <c r="C580" s="17" t="s">
        <v>21</v>
      </c>
      <c r="D580" s="12"/>
      <c r="E580" s="13"/>
      <c r="AJ580" s="17" t="s">
        <v>871</v>
      </c>
      <c r="AK580" s="17"/>
      <c r="AL580" s="17" t="s">
        <v>21</v>
      </c>
      <c r="AZ580" s="1">
        <f t="shared" si="65"/>
        <v>0</v>
      </c>
      <c r="BJ580" s="1">
        <f t="shared" si="66"/>
        <v>0</v>
      </c>
      <c r="BL580" s="1">
        <f>+GenRev!AM580-GenExp!BJ580</f>
        <v>0</v>
      </c>
      <c r="BS580" s="1">
        <f t="shared" si="62"/>
        <v>0</v>
      </c>
      <c r="BU580" s="1">
        <f>+BS580-'Gen Fd BS'!AA580+BQ580</f>
        <v>0</v>
      </c>
    </row>
    <row r="581" spans="1:73">
      <c r="A581" s="12" t="s">
        <v>630</v>
      </c>
      <c r="B581" s="12"/>
      <c r="C581" s="12" t="s">
        <v>68</v>
      </c>
      <c r="D581" s="12"/>
      <c r="E581" s="13">
        <v>50393</v>
      </c>
      <c r="G581" s="1">
        <v>8384513</v>
      </c>
      <c r="I581" s="1">
        <v>1896589</v>
      </c>
      <c r="K581" s="1">
        <v>254330</v>
      </c>
      <c r="M581" s="1">
        <v>1196834</v>
      </c>
      <c r="O581" s="1">
        <v>1191101</v>
      </c>
      <c r="Q581" s="1">
        <v>842577</v>
      </c>
      <c r="S581" s="1">
        <v>329276</v>
      </c>
      <c r="U581" s="1">
        <v>2188970</v>
      </c>
      <c r="W581" s="1">
        <v>328909</v>
      </c>
      <c r="Y581" s="1">
        <v>0</v>
      </c>
      <c r="AA581" s="1">
        <v>2085981</v>
      </c>
      <c r="AC581" s="1">
        <v>2148295</v>
      </c>
      <c r="AE581" s="1">
        <v>392851</v>
      </c>
      <c r="AG581" s="1">
        <v>0</v>
      </c>
      <c r="AI581" s="1">
        <v>65897</v>
      </c>
      <c r="AJ581" s="12" t="s">
        <v>630</v>
      </c>
      <c r="AK581" s="12"/>
      <c r="AL581" s="12" t="s">
        <v>68</v>
      </c>
      <c r="AN581" s="1">
        <v>153979</v>
      </c>
      <c r="AP581" s="1">
        <v>95332</v>
      </c>
      <c r="AR581" s="1">
        <v>0</v>
      </c>
      <c r="AT581" s="1">
        <v>118873</v>
      </c>
      <c r="AV581" s="1">
        <v>43920</v>
      </c>
      <c r="AX581" s="1">
        <v>0</v>
      </c>
      <c r="AZ581" s="1">
        <f>SUM(G581:AX581)</f>
        <v>21718227</v>
      </c>
      <c r="BB581" s="1">
        <v>0</v>
      </c>
      <c r="BH581" s="1">
        <v>0</v>
      </c>
      <c r="BJ581" s="1">
        <f>+AZ581+BB581+BD581+BH581</f>
        <v>21718227</v>
      </c>
      <c r="BL581" s="1">
        <f>+GenRev!AM581-GenExp!BJ581</f>
        <v>460441</v>
      </c>
      <c r="BN581" s="1">
        <v>10894026</v>
      </c>
      <c r="BP581" s="1">
        <v>0</v>
      </c>
      <c r="BQ581" s="1">
        <v>0</v>
      </c>
      <c r="BS581" s="1">
        <f t="shared" si="62"/>
        <v>11354467</v>
      </c>
      <c r="BU581" s="1">
        <f>+BS581-'Gen Fd BS'!AA581+BQ581</f>
        <v>0</v>
      </c>
    </row>
    <row r="582" spans="1:73">
      <c r="A582" s="12" t="s">
        <v>483</v>
      </c>
      <c r="B582" s="12"/>
      <c r="C582" s="12" t="s">
        <v>47</v>
      </c>
      <c r="D582" s="12"/>
      <c r="E582" s="13">
        <v>44974</v>
      </c>
      <c r="G582" s="1">
        <v>16692843</v>
      </c>
      <c r="I582" s="1">
        <v>2337963</v>
      </c>
      <c r="K582" s="1">
        <v>1600463</v>
      </c>
      <c r="M582" s="1">
        <f>152738+937835</f>
        <v>1090573</v>
      </c>
      <c r="O582" s="1">
        <v>2178328</v>
      </c>
      <c r="Q582" s="1">
        <v>1253022</v>
      </c>
      <c r="S582" s="1">
        <v>353742</v>
      </c>
      <c r="U582" s="1">
        <v>3084735</v>
      </c>
      <c r="W582" s="1">
        <v>336378</v>
      </c>
      <c r="Y582" s="1">
        <v>0</v>
      </c>
      <c r="AA582" s="1">
        <v>3504544</v>
      </c>
      <c r="AC582" s="1">
        <v>1515073</v>
      </c>
      <c r="AE582" s="1">
        <v>1095727</v>
      </c>
      <c r="AG582" s="1">
        <v>0</v>
      </c>
      <c r="AI582" s="1">
        <v>0</v>
      </c>
      <c r="AJ582" s="12" t="s">
        <v>483</v>
      </c>
      <c r="AK582" s="12"/>
      <c r="AL582" s="12" t="s">
        <v>47</v>
      </c>
      <c r="AN582" s="1">
        <v>677939</v>
      </c>
      <c r="AP582" s="1">
        <v>64857</v>
      </c>
      <c r="AR582" s="1">
        <v>0</v>
      </c>
      <c r="AT582" s="1">
        <v>0</v>
      </c>
      <c r="AV582" s="1">
        <v>0</v>
      </c>
      <c r="AX582" s="1">
        <v>0</v>
      </c>
      <c r="AZ582" s="1">
        <f t="shared" ref="AZ582:AZ603" si="67">SUM(G582:AX582)</f>
        <v>35786187</v>
      </c>
      <c r="BB582" s="1">
        <v>133875</v>
      </c>
      <c r="BH582" s="1">
        <v>0</v>
      </c>
      <c r="BJ582" s="1">
        <f t="shared" ref="BJ582:BJ635" si="68">+AZ582+BB582+BD582+BH582</f>
        <v>35920062</v>
      </c>
      <c r="BL582" s="1">
        <f>+GenRev!AM582-GenExp!BJ582</f>
        <v>-443332</v>
      </c>
      <c r="BN582" s="1">
        <v>6647863</v>
      </c>
      <c r="BP582" s="1">
        <v>0</v>
      </c>
      <c r="BQ582" s="1">
        <v>0</v>
      </c>
      <c r="BS582" s="1">
        <f t="shared" si="62"/>
        <v>6204531</v>
      </c>
      <c r="BU582" s="1">
        <f>+BS582-'Gen Fd BS'!AA582+BQ582</f>
        <v>0</v>
      </c>
    </row>
    <row r="583" spans="1:73">
      <c r="A583" s="12" t="s">
        <v>616</v>
      </c>
      <c r="B583" s="12"/>
      <c r="C583" s="12" t="s">
        <v>64</v>
      </c>
      <c r="D583" s="12"/>
      <c r="E583" s="13">
        <v>44990</v>
      </c>
      <c r="G583" s="1">
        <v>25587444</v>
      </c>
      <c r="I583" s="1">
        <v>6653927</v>
      </c>
      <c r="K583" s="1">
        <v>182857</v>
      </c>
      <c r="M583" s="1">
        <v>2673205</v>
      </c>
      <c r="O583" s="1">
        <v>2755098</v>
      </c>
      <c r="Q583" s="1">
        <v>2370740</v>
      </c>
      <c r="S583" s="1">
        <v>65711</v>
      </c>
      <c r="U583" s="1">
        <v>5021305</v>
      </c>
      <c r="W583" s="1">
        <v>852529</v>
      </c>
      <c r="Y583" s="1">
        <v>725465</v>
      </c>
      <c r="AA583" s="1">
        <v>7399956</v>
      </c>
      <c r="AC583" s="1">
        <v>2551896</v>
      </c>
      <c r="AE583" s="1">
        <v>1351071</v>
      </c>
      <c r="AG583" s="1">
        <v>0</v>
      </c>
      <c r="AI583" s="1">
        <v>3905</v>
      </c>
      <c r="AJ583" s="12" t="s">
        <v>616</v>
      </c>
      <c r="AK583" s="12"/>
      <c r="AL583" s="12" t="s">
        <v>64</v>
      </c>
      <c r="AN583" s="1">
        <v>798453</v>
      </c>
      <c r="AP583" s="1">
        <v>42258</v>
      </c>
      <c r="AR583" s="1">
        <v>0</v>
      </c>
      <c r="AT583" s="1">
        <v>0</v>
      </c>
      <c r="AV583" s="1">
        <v>0</v>
      </c>
      <c r="AX583" s="1">
        <v>0</v>
      </c>
      <c r="AZ583" s="1">
        <f t="shared" si="67"/>
        <v>59035820</v>
      </c>
      <c r="BB583" s="1">
        <v>122507</v>
      </c>
      <c r="BH583" s="1">
        <v>0</v>
      </c>
      <c r="BJ583" s="1">
        <f t="shared" si="68"/>
        <v>59158327</v>
      </c>
      <c r="BL583" s="1">
        <f>+GenRev!AM583-GenExp!BJ583</f>
        <v>-101696</v>
      </c>
      <c r="BN583" s="1">
        <v>13361180</v>
      </c>
      <c r="BP583" s="1">
        <v>0</v>
      </c>
      <c r="BQ583" s="1">
        <v>0</v>
      </c>
      <c r="BS583" s="1">
        <f t="shared" si="62"/>
        <v>13259484</v>
      </c>
      <c r="BU583" s="1">
        <f>+BS583-'Gen Fd BS'!AA583+BQ583</f>
        <v>0</v>
      </c>
    </row>
    <row r="584" spans="1:73">
      <c r="A584" s="12" t="s">
        <v>638</v>
      </c>
      <c r="B584" s="12"/>
      <c r="C584" s="12" t="s">
        <v>70</v>
      </c>
      <c r="D584" s="12"/>
      <c r="E584" s="13">
        <v>50500</v>
      </c>
      <c r="G584" s="1">
        <v>10893674</v>
      </c>
      <c r="I584" s="1">
        <v>1052653</v>
      </c>
      <c r="K584" s="1">
        <v>96888</v>
      </c>
      <c r="M584" s="1">
        <v>15397</v>
      </c>
      <c r="O584" s="1">
        <v>612503</v>
      </c>
      <c r="Q584" s="1">
        <v>663285</v>
      </c>
      <c r="S584" s="1">
        <v>158453</v>
      </c>
      <c r="U584" s="1">
        <v>765114</v>
      </c>
      <c r="W584" s="1">
        <v>617243</v>
      </c>
      <c r="Y584" s="1">
        <v>8313</v>
      </c>
      <c r="AA584" s="1">
        <v>1733185</v>
      </c>
      <c r="AC584" s="1">
        <v>1890430</v>
      </c>
      <c r="AE584" s="1">
        <v>14486</v>
      </c>
      <c r="AG584" s="1">
        <v>0</v>
      </c>
      <c r="AI584" s="1">
        <v>0</v>
      </c>
      <c r="AJ584" s="12" t="s">
        <v>638</v>
      </c>
      <c r="AK584" s="12"/>
      <c r="AL584" s="12" t="s">
        <v>70</v>
      </c>
      <c r="AN584" s="1">
        <v>275842</v>
      </c>
      <c r="AP584" s="1">
        <v>0</v>
      </c>
      <c r="AR584" s="1">
        <v>0</v>
      </c>
      <c r="AT584" s="1">
        <v>0</v>
      </c>
      <c r="AV584" s="1">
        <v>0</v>
      </c>
      <c r="AX584" s="1">
        <v>0</v>
      </c>
      <c r="AZ584" s="1">
        <f t="shared" si="67"/>
        <v>18797466</v>
      </c>
      <c r="BB584" s="1">
        <v>319301</v>
      </c>
      <c r="BH584" s="1">
        <v>0</v>
      </c>
      <c r="BJ584" s="1">
        <f t="shared" si="68"/>
        <v>19116767</v>
      </c>
      <c r="BL584" s="1">
        <f>+GenRev!AM584-GenExp!BJ584</f>
        <v>816706</v>
      </c>
      <c r="BN584" s="1">
        <v>703254</v>
      </c>
      <c r="BP584" s="1">
        <v>0</v>
      </c>
      <c r="BQ584" s="1">
        <v>0</v>
      </c>
      <c r="BS584" s="1">
        <f t="shared" si="62"/>
        <v>1519960</v>
      </c>
      <c r="BU584" s="1">
        <f>+BS584-'Gen Fd BS'!AA584+BQ584</f>
        <v>0</v>
      </c>
    </row>
    <row r="585" spans="1:73">
      <c r="A585" s="12" t="s">
        <v>307</v>
      </c>
      <c r="B585" s="12"/>
      <c r="C585" s="12" t="s">
        <v>20</v>
      </c>
      <c r="D585" s="12"/>
      <c r="E585" s="12">
        <v>45005</v>
      </c>
      <c r="F585" s="8"/>
      <c r="G585" s="1">
        <v>14141251</v>
      </c>
      <c r="I585" s="1">
        <v>3256677</v>
      </c>
      <c r="K585" s="1">
        <v>307131</v>
      </c>
      <c r="M585" s="1">
        <v>0</v>
      </c>
      <c r="O585" s="1">
        <v>1400298</v>
      </c>
      <c r="Q585" s="1">
        <v>1449378</v>
      </c>
      <c r="S585" s="1">
        <v>80105</v>
      </c>
      <c r="U585" s="1">
        <v>3015828</v>
      </c>
      <c r="W585" s="1">
        <v>887183</v>
      </c>
      <c r="Y585" s="1">
        <v>1065127</v>
      </c>
      <c r="AA585" s="1">
        <v>3648985</v>
      </c>
      <c r="AC585" s="1">
        <v>1014930</v>
      </c>
      <c r="AE585" s="1">
        <v>253339</v>
      </c>
      <c r="AG585" s="1">
        <v>17457</v>
      </c>
      <c r="AI585" s="1">
        <v>2329</v>
      </c>
      <c r="AJ585" s="12" t="s">
        <v>307</v>
      </c>
      <c r="AK585" s="12"/>
      <c r="AL585" s="12" t="s">
        <v>20</v>
      </c>
      <c r="AN585" s="1">
        <v>95143</v>
      </c>
      <c r="AP585" s="1">
        <v>3109</v>
      </c>
      <c r="AR585" s="1">
        <v>0</v>
      </c>
      <c r="AT585" s="1">
        <v>9049</v>
      </c>
      <c r="AV585" s="1">
        <v>59</v>
      </c>
      <c r="AX585" s="1">
        <v>0</v>
      </c>
      <c r="AZ585" s="1">
        <f>SUM(G585:AX585)</f>
        <v>30647378</v>
      </c>
      <c r="BB585" s="1">
        <v>353471</v>
      </c>
      <c r="BH585" s="1">
        <v>0</v>
      </c>
      <c r="BJ585" s="1">
        <f>+AZ585+BB585+BD585+BH585</f>
        <v>31000849</v>
      </c>
      <c r="BL585" s="1">
        <f>+GenRev!AM585-GenExp!BJ585</f>
        <v>-519760</v>
      </c>
      <c r="BN585" s="1">
        <v>1440342</v>
      </c>
      <c r="BP585" s="1">
        <v>0</v>
      </c>
      <c r="BQ585" s="1">
        <v>0</v>
      </c>
      <c r="BS585" s="1">
        <f>+BN585+BL585-BP585</f>
        <v>920582</v>
      </c>
      <c r="BU585" s="1">
        <f>+BS585-'Gen Fd BS'!AA585+BQ585</f>
        <v>0</v>
      </c>
    </row>
    <row r="586" spans="1:73">
      <c r="A586" s="12" t="s">
        <v>328</v>
      </c>
      <c r="B586" s="12"/>
      <c r="C586" s="12" t="s">
        <v>26</v>
      </c>
      <c r="D586" s="12"/>
      <c r="E586" s="13">
        <v>45013</v>
      </c>
      <c r="G586" s="1">
        <v>9101679</v>
      </c>
      <c r="I586" s="1">
        <v>2256259</v>
      </c>
      <c r="K586" s="1">
        <v>6991</v>
      </c>
      <c r="M586" s="1">
        <v>0</v>
      </c>
      <c r="O586" s="1">
        <v>580672</v>
      </c>
      <c r="Q586" s="1">
        <v>447028</v>
      </c>
      <c r="S586" s="1">
        <v>22217</v>
      </c>
      <c r="U586" s="1">
        <v>1763088</v>
      </c>
      <c r="W586" s="1">
        <v>527421</v>
      </c>
      <c r="Y586" s="1">
        <v>0</v>
      </c>
      <c r="AA586" s="1">
        <v>1840749</v>
      </c>
      <c r="AC586" s="1">
        <v>647286</v>
      </c>
      <c r="AE586" s="1">
        <v>212611</v>
      </c>
      <c r="AG586" s="1">
        <v>0</v>
      </c>
      <c r="AI586" s="1">
        <v>0</v>
      </c>
      <c r="AJ586" s="12" t="s">
        <v>328</v>
      </c>
      <c r="AK586" s="12"/>
      <c r="AL586" s="12" t="s">
        <v>26</v>
      </c>
      <c r="AN586" s="1">
        <v>288710</v>
      </c>
      <c r="AP586" s="1">
        <v>23585</v>
      </c>
      <c r="AR586" s="1">
        <v>0</v>
      </c>
      <c r="AT586" s="1">
        <v>58959</v>
      </c>
      <c r="AV586" s="1">
        <v>18048</v>
      </c>
      <c r="AX586" s="1">
        <v>0</v>
      </c>
      <c r="AZ586" s="1">
        <f t="shared" si="67"/>
        <v>17795303</v>
      </c>
      <c r="BB586" s="1">
        <v>1344000</v>
      </c>
      <c r="BH586" s="1">
        <v>0</v>
      </c>
      <c r="BJ586" s="1">
        <f t="shared" si="68"/>
        <v>19139303</v>
      </c>
      <c r="BL586" s="1">
        <f>+GenRev!AM586-GenExp!BJ586</f>
        <v>-1835524</v>
      </c>
      <c r="BN586" s="1">
        <v>2256330</v>
      </c>
      <c r="BP586" s="1">
        <v>0</v>
      </c>
      <c r="BQ586" s="1">
        <v>0</v>
      </c>
      <c r="BS586" s="1">
        <f t="shared" si="62"/>
        <v>420806</v>
      </c>
      <c r="BU586" s="1">
        <f>+BS586-'Gen Fd BS'!AA586+BQ586</f>
        <v>0</v>
      </c>
    </row>
    <row r="587" spans="1:73">
      <c r="A587" s="12" t="s">
        <v>456</v>
      </c>
      <c r="B587" s="12"/>
      <c r="C587" s="12" t="s">
        <v>117</v>
      </c>
      <c r="D587" s="12"/>
      <c r="E587" s="13">
        <v>48231</v>
      </c>
      <c r="G587" s="1">
        <v>30554206</v>
      </c>
      <c r="I587" s="1">
        <v>6614095</v>
      </c>
      <c r="K587" s="1">
        <v>2641718</v>
      </c>
      <c r="M587" s="1">
        <f>7505+3404692</f>
        <v>3412197</v>
      </c>
      <c r="O587" s="1">
        <v>3788621</v>
      </c>
      <c r="Q587" s="1">
        <v>3539775</v>
      </c>
      <c r="S587" s="1">
        <v>160595</v>
      </c>
      <c r="U587" s="1">
        <v>4864465</v>
      </c>
      <c r="W587" s="1">
        <v>1407485</v>
      </c>
      <c r="Y587" s="1">
        <v>677827</v>
      </c>
      <c r="AA587" s="1">
        <v>8206601</v>
      </c>
      <c r="AC587" s="1">
        <v>3033515</v>
      </c>
      <c r="AE587" s="1">
        <v>1488204</v>
      </c>
      <c r="AG587" s="1">
        <v>0</v>
      </c>
      <c r="AI587" s="1">
        <v>16085</v>
      </c>
      <c r="AJ587" s="12" t="s">
        <v>456</v>
      </c>
      <c r="AK587" s="12"/>
      <c r="AL587" s="12" t="s">
        <v>117</v>
      </c>
      <c r="AN587" s="1">
        <v>771364</v>
      </c>
      <c r="AP587" s="1">
        <v>0</v>
      </c>
      <c r="AR587" s="1">
        <v>0</v>
      </c>
      <c r="AT587" s="1">
        <v>0</v>
      </c>
      <c r="AV587" s="1">
        <v>0</v>
      </c>
      <c r="AX587" s="1">
        <v>0</v>
      </c>
      <c r="AZ587" s="1">
        <f t="shared" si="67"/>
        <v>71176753</v>
      </c>
      <c r="BB587" s="1">
        <v>44000</v>
      </c>
      <c r="BH587" s="1">
        <v>0</v>
      </c>
      <c r="BJ587" s="1">
        <f t="shared" si="68"/>
        <v>71220753</v>
      </c>
      <c r="BL587" s="1">
        <f>+GenRev!AM587-GenExp!BJ587</f>
        <v>-2099816</v>
      </c>
      <c r="BN587" s="1">
        <v>28710887</v>
      </c>
      <c r="BP587" s="1">
        <v>0</v>
      </c>
      <c r="BQ587" s="1">
        <v>0</v>
      </c>
      <c r="BS587" s="1">
        <f t="shared" si="62"/>
        <v>26611071</v>
      </c>
      <c r="BU587" s="1">
        <f>+BS587-'Gen Fd BS'!AA587+BQ587</f>
        <v>0</v>
      </c>
    </row>
    <row r="588" spans="1:73">
      <c r="A588" s="12" t="s">
        <v>565</v>
      </c>
      <c r="B588" s="12"/>
      <c r="C588" s="12" t="s">
        <v>59</v>
      </c>
      <c r="D588" s="12"/>
      <c r="E588" s="13">
        <v>49650</v>
      </c>
      <c r="F588" s="8"/>
      <c r="G588" s="1">
        <v>6187899</v>
      </c>
      <c r="I588" s="1">
        <v>1206169</v>
      </c>
      <c r="K588" s="1">
        <v>98200</v>
      </c>
      <c r="M588" s="1">
        <v>38428</v>
      </c>
      <c r="O588" s="1">
        <v>738840</v>
      </c>
      <c r="Q588" s="1">
        <v>443160</v>
      </c>
      <c r="S588" s="1">
        <v>80460</v>
      </c>
      <c r="U588" s="1">
        <v>1037426</v>
      </c>
      <c r="W588" s="1">
        <v>284119</v>
      </c>
      <c r="Y588" s="1">
        <v>0</v>
      </c>
      <c r="AA588" s="1">
        <v>948989</v>
      </c>
      <c r="AC588" s="1">
        <v>767107</v>
      </c>
      <c r="AE588" s="1">
        <v>0</v>
      </c>
      <c r="AG588" s="1">
        <v>380</v>
      </c>
      <c r="AI588" s="1">
        <v>0</v>
      </c>
      <c r="AJ588" s="12" t="s">
        <v>565</v>
      </c>
      <c r="AK588" s="12"/>
      <c r="AL588" s="12" t="s">
        <v>59</v>
      </c>
      <c r="AN588" s="1">
        <v>118930</v>
      </c>
      <c r="AP588" s="1">
        <v>0</v>
      </c>
      <c r="AR588" s="1">
        <v>0</v>
      </c>
      <c r="AT588" s="1">
        <v>0</v>
      </c>
      <c r="AV588" s="1">
        <v>0</v>
      </c>
      <c r="AX588" s="1">
        <v>0</v>
      </c>
      <c r="AZ588" s="1">
        <f t="shared" si="67"/>
        <v>11950107</v>
      </c>
      <c r="BB588" s="1">
        <v>369939</v>
      </c>
      <c r="BH588" s="1">
        <v>0</v>
      </c>
      <c r="BJ588" s="1">
        <f t="shared" si="68"/>
        <v>12320046</v>
      </c>
      <c r="BL588" s="1">
        <f>+GenRev!AM588-GenExp!BJ588</f>
        <v>10370</v>
      </c>
      <c r="BN588" s="1">
        <v>1826634</v>
      </c>
      <c r="BP588" s="1">
        <v>0</v>
      </c>
      <c r="BQ588" s="1">
        <v>0</v>
      </c>
      <c r="BS588" s="1">
        <f t="shared" si="62"/>
        <v>1837004</v>
      </c>
      <c r="BU588" s="1">
        <f>+BS588-'Gen Fd BS'!AA588+BQ588</f>
        <v>0</v>
      </c>
    </row>
    <row r="589" spans="1:73">
      <c r="A589" s="12" t="s">
        <v>539</v>
      </c>
      <c r="B589" s="12"/>
      <c r="C589" s="12" t="s">
        <v>56</v>
      </c>
      <c r="D589" s="12"/>
      <c r="E589" s="13">
        <v>49247</v>
      </c>
      <c r="G589" s="1">
        <v>5003963</v>
      </c>
      <c r="I589" s="1">
        <v>1170979</v>
      </c>
      <c r="K589" s="1">
        <v>53054</v>
      </c>
      <c r="M589" s="1">
        <v>15701</v>
      </c>
      <c r="O589" s="1">
        <v>402881</v>
      </c>
      <c r="Q589" s="1">
        <v>411855</v>
      </c>
      <c r="S589" s="1">
        <v>31940</v>
      </c>
      <c r="U589" s="1">
        <v>774929</v>
      </c>
      <c r="W589" s="1">
        <v>332656</v>
      </c>
      <c r="Y589" s="1">
        <v>27787</v>
      </c>
      <c r="AA589" s="1">
        <v>936695</v>
      </c>
      <c r="AC589" s="1">
        <v>913301</v>
      </c>
      <c r="AE589" s="1">
        <v>11192</v>
      </c>
      <c r="AG589" s="1">
        <v>0</v>
      </c>
      <c r="AI589" s="1">
        <v>0</v>
      </c>
      <c r="AJ589" s="12" t="s">
        <v>539</v>
      </c>
      <c r="AK589" s="12"/>
      <c r="AL589" s="12" t="s">
        <v>56</v>
      </c>
      <c r="AN589" s="1">
        <v>222091</v>
      </c>
      <c r="AP589" s="1">
        <v>44</v>
      </c>
      <c r="AR589" s="1">
        <v>0</v>
      </c>
      <c r="AT589" s="1">
        <v>15043</v>
      </c>
      <c r="AV589" s="1">
        <v>446</v>
      </c>
      <c r="AX589" s="1">
        <v>0</v>
      </c>
      <c r="AZ589" s="1">
        <f t="shared" si="67"/>
        <v>10324557</v>
      </c>
      <c r="BB589" s="1">
        <v>19113</v>
      </c>
      <c r="BH589" s="1">
        <v>0</v>
      </c>
      <c r="BJ589" s="1">
        <f t="shared" si="68"/>
        <v>10343670</v>
      </c>
      <c r="BL589" s="1">
        <f>+GenRev!AM589-GenExp!BJ589</f>
        <v>-305900</v>
      </c>
      <c r="BN589" s="1">
        <v>1028909</v>
      </c>
      <c r="BP589" s="1">
        <v>-11657</v>
      </c>
      <c r="BQ589" s="1">
        <v>0</v>
      </c>
      <c r="BS589" s="1">
        <f t="shared" si="62"/>
        <v>734666</v>
      </c>
      <c r="BU589" s="1">
        <f>+BS589-'Gen Fd BS'!AA589+BQ589</f>
        <v>0</v>
      </c>
    </row>
    <row r="590" spans="1:73">
      <c r="A590" s="12" t="s">
        <v>348</v>
      </c>
      <c r="B590" s="12"/>
      <c r="C590" s="12" t="s">
        <v>28</v>
      </c>
      <c r="D590" s="12"/>
      <c r="E590" s="13">
        <v>45641</v>
      </c>
      <c r="G590" s="1">
        <v>6369007</v>
      </c>
      <c r="I590" s="1">
        <v>1296630</v>
      </c>
      <c r="K590" s="1">
        <v>254575</v>
      </c>
      <c r="M590" s="1">
        <v>893465</v>
      </c>
      <c r="O590" s="1">
        <v>498453</v>
      </c>
      <c r="Q590" s="1">
        <v>641590</v>
      </c>
      <c r="S590" s="1">
        <v>62392</v>
      </c>
      <c r="U590" s="1">
        <v>1241601</v>
      </c>
      <c r="W590" s="1">
        <v>337519</v>
      </c>
      <c r="Y590" s="1">
        <v>67436</v>
      </c>
      <c r="AA590" s="1">
        <v>1328904</v>
      </c>
      <c r="AC590" s="1">
        <v>738672</v>
      </c>
      <c r="AE590" s="1">
        <v>63365</v>
      </c>
      <c r="AG590" s="1">
        <v>0</v>
      </c>
      <c r="AI590" s="1">
        <v>0</v>
      </c>
      <c r="AJ590" s="12" t="s">
        <v>348</v>
      </c>
      <c r="AK590" s="12"/>
      <c r="AL590" s="12" t="s">
        <v>28</v>
      </c>
      <c r="AN590" s="1">
        <v>483577</v>
      </c>
      <c r="AP590" s="1">
        <v>0</v>
      </c>
      <c r="AR590" s="1">
        <v>0</v>
      </c>
      <c r="AT590" s="1">
        <v>0</v>
      </c>
      <c r="AV590" s="1">
        <v>0</v>
      </c>
      <c r="AX590" s="1">
        <v>0</v>
      </c>
      <c r="AZ590" s="1">
        <f t="shared" si="67"/>
        <v>14277186</v>
      </c>
      <c r="BB590" s="1">
        <v>65081</v>
      </c>
      <c r="BH590" s="1">
        <v>0</v>
      </c>
      <c r="BJ590" s="1">
        <f t="shared" si="68"/>
        <v>14342267</v>
      </c>
      <c r="BL590" s="1">
        <f>+GenRev!AM590-GenExp!BJ590</f>
        <v>39620</v>
      </c>
      <c r="BN590" s="1">
        <v>3207532</v>
      </c>
      <c r="BP590" s="1">
        <v>0</v>
      </c>
      <c r="BQ590" s="1">
        <v>0</v>
      </c>
      <c r="BS590" s="1">
        <f t="shared" si="62"/>
        <v>3247152</v>
      </c>
      <c r="BU590" s="1">
        <f>+BS590-'Gen Fd BS'!AA590+BQ590</f>
        <v>0</v>
      </c>
    </row>
    <row r="591" spans="1:73">
      <c r="A591" s="12" t="s">
        <v>530</v>
      </c>
      <c r="B591" s="12"/>
      <c r="C591" s="12" t="s">
        <v>55</v>
      </c>
      <c r="D591" s="12"/>
      <c r="E591" s="13">
        <v>49148</v>
      </c>
      <c r="G591" s="1">
        <v>7361807</v>
      </c>
      <c r="I591" s="1">
        <v>1136054</v>
      </c>
      <c r="K591" s="1">
        <v>170982</v>
      </c>
      <c r="M591" s="1">
        <v>0</v>
      </c>
      <c r="O591" s="1">
        <v>600709</v>
      </c>
      <c r="Q591" s="1">
        <v>620491</v>
      </c>
      <c r="S591" s="1">
        <v>43644</v>
      </c>
      <c r="U591" s="1">
        <v>983886</v>
      </c>
      <c r="W591" s="1">
        <v>425344</v>
      </c>
      <c r="Y591" s="1">
        <v>0</v>
      </c>
      <c r="AA591" s="1">
        <v>2045450</v>
      </c>
      <c r="AC591" s="1">
        <v>1317880</v>
      </c>
      <c r="AE591" s="1">
        <v>4310</v>
      </c>
      <c r="AG591" s="1">
        <v>6058</v>
      </c>
      <c r="AI591" s="1">
        <v>0</v>
      </c>
      <c r="AJ591" s="12" t="s">
        <v>530</v>
      </c>
      <c r="AK591" s="12"/>
      <c r="AL591" s="12" t="s">
        <v>55</v>
      </c>
      <c r="AN591" s="1">
        <v>269811</v>
      </c>
      <c r="AP591" s="1">
        <v>0</v>
      </c>
      <c r="AR591" s="1">
        <v>0</v>
      </c>
      <c r="AT591" s="1">
        <v>58589</v>
      </c>
      <c r="AV591" s="1">
        <v>72459</v>
      </c>
      <c r="AX591" s="1">
        <v>0</v>
      </c>
      <c r="AZ591" s="1">
        <f t="shared" si="67"/>
        <v>15117474</v>
      </c>
      <c r="BB591" s="1">
        <v>177234</v>
      </c>
      <c r="BH591" s="1">
        <v>0</v>
      </c>
      <c r="BJ591" s="1">
        <f t="shared" si="68"/>
        <v>15294708</v>
      </c>
      <c r="BL591" s="1">
        <f>+GenRev!AM591-GenExp!BJ591</f>
        <v>-498797</v>
      </c>
      <c r="BN591" s="1">
        <v>1341285</v>
      </c>
      <c r="BP591" s="1">
        <v>0</v>
      </c>
      <c r="BQ591" s="1">
        <v>0</v>
      </c>
      <c r="BS591" s="1">
        <f t="shared" si="62"/>
        <v>842488</v>
      </c>
      <c r="BU591" s="1">
        <f>+BS591-'Gen Fd BS'!AA591+BQ591</f>
        <v>0</v>
      </c>
    </row>
    <row r="592" spans="1:73" hidden="1">
      <c r="A592" s="17" t="s">
        <v>881</v>
      </c>
      <c r="B592" s="12"/>
      <c r="C592" s="12" t="s">
        <v>69</v>
      </c>
      <c r="D592" s="12"/>
      <c r="E592" s="13">
        <v>50468</v>
      </c>
      <c r="F592" s="8"/>
      <c r="AJ592" s="17" t="s">
        <v>881</v>
      </c>
      <c r="AK592" s="12"/>
      <c r="AL592" s="12" t="s">
        <v>69</v>
      </c>
      <c r="AZ592" s="1">
        <f t="shared" si="67"/>
        <v>0</v>
      </c>
      <c r="BJ592" s="1">
        <f t="shared" si="68"/>
        <v>0</v>
      </c>
      <c r="BL592" s="1">
        <f>+GenRev!AM592-GenExp!BJ592</f>
        <v>0</v>
      </c>
      <c r="BS592" s="1">
        <f t="shared" si="62"/>
        <v>0</v>
      </c>
      <c r="BU592" s="1">
        <f>+BS592-'Gen Fd BS'!AA592+BQ592</f>
        <v>0</v>
      </c>
    </row>
    <row r="593" spans="1:73" hidden="1">
      <c r="A593" s="17" t="s">
        <v>746</v>
      </c>
      <c r="B593" s="12"/>
      <c r="C593" s="12" t="s">
        <v>523</v>
      </c>
      <c r="D593" s="12"/>
      <c r="E593" s="13">
        <v>49031</v>
      </c>
      <c r="AJ593" s="17" t="s">
        <v>746</v>
      </c>
      <c r="AK593" s="12"/>
      <c r="AL593" s="12" t="s">
        <v>523</v>
      </c>
      <c r="AZ593" s="1">
        <f t="shared" si="67"/>
        <v>0</v>
      </c>
      <c r="BJ593" s="1">
        <f t="shared" si="68"/>
        <v>0</v>
      </c>
      <c r="BL593" s="1">
        <f>+GenRev!AM593-GenExp!BJ593</f>
        <v>0</v>
      </c>
      <c r="BS593" s="1">
        <f t="shared" si="62"/>
        <v>0</v>
      </c>
      <c r="BU593" s="1">
        <f>+BS593-'Gen Fd BS'!AA593+BQ593</f>
        <v>0</v>
      </c>
    </row>
    <row r="594" spans="1:73" hidden="1">
      <c r="A594" s="17" t="s">
        <v>789</v>
      </c>
      <c r="B594" s="12"/>
      <c r="C594" s="12" t="s">
        <v>14</v>
      </c>
      <c r="D594" s="12"/>
      <c r="E594" s="13">
        <v>45971</v>
      </c>
      <c r="AJ594" s="17" t="s">
        <v>789</v>
      </c>
      <c r="AK594" s="12"/>
      <c r="AL594" s="12" t="s">
        <v>14</v>
      </c>
      <c r="AZ594" s="1">
        <f t="shared" si="67"/>
        <v>0</v>
      </c>
      <c r="BJ594" s="1">
        <f t="shared" si="68"/>
        <v>0</v>
      </c>
      <c r="BL594" s="1">
        <f>+GenRev!AM594-GenExp!BJ594</f>
        <v>0</v>
      </c>
      <c r="BS594" s="1">
        <f t="shared" si="62"/>
        <v>0</v>
      </c>
      <c r="BU594" s="1">
        <f>+BS594-'Gen Fd BS'!AA594+BQ594</f>
        <v>0</v>
      </c>
    </row>
    <row r="595" spans="1:73">
      <c r="A595" s="17"/>
      <c r="B595" s="12"/>
      <c r="C595" s="12"/>
      <c r="D595" s="12"/>
      <c r="E595" s="13"/>
      <c r="AJ595" s="17"/>
      <c r="AK595" s="12"/>
      <c r="AL595" s="12"/>
      <c r="BU595" s="1"/>
    </row>
    <row r="596" spans="1:73">
      <c r="A596" s="17"/>
      <c r="B596" s="12"/>
      <c r="C596" s="12"/>
      <c r="D596" s="12"/>
      <c r="E596" s="13"/>
      <c r="AI596" s="20" t="s">
        <v>709</v>
      </c>
      <c r="AJ596" s="17"/>
      <c r="AK596" s="12"/>
      <c r="AL596" s="12"/>
      <c r="BS596" s="41" t="s">
        <v>709</v>
      </c>
      <c r="BU596" s="1"/>
    </row>
    <row r="597" spans="1:73">
      <c r="A597" s="17"/>
      <c r="B597" s="12"/>
      <c r="C597" s="12"/>
      <c r="D597" s="12"/>
      <c r="E597" s="13"/>
      <c r="AJ597" s="17"/>
      <c r="AK597" s="12"/>
      <c r="AL597" s="12"/>
      <c r="BU597" s="1"/>
    </row>
    <row r="598" spans="1:73">
      <c r="A598" s="12" t="s">
        <v>617</v>
      </c>
      <c r="B598" s="12"/>
      <c r="C598" s="12" t="s">
        <v>64</v>
      </c>
      <c r="D598" s="12"/>
      <c r="E598" s="13">
        <v>50252</v>
      </c>
      <c r="G598" s="16">
        <v>3762085</v>
      </c>
      <c r="H598" s="16"/>
      <c r="I598" s="16">
        <v>707970</v>
      </c>
      <c r="J598" s="16"/>
      <c r="K598" s="16">
        <v>0</v>
      </c>
      <c r="L598" s="16"/>
      <c r="M598" s="16">
        <v>449293</v>
      </c>
      <c r="N598" s="16"/>
      <c r="O598" s="16">
        <v>432094</v>
      </c>
      <c r="P598" s="16"/>
      <c r="Q598" s="16">
        <v>202952</v>
      </c>
      <c r="R598" s="16"/>
      <c r="S598" s="16">
        <v>19664</v>
      </c>
      <c r="T598" s="16"/>
      <c r="U598" s="16">
        <v>749105</v>
      </c>
      <c r="V598" s="16"/>
      <c r="W598" s="16">
        <v>290155</v>
      </c>
      <c r="X598" s="16"/>
      <c r="Y598" s="16">
        <v>11459</v>
      </c>
      <c r="Z598" s="16"/>
      <c r="AA598" s="16">
        <v>1313505</v>
      </c>
      <c r="AB598" s="16"/>
      <c r="AC598" s="16">
        <v>319488</v>
      </c>
      <c r="AD598" s="16"/>
      <c r="AE598" s="16">
        <v>0</v>
      </c>
      <c r="AF598" s="16"/>
      <c r="AG598" s="16">
        <v>0</v>
      </c>
      <c r="AH598" s="16"/>
      <c r="AI598" s="16">
        <v>1323</v>
      </c>
      <c r="AJ598" s="12" t="s">
        <v>617</v>
      </c>
      <c r="AK598" s="12"/>
      <c r="AL598" s="12" t="s">
        <v>64</v>
      </c>
      <c r="AN598" s="16">
        <v>260240</v>
      </c>
      <c r="AO598" s="16"/>
      <c r="AP598" s="16">
        <v>0</v>
      </c>
      <c r="AQ598" s="16"/>
      <c r="AR598" s="16">
        <v>0</v>
      </c>
      <c r="AS598" s="16"/>
      <c r="AT598" s="16">
        <v>67000</v>
      </c>
      <c r="AU598" s="16"/>
      <c r="AV598" s="16">
        <v>34505</v>
      </c>
      <c r="AW598" s="16"/>
      <c r="AX598" s="16">
        <v>0</v>
      </c>
      <c r="AY598" s="16"/>
      <c r="AZ598" s="16">
        <f t="shared" si="67"/>
        <v>8620838</v>
      </c>
      <c r="BA598" s="16"/>
      <c r="BB598" s="16">
        <v>55500</v>
      </c>
      <c r="BC598" s="16"/>
      <c r="BD598" s="16"/>
      <c r="BE598" s="16"/>
      <c r="BF598" s="16"/>
      <c r="BG598" s="16"/>
      <c r="BH598" s="16">
        <v>0</v>
      </c>
      <c r="BI598" s="16"/>
      <c r="BJ598" s="16">
        <f t="shared" si="68"/>
        <v>8676338</v>
      </c>
      <c r="BK598" s="16"/>
      <c r="BL598" s="16">
        <f>+GenRev!AM598-GenExp!BJ598</f>
        <v>-488556</v>
      </c>
      <c r="BM598" s="16"/>
      <c r="BN598" s="16">
        <v>1195431</v>
      </c>
      <c r="BO598" s="16"/>
      <c r="BP598" s="16">
        <v>0</v>
      </c>
      <c r="BQ598" s="16">
        <v>0</v>
      </c>
      <c r="BR598" s="16"/>
      <c r="BS598" s="16">
        <f t="shared" si="62"/>
        <v>706875</v>
      </c>
      <c r="BT598" s="16"/>
      <c r="BU598" s="16">
        <f>+BS598-'Gen Fd BS'!AA598+BQ598</f>
        <v>0</v>
      </c>
    </row>
    <row r="599" spans="1:73">
      <c r="A599" s="12" t="s">
        <v>448</v>
      </c>
      <c r="B599" s="12"/>
      <c r="C599" s="12" t="s">
        <v>44</v>
      </c>
      <c r="D599" s="12"/>
      <c r="E599" s="13">
        <v>45658</v>
      </c>
      <c r="G599" s="1">
        <v>5647134</v>
      </c>
      <c r="I599" s="1">
        <v>1174234</v>
      </c>
      <c r="K599" s="1">
        <v>86382</v>
      </c>
      <c r="M599" s="1">
        <v>0</v>
      </c>
      <c r="O599" s="1">
        <v>446316</v>
      </c>
      <c r="Q599" s="1">
        <v>476229</v>
      </c>
      <c r="S599" s="1">
        <v>24305</v>
      </c>
      <c r="U599" s="1">
        <v>1148596</v>
      </c>
      <c r="W599" s="1">
        <v>358372</v>
      </c>
      <c r="Y599" s="1">
        <v>0</v>
      </c>
      <c r="AA599" s="1">
        <v>1007519</v>
      </c>
      <c r="AC599" s="1">
        <v>629475</v>
      </c>
      <c r="AE599" s="1">
        <v>105593</v>
      </c>
      <c r="AG599" s="1">
        <v>0</v>
      </c>
      <c r="AI599" s="1">
        <v>162</v>
      </c>
      <c r="AJ599" s="12" t="s">
        <v>448</v>
      </c>
      <c r="AK599" s="12"/>
      <c r="AL599" s="12" t="s">
        <v>44</v>
      </c>
      <c r="AN599" s="1">
        <v>251981</v>
      </c>
      <c r="AP599" s="1">
        <v>16208</v>
      </c>
      <c r="AR599" s="1">
        <v>0</v>
      </c>
      <c r="AT599" s="1">
        <v>0</v>
      </c>
      <c r="AV599" s="1">
        <v>0</v>
      </c>
      <c r="AX599" s="1">
        <v>0</v>
      </c>
      <c r="AZ599" s="1">
        <f t="shared" si="67"/>
        <v>11372506</v>
      </c>
      <c r="BB599" s="1">
        <v>527685</v>
      </c>
      <c r="BH599" s="1">
        <v>0</v>
      </c>
      <c r="BJ599" s="1">
        <f t="shared" si="68"/>
        <v>11900191</v>
      </c>
      <c r="BL599" s="1">
        <f>+GenRev!AM599-GenExp!BJ599</f>
        <v>-14423</v>
      </c>
      <c r="BN599" s="1">
        <v>3854789</v>
      </c>
      <c r="BP599" s="1">
        <v>0</v>
      </c>
      <c r="BQ599" s="1">
        <v>0</v>
      </c>
      <c r="BS599" s="1">
        <f t="shared" si="62"/>
        <v>3840366</v>
      </c>
      <c r="BU599" s="1">
        <f>+BS599-'Gen Fd BS'!AA599+BQ599</f>
        <v>0</v>
      </c>
    </row>
    <row r="600" spans="1:73" ht="11.25" customHeight="1">
      <c r="A600" s="12" t="s">
        <v>409</v>
      </c>
      <c r="B600" s="12"/>
      <c r="C600" s="12" t="s">
        <v>38</v>
      </c>
      <c r="D600" s="12"/>
      <c r="E600" s="13">
        <v>45021</v>
      </c>
      <c r="G600" s="1">
        <v>5945947</v>
      </c>
      <c r="I600" s="1">
        <v>1395925</v>
      </c>
      <c r="K600" s="1">
        <v>87096</v>
      </c>
      <c r="M600" s="1">
        <v>12500</v>
      </c>
      <c r="O600" s="1">
        <v>510918</v>
      </c>
      <c r="Q600" s="1">
        <v>581644</v>
      </c>
      <c r="S600" s="1">
        <v>166470</v>
      </c>
      <c r="U600" s="1">
        <v>1310111</v>
      </c>
      <c r="W600" s="1">
        <v>430191</v>
      </c>
      <c r="Y600" s="1">
        <v>0</v>
      </c>
      <c r="AA600" s="1">
        <v>1477729</v>
      </c>
      <c r="AC600" s="1">
        <v>786832</v>
      </c>
      <c r="AE600" s="1">
        <v>101090</v>
      </c>
      <c r="AG600" s="1">
        <v>0</v>
      </c>
      <c r="AI600" s="1">
        <v>107</v>
      </c>
      <c r="AJ600" s="12" t="s">
        <v>409</v>
      </c>
      <c r="AK600" s="12"/>
      <c r="AL600" s="12" t="s">
        <v>38</v>
      </c>
      <c r="AN600" s="1">
        <v>174333</v>
      </c>
      <c r="AP600" s="1">
        <v>0</v>
      </c>
      <c r="AR600" s="1">
        <v>0</v>
      </c>
      <c r="AT600" s="1">
        <v>0</v>
      </c>
      <c r="AV600" s="1">
        <v>0</v>
      </c>
      <c r="AX600" s="1">
        <v>0</v>
      </c>
      <c r="AZ600" s="1">
        <f t="shared" si="67"/>
        <v>12980893</v>
      </c>
      <c r="BB600" s="1">
        <v>0</v>
      </c>
      <c r="BH600" s="1">
        <v>0</v>
      </c>
      <c r="BJ600" s="1">
        <f t="shared" si="68"/>
        <v>12980893</v>
      </c>
      <c r="BL600" s="1">
        <f>+GenRev!AM600-GenExp!BJ600</f>
        <v>-20157</v>
      </c>
      <c r="BN600" s="1">
        <v>6151876</v>
      </c>
      <c r="BP600" s="1">
        <v>0</v>
      </c>
      <c r="BQ600" s="1">
        <v>0</v>
      </c>
      <c r="BS600" s="1">
        <f t="shared" si="62"/>
        <v>6131719</v>
      </c>
      <c r="BU600" s="1">
        <f>+BS600-'Gen Fd BS'!AA600+BQ600</f>
        <v>0</v>
      </c>
    </row>
    <row r="601" spans="1:73">
      <c r="A601" s="12" t="s">
        <v>271</v>
      </c>
      <c r="B601" s="12"/>
      <c r="C601" s="12" t="s">
        <v>114</v>
      </c>
      <c r="D601" s="12"/>
      <c r="E601" s="13">
        <v>45039</v>
      </c>
      <c r="G601" s="1">
        <v>3491861</v>
      </c>
      <c r="I601" s="1">
        <v>649240</v>
      </c>
      <c r="K601" s="1">
        <v>174338</v>
      </c>
      <c r="M601" s="1">
        <v>220610</v>
      </c>
      <c r="O601" s="1">
        <v>300618</v>
      </c>
      <c r="Q601" s="1">
        <v>161971</v>
      </c>
      <c r="S601" s="1">
        <v>11122</v>
      </c>
      <c r="U601" s="1">
        <v>695648</v>
      </c>
      <c r="W601" s="1">
        <v>229593</v>
      </c>
      <c r="Y601" s="1">
        <v>0</v>
      </c>
      <c r="AA601" s="1">
        <v>905945</v>
      </c>
      <c r="AC601" s="1">
        <v>124120</v>
      </c>
      <c r="AE601" s="1">
        <v>33</v>
      </c>
      <c r="AG601" s="1">
        <v>0</v>
      </c>
      <c r="AI601" s="1">
        <v>0</v>
      </c>
      <c r="AJ601" s="12" t="s">
        <v>271</v>
      </c>
      <c r="AK601" s="12"/>
      <c r="AL601" s="12" t="s">
        <v>114</v>
      </c>
      <c r="AN601" s="1">
        <v>188425</v>
      </c>
      <c r="AP601" s="1">
        <v>0</v>
      </c>
      <c r="AR601" s="1">
        <v>0</v>
      </c>
      <c r="AT601" s="1">
        <v>19827</v>
      </c>
      <c r="AV601" s="1">
        <v>642</v>
      </c>
      <c r="AX601" s="1">
        <v>0</v>
      </c>
      <c r="AZ601" s="1">
        <f t="shared" si="67"/>
        <v>7173993</v>
      </c>
      <c r="BB601" s="1">
        <v>0</v>
      </c>
      <c r="BH601" s="1">
        <v>0</v>
      </c>
      <c r="BJ601" s="1">
        <f t="shared" si="68"/>
        <v>7173993</v>
      </c>
      <c r="BL601" s="1">
        <f>+GenRev!AM601-GenExp!BJ601</f>
        <v>151433</v>
      </c>
      <c r="BN601" s="1">
        <v>1776640</v>
      </c>
      <c r="BP601" s="1">
        <v>0</v>
      </c>
      <c r="BQ601" s="1">
        <v>0</v>
      </c>
      <c r="BS601" s="1">
        <f t="shared" si="62"/>
        <v>1928073</v>
      </c>
      <c r="BU601" s="1">
        <f>+BS601-'Gen Fd BS'!AA601+BQ601</f>
        <v>0</v>
      </c>
    </row>
    <row r="602" spans="1:73">
      <c r="A602" s="12" t="s">
        <v>471</v>
      </c>
      <c r="B602" s="12"/>
      <c r="C602" s="12" t="s">
        <v>45</v>
      </c>
      <c r="D602" s="12"/>
      <c r="E602" s="13">
        <v>48389</v>
      </c>
      <c r="G602" s="1">
        <v>8049348</v>
      </c>
      <c r="I602" s="1">
        <v>1707637</v>
      </c>
      <c r="K602" s="1">
        <v>417790</v>
      </c>
      <c r="M602" s="1">
        <v>2753</v>
      </c>
      <c r="O602" s="1">
        <v>989065</v>
      </c>
      <c r="Q602" s="1">
        <v>896172</v>
      </c>
      <c r="S602" s="1">
        <v>37549</v>
      </c>
      <c r="U602" s="1">
        <v>1539359</v>
      </c>
      <c r="W602" s="1">
        <v>436409</v>
      </c>
      <c r="Y602" s="1">
        <v>26287</v>
      </c>
      <c r="AA602" s="1">
        <v>1845374</v>
      </c>
      <c r="AC602" s="1">
        <v>1280354</v>
      </c>
      <c r="AE602" s="1">
        <v>271918</v>
      </c>
      <c r="AG602" s="1">
        <v>0</v>
      </c>
      <c r="AI602" s="1">
        <v>45570</v>
      </c>
      <c r="AJ602" s="12" t="s">
        <v>471</v>
      </c>
      <c r="AK602" s="12"/>
      <c r="AL602" s="12" t="s">
        <v>45</v>
      </c>
      <c r="AN602" s="1">
        <v>376634</v>
      </c>
      <c r="AP602" s="1">
        <v>0</v>
      </c>
      <c r="AR602" s="1">
        <v>0</v>
      </c>
      <c r="AT602" s="1">
        <v>0</v>
      </c>
      <c r="AV602" s="1">
        <v>0</v>
      </c>
      <c r="AX602" s="1">
        <v>0</v>
      </c>
      <c r="AZ602" s="1">
        <f t="shared" si="67"/>
        <v>17922219</v>
      </c>
      <c r="BB602" s="1">
        <v>74507</v>
      </c>
      <c r="BH602" s="1">
        <v>0</v>
      </c>
      <c r="BJ602" s="1">
        <f t="shared" si="68"/>
        <v>17996726</v>
      </c>
      <c r="BL602" s="1">
        <f>+GenRev!AM602-GenExp!BJ602</f>
        <v>316099</v>
      </c>
      <c r="BN602" s="1">
        <v>1638821</v>
      </c>
      <c r="BP602" s="1">
        <v>0</v>
      </c>
      <c r="BQ602" s="1">
        <v>0</v>
      </c>
      <c r="BS602" s="1">
        <f t="shared" si="62"/>
        <v>1954920</v>
      </c>
      <c r="BU602" s="1">
        <f>+BS602-'Gen Fd BS'!AA602+BQ602</f>
        <v>0</v>
      </c>
    </row>
    <row r="603" spans="1:73">
      <c r="A603" s="17" t="s">
        <v>880</v>
      </c>
      <c r="B603" s="17"/>
      <c r="C603" s="17" t="s">
        <v>50</v>
      </c>
      <c r="D603" s="12"/>
      <c r="E603" s="13"/>
      <c r="G603" s="1">
        <v>13489230</v>
      </c>
      <c r="I603" s="1">
        <v>3908332</v>
      </c>
      <c r="K603" s="1">
        <v>196389</v>
      </c>
      <c r="M603" s="1">
        <v>1893448</v>
      </c>
      <c r="O603" s="1">
        <v>2495874</v>
      </c>
      <c r="Q603" s="1">
        <v>1894197</v>
      </c>
      <c r="S603" s="1">
        <v>31454</v>
      </c>
      <c r="U603" s="1">
        <v>2934781</v>
      </c>
      <c r="W603" s="1">
        <v>667710</v>
      </c>
      <c r="Y603" s="1">
        <v>491769</v>
      </c>
      <c r="AA603" s="1">
        <v>3303592</v>
      </c>
      <c r="AC603" s="1">
        <v>2185306</v>
      </c>
      <c r="AE603" s="1">
        <v>209819</v>
      </c>
      <c r="AG603" s="1">
        <v>0</v>
      </c>
      <c r="AI603" s="1">
        <v>108314</v>
      </c>
      <c r="AJ603" s="17" t="s">
        <v>880</v>
      </c>
      <c r="AK603" s="17"/>
      <c r="AL603" s="17" t="s">
        <v>50</v>
      </c>
      <c r="AN603" s="1">
        <v>570717</v>
      </c>
      <c r="AP603" s="1">
        <v>0</v>
      </c>
      <c r="AR603" s="1">
        <v>0</v>
      </c>
      <c r="AT603" s="1">
        <v>266726</v>
      </c>
      <c r="AV603" s="1">
        <v>56208</v>
      </c>
      <c r="AX603" s="1">
        <v>0</v>
      </c>
      <c r="AZ603" s="1">
        <f t="shared" si="67"/>
        <v>34703866</v>
      </c>
      <c r="BB603" s="1">
        <v>0</v>
      </c>
      <c r="BH603" s="1">
        <v>0</v>
      </c>
      <c r="BJ603" s="1">
        <f t="shared" si="68"/>
        <v>34703866</v>
      </c>
      <c r="BL603" s="1">
        <f>+GenRev!AM603-GenExp!BJ603</f>
        <v>1172777</v>
      </c>
      <c r="BN603" s="1">
        <v>12342562</v>
      </c>
      <c r="BP603" s="1">
        <v>0</v>
      </c>
      <c r="BQ603" s="1">
        <v>0</v>
      </c>
      <c r="BS603" s="1">
        <f t="shared" si="62"/>
        <v>13515339</v>
      </c>
      <c r="BU603" s="1">
        <f>+BS603-'Gen Fd BS'!AA603+BQ603</f>
        <v>0</v>
      </c>
    </row>
    <row r="604" spans="1:73">
      <c r="A604" s="12" t="s">
        <v>257</v>
      </c>
      <c r="B604" s="12"/>
      <c r="C604" s="12" t="s">
        <v>115</v>
      </c>
      <c r="D604" s="12"/>
      <c r="E604" s="13">
        <v>46359</v>
      </c>
      <c r="G604" s="1">
        <v>32140138</v>
      </c>
      <c r="I604" s="1">
        <v>9274269</v>
      </c>
      <c r="K604" s="1">
        <v>215040</v>
      </c>
      <c r="M604" s="1">
        <v>0</v>
      </c>
      <c r="O604" s="1">
        <v>4618645</v>
      </c>
      <c r="Q604" s="1">
        <v>1268839</v>
      </c>
      <c r="S604" s="1">
        <v>80113</v>
      </c>
      <c r="U604" s="1">
        <v>5261260</v>
      </c>
      <c r="W604" s="1">
        <v>1459976</v>
      </c>
      <c r="Y604" s="1">
        <v>49970</v>
      </c>
      <c r="AA604" s="1">
        <v>4795374</v>
      </c>
      <c r="AC604" s="1">
        <v>6985700</v>
      </c>
      <c r="AE604" s="1">
        <v>725662</v>
      </c>
      <c r="AG604" s="1">
        <v>0</v>
      </c>
      <c r="AI604" s="1">
        <v>0</v>
      </c>
      <c r="AJ604" s="12" t="s">
        <v>257</v>
      </c>
      <c r="AK604" s="12"/>
      <c r="AL604" s="12" t="s">
        <v>115</v>
      </c>
      <c r="AN604" s="1">
        <v>973890</v>
      </c>
      <c r="AP604" s="1">
        <v>0</v>
      </c>
      <c r="AR604" s="1">
        <v>0</v>
      </c>
      <c r="AT604" s="1">
        <v>0</v>
      </c>
      <c r="AV604" s="1">
        <v>0</v>
      </c>
      <c r="AX604" s="1">
        <v>0</v>
      </c>
      <c r="AZ604" s="1">
        <f t="shared" ref="AZ604:AZ635" si="69">SUM(G604:AX604)</f>
        <v>67848876</v>
      </c>
      <c r="BB604" s="1">
        <v>0</v>
      </c>
      <c r="BH604" s="1">
        <v>0</v>
      </c>
      <c r="BJ604" s="1">
        <f t="shared" si="68"/>
        <v>67848876</v>
      </c>
      <c r="BL604" s="1">
        <f>+GenRev!AM604-GenExp!BJ604</f>
        <v>1472772</v>
      </c>
      <c r="BN604" s="1">
        <v>-2466286</v>
      </c>
      <c r="BP604" s="1">
        <v>0</v>
      </c>
      <c r="BQ604" s="1">
        <v>0</v>
      </c>
      <c r="BS604" s="1">
        <f t="shared" si="62"/>
        <v>-993514</v>
      </c>
      <c r="BU604" s="1">
        <f>+BS604-'Gen Fd BS'!AA604+BQ604</f>
        <v>0</v>
      </c>
    </row>
    <row r="605" spans="1:73">
      <c r="A605" s="12" t="s">
        <v>356</v>
      </c>
      <c r="B605" s="12"/>
      <c r="C605" s="12" t="s">
        <v>30</v>
      </c>
      <c r="D605" s="12"/>
      <c r="E605" s="13">
        <v>47225</v>
      </c>
      <c r="G605" s="1">
        <v>9304225</v>
      </c>
      <c r="I605" s="1">
        <v>3162279</v>
      </c>
      <c r="K605" s="1">
        <v>289587</v>
      </c>
      <c r="M605" s="1">
        <f>181+371876</f>
        <v>372057</v>
      </c>
      <c r="O605" s="1">
        <v>1675557</v>
      </c>
      <c r="Q605" s="1">
        <v>620287</v>
      </c>
      <c r="S605" s="1">
        <v>60289</v>
      </c>
      <c r="U605" s="1">
        <v>1773232</v>
      </c>
      <c r="W605" s="1">
        <v>625262</v>
      </c>
      <c r="Y605" s="1">
        <v>348028</v>
      </c>
      <c r="AA605" s="1">
        <v>2105909</v>
      </c>
      <c r="AC605" s="1">
        <v>1862655</v>
      </c>
      <c r="AE605" s="1">
        <v>69592</v>
      </c>
      <c r="AG605" s="1">
        <v>0</v>
      </c>
      <c r="AI605" s="1">
        <v>1257</v>
      </c>
      <c r="AJ605" s="12" t="s">
        <v>356</v>
      </c>
      <c r="AK605" s="12"/>
      <c r="AL605" s="12" t="s">
        <v>30</v>
      </c>
      <c r="AN605" s="1">
        <v>534847</v>
      </c>
      <c r="AP605" s="1">
        <v>1178192</v>
      </c>
      <c r="AR605" s="1">
        <v>0</v>
      </c>
      <c r="AT605" s="1">
        <v>0</v>
      </c>
      <c r="AV605" s="1">
        <v>0</v>
      </c>
      <c r="AX605" s="1">
        <v>0</v>
      </c>
      <c r="AZ605" s="1">
        <f t="shared" si="69"/>
        <v>23983255</v>
      </c>
      <c r="BB605" s="1">
        <v>217453</v>
      </c>
      <c r="BH605" s="1">
        <v>0</v>
      </c>
      <c r="BJ605" s="1">
        <f t="shared" si="68"/>
        <v>24200708</v>
      </c>
      <c r="BL605" s="1">
        <f>+GenRev!AM605-GenExp!BJ605</f>
        <v>-568078</v>
      </c>
      <c r="BN605" s="1">
        <v>4834098</v>
      </c>
      <c r="BP605" s="1">
        <v>0</v>
      </c>
      <c r="BQ605" s="1">
        <v>0</v>
      </c>
      <c r="BS605" s="1">
        <f t="shared" si="62"/>
        <v>4266020</v>
      </c>
      <c r="BU605" s="1">
        <f>+BS605-'Gen Fd BS'!AA605+BQ605</f>
        <v>0</v>
      </c>
    </row>
    <row r="606" spans="1:73">
      <c r="A606" s="12" t="s">
        <v>402</v>
      </c>
      <c r="B606" s="12"/>
      <c r="C606" s="12" t="s">
        <v>36</v>
      </c>
      <c r="D606" s="12"/>
      <c r="E606" s="13">
        <v>47696</v>
      </c>
      <c r="F606" s="8"/>
      <c r="G606" s="1">
        <v>10299579</v>
      </c>
      <c r="I606" s="1">
        <v>1983393</v>
      </c>
      <c r="K606" s="1">
        <v>298971</v>
      </c>
      <c r="M606" s="1">
        <v>0</v>
      </c>
      <c r="O606" s="1">
        <v>704566</v>
      </c>
      <c r="Q606" s="1">
        <v>576634</v>
      </c>
      <c r="S606" s="1">
        <v>45172</v>
      </c>
      <c r="U606" s="1">
        <v>1695809</v>
      </c>
      <c r="W606" s="1">
        <v>230753</v>
      </c>
      <c r="Y606" s="1">
        <v>1440</v>
      </c>
      <c r="AA606" s="1">
        <v>1964985</v>
      </c>
      <c r="AC606" s="1">
        <v>1529769</v>
      </c>
      <c r="AE606" s="1">
        <v>48983</v>
      </c>
      <c r="AG606" s="1">
        <v>48735</v>
      </c>
      <c r="AI606" s="1">
        <v>405</v>
      </c>
      <c r="AJ606" s="12" t="s">
        <v>402</v>
      </c>
      <c r="AK606" s="12"/>
      <c r="AL606" s="12" t="s">
        <v>36</v>
      </c>
      <c r="AN606" s="1">
        <v>238823</v>
      </c>
      <c r="AP606" s="1">
        <v>0</v>
      </c>
      <c r="AR606" s="1">
        <v>0</v>
      </c>
      <c r="AT606" s="1">
        <v>53718</v>
      </c>
      <c r="AV606" s="1">
        <v>797</v>
      </c>
      <c r="AX606" s="1">
        <v>0</v>
      </c>
      <c r="AZ606" s="1">
        <f t="shared" si="69"/>
        <v>19722532</v>
      </c>
      <c r="BB606" s="1">
        <v>0</v>
      </c>
      <c r="BH606" s="1">
        <v>0</v>
      </c>
      <c r="BJ606" s="1">
        <f t="shared" si="68"/>
        <v>19722532</v>
      </c>
      <c r="BL606" s="1">
        <f>+GenRev!AM606-GenExp!BJ606</f>
        <v>1107382</v>
      </c>
      <c r="BN606" s="1">
        <v>7333483</v>
      </c>
      <c r="BP606" s="1">
        <v>0</v>
      </c>
      <c r="BQ606" s="1">
        <v>0</v>
      </c>
      <c r="BS606" s="1">
        <f t="shared" si="62"/>
        <v>8440865</v>
      </c>
      <c r="BU606" s="1">
        <f>+BS606-'Gen Fd BS'!AA606+BQ606</f>
        <v>0</v>
      </c>
    </row>
    <row r="607" spans="1:73">
      <c r="A607" s="12" t="s">
        <v>244</v>
      </c>
      <c r="B607" s="12"/>
      <c r="C607" s="12" t="s">
        <v>240</v>
      </c>
      <c r="D607" s="12"/>
      <c r="E607" s="13">
        <v>46219</v>
      </c>
      <c r="G607" s="1">
        <v>4654776</v>
      </c>
      <c r="I607" s="1">
        <v>1751975</v>
      </c>
      <c r="K607" s="1">
        <v>179849</v>
      </c>
      <c r="M607" s="1">
        <v>418753</v>
      </c>
      <c r="O607" s="1">
        <v>334446</v>
      </c>
      <c r="Q607" s="1">
        <v>716208</v>
      </c>
      <c r="S607" s="1">
        <v>38552</v>
      </c>
      <c r="U607" s="1">
        <v>751731</v>
      </c>
      <c r="W607" s="1">
        <v>393968</v>
      </c>
      <c r="Y607" s="1">
        <v>0</v>
      </c>
      <c r="AA607" s="1">
        <v>1010736</v>
      </c>
      <c r="AC607" s="1">
        <v>728418</v>
      </c>
      <c r="AE607" s="1">
        <v>291269</v>
      </c>
      <c r="AG607" s="1">
        <v>0</v>
      </c>
      <c r="AI607" s="1">
        <v>0</v>
      </c>
      <c r="AJ607" s="12" t="s">
        <v>244</v>
      </c>
      <c r="AK607" s="12"/>
      <c r="AL607" s="12" t="s">
        <v>240</v>
      </c>
      <c r="AN607" s="1">
        <v>303780</v>
      </c>
      <c r="AP607" s="1">
        <v>0</v>
      </c>
      <c r="AR607" s="1">
        <v>0</v>
      </c>
      <c r="AT607" s="1">
        <v>76424</v>
      </c>
      <c r="AV607" s="1">
        <v>8140</v>
      </c>
      <c r="AX607" s="1">
        <v>0</v>
      </c>
      <c r="AZ607" s="1">
        <f t="shared" si="69"/>
        <v>11659025</v>
      </c>
      <c r="BB607" s="1">
        <v>19050</v>
      </c>
      <c r="BH607" s="1">
        <v>0</v>
      </c>
      <c r="BJ607" s="1">
        <f t="shared" si="68"/>
        <v>11678075</v>
      </c>
      <c r="BL607" s="1">
        <f>+GenRev!AM607-GenExp!BJ607</f>
        <v>-963636</v>
      </c>
      <c r="BN607" s="1">
        <v>2424170</v>
      </c>
      <c r="BP607" s="1">
        <v>0</v>
      </c>
      <c r="BQ607" s="1">
        <v>0</v>
      </c>
      <c r="BS607" s="1">
        <f t="shared" si="62"/>
        <v>1460534</v>
      </c>
      <c r="BU607" s="1">
        <f>+BS607-'Gen Fd BS'!AA607+BQ607</f>
        <v>0</v>
      </c>
    </row>
    <row r="608" spans="1:73">
      <c r="A608" s="12" t="s">
        <v>515</v>
      </c>
      <c r="B608" s="12"/>
      <c r="C608" s="12" t="s">
        <v>51</v>
      </c>
      <c r="D608" s="12"/>
      <c r="E608" s="13">
        <v>48884</v>
      </c>
      <c r="F608" s="8"/>
      <c r="G608" s="1">
        <v>7144013</v>
      </c>
      <c r="I608" s="1">
        <v>1339723</v>
      </c>
      <c r="K608" s="1">
        <v>230958</v>
      </c>
      <c r="M608" s="1">
        <v>127549</v>
      </c>
      <c r="O608" s="1">
        <v>387698</v>
      </c>
      <c r="Q608" s="1">
        <v>410428</v>
      </c>
      <c r="S608" s="1">
        <v>17834</v>
      </c>
      <c r="U608" s="1">
        <v>1323957</v>
      </c>
      <c r="W608" s="1">
        <v>383798</v>
      </c>
      <c r="Y608" s="1">
        <v>0</v>
      </c>
      <c r="AA608" s="1">
        <v>1062305</v>
      </c>
      <c r="AC608" s="1">
        <v>829649</v>
      </c>
      <c r="AE608" s="1">
        <v>42384</v>
      </c>
      <c r="AG608" s="1">
        <v>0</v>
      </c>
      <c r="AI608" s="1">
        <v>4499</v>
      </c>
      <c r="AJ608" s="12" t="s">
        <v>515</v>
      </c>
      <c r="AK608" s="12"/>
      <c r="AL608" s="12" t="s">
        <v>51</v>
      </c>
      <c r="AN608" s="1">
        <v>2108</v>
      </c>
      <c r="AP608" s="1">
        <v>147806</v>
      </c>
      <c r="AR608" s="1">
        <v>0</v>
      </c>
      <c r="AT608" s="1">
        <v>67697</v>
      </c>
      <c r="AV608" s="1">
        <v>83456</v>
      </c>
      <c r="AX608" s="1">
        <v>0</v>
      </c>
      <c r="AZ608" s="1">
        <f t="shared" si="69"/>
        <v>13605862</v>
      </c>
      <c r="BB608" s="1">
        <v>70000</v>
      </c>
      <c r="BH608" s="1">
        <v>0</v>
      </c>
      <c r="BJ608" s="1">
        <f t="shared" si="68"/>
        <v>13675862</v>
      </c>
      <c r="BL608" s="1">
        <f>+GenRev!AM608-GenExp!BJ608</f>
        <v>-237424</v>
      </c>
      <c r="BN608" s="1">
        <v>-525574</v>
      </c>
      <c r="BP608" s="1">
        <v>0</v>
      </c>
      <c r="BQ608" s="1">
        <v>0</v>
      </c>
      <c r="BS608" s="1">
        <f t="shared" si="62"/>
        <v>-762998</v>
      </c>
      <c r="BU608" s="1">
        <f>+BS608-'Gen Fd BS'!AA608+BQ608</f>
        <v>0</v>
      </c>
    </row>
    <row r="609" spans="1:73">
      <c r="A609" s="12" t="s">
        <v>225</v>
      </c>
      <c r="B609" s="12"/>
      <c r="C609" s="12" t="s">
        <v>77</v>
      </c>
      <c r="D609" s="12"/>
      <c r="E609" s="13">
        <v>46060</v>
      </c>
      <c r="G609" s="1">
        <v>13845918</v>
      </c>
      <c r="I609" s="1">
        <v>2431178</v>
      </c>
      <c r="K609" s="1">
        <v>379213</v>
      </c>
      <c r="M609" s="1">
        <v>212</v>
      </c>
      <c r="O609" s="1">
        <v>638388</v>
      </c>
      <c r="Q609" s="1">
        <v>871788</v>
      </c>
      <c r="S609" s="1">
        <v>19962</v>
      </c>
      <c r="U609" s="1">
        <v>1836342</v>
      </c>
      <c r="W609" s="1">
        <v>536168</v>
      </c>
      <c r="Y609" s="1">
        <v>0</v>
      </c>
      <c r="AA609" s="1">
        <v>2278096</v>
      </c>
      <c r="AC609" s="1">
        <v>1945115</v>
      </c>
      <c r="AE609" s="1">
        <v>306790</v>
      </c>
      <c r="AG609" s="1">
        <v>0</v>
      </c>
      <c r="AI609" s="1">
        <v>240</v>
      </c>
      <c r="AJ609" s="12" t="s">
        <v>225</v>
      </c>
      <c r="AK609" s="12"/>
      <c r="AL609" s="12" t="s">
        <v>77</v>
      </c>
      <c r="AN609" s="1">
        <v>480436</v>
      </c>
      <c r="AP609" s="1">
        <v>606468</v>
      </c>
      <c r="AR609" s="1">
        <v>0</v>
      </c>
      <c r="AT609" s="1">
        <v>78000</v>
      </c>
      <c r="AV609" s="1">
        <v>24415</v>
      </c>
      <c r="AX609" s="1">
        <v>0</v>
      </c>
      <c r="AZ609" s="1">
        <f t="shared" si="69"/>
        <v>26278729</v>
      </c>
      <c r="BB609" s="1">
        <v>0</v>
      </c>
      <c r="BH609" s="1">
        <v>0</v>
      </c>
      <c r="BJ609" s="1">
        <f t="shared" si="68"/>
        <v>26278729</v>
      </c>
      <c r="BL609" s="1">
        <f>+GenRev!AM609-GenExp!BJ609</f>
        <v>-453279</v>
      </c>
      <c r="BN609" s="1">
        <v>597074</v>
      </c>
      <c r="BP609" s="1">
        <v>0</v>
      </c>
      <c r="BQ609" s="1">
        <v>0</v>
      </c>
      <c r="BS609" s="1">
        <f t="shared" si="62"/>
        <v>143795</v>
      </c>
      <c r="BU609" s="1">
        <f>+BS609-'Gen Fd BS'!AA609+BQ609</f>
        <v>0</v>
      </c>
    </row>
    <row r="610" spans="1:73">
      <c r="A610" s="12" t="s">
        <v>531</v>
      </c>
      <c r="B610" s="12"/>
      <c r="C610" s="12" t="s">
        <v>55</v>
      </c>
      <c r="D610" s="12"/>
      <c r="E610" s="13">
        <v>49155</v>
      </c>
      <c r="G610" s="1">
        <v>3048426</v>
      </c>
      <c r="I610" s="1">
        <v>769191</v>
      </c>
      <c r="K610" s="1">
        <v>0</v>
      </c>
      <c r="M610" s="1">
        <v>568032</v>
      </c>
      <c r="O610" s="1">
        <v>315729</v>
      </c>
      <c r="Q610" s="1">
        <v>201048</v>
      </c>
      <c r="S610" s="1">
        <v>34645</v>
      </c>
      <c r="U610" s="1">
        <v>593495</v>
      </c>
      <c r="W610" s="1">
        <v>276132</v>
      </c>
      <c r="Y610" s="1">
        <v>0</v>
      </c>
      <c r="AA610" s="1">
        <v>580985</v>
      </c>
      <c r="AC610" s="1">
        <v>791891</v>
      </c>
      <c r="AE610" s="1">
        <v>943</v>
      </c>
      <c r="AG610" s="1">
        <v>0</v>
      </c>
      <c r="AI610" s="1">
        <v>3523</v>
      </c>
      <c r="AJ610" s="12" t="s">
        <v>531</v>
      </c>
      <c r="AK610" s="12"/>
      <c r="AL610" s="12" t="s">
        <v>55</v>
      </c>
      <c r="AN610" s="1">
        <v>129582</v>
      </c>
      <c r="AP610" s="1">
        <v>464119</v>
      </c>
      <c r="AR610" s="1">
        <v>0</v>
      </c>
      <c r="AT610" s="1">
        <v>0</v>
      </c>
      <c r="AV610" s="1">
        <v>0</v>
      </c>
      <c r="AX610" s="1">
        <v>0</v>
      </c>
      <c r="AZ610" s="1">
        <f t="shared" si="69"/>
        <v>7777741</v>
      </c>
      <c r="BB610" s="1">
        <v>40000</v>
      </c>
      <c r="BH610" s="1">
        <v>0</v>
      </c>
      <c r="BJ610" s="1">
        <f t="shared" si="68"/>
        <v>7817741</v>
      </c>
      <c r="BL610" s="1">
        <f>+GenRev!AM610-GenExp!BJ610</f>
        <v>-347236</v>
      </c>
      <c r="BN610" s="1">
        <v>4219095</v>
      </c>
      <c r="BP610" s="1">
        <v>0</v>
      </c>
      <c r="BQ610" s="1">
        <v>0</v>
      </c>
      <c r="BS610" s="1">
        <f t="shared" si="62"/>
        <v>3871859</v>
      </c>
      <c r="BU610" s="1">
        <f>+BS610-'Gen Fd BS'!AA610+BQ610</f>
        <v>0</v>
      </c>
    </row>
    <row r="611" spans="1:73">
      <c r="A611" s="12" t="s">
        <v>407</v>
      </c>
      <c r="B611" s="12"/>
      <c r="C611" s="12" t="s">
        <v>37</v>
      </c>
      <c r="D611" s="12"/>
      <c r="E611" s="13">
        <v>47746</v>
      </c>
      <c r="G611" s="1">
        <v>5205559</v>
      </c>
      <c r="I611" s="1">
        <v>1192187</v>
      </c>
      <c r="K611" s="1">
        <v>156616</v>
      </c>
      <c r="M611" s="1">
        <v>266694</v>
      </c>
      <c r="O611" s="1">
        <v>207035</v>
      </c>
      <c r="Q611" s="1">
        <v>679292</v>
      </c>
      <c r="S611" s="1">
        <v>79331</v>
      </c>
      <c r="U611" s="1">
        <v>833365</v>
      </c>
      <c r="W611" s="1">
        <v>411135</v>
      </c>
      <c r="Y611" s="1">
        <v>0</v>
      </c>
      <c r="AA611" s="1">
        <v>633618</v>
      </c>
      <c r="AC611" s="1">
        <v>774290</v>
      </c>
      <c r="AE611" s="1">
        <v>37857</v>
      </c>
      <c r="AG611" s="1">
        <v>0</v>
      </c>
      <c r="AI611" s="1">
        <v>97770</v>
      </c>
      <c r="AJ611" s="12" t="s">
        <v>407</v>
      </c>
      <c r="AK611" s="12"/>
      <c r="AL611" s="12" t="s">
        <v>37</v>
      </c>
      <c r="AN611" s="1">
        <v>252772</v>
      </c>
      <c r="AP611" s="1">
        <v>2642</v>
      </c>
      <c r="AR611" s="1">
        <v>0</v>
      </c>
      <c r="AT611" s="1">
        <v>27640</v>
      </c>
      <c r="AV611" s="1">
        <v>4352</v>
      </c>
      <c r="AX611" s="1">
        <v>0</v>
      </c>
      <c r="AZ611" s="1">
        <f t="shared" si="69"/>
        <v>10862155</v>
      </c>
      <c r="BB611" s="1">
        <v>55365</v>
      </c>
      <c r="BH611" s="1">
        <v>0</v>
      </c>
      <c r="BJ611" s="1">
        <f t="shared" si="68"/>
        <v>10917520</v>
      </c>
      <c r="BL611" s="1">
        <f>+GenRev!AM611-GenExp!BJ611</f>
        <v>-126635</v>
      </c>
      <c r="BN611" s="1">
        <v>915013</v>
      </c>
      <c r="BP611" s="1">
        <v>0</v>
      </c>
      <c r="BQ611" s="1">
        <v>0</v>
      </c>
      <c r="BS611" s="1">
        <f t="shared" si="62"/>
        <v>788378</v>
      </c>
      <c r="BU611" s="1">
        <f>+BS611-'Gen Fd BS'!AA611+BQ611</f>
        <v>0</v>
      </c>
    </row>
    <row r="612" spans="1:73">
      <c r="A612" s="12" t="s">
        <v>407</v>
      </c>
      <c r="B612" s="12"/>
      <c r="C612" s="12" t="s">
        <v>45</v>
      </c>
      <c r="D612" s="12"/>
      <c r="E612" s="13">
        <v>48397</v>
      </c>
      <c r="G612" s="1">
        <v>2957621</v>
      </c>
      <c r="I612" s="1">
        <v>438755</v>
      </c>
      <c r="K612" s="1">
        <v>117320</v>
      </c>
      <c r="M612" s="1">
        <v>0</v>
      </c>
      <c r="O612" s="1">
        <v>351075</v>
      </c>
      <c r="Q612" s="1">
        <v>342527</v>
      </c>
      <c r="S612" s="1">
        <v>23209</v>
      </c>
      <c r="U612" s="1">
        <v>603291</v>
      </c>
      <c r="W612" s="1">
        <v>217374</v>
      </c>
      <c r="Y612" s="1">
        <v>0</v>
      </c>
      <c r="AA612" s="1">
        <v>506298</v>
      </c>
      <c r="AC612" s="1">
        <v>398012</v>
      </c>
      <c r="AE612" s="1">
        <v>18204</v>
      </c>
      <c r="AG612" s="1">
        <v>0</v>
      </c>
      <c r="AI612" s="1">
        <v>0</v>
      </c>
      <c r="AJ612" s="12" t="s">
        <v>407</v>
      </c>
      <c r="AK612" s="12"/>
      <c r="AL612" s="12" t="s">
        <v>45</v>
      </c>
      <c r="AN612" s="1">
        <v>236772</v>
      </c>
      <c r="AP612" s="1">
        <v>0</v>
      </c>
      <c r="AR612" s="1">
        <v>0</v>
      </c>
      <c r="AT612" s="1">
        <v>0</v>
      </c>
      <c r="AV612" s="1">
        <v>0</v>
      </c>
      <c r="AX612" s="1">
        <v>0</v>
      </c>
      <c r="AZ612" s="1">
        <f t="shared" si="69"/>
        <v>6210458</v>
      </c>
      <c r="BB612" s="1">
        <v>445030</v>
      </c>
      <c r="BH612" s="1">
        <v>0</v>
      </c>
      <c r="BJ612" s="1">
        <f t="shared" si="68"/>
        <v>6655488</v>
      </c>
      <c r="BL612" s="1">
        <f>+GenRev!AM612-GenExp!BJ612</f>
        <v>-347564</v>
      </c>
      <c r="BN612" s="1">
        <v>1512711</v>
      </c>
      <c r="BP612" s="1">
        <v>0</v>
      </c>
      <c r="BQ612" s="1">
        <v>0</v>
      </c>
      <c r="BS612" s="1">
        <f t="shared" si="62"/>
        <v>1165147</v>
      </c>
      <c r="BU612" s="1">
        <f>+BS612-'Gen Fd BS'!AA612+BQ612</f>
        <v>0</v>
      </c>
    </row>
    <row r="613" spans="1:73">
      <c r="A613" s="12" t="s">
        <v>342</v>
      </c>
      <c r="B613" s="12"/>
      <c r="C613" s="12" t="s">
        <v>27</v>
      </c>
      <c r="D613" s="12"/>
      <c r="E613" s="13">
        <v>45047</v>
      </c>
      <c r="G613" s="1">
        <v>61022715</v>
      </c>
      <c r="I613" s="1">
        <v>16023156</v>
      </c>
      <c r="K613" s="1">
        <v>466567</v>
      </c>
      <c r="M613" s="1">
        <v>3816668</v>
      </c>
      <c r="O613" s="1">
        <v>10686658</v>
      </c>
      <c r="Q613" s="1">
        <v>4371324</v>
      </c>
      <c r="S613" s="1">
        <v>1651416</v>
      </c>
      <c r="U613" s="1">
        <v>8876642</v>
      </c>
      <c r="W613" s="1">
        <v>2367960</v>
      </c>
      <c r="Y613" s="1">
        <v>747829</v>
      </c>
      <c r="AA613" s="1">
        <v>13183711</v>
      </c>
      <c r="AC613" s="1">
        <v>7888903</v>
      </c>
      <c r="AE613" s="1">
        <v>2266356</v>
      </c>
      <c r="AG613" s="1">
        <v>0</v>
      </c>
      <c r="AI613" s="1">
        <v>210637</v>
      </c>
      <c r="AJ613" s="12" t="s">
        <v>342</v>
      </c>
      <c r="AK613" s="12"/>
      <c r="AL613" s="12" t="s">
        <v>27</v>
      </c>
      <c r="AN613" s="1">
        <v>1968782</v>
      </c>
      <c r="AP613" s="1">
        <v>0</v>
      </c>
      <c r="AR613" s="1">
        <v>0</v>
      </c>
      <c r="AT613" s="1">
        <v>0</v>
      </c>
      <c r="AV613" s="1">
        <v>0</v>
      </c>
      <c r="AX613" s="1">
        <v>0</v>
      </c>
      <c r="AZ613" s="1">
        <f t="shared" si="69"/>
        <v>135549324</v>
      </c>
      <c r="BB613" s="1">
        <v>38983</v>
      </c>
      <c r="BH613" s="1">
        <v>0</v>
      </c>
      <c r="BJ613" s="1">
        <f t="shared" si="68"/>
        <v>135588307</v>
      </c>
      <c r="BL613" s="1">
        <f>+GenRev!AM613-GenExp!BJ613</f>
        <v>11285553</v>
      </c>
      <c r="BN613" s="1">
        <v>10661834</v>
      </c>
      <c r="BP613" s="1">
        <v>0</v>
      </c>
      <c r="BQ613" s="1">
        <v>0</v>
      </c>
      <c r="BS613" s="1">
        <f t="shared" si="62"/>
        <v>21947387</v>
      </c>
      <c r="BU613" s="1">
        <f>+BS613-'Gen Fd BS'!AA613+BQ613</f>
        <v>0</v>
      </c>
    </row>
    <row r="614" spans="1:73">
      <c r="A614" s="12" t="s">
        <v>528</v>
      </c>
      <c r="B614" s="12"/>
      <c r="C614" s="12" t="s">
        <v>54</v>
      </c>
      <c r="D614" s="12"/>
      <c r="E614" s="13">
        <v>49106</v>
      </c>
      <c r="G614" s="1">
        <v>5962788</v>
      </c>
      <c r="I614" s="1">
        <v>888102</v>
      </c>
      <c r="K614" s="1">
        <v>55291</v>
      </c>
      <c r="M614" s="1">
        <v>16024</v>
      </c>
      <c r="O614" s="1">
        <v>256451</v>
      </c>
      <c r="Q614" s="1">
        <v>481120</v>
      </c>
      <c r="S614" s="1">
        <v>201473</v>
      </c>
      <c r="U614" s="1">
        <v>1294937</v>
      </c>
      <c r="W614" s="1">
        <v>471754</v>
      </c>
      <c r="Y614" s="1">
        <v>1500</v>
      </c>
      <c r="AA614" s="1">
        <v>845422</v>
      </c>
      <c r="AC614" s="1">
        <v>951602</v>
      </c>
      <c r="AE614" s="1">
        <v>1728</v>
      </c>
      <c r="AG614" s="1">
        <v>0</v>
      </c>
      <c r="AI614" s="1">
        <v>0</v>
      </c>
      <c r="AJ614" s="12" t="s">
        <v>528</v>
      </c>
      <c r="AK614" s="12"/>
      <c r="AL614" s="12" t="s">
        <v>54</v>
      </c>
      <c r="AN614" s="1">
        <v>183668</v>
      </c>
      <c r="AP614" s="1">
        <v>0</v>
      </c>
      <c r="AR614" s="1">
        <v>0</v>
      </c>
      <c r="AT614" s="1">
        <v>39784</v>
      </c>
      <c r="AV614" s="1">
        <v>21409</v>
      </c>
      <c r="AX614" s="1">
        <v>0</v>
      </c>
      <c r="AZ614" s="1">
        <f t="shared" si="69"/>
        <v>11673053</v>
      </c>
      <c r="BB614" s="1">
        <v>37954</v>
      </c>
      <c r="BH614" s="1">
        <v>0</v>
      </c>
      <c r="BJ614" s="1">
        <f t="shared" si="68"/>
        <v>11711007</v>
      </c>
      <c r="BL614" s="1">
        <f>+GenRev!AM614-GenExp!BJ614</f>
        <v>715796</v>
      </c>
      <c r="BN614" s="1">
        <v>676526</v>
      </c>
      <c r="BP614" s="1">
        <v>0</v>
      </c>
      <c r="BQ614" s="1">
        <v>0</v>
      </c>
      <c r="BS614" s="1">
        <f t="shared" si="62"/>
        <v>1392322</v>
      </c>
      <c r="BU614" s="1">
        <f>+BS614-'Gen Fd BS'!AA614+BQ614</f>
        <v>0</v>
      </c>
    </row>
    <row r="615" spans="1:73">
      <c r="A615" s="12" t="s">
        <v>308</v>
      </c>
      <c r="B615" s="12"/>
      <c r="C615" s="12" t="s">
        <v>20</v>
      </c>
      <c r="D615" s="12"/>
      <c r="E615" s="13">
        <v>45062</v>
      </c>
      <c r="G615" s="1">
        <v>21637191</v>
      </c>
      <c r="I615" s="1">
        <v>4191352</v>
      </c>
      <c r="K615" s="1">
        <v>271866</v>
      </c>
      <c r="M615" s="1">
        <f>78+923047</f>
        <v>923125</v>
      </c>
      <c r="O615" s="1">
        <v>3029630</v>
      </c>
      <c r="Q615" s="1">
        <v>3107108</v>
      </c>
      <c r="S615" s="1">
        <v>25952</v>
      </c>
      <c r="U615" s="1">
        <v>2879970</v>
      </c>
      <c r="W615" s="1">
        <v>1167127</v>
      </c>
      <c r="Y615" s="1">
        <v>349305</v>
      </c>
      <c r="AA615" s="1">
        <v>4291893</v>
      </c>
      <c r="AC615" s="1">
        <v>4449511</v>
      </c>
      <c r="AE615" s="1">
        <v>130941</v>
      </c>
      <c r="AG615" s="1">
        <v>0</v>
      </c>
      <c r="AI615" s="1">
        <v>0</v>
      </c>
      <c r="AJ615" s="12" t="s">
        <v>308</v>
      </c>
      <c r="AK615" s="12"/>
      <c r="AL615" s="12" t="s">
        <v>20</v>
      </c>
      <c r="AN615" s="1">
        <v>923994</v>
      </c>
      <c r="AP615" s="1">
        <v>448879</v>
      </c>
      <c r="AR615" s="1">
        <v>0</v>
      </c>
      <c r="AT615" s="1">
        <v>58966</v>
      </c>
      <c r="AV615" s="1">
        <v>25712</v>
      </c>
      <c r="AX615" s="1">
        <v>0</v>
      </c>
      <c r="AZ615" s="1">
        <f t="shared" si="69"/>
        <v>47912522</v>
      </c>
      <c r="BB615" s="1">
        <v>10000</v>
      </c>
      <c r="BH615" s="1">
        <v>0</v>
      </c>
      <c r="BJ615" s="1">
        <f t="shared" si="68"/>
        <v>47922522</v>
      </c>
      <c r="BL615" s="1">
        <f>+GenRev!AM615-GenExp!BJ615</f>
        <v>1927007</v>
      </c>
      <c r="BN615" s="1">
        <v>18921714</v>
      </c>
      <c r="BP615" s="1">
        <v>0</v>
      </c>
      <c r="BQ615" s="1">
        <v>0</v>
      </c>
      <c r="BS615" s="1">
        <f t="shared" si="62"/>
        <v>20848721</v>
      </c>
      <c r="BU615" s="1">
        <f>+BS615-'Gen Fd BS'!AA615+BQ615</f>
        <v>0</v>
      </c>
    </row>
    <row r="616" spans="1:73">
      <c r="A616" s="12" t="s">
        <v>566</v>
      </c>
      <c r="B616" s="12"/>
      <c r="C616" s="12" t="s">
        <v>59</v>
      </c>
      <c r="D616" s="12"/>
      <c r="E616" s="13">
        <v>49668</v>
      </c>
      <c r="G616" s="1">
        <v>6196217</v>
      </c>
      <c r="I616" s="1">
        <v>623494</v>
      </c>
      <c r="K616" s="1">
        <v>5192</v>
      </c>
      <c r="M616" s="1">
        <v>20675</v>
      </c>
      <c r="O616" s="1">
        <v>444228</v>
      </c>
      <c r="Q616" s="1">
        <v>582260</v>
      </c>
      <c r="S616" s="1">
        <v>74055</v>
      </c>
      <c r="U616" s="1">
        <v>952815</v>
      </c>
      <c r="W616" s="1">
        <v>319418</v>
      </c>
      <c r="Y616" s="1">
        <v>0</v>
      </c>
      <c r="AA616" s="1">
        <v>1056473</v>
      </c>
      <c r="AC616" s="1">
        <v>475921</v>
      </c>
      <c r="AE616" s="1">
        <v>111185</v>
      </c>
      <c r="AG616" s="1">
        <v>0</v>
      </c>
      <c r="AI616" s="1">
        <v>120</v>
      </c>
      <c r="AJ616" s="12" t="s">
        <v>566</v>
      </c>
      <c r="AK616" s="12"/>
      <c r="AL616" s="12" t="s">
        <v>59</v>
      </c>
      <c r="AN616" s="1">
        <v>216128</v>
      </c>
      <c r="AP616" s="1">
        <v>16387</v>
      </c>
      <c r="AR616" s="1">
        <v>0</v>
      </c>
      <c r="AT616" s="1">
        <v>52000</v>
      </c>
      <c r="AV616" s="1">
        <v>20023</v>
      </c>
      <c r="AX616" s="1">
        <v>0</v>
      </c>
      <c r="AZ616" s="1">
        <f t="shared" si="69"/>
        <v>11166591</v>
      </c>
      <c r="BB616" s="1">
        <v>172080</v>
      </c>
      <c r="BH616" s="1">
        <v>0</v>
      </c>
      <c r="BJ616" s="1">
        <f t="shared" si="68"/>
        <v>11338671</v>
      </c>
      <c r="BL616" s="1">
        <f>+GenRev!AM616-GenExp!BJ616</f>
        <v>730</v>
      </c>
      <c r="BN616" s="1">
        <v>1282642</v>
      </c>
      <c r="BP616" s="1">
        <v>0</v>
      </c>
      <c r="BQ616" s="1">
        <v>0</v>
      </c>
      <c r="BS616" s="1">
        <f t="shared" si="62"/>
        <v>1283372</v>
      </c>
      <c r="BU616" s="1">
        <f>+BS616-'Gen Fd BS'!AA616+BQ616</f>
        <v>0</v>
      </c>
    </row>
    <row r="617" spans="1:73">
      <c r="A617" s="12" t="s">
        <v>343</v>
      </c>
      <c r="B617" s="12"/>
      <c r="C617" s="12" t="s">
        <v>27</v>
      </c>
      <c r="D617" s="12"/>
      <c r="E617" s="13">
        <v>45070</v>
      </c>
      <c r="G617" s="1">
        <v>12547575</v>
      </c>
      <c r="I617" s="1">
        <v>3738404</v>
      </c>
      <c r="K617" s="1">
        <v>726107</v>
      </c>
      <c r="M617" s="1">
        <v>238452</v>
      </c>
      <c r="O617" s="1">
        <v>1346624</v>
      </c>
      <c r="Q617" s="1">
        <v>942443</v>
      </c>
      <c r="S617" s="1">
        <v>112128</v>
      </c>
      <c r="U617" s="1">
        <v>2704015</v>
      </c>
      <c r="W617" s="1">
        <v>0</v>
      </c>
      <c r="Y617" s="1">
        <v>692061</v>
      </c>
      <c r="AA617" s="1">
        <v>2627787</v>
      </c>
      <c r="AC617" s="1">
        <v>1297835</v>
      </c>
      <c r="AE617" s="1">
        <v>466369</v>
      </c>
      <c r="AG617" s="1">
        <v>0</v>
      </c>
      <c r="AI617" s="1">
        <v>18829</v>
      </c>
      <c r="AJ617" s="12" t="s">
        <v>343</v>
      </c>
      <c r="AK617" s="12"/>
      <c r="AL617" s="12" t="s">
        <v>27</v>
      </c>
      <c r="AN617" s="1">
        <v>585565</v>
      </c>
      <c r="AP617" s="1">
        <v>157878</v>
      </c>
      <c r="AR617" s="1">
        <v>0</v>
      </c>
      <c r="AT617" s="1">
        <v>6548</v>
      </c>
      <c r="AV617" s="1">
        <v>1912</v>
      </c>
      <c r="AX617" s="1">
        <v>0</v>
      </c>
      <c r="AZ617" s="1">
        <f t="shared" si="69"/>
        <v>28210532</v>
      </c>
      <c r="BB617" s="1">
        <v>337436</v>
      </c>
      <c r="BH617" s="1">
        <v>0</v>
      </c>
      <c r="BJ617" s="1">
        <f t="shared" si="68"/>
        <v>28547968</v>
      </c>
      <c r="BL617" s="1">
        <f>+GenRev!AM617-GenExp!BJ617</f>
        <v>1305390</v>
      </c>
      <c r="BN617" s="1">
        <v>15112766</v>
      </c>
      <c r="BP617" s="1">
        <v>0</v>
      </c>
      <c r="BQ617" s="1">
        <v>0</v>
      </c>
      <c r="BS617" s="1">
        <f t="shared" si="62"/>
        <v>16418156</v>
      </c>
      <c r="BU617" s="1">
        <f>+BS617-'Gen Fd BS'!AA617+BQ617</f>
        <v>0</v>
      </c>
    </row>
    <row r="618" spans="1:73" hidden="1">
      <c r="A618" s="17" t="s">
        <v>744</v>
      </c>
      <c r="B618" s="12"/>
      <c r="C618" s="12" t="s">
        <v>41</v>
      </c>
      <c r="D618" s="12"/>
      <c r="E618" s="13">
        <v>45088</v>
      </c>
      <c r="AJ618" s="17" t="s">
        <v>744</v>
      </c>
      <c r="AK618" s="12"/>
      <c r="AL618" s="12" t="s">
        <v>41</v>
      </c>
      <c r="AZ618" s="1">
        <f t="shared" si="69"/>
        <v>0</v>
      </c>
      <c r="BJ618" s="1">
        <f t="shared" si="68"/>
        <v>0</v>
      </c>
      <c r="BL618" s="1">
        <f>+GenRev!AM618-GenExp!BJ618</f>
        <v>0</v>
      </c>
      <c r="BS618" s="1">
        <f t="shared" ref="BS618:BS635" si="70">+BN618+BL618-BP618</f>
        <v>0</v>
      </c>
      <c r="BU618" s="1">
        <f>+BS618-'Gen Fd BS'!AA618+BQ618</f>
        <v>0</v>
      </c>
    </row>
    <row r="619" spans="1:73">
      <c r="A619" s="12" t="s">
        <v>408</v>
      </c>
      <c r="B619" s="12"/>
      <c r="C619" s="12" t="s">
        <v>37</v>
      </c>
      <c r="D619" s="12"/>
      <c r="E619" s="13">
        <v>45096</v>
      </c>
      <c r="G619" s="1">
        <v>7071061</v>
      </c>
      <c r="I619" s="1">
        <v>430840</v>
      </c>
      <c r="K619" s="1">
        <v>199217</v>
      </c>
      <c r="M619" s="1">
        <v>1888703</v>
      </c>
      <c r="O619" s="1">
        <v>773646</v>
      </c>
      <c r="Q619" s="1">
        <v>622333</v>
      </c>
      <c r="S619" s="1">
        <v>521318</v>
      </c>
      <c r="U619" s="1">
        <v>1753492</v>
      </c>
      <c r="W619" s="1">
        <v>361077</v>
      </c>
      <c r="Y619" s="1">
        <v>82826</v>
      </c>
      <c r="AA619" s="1">
        <v>1500391</v>
      </c>
      <c r="AC619" s="1">
        <v>910973</v>
      </c>
      <c r="AE619" s="1">
        <v>4372</v>
      </c>
      <c r="AG619" s="1">
        <v>0</v>
      </c>
      <c r="AI619" s="1">
        <v>0</v>
      </c>
      <c r="AJ619" s="12" t="s">
        <v>408</v>
      </c>
      <c r="AK619" s="12"/>
      <c r="AL619" s="12" t="s">
        <v>37</v>
      </c>
      <c r="AN619" s="1">
        <v>352585</v>
      </c>
      <c r="AP619" s="1">
        <v>0</v>
      </c>
      <c r="AR619" s="1">
        <v>0</v>
      </c>
      <c r="AT619" s="1">
        <v>42294</v>
      </c>
      <c r="AV619" s="1">
        <v>12679</v>
      </c>
      <c r="AX619" s="1">
        <v>0</v>
      </c>
      <c r="AZ619" s="1">
        <f t="shared" si="69"/>
        <v>16527807</v>
      </c>
      <c r="BB619" s="1">
        <v>58248</v>
      </c>
      <c r="BH619" s="1">
        <v>0</v>
      </c>
      <c r="BJ619" s="1">
        <f t="shared" si="68"/>
        <v>16586055</v>
      </c>
      <c r="BL619" s="1">
        <f>+GenRev!AM619-GenExp!BJ619</f>
        <v>-712852</v>
      </c>
      <c r="BN619" s="1">
        <v>1828670</v>
      </c>
      <c r="BP619" s="1">
        <v>0</v>
      </c>
      <c r="BQ619" s="1">
        <v>0</v>
      </c>
      <c r="BS619" s="1">
        <f t="shared" si="70"/>
        <v>1115818</v>
      </c>
      <c r="BU619" s="1">
        <f>+BS619-'Gen Fd BS'!AA619+BQ619</f>
        <v>0</v>
      </c>
    </row>
    <row r="620" spans="1:73">
      <c r="A620" s="12" t="s">
        <v>258</v>
      </c>
      <c r="B620" s="12"/>
      <c r="C620" s="12" t="s">
        <v>115</v>
      </c>
      <c r="D620" s="12"/>
      <c r="E620" s="13">
        <v>46367</v>
      </c>
      <c r="G620" s="1">
        <v>4700709</v>
      </c>
      <c r="I620" s="1">
        <v>1086108</v>
      </c>
      <c r="K620" s="1">
        <v>91067</v>
      </c>
      <c r="M620" s="1">
        <v>26325</v>
      </c>
      <c r="O620" s="1">
        <v>118977</v>
      </c>
      <c r="Q620" s="1">
        <v>426682</v>
      </c>
      <c r="S620" s="1">
        <v>22913</v>
      </c>
      <c r="U620" s="1">
        <v>334827</v>
      </c>
      <c r="W620" s="1">
        <v>316882</v>
      </c>
      <c r="Y620" s="1">
        <v>0</v>
      </c>
      <c r="AA620" s="1">
        <v>1072288</v>
      </c>
      <c r="AC620" s="1">
        <v>399248</v>
      </c>
      <c r="AE620" s="1">
        <v>1042</v>
      </c>
      <c r="AG620" s="1">
        <v>0</v>
      </c>
      <c r="AI620" s="1">
        <v>22225</v>
      </c>
      <c r="AJ620" s="12" t="s">
        <v>258</v>
      </c>
      <c r="AK620" s="12"/>
      <c r="AL620" s="12" t="s">
        <v>115</v>
      </c>
      <c r="AN620" s="1">
        <v>100792</v>
      </c>
      <c r="AP620" s="1">
        <v>462379</v>
      </c>
      <c r="AR620" s="1">
        <v>0</v>
      </c>
      <c r="AT620" s="1">
        <v>43483</v>
      </c>
      <c r="AV620" s="1">
        <v>9951</v>
      </c>
      <c r="AX620" s="1">
        <v>0</v>
      </c>
      <c r="AZ620" s="1">
        <f t="shared" si="69"/>
        <v>9235898</v>
      </c>
      <c r="BB620" s="1">
        <v>364400</v>
      </c>
      <c r="BH620" s="1">
        <v>0</v>
      </c>
      <c r="BJ620" s="1">
        <f t="shared" si="68"/>
        <v>9600298</v>
      </c>
      <c r="BL620" s="1">
        <f>+GenRev!AM620-GenExp!BJ620</f>
        <v>-1038895</v>
      </c>
      <c r="BN620" s="1">
        <v>2428351</v>
      </c>
      <c r="BP620" s="1">
        <v>0</v>
      </c>
      <c r="BQ620" s="1">
        <v>0</v>
      </c>
      <c r="BS620" s="1">
        <f t="shared" si="70"/>
        <v>1389456</v>
      </c>
      <c r="BU620" s="1">
        <f>+BS620-'Gen Fd BS'!AA620+BQ620</f>
        <v>0</v>
      </c>
    </row>
    <row r="621" spans="1:73">
      <c r="A621" s="12" t="s">
        <v>418</v>
      </c>
      <c r="B621" s="12"/>
      <c r="C621" s="12" t="s">
        <v>41</v>
      </c>
      <c r="D621" s="12"/>
      <c r="E621" s="13">
        <v>45104</v>
      </c>
      <c r="G621" s="1">
        <v>38711566</v>
      </c>
      <c r="I621" s="1">
        <v>13465753</v>
      </c>
      <c r="K621" s="1">
        <v>1384915</v>
      </c>
      <c r="M621" s="1">
        <v>25507</v>
      </c>
      <c r="O621" s="1">
        <v>6439322</v>
      </c>
      <c r="Q621" s="1">
        <v>2985866</v>
      </c>
      <c r="S621" s="1">
        <v>476998</v>
      </c>
      <c r="U621" s="1">
        <v>5147591</v>
      </c>
      <c r="W621" s="1">
        <v>1357740</v>
      </c>
      <c r="Y621" s="1">
        <v>412940</v>
      </c>
      <c r="AA621" s="1">
        <v>7431128</v>
      </c>
      <c r="AC621" s="1">
        <v>5694919</v>
      </c>
      <c r="AE621" s="1">
        <v>813982</v>
      </c>
      <c r="AG621" s="1">
        <v>13929</v>
      </c>
      <c r="AI621" s="1">
        <v>9798</v>
      </c>
      <c r="AJ621" s="12" t="s">
        <v>418</v>
      </c>
      <c r="AK621" s="12"/>
      <c r="AL621" s="12" t="s">
        <v>41</v>
      </c>
      <c r="AN621" s="1">
        <v>1049184</v>
      </c>
      <c r="AP621" s="1">
        <v>18107</v>
      </c>
      <c r="AR621" s="1">
        <v>0</v>
      </c>
      <c r="AT621" s="1">
        <v>0</v>
      </c>
      <c r="AV621" s="1">
        <v>0</v>
      </c>
      <c r="AX621" s="1">
        <v>0</v>
      </c>
      <c r="AZ621" s="1">
        <f t="shared" si="69"/>
        <v>85439245</v>
      </c>
      <c r="BB621" s="1">
        <v>2083436</v>
      </c>
      <c r="BH621" s="1">
        <v>0</v>
      </c>
      <c r="BJ621" s="1">
        <f t="shared" si="68"/>
        <v>87522681</v>
      </c>
      <c r="BL621" s="1">
        <f>+GenRev!AM621-GenExp!BJ621</f>
        <v>-3533661</v>
      </c>
      <c r="BN621" s="1">
        <v>12120814</v>
      </c>
      <c r="BP621" s="1">
        <v>0</v>
      </c>
      <c r="BQ621" s="1">
        <v>0</v>
      </c>
      <c r="BS621" s="1">
        <f t="shared" si="70"/>
        <v>8587153</v>
      </c>
      <c r="BU621" s="1">
        <f>+BS621-'Gen Fd BS'!AA621+BQ621</f>
        <v>0</v>
      </c>
    </row>
    <row r="622" spans="1:73">
      <c r="A622" s="12" t="s">
        <v>262</v>
      </c>
      <c r="B622" s="12"/>
      <c r="C622" s="12" t="s">
        <v>18</v>
      </c>
      <c r="D622" s="12"/>
      <c r="E622" s="13">
        <v>45112</v>
      </c>
      <c r="G622" s="1">
        <v>12790360</v>
      </c>
      <c r="I622" s="1">
        <v>1969847</v>
      </c>
      <c r="K622" s="1">
        <v>285287</v>
      </c>
      <c r="M622" s="1">
        <v>439624</v>
      </c>
      <c r="O622" s="1">
        <v>1266829</v>
      </c>
      <c r="Q622" s="1">
        <v>1330261</v>
      </c>
      <c r="S622" s="1">
        <v>80684</v>
      </c>
      <c r="U622" s="1">
        <v>1478284</v>
      </c>
      <c r="W622" s="1">
        <v>635406</v>
      </c>
      <c r="Y622" s="1">
        <v>425649</v>
      </c>
      <c r="AA622" s="1">
        <v>1686528</v>
      </c>
      <c r="AC622" s="1">
        <v>1137255</v>
      </c>
      <c r="AE622" s="1">
        <v>201330</v>
      </c>
      <c r="AG622" s="1">
        <v>0</v>
      </c>
      <c r="AI622" s="1">
        <v>0</v>
      </c>
      <c r="AJ622" s="12" t="s">
        <v>262</v>
      </c>
      <c r="AK622" s="12"/>
      <c r="AL622" s="12" t="s">
        <v>18</v>
      </c>
      <c r="AN622" s="1">
        <v>442381</v>
      </c>
      <c r="AP622" s="1">
        <v>0</v>
      </c>
      <c r="AR622" s="1">
        <v>0</v>
      </c>
      <c r="AT622" s="1">
        <v>72000</v>
      </c>
      <c r="AV622" s="1">
        <v>13868</v>
      </c>
      <c r="AX622" s="1">
        <v>0</v>
      </c>
      <c r="AZ622" s="1">
        <f t="shared" si="69"/>
        <v>24255593</v>
      </c>
      <c r="BB622" s="1">
        <v>184662</v>
      </c>
      <c r="BH622" s="1">
        <v>0</v>
      </c>
      <c r="BJ622" s="1">
        <f t="shared" si="68"/>
        <v>24440255</v>
      </c>
      <c r="BL622" s="1">
        <f>+GenRev!AM622-GenExp!BJ622</f>
        <v>-412043</v>
      </c>
      <c r="BN622" s="1">
        <v>4964877</v>
      </c>
      <c r="BP622" s="1">
        <v>0</v>
      </c>
      <c r="BQ622" s="1">
        <v>0</v>
      </c>
      <c r="BS622" s="1">
        <f t="shared" si="70"/>
        <v>4552834</v>
      </c>
      <c r="BU622" s="1">
        <f>+BS622-'Gen Fd BS'!AA622+BQ622</f>
        <v>0</v>
      </c>
    </row>
    <row r="623" spans="1:73">
      <c r="A623" s="12" t="s">
        <v>540</v>
      </c>
      <c r="B623" s="12"/>
      <c r="C623" s="12" t="s">
        <v>56</v>
      </c>
      <c r="D623" s="12"/>
      <c r="E623" s="13">
        <v>45666</v>
      </c>
      <c r="G623" s="1">
        <v>3232351</v>
      </c>
      <c r="I623" s="1">
        <v>1148505</v>
      </c>
      <c r="K623" s="1">
        <v>74412</v>
      </c>
      <c r="M623" s="1">
        <v>9515</v>
      </c>
      <c r="O623" s="1">
        <v>507414</v>
      </c>
      <c r="Q623" s="1">
        <v>434420</v>
      </c>
      <c r="S623" s="1">
        <v>26915</v>
      </c>
      <c r="U623" s="1">
        <v>633012</v>
      </c>
      <c r="W623" s="1">
        <v>191217</v>
      </c>
      <c r="Y623" s="1">
        <v>13815</v>
      </c>
      <c r="AA623" s="1">
        <v>773916</v>
      </c>
      <c r="AC623" s="1">
        <v>378368</v>
      </c>
      <c r="AE623" s="1">
        <v>26170</v>
      </c>
      <c r="AG623" s="1">
        <v>0</v>
      </c>
      <c r="AI623" s="1">
        <v>0</v>
      </c>
      <c r="AJ623" s="12" t="s">
        <v>540</v>
      </c>
      <c r="AK623" s="12"/>
      <c r="AL623" s="12" t="s">
        <v>56</v>
      </c>
      <c r="AN623" s="1">
        <v>156226</v>
      </c>
      <c r="AP623" s="1">
        <v>91137</v>
      </c>
      <c r="AR623" s="1">
        <v>0</v>
      </c>
      <c r="AT623" s="1">
        <v>26852</v>
      </c>
      <c r="AV623" s="1">
        <v>3244</v>
      </c>
      <c r="AX623" s="1">
        <v>0</v>
      </c>
      <c r="AZ623" s="1">
        <f t="shared" si="69"/>
        <v>7727489</v>
      </c>
      <c r="BB623" s="1">
        <v>39810</v>
      </c>
      <c r="BH623" s="1">
        <v>0</v>
      </c>
      <c r="BJ623" s="1">
        <f t="shared" si="68"/>
        <v>7767299</v>
      </c>
      <c r="BL623" s="1">
        <f>+GenRev!AM623-GenExp!BJ623</f>
        <v>324774</v>
      </c>
      <c r="BN623" s="1">
        <v>470621</v>
      </c>
      <c r="BP623" s="1">
        <v>-800</v>
      </c>
      <c r="BQ623" s="1">
        <v>0</v>
      </c>
      <c r="BS623" s="1">
        <f>+BN623+BL623-BP623</f>
        <v>796195</v>
      </c>
      <c r="BU623" s="1">
        <f>+BS623-'Gen Fd BS'!AA623+BQ623</f>
        <v>0</v>
      </c>
    </row>
    <row r="624" spans="1:73">
      <c r="A624" s="12" t="s">
        <v>376</v>
      </c>
      <c r="B624" s="12"/>
      <c r="C624" s="12" t="s">
        <v>32</v>
      </c>
      <c r="D624" s="12"/>
      <c r="E624" s="13">
        <v>44081</v>
      </c>
      <c r="G624" s="1">
        <v>17300370</v>
      </c>
      <c r="I624" s="1">
        <v>5050865</v>
      </c>
      <c r="K624" s="1">
        <v>312622</v>
      </c>
      <c r="M624" s="1">
        <v>2885</v>
      </c>
      <c r="O624" s="1">
        <v>2349599</v>
      </c>
      <c r="Q624" s="1">
        <v>2547479</v>
      </c>
      <c r="S624" s="1">
        <v>268609</v>
      </c>
      <c r="U624" s="1">
        <v>3644527</v>
      </c>
      <c r="W624" s="1">
        <v>791893</v>
      </c>
      <c r="Y624" s="1">
        <v>221167</v>
      </c>
      <c r="AA624" s="1">
        <v>3592314</v>
      </c>
      <c r="AC624" s="1">
        <v>2001585</v>
      </c>
      <c r="AE624" s="1">
        <v>892657</v>
      </c>
      <c r="AG624" s="1">
        <v>0</v>
      </c>
      <c r="AI624" s="1">
        <v>15000</v>
      </c>
      <c r="AJ624" s="12" t="s">
        <v>376</v>
      </c>
      <c r="AK624" s="12"/>
      <c r="AL624" s="12" t="s">
        <v>32</v>
      </c>
      <c r="AN624" s="1">
        <v>563763</v>
      </c>
      <c r="AP624" s="1">
        <v>0</v>
      </c>
      <c r="AR624" s="1">
        <v>0</v>
      </c>
      <c r="AT624" s="1">
        <v>155</v>
      </c>
      <c r="AV624" s="1">
        <v>0</v>
      </c>
      <c r="AX624" s="1">
        <v>452</v>
      </c>
      <c r="AZ624" s="1">
        <f t="shared" si="69"/>
        <v>39555942</v>
      </c>
      <c r="BB624" s="1">
        <v>0</v>
      </c>
      <c r="BH624" s="1">
        <v>0</v>
      </c>
      <c r="BJ624" s="1">
        <f t="shared" si="68"/>
        <v>39555942</v>
      </c>
      <c r="BL624" s="1">
        <f>+GenRev!AM624-GenExp!BJ624</f>
        <v>1964016</v>
      </c>
      <c r="BN624" s="1">
        <v>5054071</v>
      </c>
      <c r="BP624" s="1">
        <v>0</v>
      </c>
      <c r="BQ624" s="1">
        <v>0</v>
      </c>
      <c r="BS624" s="1">
        <f t="shared" si="70"/>
        <v>7018087</v>
      </c>
      <c r="BU624" s="1">
        <f>+BS624-'Gen Fd BS'!AA624+BQ624</f>
        <v>0</v>
      </c>
    </row>
    <row r="625" spans="1:73">
      <c r="A625" s="12" t="s">
        <v>639</v>
      </c>
      <c r="B625" s="12"/>
      <c r="C625" s="12" t="s">
        <v>70</v>
      </c>
      <c r="D625" s="12"/>
      <c r="E625" s="13">
        <v>50518</v>
      </c>
      <c r="G625" s="1">
        <v>2865768</v>
      </c>
      <c r="I625" s="1">
        <v>227682</v>
      </c>
      <c r="K625" s="1">
        <v>157586</v>
      </c>
      <c r="M625" s="1">
        <v>0</v>
      </c>
      <c r="O625" s="1">
        <v>162782</v>
      </c>
      <c r="Q625" s="1">
        <v>426076</v>
      </c>
      <c r="S625" s="1">
        <v>20870</v>
      </c>
      <c r="U625" s="1">
        <v>319151</v>
      </c>
      <c r="W625" s="1">
        <v>595878</v>
      </c>
      <c r="Y625" s="1">
        <v>0</v>
      </c>
      <c r="AA625" s="1">
        <v>591703</v>
      </c>
      <c r="AC625" s="1">
        <v>373829</v>
      </c>
      <c r="AE625" s="1">
        <v>32349</v>
      </c>
      <c r="AG625" s="1">
        <v>0</v>
      </c>
      <c r="AI625" s="1">
        <v>0</v>
      </c>
      <c r="AJ625" s="12" t="s">
        <v>639</v>
      </c>
      <c r="AK625" s="12"/>
      <c r="AL625" s="12" t="s">
        <v>70</v>
      </c>
      <c r="AN625" s="1">
        <v>116419</v>
      </c>
      <c r="AP625" s="1">
        <v>0</v>
      </c>
      <c r="AR625" s="1">
        <v>0</v>
      </c>
      <c r="AT625" s="1">
        <v>0</v>
      </c>
      <c r="AV625" s="1">
        <v>0</v>
      </c>
      <c r="AX625" s="1">
        <v>0</v>
      </c>
      <c r="AZ625" s="1">
        <f t="shared" si="69"/>
        <v>5890093</v>
      </c>
      <c r="BB625" s="1">
        <v>100000</v>
      </c>
      <c r="BH625" s="1">
        <v>0</v>
      </c>
      <c r="BJ625" s="1">
        <f t="shared" si="68"/>
        <v>5990093</v>
      </c>
      <c r="BL625" s="1">
        <f>+GenRev!AM625-GenExp!BJ625</f>
        <v>1369364</v>
      </c>
      <c r="BN625" s="1">
        <v>4902599</v>
      </c>
      <c r="BP625" s="1">
        <v>0</v>
      </c>
      <c r="BQ625" s="1">
        <v>0</v>
      </c>
      <c r="BS625" s="1">
        <f t="shared" si="70"/>
        <v>6271963</v>
      </c>
      <c r="BU625" s="1">
        <f>+BS625-'Gen Fd BS'!AA625+BQ625</f>
        <v>0</v>
      </c>
    </row>
    <row r="626" spans="1:73">
      <c r="A626" s="12" t="s">
        <v>558</v>
      </c>
      <c r="B626" s="12"/>
      <c r="C626" s="12" t="s">
        <v>79</v>
      </c>
      <c r="D626" s="12"/>
      <c r="E626" s="12">
        <v>49577</v>
      </c>
      <c r="G626" s="1">
        <v>4708039</v>
      </c>
      <c r="I626" s="1">
        <v>548666</v>
      </c>
      <c r="K626" s="1">
        <v>7717</v>
      </c>
      <c r="M626" s="1">
        <v>3867</v>
      </c>
      <c r="O626" s="1">
        <v>347219</v>
      </c>
      <c r="Q626" s="1">
        <v>134130</v>
      </c>
      <c r="S626" s="1">
        <v>46079</v>
      </c>
      <c r="U626" s="1">
        <v>815797</v>
      </c>
      <c r="W626" s="1">
        <v>290083</v>
      </c>
      <c r="Y626" s="1">
        <v>0</v>
      </c>
      <c r="AA626" s="1">
        <v>720700</v>
      </c>
      <c r="AC626" s="1">
        <v>520875</v>
      </c>
      <c r="AE626" s="1">
        <v>2</v>
      </c>
      <c r="AG626" s="1">
        <v>0</v>
      </c>
      <c r="AI626" s="1">
        <v>0</v>
      </c>
      <c r="AJ626" s="12" t="s">
        <v>558</v>
      </c>
      <c r="AK626" s="12"/>
      <c r="AL626" s="12" t="s">
        <v>79</v>
      </c>
      <c r="AN626" s="1">
        <v>232420</v>
      </c>
      <c r="AP626" s="1">
        <v>0</v>
      </c>
      <c r="AR626" s="1">
        <v>0</v>
      </c>
      <c r="AT626" s="1">
        <v>14742</v>
      </c>
      <c r="AV626" s="1">
        <v>4550</v>
      </c>
      <c r="AX626" s="1">
        <v>0</v>
      </c>
      <c r="AZ626" s="1">
        <f t="shared" si="69"/>
        <v>8394886</v>
      </c>
      <c r="BB626" s="1">
        <v>0</v>
      </c>
      <c r="BH626" s="1">
        <v>0</v>
      </c>
      <c r="BJ626" s="1">
        <f t="shared" si="68"/>
        <v>8394886</v>
      </c>
      <c r="BL626" s="1">
        <f>+GenRev!AM626-GenExp!BJ626</f>
        <v>462286</v>
      </c>
      <c r="BN626" s="1">
        <v>460940</v>
      </c>
      <c r="BP626" s="1">
        <v>0</v>
      </c>
      <c r="BQ626" s="1">
        <v>0</v>
      </c>
      <c r="BS626" s="1">
        <f t="shared" si="70"/>
        <v>923226</v>
      </c>
      <c r="BU626" s="1">
        <f>+BS626-'Gen Fd BS'!AA626+BQ626</f>
        <v>0</v>
      </c>
    </row>
    <row r="627" spans="1:73" s="16" customFormat="1">
      <c r="A627" s="14" t="s">
        <v>598</v>
      </c>
      <c r="B627" s="14"/>
      <c r="C627" s="14" t="s">
        <v>63</v>
      </c>
      <c r="D627" s="14"/>
      <c r="E627" s="12">
        <v>49973</v>
      </c>
      <c r="G627" s="1">
        <v>9385517</v>
      </c>
      <c r="H627" s="1"/>
      <c r="I627" s="1">
        <v>2956075</v>
      </c>
      <c r="J627" s="1"/>
      <c r="K627" s="1">
        <v>318174</v>
      </c>
      <c r="L627" s="1"/>
      <c r="M627" s="1">
        <v>445011</v>
      </c>
      <c r="N627" s="1"/>
      <c r="O627" s="1">
        <v>1161357</v>
      </c>
      <c r="P627" s="1"/>
      <c r="Q627" s="1">
        <v>448393</v>
      </c>
      <c r="R627" s="1"/>
      <c r="S627" s="1">
        <v>29298</v>
      </c>
      <c r="T627" s="1"/>
      <c r="U627" s="1">
        <v>1949515</v>
      </c>
      <c r="V627" s="1"/>
      <c r="W627" s="1">
        <v>630864</v>
      </c>
      <c r="X627" s="1"/>
      <c r="Y627" s="1">
        <v>0</v>
      </c>
      <c r="Z627" s="1"/>
      <c r="AA627" s="1">
        <v>1951404</v>
      </c>
      <c r="AB627" s="1"/>
      <c r="AC627" s="1">
        <v>1524460</v>
      </c>
      <c r="AD627" s="1"/>
      <c r="AE627" s="1">
        <v>191061</v>
      </c>
      <c r="AF627" s="1"/>
      <c r="AG627" s="1">
        <v>0</v>
      </c>
      <c r="AH627" s="1"/>
      <c r="AI627" s="1">
        <v>0</v>
      </c>
      <c r="AJ627" s="14" t="s">
        <v>598</v>
      </c>
      <c r="AK627" s="14"/>
      <c r="AL627" s="14" t="s">
        <v>63</v>
      </c>
      <c r="AN627" s="1">
        <v>464681</v>
      </c>
      <c r="AO627" s="1"/>
      <c r="AP627" s="1">
        <v>721062</v>
      </c>
      <c r="AQ627" s="1"/>
      <c r="AR627" s="1">
        <v>0</v>
      </c>
      <c r="AS627" s="1"/>
      <c r="AT627" s="1">
        <v>20448</v>
      </c>
      <c r="AU627" s="1"/>
      <c r="AV627" s="1">
        <v>4740</v>
      </c>
      <c r="AW627" s="1"/>
      <c r="AX627" s="1">
        <v>0</v>
      </c>
      <c r="AY627" s="1"/>
      <c r="AZ627" s="1">
        <f t="shared" si="69"/>
        <v>22202060</v>
      </c>
      <c r="BA627" s="1"/>
      <c r="BB627" s="1">
        <v>93225</v>
      </c>
      <c r="BC627" s="1"/>
      <c r="BD627" s="1"/>
      <c r="BE627" s="1"/>
      <c r="BF627" s="1"/>
      <c r="BG627" s="1"/>
      <c r="BH627" s="1">
        <v>0</v>
      </c>
      <c r="BI627" s="1"/>
      <c r="BJ627" s="1">
        <f t="shared" si="68"/>
        <v>22295285</v>
      </c>
      <c r="BK627" s="1"/>
      <c r="BL627" s="1">
        <f>+GenRev!AM627-GenExp!BJ627</f>
        <v>-1436744</v>
      </c>
      <c r="BM627" s="1"/>
      <c r="BN627" s="1">
        <v>9439338</v>
      </c>
      <c r="BO627" s="1"/>
      <c r="BP627" s="1">
        <v>0</v>
      </c>
      <c r="BQ627" s="1">
        <v>0</v>
      </c>
      <c r="BR627" s="1"/>
      <c r="BS627" s="1">
        <f t="shared" si="70"/>
        <v>8002594</v>
      </c>
      <c r="BT627" s="1"/>
      <c r="BU627" s="1">
        <f>+BS627-'Gen Fd BS'!AA627+BQ627</f>
        <v>0</v>
      </c>
    </row>
    <row r="628" spans="1:73">
      <c r="A628" s="12" t="s">
        <v>745</v>
      </c>
      <c r="B628" s="12"/>
      <c r="C628" s="12" t="s">
        <v>71</v>
      </c>
      <c r="D628" s="12"/>
      <c r="E628" s="13">
        <v>45138</v>
      </c>
      <c r="G628" s="1">
        <v>16746434</v>
      </c>
      <c r="I628" s="1">
        <v>3758026</v>
      </c>
      <c r="K628" s="1">
        <v>399225</v>
      </c>
      <c r="M628" s="1">
        <f>35939+2670042</f>
        <v>2705981</v>
      </c>
      <c r="O628" s="1">
        <v>1946470</v>
      </c>
      <c r="Q628" s="1">
        <v>1804560</v>
      </c>
      <c r="S628" s="1">
        <v>125732</v>
      </c>
      <c r="U628" s="1">
        <v>2757899</v>
      </c>
      <c r="W628" s="1">
        <v>896496</v>
      </c>
      <c r="Y628" s="1">
        <v>228479</v>
      </c>
      <c r="AA628" s="1">
        <v>4183877</v>
      </c>
      <c r="AC628" s="1">
        <v>1977246</v>
      </c>
      <c r="AE628" s="1">
        <v>794302</v>
      </c>
      <c r="AG628" s="1">
        <v>0</v>
      </c>
      <c r="AI628" s="1">
        <v>146766</v>
      </c>
      <c r="AJ628" s="12" t="s">
        <v>745</v>
      </c>
      <c r="AK628" s="12"/>
      <c r="AL628" s="12" t="s">
        <v>71</v>
      </c>
      <c r="AN628" s="1">
        <v>433666</v>
      </c>
      <c r="AP628" s="1">
        <v>0</v>
      </c>
      <c r="AR628" s="1">
        <v>0</v>
      </c>
      <c r="AT628" s="1">
        <v>0</v>
      </c>
      <c r="AV628" s="1">
        <v>0</v>
      </c>
      <c r="AX628" s="1">
        <v>0</v>
      </c>
      <c r="AZ628" s="1">
        <f t="shared" si="69"/>
        <v>38905159</v>
      </c>
      <c r="BB628" s="1">
        <v>270225</v>
      </c>
      <c r="BH628" s="1">
        <v>0</v>
      </c>
      <c r="BJ628" s="1">
        <f t="shared" si="68"/>
        <v>39175384</v>
      </c>
      <c r="BL628" s="1">
        <f>+GenRev!AM628-GenExp!BJ628</f>
        <v>-740563</v>
      </c>
      <c r="BN628" s="1">
        <v>14122938</v>
      </c>
      <c r="BP628" s="1">
        <v>0</v>
      </c>
      <c r="BQ628" s="1">
        <v>0</v>
      </c>
      <c r="BS628" s="1">
        <f t="shared" si="70"/>
        <v>13382375</v>
      </c>
      <c r="BU628" s="1">
        <f>+BS628-'Gen Fd BS'!AA628+BQ628</f>
        <v>0</v>
      </c>
    </row>
    <row r="629" spans="1:73">
      <c r="A629" s="12" t="s">
        <v>344</v>
      </c>
      <c r="B629" s="12"/>
      <c r="C629" s="12" t="s">
        <v>27</v>
      </c>
      <c r="D629" s="12"/>
      <c r="E629" s="13">
        <v>46524</v>
      </c>
      <c r="G629" s="1">
        <v>55377978</v>
      </c>
      <c r="I629" s="1">
        <v>10673765</v>
      </c>
      <c r="K629" s="1">
        <v>1293121</v>
      </c>
      <c r="M629" s="1">
        <v>1863</v>
      </c>
      <c r="O629" s="1">
        <v>5981259</v>
      </c>
      <c r="Q629" s="1">
        <v>9109006</v>
      </c>
      <c r="S629" s="1">
        <v>63247</v>
      </c>
      <c r="U629" s="1">
        <v>8845077</v>
      </c>
      <c r="W629" s="1">
        <v>0</v>
      </c>
      <c r="Y629" s="1">
        <v>2093997</v>
      </c>
      <c r="AA629" s="1">
        <v>10538644</v>
      </c>
      <c r="AC629" s="1">
        <v>3908111</v>
      </c>
      <c r="AE629" s="1">
        <v>1259526</v>
      </c>
      <c r="AG629" s="1">
        <v>0</v>
      </c>
      <c r="AI629" s="1">
        <v>625592</v>
      </c>
      <c r="AJ629" s="12" t="s">
        <v>344</v>
      </c>
      <c r="AK629" s="12"/>
      <c r="AL629" s="12" t="s">
        <v>27</v>
      </c>
      <c r="AN629" s="1">
        <v>1668358</v>
      </c>
      <c r="AP629" s="1">
        <v>58821</v>
      </c>
      <c r="AR629" s="1">
        <v>0</v>
      </c>
      <c r="AT629" s="1">
        <v>0</v>
      </c>
      <c r="AV629" s="1">
        <v>0</v>
      </c>
      <c r="AX629" s="1">
        <v>0</v>
      </c>
      <c r="AZ629" s="1">
        <f t="shared" si="69"/>
        <v>111498365</v>
      </c>
      <c r="BB629" s="1">
        <v>1323502</v>
      </c>
      <c r="BH629" s="1">
        <v>0</v>
      </c>
      <c r="BJ629" s="1">
        <f t="shared" si="68"/>
        <v>112821867</v>
      </c>
      <c r="BL629" s="1">
        <f>+GenRev!AM629-GenExp!BJ629</f>
        <v>4488196</v>
      </c>
      <c r="BN629" s="1">
        <v>48285733</v>
      </c>
      <c r="BP629" s="1">
        <v>0</v>
      </c>
      <c r="BQ629" s="1">
        <v>0</v>
      </c>
      <c r="BS629" s="1">
        <f t="shared" si="70"/>
        <v>52773929</v>
      </c>
      <c r="BU629" s="1">
        <f>+BS629-'Gen Fd BS'!AA629+BQ629</f>
        <v>0</v>
      </c>
    </row>
    <row r="630" spans="1:73">
      <c r="A630" s="12" t="s">
        <v>279</v>
      </c>
      <c r="B630" s="12"/>
      <c r="C630" s="12" t="s">
        <v>113</v>
      </c>
      <c r="D630" s="12"/>
      <c r="E630" s="13">
        <v>45146</v>
      </c>
      <c r="G630" s="1">
        <v>4507595</v>
      </c>
      <c r="I630" s="1">
        <v>961494</v>
      </c>
      <c r="K630" s="1">
        <v>3947</v>
      </c>
      <c r="M630" s="1">
        <v>534911</v>
      </c>
      <c r="O630" s="1">
        <v>1125364</v>
      </c>
      <c r="Q630" s="1">
        <v>330930</v>
      </c>
      <c r="S630" s="1">
        <v>6607</v>
      </c>
      <c r="U630" s="1">
        <v>781062</v>
      </c>
      <c r="W630" s="1">
        <v>342604</v>
      </c>
      <c r="Y630" s="1">
        <v>13590</v>
      </c>
      <c r="AA630" s="1">
        <v>543575</v>
      </c>
      <c r="AC630" s="1">
        <v>637192</v>
      </c>
      <c r="AE630" s="1">
        <v>30339</v>
      </c>
      <c r="AG630" s="1">
        <v>0</v>
      </c>
      <c r="AI630" s="1">
        <v>600</v>
      </c>
      <c r="AJ630" s="12" t="s">
        <v>279</v>
      </c>
      <c r="AK630" s="12"/>
      <c r="AL630" s="12" t="s">
        <v>113</v>
      </c>
      <c r="AN630" s="1">
        <v>235624</v>
      </c>
      <c r="AP630" s="1">
        <v>33100</v>
      </c>
      <c r="AR630" s="1">
        <v>0</v>
      </c>
      <c r="AT630" s="1">
        <v>6110</v>
      </c>
      <c r="AV630" s="1">
        <v>164</v>
      </c>
      <c r="AX630" s="1">
        <v>0</v>
      </c>
      <c r="AZ630" s="1">
        <f t="shared" si="69"/>
        <v>10094808</v>
      </c>
      <c r="BB630" s="1">
        <v>53384</v>
      </c>
      <c r="BH630" s="1">
        <v>0</v>
      </c>
      <c r="BJ630" s="1">
        <f t="shared" si="68"/>
        <v>10148192</v>
      </c>
      <c r="BL630" s="1">
        <f>+GenRev!AM630-GenExp!BJ630</f>
        <v>-436397</v>
      </c>
      <c r="BN630" s="1">
        <v>1800174</v>
      </c>
      <c r="BP630" s="1">
        <v>0</v>
      </c>
      <c r="BQ630" s="1">
        <v>0</v>
      </c>
      <c r="BS630" s="1">
        <f t="shared" si="70"/>
        <v>1363777</v>
      </c>
      <c r="BU630" s="1">
        <f>+BS630-'Gen Fd BS'!AA630+BQ630</f>
        <v>0</v>
      </c>
    </row>
    <row r="631" spans="1:73">
      <c r="A631" s="12" t="s">
        <v>377</v>
      </c>
      <c r="B631" s="12"/>
      <c r="C631" s="12" t="s">
        <v>32</v>
      </c>
      <c r="D631" s="12"/>
      <c r="E631" s="13">
        <v>45153</v>
      </c>
      <c r="G631" s="1">
        <v>10383759</v>
      </c>
      <c r="I631" s="1">
        <v>1862763</v>
      </c>
      <c r="K631" s="1">
        <v>122359</v>
      </c>
      <c r="M631" s="1">
        <v>15148</v>
      </c>
      <c r="O631" s="1">
        <v>1441392</v>
      </c>
      <c r="Q631" s="1">
        <v>1024032</v>
      </c>
      <c r="S631" s="1">
        <v>98636</v>
      </c>
      <c r="U631" s="1">
        <v>1489509</v>
      </c>
      <c r="W631" s="1">
        <v>939661</v>
      </c>
      <c r="Y631" s="1">
        <v>1198</v>
      </c>
      <c r="AA631" s="1">
        <v>1565639</v>
      </c>
      <c r="AC631" s="1">
        <v>331396</v>
      </c>
      <c r="AE631" s="1">
        <v>115716</v>
      </c>
      <c r="AG631" s="1">
        <v>0</v>
      </c>
      <c r="AI631" s="1">
        <v>8134</v>
      </c>
      <c r="AJ631" s="12" t="s">
        <v>377</v>
      </c>
      <c r="AK631" s="12"/>
      <c r="AL631" s="12" t="s">
        <v>32</v>
      </c>
      <c r="AN631" s="1">
        <v>528332</v>
      </c>
      <c r="AP631" s="1">
        <v>535544</v>
      </c>
      <c r="AR631" s="1">
        <v>0</v>
      </c>
      <c r="AT631" s="1">
        <v>40100</v>
      </c>
      <c r="AV631" s="1">
        <v>85478</v>
      </c>
      <c r="AX631" s="1">
        <v>0</v>
      </c>
      <c r="AZ631" s="1">
        <f t="shared" si="69"/>
        <v>20588796</v>
      </c>
      <c r="BB631" s="1">
        <v>225000</v>
      </c>
      <c r="BH631" s="1">
        <v>0</v>
      </c>
      <c r="BJ631" s="1">
        <f t="shared" si="68"/>
        <v>20813796</v>
      </c>
      <c r="BL631" s="1">
        <f>+GenRev!AM631-GenExp!BJ631</f>
        <v>871097</v>
      </c>
      <c r="BN631" s="1">
        <v>12905296</v>
      </c>
      <c r="BP631" s="1">
        <v>0</v>
      </c>
      <c r="BQ631" s="1">
        <v>0</v>
      </c>
      <c r="BS631" s="1">
        <f t="shared" si="70"/>
        <v>13776393</v>
      </c>
      <c r="BU631" s="1">
        <f>+BS631-'Gen Fd BS'!AA631+BQ631</f>
        <v>0</v>
      </c>
    </row>
    <row r="632" spans="1:73">
      <c r="A632" s="12" t="s">
        <v>359</v>
      </c>
      <c r="B632" s="12"/>
      <c r="C632" s="12" t="s">
        <v>116</v>
      </c>
      <c r="D632" s="12"/>
      <c r="E632" s="13">
        <v>45674</v>
      </c>
      <c r="G632" s="1">
        <v>3500207</v>
      </c>
      <c r="I632" s="1">
        <v>634113</v>
      </c>
      <c r="K632" s="1">
        <v>0</v>
      </c>
      <c r="M632" s="1">
        <f>2527+2484+150635</f>
        <v>155646</v>
      </c>
      <c r="O632" s="1">
        <v>385430</v>
      </c>
      <c r="Q632" s="1">
        <v>500774</v>
      </c>
      <c r="S632" s="1">
        <v>46503</v>
      </c>
      <c r="U632" s="1">
        <v>785997</v>
      </c>
      <c r="W632" s="1">
        <v>333815</v>
      </c>
      <c r="Y632" s="1">
        <v>0</v>
      </c>
      <c r="AA632" s="1">
        <v>765923</v>
      </c>
      <c r="AC632" s="1">
        <v>202521</v>
      </c>
      <c r="AE632" s="1">
        <v>6196</v>
      </c>
      <c r="AG632" s="1">
        <v>0</v>
      </c>
      <c r="AI632" s="1">
        <v>4511</v>
      </c>
      <c r="AJ632" s="12" t="s">
        <v>359</v>
      </c>
      <c r="AK632" s="12"/>
      <c r="AL632" s="12" t="s">
        <v>116</v>
      </c>
      <c r="AN632" s="1">
        <v>195371</v>
      </c>
      <c r="AP632" s="1">
        <v>437343</v>
      </c>
      <c r="AR632" s="1">
        <v>0</v>
      </c>
      <c r="AT632" s="1">
        <v>8000</v>
      </c>
      <c r="AV632" s="1">
        <v>1234</v>
      </c>
      <c r="AX632" s="1">
        <v>0</v>
      </c>
      <c r="AZ632" s="1">
        <f t="shared" si="69"/>
        <v>7963584</v>
      </c>
      <c r="BB632" s="1">
        <v>26000</v>
      </c>
      <c r="BH632" s="1">
        <v>0</v>
      </c>
      <c r="BJ632" s="1">
        <f t="shared" si="68"/>
        <v>7989584</v>
      </c>
      <c r="BL632" s="1">
        <f>+GenRev!AM632-GenExp!BJ632</f>
        <v>-928496</v>
      </c>
      <c r="BN632" s="1">
        <v>3215652</v>
      </c>
      <c r="BP632" s="1">
        <v>0</v>
      </c>
      <c r="BQ632" s="1">
        <v>0</v>
      </c>
      <c r="BS632" s="1">
        <f t="shared" si="70"/>
        <v>2287156</v>
      </c>
      <c r="BU632" s="1">
        <f>+BS632-'Gen Fd BS'!AA632+BQ632</f>
        <v>0</v>
      </c>
    </row>
    <row r="633" spans="1:73">
      <c r="A633" s="12" t="s">
        <v>472</v>
      </c>
      <c r="B633" s="12"/>
      <c r="C633" s="12" t="s">
        <v>45</v>
      </c>
      <c r="D633" s="12"/>
      <c r="E633" s="13">
        <v>45161</v>
      </c>
      <c r="G633" s="1">
        <v>45706661</v>
      </c>
      <c r="I633" s="1">
        <v>11132498</v>
      </c>
      <c r="K633" s="1">
        <v>2112664</v>
      </c>
      <c r="M633" s="1">
        <v>7952845</v>
      </c>
      <c r="O633" s="1">
        <v>3565636</v>
      </c>
      <c r="Q633" s="1">
        <v>4127295</v>
      </c>
      <c r="S633" s="1">
        <v>430481</v>
      </c>
      <c r="U633" s="1">
        <v>4928274</v>
      </c>
      <c r="W633" s="1">
        <v>1269084</v>
      </c>
      <c r="Y633" s="1">
        <v>804037</v>
      </c>
      <c r="AA633" s="1">
        <v>9988254</v>
      </c>
      <c r="AC633" s="1">
        <v>4250532</v>
      </c>
      <c r="AE633" s="1">
        <v>704605</v>
      </c>
      <c r="AG633" s="1">
        <v>0</v>
      </c>
      <c r="AI633" s="1">
        <v>7149</v>
      </c>
      <c r="AJ633" s="12" t="s">
        <v>472</v>
      </c>
      <c r="AK633" s="12"/>
      <c r="AL633" s="12" t="s">
        <v>45</v>
      </c>
      <c r="AN633" s="1">
        <v>294897</v>
      </c>
      <c r="AP633" s="1">
        <v>5257</v>
      </c>
      <c r="AR633" s="1">
        <v>0</v>
      </c>
      <c r="AT633" s="1">
        <v>12152</v>
      </c>
      <c r="AV633" s="1">
        <v>66808</v>
      </c>
      <c r="AX633" s="1">
        <v>0</v>
      </c>
      <c r="AZ633" s="1">
        <f t="shared" si="69"/>
        <v>97359129</v>
      </c>
      <c r="BB633" s="1">
        <v>82053</v>
      </c>
      <c r="BH633" s="1">
        <v>0</v>
      </c>
      <c r="BJ633" s="1">
        <f t="shared" si="68"/>
        <v>97441182</v>
      </c>
      <c r="BL633" s="1">
        <f>+GenRev!AM633-GenExp!BJ633</f>
        <v>9629297</v>
      </c>
      <c r="BN633" s="1">
        <v>-20541692</v>
      </c>
      <c r="BP633" s="1">
        <v>0</v>
      </c>
      <c r="BQ633" s="1">
        <v>0</v>
      </c>
      <c r="BS633" s="1">
        <f t="shared" si="70"/>
        <v>-10912395</v>
      </c>
      <c r="BU633" s="1">
        <f>+BS633-'Gen Fd BS'!AA633+BQ633</f>
        <v>0</v>
      </c>
    </row>
    <row r="634" spans="1:73">
      <c r="A634" s="12" t="s">
        <v>554</v>
      </c>
      <c r="B634" s="12"/>
      <c r="C634" s="12" t="s">
        <v>58</v>
      </c>
      <c r="D634" s="12"/>
      <c r="E634" s="13">
        <v>49544</v>
      </c>
      <c r="G634" s="1">
        <v>6342461</v>
      </c>
      <c r="I634" s="1">
        <v>918002</v>
      </c>
      <c r="K634" s="1">
        <v>9752</v>
      </c>
      <c r="M634" s="1">
        <v>51115</v>
      </c>
      <c r="O634" s="1">
        <v>536625</v>
      </c>
      <c r="Q634" s="1">
        <v>416004</v>
      </c>
      <c r="S634" s="1">
        <v>153342</v>
      </c>
      <c r="U634" s="1">
        <v>742852</v>
      </c>
      <c r="W634" s="1">
        <v>404469</v>
      </c>
      <c r="Y634" s="1">
        <v>0</v>
      </c>
      <c r="AA634" s="1">
        <v>1114351</v>
      </c>
      <c r="AC634" s="1">
        <v>1055757</v>
      </c>
      <c r="AE634" s="1">
        <v>144883</v>
      </c>
      <c r="AG634" s="1">
        <v>0</v>
      </c>
      <c r="AI634" s="1">
        <v>0</v>
      </c>
      <c r="AJ634" s="12" t="s">
        <v>554</v>
      </c>
      <c r="AK634" s="12"/>
      <c r="AL634" s="12" t="s">
        <v>58</v>
      </c>
      <c r="AN634" s="1">
        <v>224448</v>
      </c>
      <c r="AP634" s="1">
        <v>0</v>
      </c>
      <c r="AR634" s="1">
        <v>0</v>
      </c>
      <c r="AT634" s="1">
        <v>142201</v>
      </c>
      <c r="AV634" s="1">
        <v>146382</v>
      </c>
      <c r="AX634" s="1">
        <v>0</v>
      </c>
      <c r="AZ634" s="1">
        <f t="shared" si="69"/>
        <v>12402644</v>
      </c>
      <c r="BB634" s="1">
        <v>0</v>
      </c>
      <c r="BH634" s="1">
        <v>0</v>
      </c>
      <c r="BJ634" s="1">
        <f t="shared" si="68"/>
        <v>12402644</v>
      </c>
      <c r="BL634" s="1">
        <f>+GenRev!AM634-GenExp!BJ634</f>
        <v>-224273</v>
      </c>
      <c r="BN634" s="1">
        <v>4756202</v>
      </c>
      <c r="BP634" s="1">
        <v>0</v>
      </c>
      <c r="BQ634" s="1">
        <v>0</v>
      </c>
      <c r="BS634" s="1">
        <f t="shared" si="70"/>
        <v>4531929</v>
      </c>
      <c r="BU634" s="1">
        <f>+BS634-'Gen Fd BS'!AA634+BQ634</f>
        <v>0</v>
      </c>
    </row>
    <row r="635" spans="1:73">
      <c r="A635" s="12" t="s">
        <v>516</v>
      </c>
      <c r="B635" s="12"/>
      <c r="C635" s="12" t="s">
        <v>51</v>
      </c>
      <c r="D635" s="12"/>
      <c r="E635" s="13">
        <v>45179</v>
      </c>
      <c r="G635" s="1">
        <v>15553399</v>
      </c>
      <c r="I635" s="1">
        <v>5025019</v>
      </c>
      <c r="K635" s="1">
        <v>460628</v>
      </c>
      <c r="M635" s="1">
        <v>183378</v>
      </c>
      <c r="O635" s="1">
        <v>1954610</v>
      </c>
      <c r="Q635" s="1">
        <v>1034868</v>
      </c>
      <c r="S635" s="1">
        <v>102997</v>
      </c>
      <c r="U635" s="1">
        <v>2027315</v>
      </c>
      <c r="W635" s="1">
        <v>645573</v>
      </c>
      <c r="Y635" s="1">
        <v>0</v>
      </c>
      <c r="AA635" s="1">
        <v>3154184</v>
      </c>
      <c r="AC635" s="1">
        <v>1061883</v>
      </c>
      <c r="AE635" s="1">
        <v>621909</v>
      </c>
      <c r="AG635" s="1">
        <v>0</v>
      </c>
      <c r="AI635" s="1">
        <v>1722</v>
      </c>
      <c r="AJ635" s="12" t="s">
        <v>516</v>
      </c>
      <c r="AK635" s="12"/>
      <c r="AL635" s="12" t="s">
        <v>51</v>
      </c>
      <c r="AN635" s="1">
        <v>307574</v>
      </c>
      <c r="AP635" s="1">
        <v>333899</v>
      </c>
      <c r="AR635" s="1">
        <v>0</v>
      </c>
      <c r="AT635" s="1">
        <v>106050</v>
      </c>
      <c r="AV635" s="1">
        <v>5332</v>
      </c>
      <c r="AX635" s="1">
        <v>0</v>
      </c>
      <c r="AZ635" s="1">
        <f t="shared" si="69"/>
        <v>32580340</v>
      </c>
      <c r="BB635" s="1">
        <v>30000</v>
      </c>
      <c r="BH635" s="1">
        <v>0</v>
      </c>
      <c r="BJ635" s="1">
        <f t="shared" si="68"/>
        <v>32610340</v>
      </c>
      <c r="BL635" s="1">
        <f>+GenRev!AM635-GenExp!BJ635</f>
        <v>950605</v>
      </c>
      <c r="BN635" s="1">
        <v>794639</v>
      </c>
      <c r="BP635" s="1">
        <v>0</v>
      </c>
      <c r="BQ635" s="1">
        <v>0</v>
      </c>
      <c r="BS635" s="1">
        <f t="shared" si="70"/>
        <v>1745244</v>
      </c>
      <c r="BU635" s="1">
        <f>+BS635-'Gen Fd BS'!AA635+BQ635</f>
        <v>0</v>
      </c>
    </row>
    <row r="636" spans="1:73">
      <c r="A636" s="12"/>
      <c r="B636" s="12"/>
      <c r="C636" s="12"/>
      <c r="D636" s="12"/>
      <c r="BU636" s="1"/>
    </row>
    <row r="637" spans="1:73">
      <c r="AI637" s="20" t="s">
        <v>709</v>
      </c>
    </row>
    <row r="639" spans="1:73">
      <c r="E639" s="1"/>
    </row>
    <row r="640" spans="1:73">
      <c r="B640" s="18"/>
      <c r="C640" s="18"/>
      <c r="D640" s="18"/>
      <c r="F640" s="18"/>
    </row>
  </sheetData>
  <mergeCells count="2">
    <mergeCell ref="O6:Q6"/>
    <mergeCell ref="S6:AE6"/>
  </mergeCells>
  <phoneticPr fontId="3" type="noConversion"/>
  <pageMargins left="0.9" right="0.75" top="0.5" bottom="0.5" header="0.25" footer="0.25"/>
  <pageSetup scale="77" firstPageNumber="104" pageOrder="overThenDown" orientation="portrait" useFirstPageNumber="1" r:id="rId1"/>
  <headerFooter scaleWithDoc="0" alignWithMargins="0">
    <oddFooter>&amp;C&amp;"Times New Roman,Regular"&amp;11&amp;P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C636"/>
  <sheetViews>
    <sheetView zoomScaleNormal="100" zoomScaleSheetLayoutView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0" sqref="C10"/>
    </sheetView>
  </sheetViews>
  <sheetFormatPr defaultColWidth="9.140625" defaultRowHeight="12"/>
  <cols>
    <col min="1" max="1" width="32" style="1" customWidth="1"/>
    <col min="2" max="2" width="1.7109375" style="1" customWidth="1"/>
    <col min="3" max="3" width="10.140625" style="1" customWidth="1"/>
    <col min="4" max="4" width="1.7109375" style="1" hidden="1" customWidth="1"/>
    <col min="5" max="5" width="11.7109375" style="3" hidden="1" customWidth="1"/>
    <col min="6" max="6" width="1.7109375" style="1" customWidth="1"/>
    <col min="7" max="7" width="14.28515625" style="1" customWidth="1"/>
    <col min="8" max="8" width="1.7109375" style="1" customWidth="1"/>
    <col min="9" max="9" width="14.28515625" style="1" customWidth="1"/>
    <col min="10" max="10" width="1.7109375" style="1" customWidth="1"/>
    <col min="11" max="11" width="14.28515625" style="1" customWidth="1"/>
    <col min="12" max="12" width="1.7109375" style="1" customWidth="1"/>
    <col min="13" max="13" width="14.28515625" style="1" customWidth="1"/>
    <col min="14" max="14" width="1.7109375" style="1" customWidth="1"/>
    <col min="15" max="15" width="11.7109375" style="1" customWidth="1"/>
    <col min="16" max="16" width="1.7109375" style="1" customWidth="1"/>
    <col min="17" max="17" width="11.7109375" style="1" customWidth="1"/>
    <col min="18" max="18" width="1.7109375" style="1" customWidth="1"/>
    <col min="19" max="19" width="13.28515625" style="1" customWidth="1"/>
    <col min="20" max="20" width="1.7109375" style="1" customWidth="1"/>
    <col min="21" max="21" width="12.7109375" style="1" customWidth="1"/>
    <col min="22" max="22" width="1.7109375" style="1" customWidth="1"/>
    <col min="23" max="23" width="11.7109375" style="1" customWidth="1"/>
    <col min="24" max="24" width="1.7109375" style="1" customWidth="1"/>
    <col min="25" max="25" width="11.7109375" style="1" customWidth="1"/>
    <col min="26" max="26" width="1.7109375" style="1" customWidth="1"/>
    <col min="27" max="27" width="11.7109375" style="1" customWidth="1"/>
    <col min="28" max="28" width="1.7109375" style="1" customWidth="1"/>
    <col min="29" max="29" width="11.7109375" style="1" customWidth="1"/>
    <col min="30" max="30" width="1.7109375" style="1" customWidth="1"/>
    <col min="31" max="16384" width="9.140625" style="1"/>
  </cols>
  <sheetData>
    <row r="1" spans="1:29" ht="12" customHeight="1">
      <c r="A1" s="35" t="s">
        <v>200</v>
      </c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</row>
    <row r="2" spans="1:29" ht="12" customHeight="1">
      <c r="A2" s="35" t="s">
        <v>918</v>
      </c>
      <c r="B2" s="35"/>
      <c r="C2" s="35"/>
      <c r="D2" s="35"/>
      <c r="E2" s="36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</row>
    <row r="3" spans="1:29" ht="12" customHeight="1">
      <c r="A3" s="2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</row>
    <row r="4" spans="1:29" ht="12" customHeight="1">
      <c r="A4" s="2" t="s">
        <v>171</v>
      </c>
      <c r="B4" s="2"/>
      <c r="C4" s="2"/>
      <c r="D4" s="2"/>
      <c r="E4" s="21"/>
      <c r="F4" s="102"/>
      <c r="G4" s="102"/>
      <c r="H4" s="102"/>
      <c r="I4" s="102"/>
      <c r="J4" s="102"/>
      <c r="K4" s="94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</row>
    <row r="5" spans="1:29" ht="12" customHeight="1">
      <c r="A5" s="2"/>
    </row>
    <row r="6" spans="1:29" ht="12" customHeight="1">
      <c r="F6" s="102"/>
      <c r="G6" s="105" t="s">
        <v>87</v>
      </c>
      <c r="H6" s="105"/>
      <c r="I6" s="105"/>
      <c r="J6" s="105"/>
      <c r="K6" s="105"/>
      <c r="L6" s="102"/>
      <c r="M6" s="102"/>
      <c r="N6" s="102"/>
      <c r="O6" s="105" t="s">
        <v>93</v>
      </c>
      <c r="P6" s="105"/>
      <c r="Q6" s="105"/>
      <c r="R6" s="102"/>
      <c r="S6" s="102"/>
      <c r="T6" s="102"/>
      <c r="U6" s="105" t="s">
        <v>960</v>
      </c>
      <c r="V6" s="105"/>
      <c r="W6" s="105"/>
      <c r="X6" s="105"/>
      <c r="Y6" s="105"/>
    </row>
    <row r="7" spans="1:29" ht="12" customHeight="1">
      <c r="A7" s="2"/>
      <c r="B7" s="2"/>
      <c r="C7" s="2"/>
      <c r="D7" s="2"/>
      <c r="E7" s="21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 t="s">
        <v>713</v>
      </c>
      <c r="X7" s="102"/>
      <c r="Y7" s="102" t="s">
        <v>713</v>
      </c>
      <c r="Z7" s="102"/>
      <c r="AC7" s="103" t="s">
        <v>135</v>
      </c>
    </row>
    <row r="8" spans="1:29" ht="12" customHeight="1">
      <c r="A8" s="102"/>
      <c r="B8" s="102"/>
      <c r="C8" s="102"/>
      <c r="D8" s="102"/>
      <c r="E8" s="26"/>
      <c r="F8" s="102"/>
      <c r="G8" s="102" t="s">
        <v>89</v>
      </c>
      <c r="H8" s="102"/>
      <c r="I8" s="102" t="s">
        <v>104</v>
      </c>
      <c r="J8" s="102"/>
      <c r="K8" s="102" t="s">
        <v>82</v>
      </c>
      <c r="L8" s="102"/>
      <c r="M8" s="102" t="s">
        <v>3</v>
      </c>
      <c r="N8" s="102"/>
      <c r="O8" s="102"/>
      <c r="P8" s="102"/>
      <c r="Q8" s="102" t="s">
        <v>90</v>
      </c>
      <c r="R8" s="102"/>
      <c r="S8" s="102" t="s">
        <v>3</v>
      </c>
      <c r="T8" s="102"/>
      <c r="U8" s="102" t="s">
        <v>88</v>
      </c>
      <c r="V8" s="102"/>
      <c r="W8" s="102" t="s">
        <v>702</v>
      </c>
      <c r="X8" s="102"/>
      <c r="Y8" s="102" t="s">
        <v>712</v>
      </c>
      <c r="Z8" s="102"/>
      <c r="AA8" s="102" t="s">
        <v>3</v>
      </c>
      <c r="AC8" s="103" t="s">
        <v>136</v>
      </c>
    </row>
    <row r="9" spans="1:29" s="8" customFormat="1" ht="12" customHeight="1">
      <c r="A9" s="101" t="s">
        <v>202</v>
      </c>
      <c r="B9" s="103"/>
      <c r="C9" s="101" t="s">
        <v>4</v>
      </c>
      <c r="D9" s="103"/>
      <c r="E9" s="11" t="s">
        <v>201</v>
      </c>
      <c r="F9" s="102"/>
      <c r="G9" s="101" t="s">
        <v>92</v>
      </c>
      <c r="H9" s="102"/>
      <c r="I9" s="101" t="s">
        <v>87</v>
      </c>
      <c r="J9" s="102"/>
      <c r="K9" s="101" t="s">
        <v>87</v>
      </c>
      <c r="L9" s="102"/>
      <c r="M9" s="101" t="s">
        <v>87</v>
      </c>
      <c r="N9" s="102"/>
      <c r="O9" s="101" t="s">
        <v>93</v>
      </c>
      <c r="P9" s="102"/>
      <c r="Q9" s="101" t="s">
        <v>8</v>
      </c>
      <c r="R9" s="102"/>
      <c r="S9" s="101" t="s">
        <v>93</v>
      </c>
      <c r="T9" s="102"/>
      <c r="U9" s="101" t="s">
        <v>94</v>
      </c>
      <c r="V9" s="102"/>
      <c r="W9" s="101" t="s">
        <v>94</v>
      </c>
      <c r="X9" s="102"/>
      <c r="Y9" s="101" t="s">
        <v>94</v>
      </c>
      <c r="Z9" s="102"/>
      <c r="AA9" s="101" t="s">
        <v>94</v>
      </c>
      <c r="AC9" s="101" t="s">
        <v>137</v>
      </c>
    </row>
    <row r="10" spans="1:29" ht="12" customHeight="1">
      <c r="A10" s="12"/>
      <c r="B10" s="12"/>
      <c r="C10" s="12"/>
      <c r="D10" s="12"/>
      <c r="E10" s="13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</row>
    <row r="11" spans="1:29" s="16" customFormat="1" ht="12" customHeight="1">
      <c r="A11" s="14" t="s">
        <v>920</v>
      </c>
      <c r="B11" s="14"/>
      <c r="C11" s="14" t="s">
        <v>203</v>
      </c>
      <c r="D11" s="14"/>
      <c r="E11" s="13">
        <v>61903</v>
      </c>
      <c r="F11" s="15"/>
      <c r="G11" s="16">
        <v>16333477</v>
      </c>
      <c r="I11" s="16">
        <v>1150494</v>
      </c>
      <c r="K11" s="59">
        <f>M11-G11-I11</f>
        <v>13262078</v>
      </c>
      <c r="M11" s="16">
        <v>30746049</v>
      </c>
      <c r="O11" s="59">
        <f>S11-Q11</f>
        <v>6955162</v>
      </c>
      <c r="Q11" s="16">
        <v>11742903</v>
      </c>
      <c r="S11" s="16">
        <v>18698065</v>
      </c>
      <c r="U11" s="16">
        <f>2898018+58224+818122+12338</f>
        <v>3786702</v>
      </c>
      <c r="W11" s="16">
        <v>0</v>
      </c>
      <c r="Y11" s="16">
        <f>1474343-636501+3826934+3596506</f>
        <v>8261282</v>
      </c>
      <c r="AA11" s="90">
        <f>U11+W11+Y11</f>
        <v>12047984</v>
      </c>
      <c r="AC11" s="16">
        <f>+G11+I11+K11-O11-Q11-Y11-W11-U11</f>
        <v>0</v>
      </c>
    </row>
    <row r="12" spans="1:29" ht="12" customHeight="1">
      <c r="A12" s="12" t="s">
        <v>549</v>
      </c>
      <c r="B12" s="12"/>
      <c r="C12" s="12" t="s">
        <v>58</v>
      </c>
      <c r="D12" s="12"/>
      <c r="E12" s="13">
        <v>49494</v>
      </c>
      <c r="G12" s="1">
        <v>4256109</v>
      </c>
      <c r="I12" s="1">
        <v>695264</v>
      </c>
      <c r="K12" s="41">
        <f t="shared" ref="K12:K17" si="0">M12-G12-I12</f>
        <v>2976261</v>
      </c>
      <c r="M12" s="1">
        <v>7927634</v>
      </c>
      <c r="O12" s="41">
        <f>S12-Q12</f>
        <v>1326307</v>
      </c>
      <c r="Q12" s="1">
        <v>2188167</v>
      </c>
      <c r="S12" s="1">
        <v>3514474</v>
      </c>
      <c r="U12" s="1">
        <f>79745+362704+610654+84610</f>
        <v>1137713</v>
      </c>
      <c r="W12" s="1">
        <v>0</v>
      </c>
      <c r="Y12" s="1">
        <f>2562339+130932+207278+374898</f>
        <v>3275447</v>
      </c>
      <c r="AA12" s="58">
        <f>U12+W12+Y12</f>
        <v>4413160</v>
      </c>
      <c r="AC12" s="1">
        <f t="shared" ref="AC12:AC79" si="1">+G12+I12+K12-O12-Q12-Y12-W12-U12</f>
        <v>0</v>
      </c>
    </row>
    <row r="13" spans="1:29" ht="12" customHeight="1">
      <c r="A13" s="12" t="s">
        <v>586</v>
      </c>
      <c r="B13" s="12"/>
      <c r="C13" s="12" t="s">
        <v>63</v>
      </c>
      <c r="D13" s="12"/>
      <c r="E13" s="13">
        <v>43489</v>
      </c>
      <c r="G13" s="1">
        <v>58095542</v>
      </c>
      <c r="I13" s="1">
        <f>22129437+34280839</f>
        <v>56410276</v>
      </c>
      <c r="K13" s="41">
        <f t="shared" si="0"/>
        <v>260505760</v>
      </c>
      <c r="M13" s="1">
        <v>375011578</v>
      </c>
      <c r="O13" s="41">
        <f t="shared" ref="O13:O32" si="2">S13-Q13</f>
        <v>129427582</v>
      </c>
      <c r="Q13" s="1">
        <v>177930234</v>
      </c>
      <c r="S13" s="1">
        <v>307357816</v>
      </c>
      <c r="U13" s="1">
        <f>43959942+10777367</f>
        <v>54737309</v>
      </c>
      <c r="W13" s="1">
        <v>0</v>
      </c>
      <c r="Y13" s="1">
        <f>19373501+4405371+13007-10875426</f>
        <v>12916453</v>
      </c>
      <c r="AA13" s="58">
        <f t="shared" ref="AA13:AA79" si="3">U13+W13+Y13</f>
        <v>67653762</v>
      </c>
      <c r="AC13" s="1">
        <f t="shared" si="1"/>
        <v>0</v>
      </c>
    </row>
    <row r="14" spans="1:29" ht="12" hidden="1" customHeight="1">
      <c r="A14" s="12" t="s">
        <v>738</v>
      </c>
      <c r="B14" s="12"/>
      <c r="C14" s="12" t="s">
        <v>13</v>
      </c>
      <c r="D14" s="12"/>
      <c r="E14" s="13">
        <v>45906</v>
      </c>
      <c r="K14" s="41">
        <f t="shared" si="0"/>
        <v>0</v>
      </c>
      <c r="O14" s="41">
        <f t="shared" si="2"/>
        <v>0</v>
      </c>
      <c r="AA14" s="58">
        <f t="shared" si="3"/>
        <v>0</v>
      </c>
      <c r="AC14" s="1">
        <f t="shared" si="1"/>
        <v>0</v>
      </c>
    </row>
    <row r="15" spans="1:29" ht="12" customHeight="1">
      <c r="A15" s="12" t="s">
        <v>572</v>
      </c>
      <c r="B15" s="12"/>
      <c r="C15" s="12" t="s">
        <v>62</v>
      </c>
      <c r="D15" s="12"/>
      <c r="E15" s="13">
        <v>43497</v>
      </c>
      <c r="G15" s="1">
        <v>9276282</v>
      </c>
      <c r="I15" s="1">
        <v>328196</v>
      </c>
      <c r="K15" s="41">
        <f t="shared" si="0"/>
        <v>10137924</v>
      </c>
      <c r="M15" s="1">
        <v>19742402</v>
      </c>
      <c r="O15" s="41">
        <f t="shared" si="2"/>
        <v>4752759</v>
      </c>
      <c r="Q15" s="1">
        <v>9234348</v>
      </c>
      <c r="S15" s="1">
        <v>13987107</v>
      </c>
      <c r="U15" s="1">
        <f>1199611+318706+328196</f>
        <v>1846513</v>
      </c>
      <c r="W15" s="1">
        <v>0</v>
      </c>
      <c r="Y15" s="1">
        <f>1020537+2048658+446548+393039</f>
        <v>3908782</v>
      </c>
      <c r="AA15" s="58">
        <f t="shared" si="3"/>
        <v>5755295</v>
      </c>
      <c r="AC15" s="1">
        <f t="shared" si="1"/>
        <v>0</v>
      </c>
    </row>
    <row r="16" spans="1:29" ht="12" customHeight="1">
      <c r="A16" s="12" t="s">
        <v>321</v>
      </c>
      <c r="B16" s="12"/>
      <c r="C16" s="12" t="s">
        <v>25</v>
      </c>
      <c r="D16" s="12"/>
      <c r="E16" s="13">
        <v>46847</v>
      </c>
      <c r="G16" s="1">
        <v>2797673</v>
      </c>
      <c r="I16" s="1">
        <v>22247</v>
      </c>
      <c r="K16" s="41">
        <f t="shared" si="0"/>
        <v>3433034</v>
      </c>
      <c r="M16" s="1">
        <v>6252954</v>
      </c>
      <c r="O16" s="41">
        <f t="shared" si="2"/>
        <v>1896379</v>
      </c>
      <c r="Q16" s="1">
        <v>2951485</v>
      </c>
      <c r="S16" s="1">
        <v>4847864</v>
      </c>
      <c r="U16" s="1">
        <f>32509+375704+22247</f>
        <v>430460</v>
      </c>
      <c r="W16" s="1">
        <v>0</v>
      </c>
      <c r="Y16" s="1">
        <f>560631-423546+520119+317426</f>
        <v>974630</v>
      </c>
      <c r="AA16" s="58">
        <f t="shared" si="3"/>
        <v>1405090</v>
      </c>
      <c r="AC16" s="1">
        <f t="shared" si="1"/>
        <v>0</v>
      </c>
    </row>
    <row r="17" spans="1:29" ht="12" customHeight="1">
      <c r="A17" s="12" t="s">
        <v>685</v>
      </c>
      <c r="B17" s="12"/>
      <c r="C17" s="12" t="s">
        <v>44</v>
      </c>
      <c r="D17" s="12"/>
      <c r="E17" s="13">
        <v>45195</v>
      </c>
      <c r="F17" s="102"/>
      <c r="G17" s="1">
        <v>8176444</v>
      </c>
      <c r="I17" s="1">
        <v>377297</v>
      </c>
      <c r="K17" s="41">
        <f t="shared" si="0"/>
        <v>18737400</v>
      </c>
      <c r="M17" s="1">
        <v>27291141</v>
      </c>
      <c r="O17" s="41">
        <f t="shared" si="2"/>
        <v>6300801</v>
      </c>
      <c r="Q17" s="1">
        <v>16033264</v>
      </c>
      <c r="S17" s="1">
        <v>22334065</v>
      </c>
      <c r="U17" s="1">
        <f>430164+2126748+190223+187074</f>
        <v>2934209</v>
      </c>
      <c r="W17" s="1">
        <v>0</v>
      </c>
      <c r="Y17" s="1">
        <f>380200+117376+1001799+523492</f>
        <v>2022867</v>
      </c>
      <c r="AA17" s="58">
        <f t="shared" si="3"/>
        <v>4957076</v>
      </c>
      <c r="AC17" s="1">
        <f t="shared" si="1"/>
        <v>0</v>
      </c>
    </row>
    <row r="18" spans="1:29" ht="12" hidden="1" customHeight="1">
      <c r="A18" s="12" t="s">
        <v>921</v>
      </c>
      <c r="B18" s="12"/>
      <c r="C18" s="12" t="s">
        <v>61</v>
      </c>
      <c r="D18" s="12"/>
      <c r="E18" s="13">
        <v>49759</v>
      </c>
      <c r="K18" s="41">
        <f t="shared" ref="K18:K32" si="4">M18-G18-I18</f>
        <v>0</v>
      </c>
      <c r="O18" s="41">
        <f t="shared" si="2"/>
        <v>0</v>
      </c>
      <c r="AA18" s="58">
        <f t="shared" si="3"/>
        <v>0</v>
      </c>
      <c r="AC18" s="1">
        <f t="shared" si="1"/>
        <v>0</v>
      </c>
    </row>
    <row r="19" spans="1:29" ht="12" hidden="1" customHeight="1">
      <c r="A19" s="12" t="s">
        <v>860</v>
      </c>
      <c r="B19" s="12"/>
      <c r="C19" s="12" t="s">
        <v>718</v>
      </c>
      <c r="D19" s="12"/>
      <c r="E19" s="13"/>
      <c r="K19" s="41">
        <f t="shared" si="4"/>
        <v>0</v>
      </c>
      <c r="O19" s="41"/>
      <c r="AA19" s="58">
        <f t="shared" si="3"/>
        <v>0</v>
      </c>
      <c r="AC19" s="1">
        <f t="shared" si="1"/>
        <v>0</v>
      </c>
    </row>
    <row r="20" spans="1:29" ht="12" customHeight="1">
      <c r="A20" s="12" t="s">
        <v>449</v>
      </c>
      <c r="B20" s="12"/>
      <c r="C20" s="12" t="s">
        <v>117</v>
      </c>
      <c r="D20" s="12"/>
      <c r="E20" s="13">
        <v>48207</v>
      </c>
      <c r="G20" s="1">
        <v>10344552</v>
      </c>
      <c r="I20" s="1">
        <v>34698</v>
      </c>
      <c r="K20" s="41">
        <f t="shared" si="4"/>
        <v>25530173</v>
      </c>
      <c r="M20" s="1">
        <v>35909423</v>
      </c>
      <c r="O20" s="41">
        <f t="shared" si="2"/>
        <v>27812405</v>
      </c>
      <c r="Q20" s="1">
        <v>831872</v>
      </c>
      <c r="S20" s="1">
        <v>28644277</v>
      </c>
      <c r="U20" s="1">
        <f>970528+69101+111599+1139477+682915+34698</f>
        <v>3008318</v>
      </c>
      <c r="W20" s="1">
        <v>0</v>
      </c>
      <c r="Y20" s="1">
        <f>1591596+666476+1998756</f>
        <v>4256828</v>
      </c>
      <c r="AA20" s="58">
        <f t="shared" si="3"/>
        <v>7265146</v>
      </c>
      <c r="AC20" s="1">
        <f t="shared" si="1"/>
        <v>0</v>
      </c>
    </row>
    <row r="21" spans="1:29" ht="12" customHeight="1">
      <c r="A21" s="12" t="s">
        <v>378</v>
      </c>
      <c r="B21" s="12"/>
      <c r="C21" s="12" t="s">
        <v>33</v>
      </c>
      <c r="D21" s="12"/>
      <c r="E21" s="13">
        <v>47415</v>
      </c>
      <c r="G21" s="1">
        <v>3299406</v>
      </c>
      <c r="I21" s="1">
        <v>71777</v>
      </c>
      <c r="K21" s="41">
        <f t="shared" si="4"/>
        <v>2395403</v>
      </c>
      <c r="M21" s="1">
        <v>5766586</v>
      </c>
      <c r="O21" s="41">
        <f t="shared" si="2"/>
        <v>738211</v>
      </c>
      <c r="Q21" s="1">
        <v>1973032</v>
      </c>
      <c r="S21" s="1">
        <v>2711243</v>
      </c>
      <c r="U21" s="1">
        <f>132477+68212+3565+39567</f>
        <v>243821</v>
      </c>
      <c r="W21" s="1">
        <v>0</v>
      </c>
      <c r="Y21" s="1">
        <f>2445550+116984+248988</f>
        <v>2811522</v>
      </c>
      <c r="AA21" s="58">
        <f t="shared" si="3"/>
        <v>3055343</v>
      </c>
      <c r="AC21" s="1">
        <f t="shared" si="1"/>
        <v>0</v>
      </c>
    </row>
    <row r="22" spans="1:29" ht="12" hidden="1" customHeight="1">
      <c r="A22" s="12" t="s">
        <v>823</v>
      </c>
      <c r="B22" s="12"/>
      <c r="C22" s="12" t="s">
        <v>21</v>
      </c>
      <c r="D22" s="12"/>
      <c r="E22" s="13">
        <v>46631</v>
      </c>
      <c r="K22" s="41">
        <f t="shared" si="4"/>
        <v>0</v>
      </c>
      <c r="O22" s="41">
        <f t="shared" si="2"/>
        <v>0</v>
      </c>
      <c r="AA22" s="58">
        <f t="shared" si="3"/>
        <v>0</v>
      </c>
      <c r="AC22" s="1">
        <f t="shared" si="1"/>
        <v>0</v>
      </c>
    </row>
    <row r="23" spans="1:29" ht="12" customHeight="1">
      <c r="A23" s="12" t="s">
        <v>922</v>
      </c>
      <c r="B23" s="12"/>
      <c r="C23" s="12" t="s">
        <v>28</v>
      </c>
      <c r="D23" s="12"/>
      <c r="E23" s="13">
        <v>47043</v>
      </c>
      <c r="G23" s="1">
        <v>8626367</v>
      </c>
      <c r="I23" s="1">
        <v>0</v>
      </c>
      <c r="K23" s="41">
        <f t="shared" si="4"/>
        <v>7172767</v>
      </c>
      <c r="M23" s="1">
        <v>15799134</v>
      </c>
      <c r="O23" s="41">
        <f t="shared" si="2"/>
        <v>1426442</v>
      </c>
      <c r="Q23" s="1">
        <v>6556783</v>
      </c>
      <c r="S23" s="1">
        <v>7983225</v>
      </c>
      <c r="U23" s="1">
        <f>83894+16978+363838</f>
        <v>464710</v>
      </c>
      <c r="W23" s="1">
        <v>0</v>
      </c>
      <c r="Y23" s="1">
        <f>3520722+184907+3337365+308205</f>
        <v>7351199</v>
      </c>
      <c r="AA23" s="58">
        <f t="shared" si="3"/>
        <v>7815909</v>
      </c>
      <c r="AC23" s="1">
        <f t="shared" si="1"/>
        <v>0</v>
      </c>
    </row>
    <row r="24" spans="1:29" ht="12" customHeight="1">
      <c r="A24" s="12" t="s">
        <v>379</v>
      </c>
      <c r="B24" s="12"/>
      <c r="C24" s="12" t="s">
        <v>33</v>
      </c>
      <c r="D24" s="12"/>
      <c r="E24" s="13">
        <v>47423</v>
      </c>
      <c r="G24" s="1">
        <v>2696740</v>
      </c>
      <c r="I24" s="1">
        <v>308076</v>
      </c>
      <c r="K24" s="41">
        <f t="shared" si="4"/>
        <v>1771658</v>
      </c>
      <c r="M24" s="1">
        <v>4776474</v>
      </c>
      <c r="O24" s="41">
        <f t="shared" si="2"/>
        <v>764736</v>
      </c>
      <c r="Q24" s="1">
        <v>1329313</v>
      </c>
      <c r="S24" s="1">
        <v>2094049</v>
      </c>
      <c r="U24" s="1">
        <f>73000+10739+297337+52043</f>
        <v>433119</v>
      </c>
      <c r="W24" s="1">
        <v>39305</v>
      </c>
      <c r="Y24" s="1">
        <f>1966281+180705+63015</f>
        <v>2210001</v>
      </c>
      <c r="AA24" s="58">
        <f t="shared" si="3"/>
        <v>2682425</v>
      </c>
      <c r="AC24" s="1">
        <f t="shared" si="1"/>
        <v>0</v>
      </c>
    </row>
    <row r="25" spans="1:29" ht="12" customHeight="1">
      <c r="A25" s="12" t="s">
        <v>206</v>
      </c>
      <c r="B25" s="12"/>
      <c r="C25" s="12" t="s">
        <v>11</v>
      </c>
      <c r="D25" s="12"/>
      <c r="E25" s="13">
        <v>43505</v>
      </c>
      <c r="G25" s="1">
        <v>9337229</v>
      </c>
      <c r="I25" s="1">
        <f>3000+168826</f>
        <v>171826</v>
      </c>
      <c r="K25" s="41">
        <f t="shared" si="4"/>
        <v>15366247</v>
      </c>
      <c r="M25" s="1">
        <v>24875302</v>
      </c>
      <c r="O25" s="41">
        <f t="shared" si="2"/>
        <v>4765279</v>
      </c>
      <c r="Q25" s="1">
        <v>11670573</v>
      </c>
      <c r="S25" s="1">
        <v>16435852</v>
      </c>
      <c r="U25" s="1">
        <f>220941+168826+3874809</f>
        <v>4264576</v>
      </c>
      <c r="W25" s="1">
        <v>0</v>
      </c>
      <c r="Y25" s="1">
        <f>4013636+15646+59883+58419+27290</f>
        <v>4174874</v>
      </c>
      <c r="AA25" s="58">
        <f t="shared" si="3"/>
        <v>8439450</v>
      </c>
      <c r="AC25" s="1">
        <f t="shared" si="1"/>
        <v>0</v>
      </c>
    </row>
    <row r="26" spans="1:29" ht="12" customHeight="1">
      <c r="A26" s="12" t="s">
        <v>672</v>
      </c>
      <c r="B26" s="12"/>
      <c r="C26" s="12" t="s">
        <v>12</v>
      </c>
      <c r="D26" s="12"/>
      <c r="E26" s="13">
        <v>43513</v>
      </c>
      <c r="G26" s="1">
        <v>9807331</v>
      </c>
      <c r="I26" s="1">
        <v>11382382</v>
      </c>
      <c r="K26" s="41">
        <f t="shared" si="4"/>
        <v>15062877</v>
      </c>
      <c r="M26" s="1">
        <v>36252590</v>
      </c>
      <c r="O26" s="41">
        <f t="shared" si="2"/>
        <v>7300463</v>
      </c>
      <c r="Q26" s="1">
        <v>8126322</v>
      </c>
      <c r="S26" s="1">
        <v>15426785</v>
      </c>
      <c r="U26" s="1">
        <f>35373310+6155188</f>
        <v>41528498</v>
      </c>
      <c r="W26" s="1">
        <v>0</v>
      </c>
      <c r="Y26" s="1">
        <f>1248956+2358819-2149017-22161451</f>
        <v>-20702693</v>
      </c>
      <c r="AA26" s="58">
        <f t="shared" si="3"/>
        <v>20825805</v>
      </c>
      <c r="AC26" s="1">
        <f t="shared" si="1"/>
        <v>0</v>
      </c>
    </row>
    <row r="27" spans="1:29" ht="12" customHeight="1">
      <c r="A27" s="12" t="s">
        <v>214</v>
      </c>
      <c r="B27" s="12"/>
      <c r="C27" s="12" t="s">
        <v>13</v>
      </c>
      <c r="D27" s="12"/>
      <c r="E27" s="13">
        <v>43521</v>
      </c>
      <c r="G27" s="1">
        <v>16259602</v>
      </c>
      <c r="I27" s="1">
        <v>0</v>
      </c>
      <c r="K27" s="41">
        <f t="shared" si="4"/>
        <v>16522136</v>
      </c>
      <c r="M27" s="1">
        <v>32781738</v>
      </c>
      <c r="O27" s="41">
        <f t="shared" si="2"/>
        <v>5039459</v>
      </c>
      <c r="Q27" s="1">
        <v>13966040</v>
      </c>
      <c r="S27" s="1">
        <v>19005499</v>
      </c>
      <c r="U27" s="1">
        <f>466090+1229481</f>
        <v>1695571</v>
      </c>
      <c r="W27" s="1">
        <v>0</v>
      </c>
      <c r="Y27" s="1">
        <f>5887880+429182+2899907+2863699</f>
        <v>12080668</v>
      </c>
      <c r="AA27" s="58">
        <f t="shared" si="3"/>
        <v>13776239</v>
      </c>
      <c r="AC27" s="1">
        <f t="shared" si="1"/>
        <v>0</v>
      </c>
    </row>
    <row r="28" spans="1:29" ht="12" customHeight="1">
      <c r="A28" s="12" t="s">
        <v>532</v>
      </c>
      <c r="B28" s="12"/>
      <c r="C28" s="12" t="s">
        <v>56</v>
      </c>
      <c r="D28" s="12"/>
      <c r="E28" s="13">
        <v>49171</v>
      </c>
      <c r="G28" s="1">
        <v>7052528</v>
      </c>
      <c r="I28" s="1">
        <v>884865</v>
      </c>
      <c r="K28" s="41">
        <f t="shared" si="4"/>
        <v>29404582</v>
      </c>
      <c r="M28" s="1">
        <v>37341975</v>
      </c>
      <c r="O28" s="41">
        <f t="shared" si="2"/>
        <v>4575336</v>
      </c>
      <c r="Q28" s="1">
        <v>24765295</v>
      </c>
      <c r="S28" s="1">
        <v>29340631</v>
      </c>
      <c r="U28" s="1">
        <f>2697393+884865+1769628</f>
        <v>5351886</v>
      </c>
      <c r="W28" s="1">
        <v>0</v>
      </c>
      <c r="Y28" s="1">
        <f>278571+363820+728630+1278437</f>
        <v>2649458</v>
      </c>
      <c r="AA28" s="58">
        <f t="shared" si="3"/>
        <v>8001344</v>
      </c>
      <c r="AC28" s="1">
        <f t="shared" si="1"/>
        <v>0</v>
      </c>
    </row>
    <row r="29" spans="1:29" ht="12" customHeight="1">
      <c r="A29" s="12" t="s">
        <v>461</v>
      </c>
      <c r="B29" s="12"/>
      <c r="C29" s="12" t="s">
        <v>45</v>
      </c>
      <c r="D29" s="12"/>
      <c r="E29" s="13">
        <v>48298</v>
      </c>
      <c r="G29" s="1">
        <v>8603581</v>
      </c>
      <c r="I29" s="1">
        <v>73043</v>
      </c>
      <c r="K29" s="41">
        <f t="shared" si="4"/>
        <v>19984865</v>
      </c>
      <c r="M29" s="1">
        <v>28661489</v>
      </c>
      <c r="O29" s="41">
        <f t="shared" si="2"/>
        <v>23519351</v>
      </c>
      <c r="Q29" s="1">
        <v>2569567</v>
      </c>
      <c r="S29" s="1">
        <v>26088918</v>
      </c>
      <c r="U29" s="1">
        <f>122226+25848+35824+1149822+73043</f>
        <v>1406763</v>
      </c>
      <c r="W29" s="1">
        <v>128000</v>
      </c>
      <c r="Y29" s="1">
        <f>87846+833078+116884</f>
        <v>1037808</v>
      </c>
      <c r="AA29" s="58">
        <f t="shared" si="3"/>
        <v>2572571</v>
      </c>
      <c r="AC29" s="1">
        <f t="shared" si="1"/>
        <v>0</v>
      </c>
    </row>
    <row r="30" spans="1:29" ht="12" customHeight="1">
      <c r="A30" s="12" t="s">
        <v>436</v>
      </c>
      <c r="B30" s="12"/>
      <c r="C30" s="12" t="s">
        <v>44</v>
      </c>
      <c r="D30" s="12"/>
      <c r="E30" s="13">
        <v>48124</v>
      </c>
      <c r="G30" s="1">
        <v>34715595</v>
      </c>
      <c r="I30" s="1">
        <v>113990</v>
      </c>
      <c r="K30" s="41">
        <f t="shared" si="4"/>
        <v>35310530</v>
      </c>
      <c r="M30" s="1">
        <v>70140115</v>
      </c>
      <c r="O30" s="41">
        <f t="shared" si="2"/>
        <v>5451506</v>
      </c>
      <c r="Q30" s="1">
        <v>33792254</v>
      </c>
      <c r="S30" s="1">
        <v>39243760</v>
      </c>
      <c r="U30" s="1">
        <f>45276+12931654+1456474+113990</f>
        <v>14547394</v>
      </c>
      <c r="W30" s="1">
        <v>0</v>
      </c>
      <c r="Y30" s="1">
        <f>11485258+687668+3988789+187246</f>
        <v>16348961</v>
      </c>
      <c r="AA30" s="58">
        <f t="shared" si="3"/>
        <v>30896355</v>
      </c>
      <c r="AC30" s="1">
        <f t="shared" si="1"/>
        <v>0</v>
      </c>
    </row>
    <row r="31" spans="1:29" ht="12" customHeight="1">
      <c r="A31" s="12" t="s">
        <v>437</v>
      </c>
      <c r="B31" s="12"/>
      <c r="C31" s="12" t="s">
        <v>44</v>
      </c>
      <c r="D31" s="12"/>
      <c r="E31" s="13">
        <v>48116</v>
      </c>
      <c r="G31" s="1">
        <v>11925068</v>
      </c>
      <c r="I31" s="1">
        <v>3887</v>
      </c>
      <c r="K31" s="41">
        <f t="shared" si="4"/>
        <v>25602432</v>
      </c>
      <c r="M31" s="1">
        <v>37531387</v>
      </c>
      <c r="O31" s="41">
        <f t="shared" si="2"/>
        <v>8918506</v>
      </c>
      <c r="Q31" s="1">
        <v>24369489</v>
      </c>
      <c r="S31" s="1">
        <v>33287995</v>
      </c>
      <c r="U31" s="1">
        <f>1216798+834126</f>
        <v>2050924</v>
      </c>
      <c r="W31" s="1">
        <v>0</v>
      </c>
      <c r="Y31" s="1">
        <f>1106306+800850+1762392-1477080</f>
        <v>2192468</v>
      </c>
      <c r="AA31" s="58">
        <f t="shared" si="3"/>
        <v>4243392</v>
      </c>
      <c r="AC31" s="1">
        <f t="shared" si="1"/>
        <v>0</v>
      </c>
    </row>
    <row r="32" spans="1:29" ht="12" customHeight="1">
      <c r="A32" s="12" t="s">
        <v>310</v>
      </c>
      <c r="B32" s="12"/>
      <c r="C32" s="12" t="s">
        <v>22</v>
      </c>
      <c r="D32" s="12"/>
      <c r="E32" s="13">
        <v>46706</v>
      </c>
      <c r="G32" s="1">
        <v>3650753</v>
      </c>
      <c r="I32" s="1">
        <v>1056</v>
      </c>
      <c r="K32" s="41">
        <f t="shared" si="4"/>
        <v>2881243</v>
      </c>
      <c r="M32" s="1">
        <v>6533052</v>
      </c>
      <c r="O32" s="41">
        <f t="shared" si="2"/>
        <v>1022965</v>
      </c>
      <c r="Q32" s="1">
        <v>2312092</v>
      </c>
      <c r="S32" s="1">
        <v>3335057</v>
      </c>
      <c r="U32" s="1">
        <f>141080+24886+15059+173688+1056</f>
        <v>355769</v>
      </c>
      <c r="W32" s="1">
        <v>0</v>
      </c>
      <c r="Y32" s="1">
        <f>2403292+365340+73594</f>
        <v>2842226</v>
      </c>
      <c r="AA32" s="58">
        <f t="shared" si="3"/>
        <v>3197995</v>
      </c>
      <c r="AC32" s="1">
        <f t="shared" si="1"/>
        <v>0</v>
      </c>
    </row>
    <row r="33" spans="1:29" ht="12" customHeight="1">
      <c r="A33" s="12" t="s">
        <v>587</v>
      </c>
      <c r="B33" s="12"/>
      <c r="C33" s="12" t="s">
        <v>63</v>
      </c>
      <c r="D33" s="12"/>
      <c r="E33" s="13">
        <v>43539</v>
      </c>
      <c r="G33" s="1">
        <v>16817354</v>
      </c>
      <c r="I33" s="1">
        <v>0</v>
      </c>
      <c r="K33" s="41">
        <f t="shared" ref="K33:K49" si="5">+M33-I33-G33</f>
        <v>74084421</v>
      </c>
      <c r="M33" s="1">
        <v>90901775</v>
      </c>
      <c r="O33" s="41">
        <f t="shared" ref="O33:O49" si="6">+S33-Q33</f>
        <v>19643141</v>
      </c>
      <c r="Q33" s="1">
        <v>24370202</v>
      </c>
      <c r="S33" s="1">
        <v>44013343</v>
      </c>
      <c r="U33" s="1">
        <f>18062555+133012+1635827+1792339</f>
        <v>21623733</v>
      </c>
      <c r="W33" s="1">
        <v>0</v>
      </c>
      <c r="Y33" s="1">
        <f>3432677-468382+22300404</f>
        <v>25264699</v>
      </c>
      <c r="AA33" s="58">
        <f t="shared" si="3"/>
        <v>46888432</v>
      </c>
      <c r="AC33" s="1">
        <f t="shared" si="1"/>
        <v>0</v>
      </c>
    </row>
    <row r="34" spans="1:29" ht="12" customHeight="1">
      <c r="A34" s="12" t="s">
        <v>719</v>
      </c>
      <c r="B34" s="12"/>
      <c r="C34" s="12" t="s">
        <v>15</v>
      </c>
      <c r="D34" s="12"/>
      <c r="E34" s="13"/>
      <c r="G34" s="1">
        <v>3562780</v>
      </c>
      <c r="I34" s="1">
        <v>9036</v>
      </c>
      <c r="K34" s="41">
        <f t="shared" si="5"/>
        <v>2746000</v>
      </c>
      <c r="M34" s="1">
        <v>6317816</v>
      </c>
      <c r="O34" s="41">
        <f t="shared" si="6"/>
        <v>1299924</v>
      </c>
      <c r="Q34" s="1">
        <v>2177690</v>
      </c>
      <c r="S34" s="1">
        <v>3477614</v>
      </c>
      <c r="U34" s="1">
        <f>274993+227986+9036</f>
        <v>512015</v>
      </c>
      <c r="W34" s="1">
        <v>0</v>
      </c>
      <c r="Y34" s="1">
        <f>1542661+270080+504011+11435</f>
        <v>2328187</v>
      </c>
      <c r="AA34" s="58">
        <f t="shared" si="3"/>
        <v>2840202</v>
      </c>
      <c r="AC34" s="1">
        <f t="shared" si="1"/>
        <v>0</v>
      </c>
    </row>
    <row r="35" spans="1:29" ht="12" customHeight="1">
      <c r="A35" s="12" t="s">
        <v>251</v>
      </c>
      <c r="B35" s="12"/>
      <c r="C35" s="12" t="s">
        <v>115</v>
      </c>
      <c r="D35" s="12"/>
      <c r="E35" s="13">
        <v>46300</v>
      </c>
      <c r="G35" s="1">
        <v>3120970</v>
      </c>
      <c r="I35" s="1">
        <v>78607</v>
      </c>
      <c r="K35" s="41">
        <f t="shared" si="5"/>
        <v>8409727</v>
      </c>
      <c r="M35" s="1">
        <v>11609304</v>
      </c>
      <c r="O35" s="41">
        <f t="shared" si="6"/>
        <v>2299057</v>
      </c>
      <c r="Q35" s="1">
        <v>7044697</v>
      </c>
      <c r="S35" s="1">
        <v>9343754</v>
      </c>
      <c r="U35" s="1">
        <f>482635+78607+924100</f>
        <v>1485342</v>
      </c>
      <c r="W35" s="1">
        <v>0</v>
      </c>
      <c r="Y35" s="1">
        <f>2153390-1263734-125191+15743</f>
        <v>780208</v>
      </c>
      <c r="AA35" s="58">
        <f t="shared" si="3"/>
        <v>2265550</v>
      </c>
      <c r="AC35" s="1">
        <f t="shared" si="1"/>
        <v>0</v>
      </c>
    </row>
    <row r="36" spans="1:29" ht="12" hidden="1" customHeight="1">
      <c r="A36" s="12" t="s">
        <v>824</v>
      </c>
      <c r="B36" s="12"/>
      <c r="C36" s="12" t="s">
        <v>10</v>
      </c>
      <c r="D36" s="12"/>
      <c r="E36" s="13">
        <v>45765</v>
      </c>
      <c r="K36" s="41">
        <f t="shared" si="5"/>
        <v>0</v>
      </c>
      <c r="O36" s="41">
        <f t="shared" si="6"/>
        <v>0</v>
      </c>
      <c r="AA36" s="58">
        <f t="shared" si="3"/>
        <v>0</v>
      </c>
      <c r="AC36" s="1">
        <f t="shared" si="1"/>
        <v>0</v>
      </c>
    </row>
    <row r="37" spans="1:29" ht="12" customHeight="1">
      <c r="A37" s="12" t="s">
        <v>280</v>
      </c>
      <c r="B37" s="12"/>
      <c r="C37" s="12" t="s">
        <v>20</v>
      </c>
      <c r="D37" s="12"/>
      <c r="E37" s="13">
        <v>43547</v>
      </c>
      <c r="G37" s="1">
        <v>10032310</v>
      </c>
      <c r="I37" s="1">
        <v>5128</v>
      </c>
      <c r="K37" s="41">
        <f t="shared" si="5"/>
        <v>21781225</v>
      </c>
      <c r="M37" s="1">
        <v>31818663</v>
      </c>
      <c r="O37" s="41">
        <f t="shared" si="6"/>
        <v>4410517</v>
      </c>
      <c r="Q37" s="1">
        <v>18465572</v>
      </c>
      <c r="S37" s="1">
        <v>22876089</v>
      </c>
      <c r="U37" s="1">
        <f>2932211+46641+846+425148</f>
        <v>3404846</v>
      </c>
      <c r="W37" s="1">
        <v>0</v>
      </c>
      <c r="Y37" s="1">
        <f>1734822+581102+3227456-5652</f>
        <v>5537728</v>
      </c>
      <c r="AA37" s="58">
        <f t="shared" si="3"/>
        <v>8942574</v>
      </c>
      <c r="AC37" s="1">
        <f t="shared" si="1"/>
        <v>0</v>
      </c>
    </row>
    <row r="38" spans="1:29" ht="12" customHeight="1">
      <c r="A38" s="12" t="s">
        <v>281</v>
      </c>
      <c r="B38" s="12"/>
      <c r="C38" s="12" t="s">
        <v>20</v>
      </c>
      <c r="D38" s="12"/>
      <c r="E38" s="13">
        <v>43554</v>
      </c>
      <c r="G38" s="1">
        <v>25795200</v>
      </c>
      <c r="I38" s="1">
        <v>134873</v>
      </c>
      <c r="K38" s="41">
        <f t="shared" si="5"/>
        <v>29665032</v>
      </c>
      <c r="M38" s="1">
        <v>55595105</v>
      </c>
      <c r="O38" s="41">
        <f t="shared" si="6"/>
        <v>4902250</v>
      </c>
      <c r="Q38" s="1">
        <v>24272501</v>
      </c>
      <c r="S38" s="1">
        <v>29174751</v>
      </c>
      <c r="U38" s="1">
        <f>793516+77659+3924343+134873</f>
        <v>4930391</v>
      </c>
      <c r="W38" s="1">
        <v>0</v>
      </c>
      <c r="Y38" s="1">
        <f>14071498+563518+1566097+5288850</f>
        <v>21489963</v>
      </c>
      <c r="AA38" s="58">
        <f t="shared" si="3"/>
        <v>26420354</v>
      </c>
      <c r="AC38" s="1">
        <f t="shared" si="1"/>
        <v>0</v>
      </c>
    </row>
    <row r="39" spans="1:29" ht="12" customHeight="1">
      <c r="A39" s="12" t="s">
        <v>263</v>
      </c>
      <c r="B39" s="12"/>
      <c r="C39" s="12" t="s">
        <v>114</v>
      </c>
      <c r="D39" s="12"/>
      <c r="E39" s="13">
        <v>46425</v>
      </c>
      <c r="G39" s="1">
        <v>551738</v>
      </c>
      <c r="I39" s="1">
        <v>0</v>
      </c>
      <c r="K39" s="41">
        <f t="shared" si="5"/>
        <v>6244458</v>
      </c>
      <c r="M39" s="1">
        <v>6796196</v>
      </c>
      <c r="O39" s="41">
        <f t="shared" si="6"/>
        <v>2295969</v>
      </c>
      <c r="Q39" s="1">
        <v>5508503</v>
      </c>
      <c r="S39" s="1">
        <v>7804472</v>
      </c>
      <c r="U39" s="1">
        <f>22493+501362</f>
        <v>523855</v>
      </c>
      <c r="W39" s="1">
        <v>0</v>
      </c>
      <c r="Y39" s="1">
        <f>28412+19369-1579912</f>
        <v>-1532131</v>
      </c>
      <c r="AA39" s="58">
        <f t="shared" si="3"/>
        <v>-1008276</v>
      </c>
      <c r="AC39" s="1">
        <f t="shared" si="1"/>
        <v>0</v>
      </c>
    </row>
    <row r="40" spans="1:29" ht="12" customHeight="1">
      <c r="A40" s="12" t="s">
        <v>357</v>
      </c>
      <c r="B40" s="12"/>
      <c r="C40" s="12" t="s">
        <v>116</v>
      </c>
      <c r="D40" s="12"/>
      <c r="E40" s="13">
        <v>47241</v>
      </c>
      <c r="G40" s="1">
        <v>119870911</v>
      </c>
      <c r="I40" s="1">
        <v>0</v>
      </c>
      <c r="K40" s="41">
        <f t="shared" si="5"/>
        <v>51788156</v>
      </c>
      <c r="M40" s="1">
        <v>171659067</v>
      </c>
      <c r="O40" s="41">
        <f t="shared" si="6"/>
        <v>10791514</v>
      </c>
      <c r="Q40" s="1">
        <v>46192841</v>
      </c>
      <c r="S40" s="1">
        <v>56984355</v>
      </c>
      <c r="U40" s="1">
        <f>613391+20996+10022+4215072+13761938</f>
        <v>18621419</v>
      </c>
      <c r="W40" s="1">
        <v>0</v>
      </c>
      <c r="Y40" s="1">
        <f>23464107+2231694+3209921+67147571</f>
        <v>96053293</v>
      </c>
      <c r="AA40" s="58">
        <f t="shared" si="3"/>
        <v>114674712</v>
      </c>
      <c r="AC40" s="1">
        <f t="shared" si="1"/>
        <v>0</v>
      </c>
    </row>
    <row r="41" spans="1:29" ht="12" customHeight="1">
      <c r="A41" s="12" t="s">
        <v>282</v>
      </c>
      <c r="B41" s="12"/>
      <c r="C41" s="12" t="s">
        <v>20</v>
      </c>
      <c r="D41" s="12"/>
      <c r="E41" s="13">
        <v>43562</v>
      </c>
      <c r="G41" s="1">
        <v>18719183</v>
      </c>
      <c r="I41" s="1">
        <v>41998</v>
      </c>
      <c r="K41" s="41">
        <f t="shared" si="5"/>
        <v>33094884</v>
      </c>
      <c r="M41" s="1">
        <v>51856065</v>
      </c>
      <c r="O41" s="41">
        <f t="shared" si="6"/>
        <v>6493943</v>
      </c>
      <c r="Q41" s="1">
        <v>27714687</v>
      </c>
      <c r="S41" s="1">
        <v>34208630</v>
      </c>
      <c r="U41" s="1">
        <f>1491932+3595454+41998+90000</f>
        <v>5219384</v>
      </c>
      <c r="W41" s="1">
        <v>0</v>
      </c>
      <c r="Y41" s="1">
        <f>9817458+391636+1779348+439609</f>
        <v>12428051</v>
      </c>
      <c r="AA41" s="58">
        <f t="shared" si="3"/>
        <v>17647435</v>
      </c>
      <c r="AC41" s="1">
        <f t="shared" si="1"/>
        <v>0</v>
      </c>
    </row>
    <row r="42" spans="1:29" ht="12" customHeight="1">
      <c r="A42" s="12" t="s">
        <v>219</v>
      </c>
      <c r="B42" s="12"/>
      <c r="C42" s="12" t="s">
        <v>15</v>
      </c>
      <c r="D42" s="12"/>
      <c r="E42" s="13">
        <v>43570</v>
      </c>
      <c r="G42" s="1">
        <v>2186762</v>
      </c>
      <c r="I42" s="1">
        <v>55562</v>
      </c>
      <c r="K42" s="41">
        <f t="shared" si="5"/>
        <v>3939582</v>
      </c>
      <c r="M42" s="1">
        <v>6181906</v>
      </c>
      <c r="O42" s="41">
        <f t="shared" si="6"/>
        <v>6296497</v>
      </c>
      <c r="Q42" s="1">
        <v>2972548</v>
      </c>
      <c r="S42" s="1">
        <v>9269045</v>
      </c>
      <c r="U42" s="1">
        <f>274061+208460+55562</f>
        <v>538083</v>
      </c>
      <c r="W42" s="1">
        <v>0</v>
      </c>
      <c r="Y42" s="1">
        <f>1223800-5416753+524992+42739</f>
        <v>-3625222</v>
      </c>
      <c r="AA42" s="58">
        <f t="shared" si="3"/>
        <v>-3087139</v>
      </c>
      <c r="AC42" s="1">
        <f t="shared" si="1"/>
        <v>0</v>
      </c>
    </row>
    <row r="43" spans="1:29" ht="12" customHeight="1">
      <c r="A43" s="17" t="s">
        <v>951</v>
      </c>
      <c r="B43" s="12"/>
      <c r="C43" s="12" t="s">
        <v>116</v>
      </c>
      <c r="D43" s="12"/>
      <c r="E43" s="13">
        <v>47274</v>
      </c>
      <c r="G43" s="1">
        <f>2171138+11054</f>
        <v>2182192</v>
      </c>
      <c r="I43" s="1">
        <v>0</v>
      </c>
      <c r="K43" s="41">
        <f t="shared" ref="K43" si="7">M43-G43-I43</f>
        <v>17831249</v>
      </c>
      <c r="M43" s="1">
        <v>20013441</v>
      </c>
      <c r="O43" s="41">
        <f t="shared" ref="O43" si="8">S43-Q43</f>
        <v>2913879</v>
      </c>
      <c r="Q43" s="1">
        <v>16743401</v>
      </c>
      <c r="S43" s="1">
        <v>19657280</v>
      </c>
      <c r="U43" s="1">
        <f>544353+1017153</f>
        <v>1561506</v>
      </c>
      <c r="W43" s="1">
        <v>0</v>
      </c>
      <c r="Y43" s="1">
        <f>-2460955+287397+922367+45846</f>
        <v>-1205345</v>
      </c>
      <c r="AA43" s="58">
        <f t="shared" si="3"/>
        <v>356161</v>
      </c>
      <c r="AC43" s="1">
        <f t="shared" si="1"/>
        <v>0</v>
      </c>
    </row>
    <row r="44" spans="1:29" ht="12" customHeight="1">
      <c r="A44" s="12" t="s">
        <v>403</v>
      </c>
      <c r="B44" s="12"/>
      <c r="C44" s="12" t="s">
        <v>37</v>
      </c>
      <c r="D44" s="12"/>
      <c r="E44" s="13">
        <v>43596</v>
      </c>
      <c r="G44" s="1">
        <v>29234667</v>
      </c>
      <c r="I44" s="1">
        <v>0</v>
      </c>
      <c r="K44" s="41">
        <f t="shared" si="5"/>
        <v>24636951</v>
      </c>
      <c r="M44" s="1">
        <v>53871618</v>
      </c>
      <c r="O44" s="41">
        <f t="shared" si="6"/>
        <v>2952758</v>
      </c>
      <c r="Q44" s="1">
        <f>15917699+6091385</f>
        <v>22009084</v>
      </c>
      <c r="S44" s="1">
        <v>24961842</v>
      </c>
      <c r="U44" s="1">
        <f>3543632+164615+1814126+55323+397736</f>
        <v>5975432</v>
      </c>
      <c r="W44" s="1">
        <v>0</v>
      </c>
      <c r="Y44" s="1">
        <f>1433225+180875+21320244</f>
        <v>22934344</v>
      </c>
      <c r="AA44" s="58">
        <f t="shared" si="3"/>
        <v>28909776</v>
      </c>
      <c r="AC44" s="1">
        <f t="shared" si="1"/>
        <v>0</v>
      </c>
    </row>
    <row r="45" spans="1:29" ht="12" customHeight="1">
      <c r="A45" s="12" t="s">
        <v>636</v>
      </c>
      <c r="B45" s="12"/>
      <c r="C45" s="12" t="s">
        <v>70</v>
      </c>
      <c r="D45" s="12"/>
      <c r="E45" s="13">
        <v>43604</v>
      </c>
      <c r="G45" s="1">
        <v>1584594</v>
      </c>
      <c r="I45" s="1">
        <v>213024</v>
      </c>
      <c r="K45" s="41">
        <f t="shared" si="5"/>
        <v>4142141</v>
      </c>
      <c r="M45" s="1">
        <v>5939759</v>
      </c>
      <c r="O45" s="41">
        <f t="shared" si="6"/>
        <v>1646094</v>
      </c>
      <c r="Q45" s="1">
        <v>3757160</v>
      </c>
      <c r="S45" s="1">
        <v>5403254</v>
      </c>
      <c r="U45" s="1">
        <f>117538+2500+247754+5944+22171+183119+1790</f>
        <v>580816</v>
      </c>
      <c r="W45" s="1">
        <v>276911</v>
      </c>
      <c r="Y45" s="1">
        <f>4018+1535-272658-54117</f>
        <v>-321222</v>
      </c>
      <c r="AA45" s="58">
        <f t="shared" si="3"/>
        <v>536505</v>
      </c>
      <c r="AC45" s="1">
        <f t="shared" si="1"/>
        <v>0</v>
      </c>
    </row>
    <row r="46" spans="1:29" ht="12" customHeight="1">
      <c r="A46" s="12" t="s">
        <v>519</v>
      </c>
      <c r="B46" s="12"/>
      <c r="C46" s="12" t="s">
        <v>53</v>
      </c>
      <c r="D46" s="12"/>
      <c r="E46" s="13">
        <v>48926</v>
      </c>
      <c r="G46" s="1">
        <v>7191711</v>
      </c>
      <c r="I46" s="1">
        <v>508631</v>
      </c>
      <c r="K46" s="41">
        <f t="shared" si="5"/>
        <v>8860141</v>
      </c>
      <c r="M46" s="1">
        <v>16560483</v>
      </c>
      <c r="O46" s="41">
        <f t="shared" si="6"/>
        <v>2901959</v>
      </c>
      <c r="Q46" s="1">
        <f>506452+7618025</f>
        <v>8124477</v>
      </c>
      <c r="S46" s="1">
        <v>11026436</v>
      </c>
      <c r="U46" s="1">
        <f>626804+11437+698614+21422+15616+493015</f>
        <v>1866908</v>
      </c>
      <c r="W46" s="1">
        <f>495842+500000</f>
        <v>995842</v>
      </c>
      <c r="Y46" s="1">
        <f>1126325+427353+1117619</f>
        <v>2671297</v>
      </c>
      <c r="AA46" s="58">
        <f t="shared" si="3"/>
        <v>5534047</v>
      </c>
      <c r="AC46" s="1">
        <f t="shared" si="1"/>
        <v>0</v>
      </c>
    </row>
    <row r="47" spans="1:29" ht="12" customHeight="1">
      <c r="A47" s="12" t="s">
        <v>283</v>
      </c>
      <c r="B47" s="12"/>
      <c r="C47" s="12" t="s">
        <v>20</v>
      </c>
      <c r="D47" s="12"/>
      <c r="E47" s="13">
        <v>43612</v>
      </c>
      <c r="G47" s="1">
        <v>53266701</v>
      </c>
      <c r="I47" s="1">
        <f>197809+229621</f>
        <v>427430</v>
      </c>
      <c r="K47" s="41">
        <f t="shared" si="5"/>
        <v>60020022</v>
      </c>
      <c r="M47" s="1">
        <v>113714153</v>
      </c>
      <c r="O47" s="41">
        <f t="shared" si="6"/>
        <v>15675252</v>
      </c>
      <c r="Q47" s="1">
        <v>46405731</v>
      </c>
      <c r="S47" s="1">
        <v>62080983</v>
      </c>
      <c r="U47" s="1">
        <f>5690603+229621+18918+7585088</f>
        <v>13524230</v>
      </c>
      <c r="W47" s="1">
        <v>0</v>
      </c>
      <c r="Y47" s="1">
        <f>20841490+632486+3317309+13317655</f>
        <v>38108940</v>
      </c>
      <c r="AA47" s="58">
        <f t="shared" si="3"/>
        <v>51633170</v>
      </c>
      <c r="AC47" s="1">
        <f t="shared" si="1"/>
        <v>0</v>
      </c>
    </row>
    <row r="48" spans="1:29" ht="12" customHeight="1">
      <c r="A48" s="12" t="s">
        <v>351</v>
      </c>
      <c r="B48" s="12"/>
      <c r="C48" s="12" t="s">
        <v>30</v>
      </c>
      <c r="D48" s="12"/>
      <c r="E48" s="13">
        <v>47167</v>
      </c>
      <c r="G48" s="1">
        <v>3079363</v>
      </c>
      <c r="I48" s="1">
        <v>39468</v>
      </c>
      <c r="K48" s="41">
        <f t="shared" si="5"/>
        <v>5024196</v>
      </c>
      <c r="M48" s="1">
        <v>8143027</v>
      </c>
      <c r="O48" s="41">
        <f t="shared" si="6"/>
        <v>1367433</v>
      </c>
      <c r="Q48" s="1">
        <v>3989163</v>
      </c>
      <c r="S48" s="1">
        <v>5356596</v>
      </c>
      <c r="U48" s="1">
        <f>37664+437298+39468</f>
        <v>514430</v>
      </c>
      <c r="W48" s="1">
        <v>0</v>
      </c>
      <c r="Y48" s="1">
        <f>2041740+137388+92873</f>
        <v>2272001</v>
      </c>
      <c r="AA48" s="58">
        <f t="shared" si="3"/>
        <v>2786431</v>
      </c>
      <c r="AC48" s="1">
        <f t="shared" si="1"/>
        <v>0</v>
      </c>
    </row>
    <row r="49" spans="1:29" ht="12" customHeight="1">
      <c r="A49" s="12" t="s">
        <v>314</v>
      </c>
      <c r="B49" s="12"/>
      <c r="C49" s="12" t="s">
        <v>24</v>
      </c>
      <c r="D49" s="12"/>
      <c r="E49" s="13">
        <v>46789</v>
      </c>
      <c r="G49" s="1">
        <v>6226328</v>
      </c>
      <c r="I49" s="1">
        <v>14127</v>
      </c>
      <c r="K49" s="41">
        <f t="shared" si="5"/>
        <v>8443916</v>
      </c>
      <c r="M49" s="1">
        <v>14684371</v>
      </c>
      <c r="O49" s="41">
        <f t="shared" si="6"/>
        <v>1844858</v>
      </c>
      <c r="Q49" s="1">
        <f>647626+6951147</f>
        <v>7598773</v>
      </c>
      <c r="S49" s="1">
        <v>9443631</v>
      </c>
      <c r="U49" s="1">
        <f>420475+50043+31797+797546+14127</f>
        <v>1313988</v>
      </c>
      <c r="W49" s="1">
        <v>0</v>
      </c>
      <c r="Y49" s="1">
        <f>2374767+312606+1239379</f>
        <v>3926752</v>
      </c>
      <c r="AA49" s="58">
        <f t="shared" si="3"/>
        <v>5240740</v>
      </c>
      <c r="AC49" s="1">
        <f t="shared" si="1"/>
        <v>0</v>
      </c>
    </row>
    <row r="50" spans="1:29" ht="12" customHeight="1">
      <c r="A50" s="12" t="s">
        <v>322</v>
      </c>
      <c r="B50" s="12"/>
      <c r="C50" s="12" t="s">
        <v>25</v>
      </c>
      <c r="D50" s="12"/>
      <c r="E50" s="13">
        <v>46854</v>
      </c>
      <c r="G50" s="1">
        <v>2868914</v>
      </c>
      <c r="I50" s="1">
        <v>122856</v>
      </c>
      <c r="K50" s="41">
        <f t="shared" ref="K50:K82" si="9">M50-G50-I50</f>
        <v>3462855</v>
      </c>
      <c r="M50" s="1">
        <v>6454625</v>
      </c>
      <c r="O50" s="41">
        <f t="shared" ref="O50:O82" si="10">S50-Q50</f>
        <v>1012542</v>
      </c>
      <c r="Q50" s="1">
        <v>2882099</v>
      </c>
      <c r="S50" s="1">
        <v>3894641</v>
      </c>
      <c r="U50" s="1">
        <f>146568+214919+100000+22856</f>
        <v>484343</v>
      </c>
      <c r="W50" s="1">
        <v>0</v>
      </c>
      <c r="Y50" s="1">
        <f>1088790+218098+768753</f>
        <v>2075641</v>
      </c>
      <c r="AA50" s="58">
        <f t="shared" si="3"/>
        <v>2559984</v>
      </c>
      <c r="AC50" s="1">
        <f t="shared" si="1"/>
        <v>0</v>
      </c>
    </row>
    <row r="51" spans="1:29" ht="12" customHeight="1">
      <c r="A51" s="12" t="s">
        <v>487</v>
      </c>
      <c r="B51" s="12"/>
      <c r="C51" s="12" t="s">
        <v>48</v>
      </c>
      <c r="D51" s="12"/>
      <c r="E51" s="13">
        <v>48611</v>
      </c>
      <c r="G51" s="1">
        <v>1565143</v>
      </c>
      <c r="I51" s="1">
        <v>0</v>
      </c>
      <c r="K51" s="41">
        <f t="shared" si="9"/>
        <v>3657449</v>
      </c>
      <c r="M51" s="1">
        <v>5222592</v>
      </c>
      <c r="O51" s="41">
        <f t="shared" si="10"/>
        <v>837726</v>
      </c>
      <c r="Q51" s="1">
        <v>3308442</v>
      </c>
      <c r="S51" s="1">
        <v>4146168</v>
      </c>
      <c r="U51" s="1">
        <f>178748+6361+295028</f>
        <v>480137</v>
      </c>
      <c r="W51" s="1">
        <v>0</v>
      </c>
      <c r="Y51" s="1">
        <f>334034+41624+220013+616</f>
        <v>596287</v>
      </c>
      <c r="AA51" s="58">
        <f t="shared" si="3"/>
        <v>1076424</v>
      </c>
      <c r="AC51" s="1">
        <f t="shared" si="1"/>
        <v>0</v>
      </c>
    </row>
    <row r="52" spans="1:29" ht="12" customHeight="1">
      <c r="A52" s="12" t="s">
        <v>252</v>
      </c>
      <c r="B52" s="12"/>
      <c r="C52" s="12" t="s">
        <v>115</v>
      </c>
      <c r="D52" s="12"/>
      <c r="E52" s="13">
        <v>46318</v>
      </c>
      <c r="G52" s="1">
        <v>3856379</v>
      </c>
      <c r="I52" s="1">
        <v>498476</v>
      </c>
      <c r="K52" s="41">
        <f t="shared" si="9"/>
        <v>4130910</v>
      </c>
      <c r="M52" s="1">
        <v>8485765</v>
      </c>
      <c r="O52" s="41">
        <f t="shared" si="10"/>
        <v>1708302</v>
      </c>
      <c r="Q52" s="1">
        <v>3559831</v>
      </c>
      <c r="S52" s="1">
        <v>5268133</v>
      </c>
      <c r="U52" s="1">
        <f>94669+423500+498476</f>
        <v>1016645</v>
      </c>
      <c r="W52" s="1">
        <v>0</v>
      </c>
      <c r="Y52" s="1">
        <f>22164+763912+1154007+260904</f>
        <v>2200987</v>
      </c>
      <c r="AA52" s="58">
        <f t="shared" si="3"/>
        <v>3217632</v>
      </c>
      <c r="AC52" s="1">
        <f t="shared" si="1"/>
        <v>0</v>
      </c>
    </row>
    <row r="53" spans="1:29" ht="12" hidden="1" customHeight="1">
      <c r="A53" s="12" t="s">
        <v>825</v>
      </c>
      <c r="B53" s="12"/>
      <c r="C53" s="12" t="s">
        <v>60</v>
      </c>
      <c r="D53" s="12"/>
      <c r="E53" s="13">
        <v>49692</v>
      </c>
      <c r="K53" s="41">
        <f t="shared" si="9"/>
        <v>0</v>
      </c>
      <c r="O53" s="41">
        <f t="shared" si="10"/>
        <v>0</v>
      </c>
      <c r="AA53" s="58">
        <f t="shared" si="3"/>
        <v>0</v>
      </c>
      <c r="AC53" s="1">
        <f t="shared" si="1"/>
        <v>0</v>
      </c>
    </row>
    <row r="54" spans="1:29" ht="12" customHeight="1">
      <c r="A54" s="12" t="s">
        <v>329</v>
      </c>
      <c r="B54" s="12"/>
      <c r="C54" s="12" t="s">
        <v>27</v>
      </c>
      <c r="D54" s="12"/>
      <c r="E54" s="13">
        <v>43620</v>
      </c>
      <c r="G54" s="1">
        <v>20697219</v>
      </c>
      <c r="I54" s="1">
        <v>0</v>
      </c>
      <c r="K54" s="41">
        <f t="shared" si="9"/>
        <v>21006449</v>
      </c>
      <c r="M54" s="1">
        <v>41703668</v>
      </c>
      <c r="O54" s="41">
        <f t="shared" si="10"/>
        <v>4150374</v>
      </c>
      <c r="Q54" s="1">
        <v>12761159</v>
      </c>
      <c r="S54" s="1">
        <v>16911533</v>
      </c>
      <c r="U54" s="1">
        <f>8229672+734368+21098</f>
        <v>8985138</v>
      </c>
      <c r="W54" s="1">
        <v>0</v>
      </c>
      <c r="Y54" s="1">
        <f>13258933+358537+1487206+702321</f>
        <v>15806997</v>
      </c>
      <c r="AA54" s="58">
        <f t="shared" si="3"/>
        <v>24792135</v>
      </c>
      <c r="AC54" s="1">
        <f t="shared" si="1"/>
        <v>0</v>
      </c>
    </row>
    <row r="55" spans="1:29" ht="12" customHeight="1">
      <c r="A55" s="12" t="s">
        <v>311</v>
      </c>
      <c r="B55" s="12"/>
      <c r="C55" s="12" t="s">
        <v>23</v>
      </c>
      <c r="D55" s="12"/>
      <c r="E55" s="13">
        <v>46748</v>
      </c>
      <c r="G55" s="1">
        <v>21963094</v>
      </c>
      <c r="I55" s="1">
        <v>9919</v>
      </c>
      <c r="K55" s="41">
        <f t="shared" si="9"/>
        <v>17797430</v>
      </c>
      <c r="M55" s="1">
        <v>39770443</v>
      </c>
      <c r="O55" s="41">
        <f t="shared" si="10"/>
        <v>5569366</v>
      </c>
      <c r="Q55" s="1">
        <v>14282924</v>
      </c>
      <c r="S55" s="1">
        <v>19852290</v>
      </c>
      <c r="U55" s="1">
        <f>1555725+112378+27131+12690435</f>
        <v>14385669</v>
      </c>
      <c r="W55" s="1">
        <v>0</v>
      </c>
      <c r="Y55" s="1">
        <f>133890+2002824+5454434-2058664</f>
        <v>5532484</v>
      </c>
      <c r="AA55" s="58">
        <f t="shared" si="3"/>
        <v>19918153</v>
      </c>
      <c r="AC55" s="1">
        <f t="shared" si="1"/>
        <v>0</v>
      </c>
    </row>
    <row r="56" spans="1:29" ht="12" customHeight="1">
      <c r="A56" s="12" t="s">
        <v>478</v>
      </c>
      <c r="B56" s="12"/>
      <c r="C56" s="12" t="s">
        <v>47</v>
      </c>
      <c r="D56" s="12"/>
      <c r="E56" s="13">
        <v>48462</v>
      </c>
      <c r="G56" s="1">
        <f>994624+38225</f>
        <v>1032849</v>
      </c>
      <c r="I56" s="1">
        <v>0</v>
      </c>
      <c r="K56" s="41">
        <f t="shared" si="9"/>
        <v>5951307</v>
      </c>
      <c r="M56" s="1">
        <v>6984156</v>
      </c>
      <c r="O56" s="41">
        <f t="shared" si="10"/>
        <v>2832770</v>
      </c>
      <c r="Q56" s="1">
        <v>4812409</v>
      </c>
      <c r="S56" s="1">
        <v>7645179</v>
      </c>
      <c r="U56" s="1">
        <f>261942+264105+32880+12284+620258+342688+38225</f>
        <v>1572382</v>
      </c>
      <c r="W56" s="1">
        <v>0</v>
      </c>
      <c r="Y56" s="1">
        <f>370067-2003825-599647</f>
        <v>-2233405</v>
      </c>
      <c r="AA56" s="58">
        <f>U56+W56+Y56</f>
        <v>-661023</v>
      </c>
      <c r="AC56" s="1">
        <f>+G56+I56+K56-O56-Q56-Y56-W56-U56</f>
        <v>0</v>
      </c>
    </row>
    <row r="57" spans="1:29" ht="12" customHeight="1">
      <c r="A57" s="12" t="s">
        <v>259</v>
      </c>
      <c r="B57" s="12"/>
      <c r="C57" s="12" t="s">
        <v>18</v>
      </c>
      <c r="D57" s="12"/>
      <c r="E57" s="13">
        <v>46383</v>
      </c>
      <c r="G57" s="1">
        <v>2351504</v>
      </c>
      <c r="I57" s="1">
        <v>526922</v>
      </c>
      <c r="K57" s="41">
        <f t="shared" si="9"/>
        <v>4431067</v>
      </c>
      <c r="M57" s="1">
        <v>7309493</v>
      </c>
      <c r="O57" s="41">
        <f t="shared" si="10"/>
        <v>1874369</v>
      </c>
      <c r="Q57" s="1">
        <v>3877390</v>
      </c>
      <c r="S57" s="1">
        <v>5751759</v>
      </c>
      <c r="U57" s="1">
        <f>40249+9618+230055+526922</f>
        <v>806844</v>
      </c>
      <c r="W57" s="1">
        <v>0</v>
      </c>
      <c r="Y57" s="1">
        <f>239339+470209+46218-4876</f>
        <v>750890</v>
      </c>
      <c r="AA57" s="58">
        <f t="shared" si="3"/>
        <v>1557734</v>
      </c>
      <c r="AC57" s="1">
        <f t="shared" si="1"/>
        <v>0</v>
      </c>
    </row>
    <row r="58" spans="1:29" ht="12" customHeight="1">
      <c r="A58" s="12" t="s">
        <v>323</v>
      </c>
      <c r="B58" s="12"/>
      <c r="C58" s="12" t="s">
        <v>25</v>
      </c>
      <c r="D58" s="12"/>
      <c r="E58" s="13">
        <v>46862</v>
      </c>
      <c r="G58" s="1">
        <v>11017372</v>
      </c>
      <c r="I58" s="1">
        <f>18590000+24610</f>
        <v>18614610</v>
      </c>
      <c r="K58" s="41">
        <f t="shared" si="9"/>
        <v>8168712</v>
      </c>
      <c r="M58" s="1">
        <v>37800694</v>
      </c>
      <c r="O58" s="41">
        <f t="shared" si="10"/>
        <v>2357663</v>
      </c>
      <c r="Q58" s="1">
        <v>6200300</v>
      </c>
      <c r="S58" s="1">
        <v>8557963</v>
      </c>
      <c r="U58" s="1">
        <f>109709+676850+5433+24610+10000</f>
        <v>826602</v>
      </c>
      <c r="W58" s="1">
        <v>0</v>
      </c>
      <c r="Y58" s="1">
        <f>1519640+39882+1057879+25784704+14024</f>
        <v>28416129</v>
      </c>
      <c r="AA58" s="58">
        <f t="shared" si="3"/>
        <v>29242731</v>
      </c>
      <c r="AC58" s="1">
        <f t="shared" si="1"/>
        <v>0</v>
      </c>
    </row>
    <row r="59" spans="1:29" ht="12" customHeight="1">
      <c r="A59" s="12" t="s">
        <v>599</v>
      </c>
      <c r="B59" s="12"/>
      <c r="C59" s="12" t="s">
        <v>64</v>
      </c>
      <c r="D59" s="12"/>
      <c r="E59" s="13">
        <v>50096</v>
      </c>
      <c r="G59" s="1">
        <v>1011451</v>
      </c>
      <c r="I59" s="1">
        <v>15949</v>
      </c>
      <c r="K59" s="41">
        <f t="shared" si="9"/>
        <v>1766934</v>
      </c>
      <c r="M59" s="1">
        <v>2794334</v>
      </c>
      <c r="O59" s="41">
        <f t="shared" si="10"/>
        <v>456727</v>
      </c>
      <c r="Q59" s="1">
        <f>401942+1262520</f>
        <v>1664462</v>
      </c>
      <c r="S59" s="1">
        <v>2121189</v>
      </c>
      <c r="U59" s="1">
        <f>118352+775+8981+28883+13881+13233+2716</f>
        <v>186821</v>
      </c>
      <c r="W59" s="1">
        <v>0</v>
      </c>
      <c r="Y59" s="1">
        <f>300471+30178+155675</f>
        <v>486324</v>
      </c>
      <c r="AA59" s="58">
        <f t="shared" si="3"/>
        <v>673145</v>
      </c>
      <c r="AC59" s="1">
        <f t="shared" si="1"/>
        <v>0</v>
      </c>
    </row>
    <row r="60" spans="1:29" ht="12" customHeight="1">
      <c r="A60" s="12" t="s">
        <v>559</v>
      </c>
      <c r="B60" s="12"/>
      <c r="C60" s="12" t="s">
        <v>59</v>
      </c>
      <c r="D60" s="12"/>
      <c r="E60" s="13">
        <v>49593</v>
      </c>
      <c r="G60" s="1">
        <v>1672455</v>
      </c>
      <c r="I60" s="1">
        <v>153368</v>
      </c>
      <c r="K60" s="41">
        <f>M60-G60-I60</f>
        <v>1636750</v>
      </c>
      <c r="M60" s="1">
        <v>3462573</v>
      </c>
      <c r="O60" s="41">
        <f>S60-Q60</f>
        <v>1024800</v>
      </c>
      <c r="Q60" s="1">
        <v>1350236</v>
      </c>
      <c r="S60" s="1">
        <v>2375036</v>
      </c>
      <c r="U60" s="1">
        <f>63619+158096+79651+55826+14863+3028</f>
        <v>375083</v>
      </c>
      <c r="W60" s="1">
        <v>0</v>
      </c>
      <c r="Y60" s="1">
        <f>92804+173045+248222+198383</f>
        <v>712454</v>
      </c>
      <c r="AA60" s="58">
        <f>U60+W60+Y60</f>
        <v>1087537</v>
      </c>
      <c r="AC60" s="1">
        <f t="shared" si="1"/>
        <v>0</v>
      </c>
    </row>
    <row r="61" spans="1:29" ht="12" hidden="1" customHeight="1">
      <c r="A61" s="12" t="s">
        <v>791</v>
      </c>
      <c r="B61" s="12"/>
      <c r="C61" s="12" t="s">
        <v>10</v>
      </c>
      <c r="D61" s="12"/>
      <c r="E61" s="13">
        <v>49593</v>
      </c>
      <c r="K61" s="41">
        <f t="shared" si="9"/>
        <v>0</v>
      </c>
      <c r="O61" s="41">
        <f t="shared" si="10"/>
        <v>0</v>
      </c>
      <c r="AA61" s="58">
        <f t="shared" si="3"/>
        <v>0</v>
      </c>
      <c r="AC61" s="1">
        <f t="shared" si="1"/>
        <v>0</v>
      </c>
    </row>
    <row r="62" spans="1:29" ht="12" customHeight="1">
      <c r="A62" s="12" t="s">
        <v>462</v>
      </c>
      <c r="B62" s="12"/>
      <c r="C62" s="12" t="s">
        <v>45</v>
      </c>
      <c r="D62" s="12"/>
      <c r="E62" s="13">
        <v>48306</v>
      </c>
      <c r="G62" s="1">
        <v>12941048</v>
      </c>
      <c r="I62" s="1">
        <v>233898</v>
      </c>
      <c r="K62" s="41">
        <f t="shared" si="9"/>
        <v>32306500</v>
      </c>
      <c r="M62" s="1">
        <v>45481446</v>
      </c>
      <c r="O62" s="41">
        <f t="shared" si="10"/>
        <v>6245730</v>
      </c>
      <c r="Q62" s="1">
        <f>32016925+13626</f>
        <v>32030551</v>
      </c>
      <c r="S62" s="1">
        <v>38276281</v>
      </c>
      <c r="U62" s="1">
        <f>1574163+233898</f>
        <v>1808061</v>
      </c>
      <c r="W62" s="1">
        <v>0</v>
      </c>
      <c r="Y62" s="1">
        <f>117472+208558+5071074</f>
        <v>5397104</v>
      </c>
      <c r="AA62" s="58">
        <f t="shared" si="3"/>
        <v>7205165</v>
      </c>
      <c r="AC62" s="1">
        <f t="shared" si="1"/>
        <v>0</v>
      </c>
    </row>
    <row r="63" spans="1:29" ht="12" hidden="1" customHeight="1">
      <c r="A63" s="12" t="s">
        <v>923</v>
      </c>
      <c r="B63" s="12"/>
      <c r="C63" s="12" t="s">
        <v>61</v>
      </c>
      <c r="D63" s="12"/>
      <c r="E63" s="13">
        <v>49767</v>
      </c>
      <c r="K63" s="41">
        <f t="shared" si="9"/>
        <v>0</v>
      </c>
      <c r="O63" s="41">
        <f t="shared" si="10"/>
        <v>0</v>
      </c>
      <c r="AA63" s="58">
        <f t="shared" si="3"/>
        <v>0</v>
      </c>
      <c r="AC63" s="1">
        <f t="shared" si="1"/>
        <v>0</v>
      </c>
    </row>
    <row r="64" spans="1:29" ht="12" customHeight="1">
      <c r="A64" s="12" t="s">
        <v>646</v>
      </c>
      <c r="B64" s="12"/>
      <c r="C64" s="12" t="s">
        <v>72</v>
      </c>
      <c r="D64" s="12"/>
      <c r="E64" s="13">
        <v>43638</v>
      </c>
      <c r="G64" s="1">
        <v>5985453</v>
      </c>
      <c r="I64" s="1">
        <v>3000</v>
      </c>
      <c r="K64" s="41">
        <f t="shared" si="9"/>
        <v>27134483</v>
      </c>
      <c r="M64" s="1">
        <v>33122936</v>
      </c>
      <c r="O64" s="41">
        <f t="shared" si="10"/>
        <v>3927112</v>
      </c>
      <c r="Q64" s="1">
        <v>14613012</v>
      </c>
      <c r="S64" s="1">
        <v>18540124</v>
      </c>
      <c r="U64" s="1">
        <f>793926+91975+98442+57772+2708044</f>
        <v>3750159</v>
      </c>
      <c r="W64" s="1">
        <v>0</v>
      </c>
      <c r="Y64" s="1">
        <f>4953061+1395378+2747160+1727738+9316</f>
        <v>10832653</v>
      </c>
      <c r="AA64" s="58">
        <f t="shared" si="3"/>
        <v>14582812</v>
      </c>
      <c r="AC64" s="1">
        <f t="shared" si="1"/>
        <v>0</v>
      </c>
    </row>
    <row r="65" spans="1:29" ht="12" hidden="1" customHeight="1">
      <c r="A65" s="12" t="s">
        <v>832</v>
      </c>
      <c r="B65" s="12"/>
      <c r="C65" s="12" t="s">
        <v>48</v>
      </c>
      <c r="D65" s="12"/>
      <c r="E65" s="13">
        <v>43646</v>
      </c>
      <c r="K65" s="41">
        <f>M65-G65-I65</f>
        <v>0</v>
      </c>
      <c r="O65" s="41">
        <f>S65-Q65</f>
        <v>0</v>
      </c>
      <c r="AA65" s="58">
        <f>U65+W65+Y65</f>
        <v>0</v>
      </c>
      <c r="AC65" s="1">
        <f>+G65+I65+K65-O65-Q65-Y65-W65-U65</f>
        <v>0</v>
      </c>
    </row>
    <row r="66" spans="1:29" ht="12" customHeight="1">
      <c r="A66" s="12" t="s">
        <v>772</v>
      </c>
      <c r="B66" s="12"/>
      <c r="C66" s="12" t="s">
        <v>20</v>
      </c>
      <c r="D66" s="12"/>
      <c r="E66" s="13">
        <v>43646</v>
      </c>
      <c r="G66" s="1">
        <v>18977865</v>
      </c>
      <c r="I66" s="1">
        <v>0</v>
      </c>
      <c r="K66" s="41">
        <f t="shared" si="9"/>
        <v>38086722</v>
      </c>
      <c r="M66" s="1">
        <v>57064587</v>
      </c>
      <c r="O66" s="41">
        <f t="shared" si="10"/>
        <v>8895504</v>
      </c>
      <c r="Q66" s="1">
        <v>33323317</v>
      </c>
      <c r="S66" s="1">
        <v>42218821</v>
      </c>
      <c r="U66" s="1">
        <f>70070+6785932+134522+254811</f>
        <v>7245335</v>
      </c>
      <c r="W66" s="1">
        <v>0</v>
      </c>
      <c r="Y66" s="1">
        <v>7600431</v>
      </c>
      <c r="AA66" s="58">
        <f t="shared" si="3"/>
        <v>14845766</v>
      </c>
      <c r="AC66" s="1">
        <f t="shared" si="1"/>
        <v>0</v>
      </c>
    </row>
    <row r="67" spans="1:29" ht="12" customHeight="1">
      <c r="A67" s="17" t="s">
        <v>220</v>
      </c>
      <c r="B67" s="12"/>
      <c r="C67" s="12" t="s">
        <v>15</v>
      </c>
      <c r="D67" s="12"/>
      <c r="E67" s="13">
        <v>45237</v>
      </c>
      <c r="G67" s="1">
        <v>1861990</v>
      </c>
      <c r="I67" s="1">
        <v>311276</v>
      </c>
      <c r="K67" s="41">
        <f t="shared" si="9"/>
        <v>2307079</v>
      </c>
      <c r="M67" s="1">
        <v>4480345</v>
      </c>
      <c r="O67" s="41">
        <f t="shared" si="10"/>
        <v>1429003</v>
      </c>
      <c r="Q67" s="1">
        <f>412217+1595271</f>
        <v>2007488</v>
      </c>
      <c r="S67" s="1">
        <v>3436491</v>
      </c>
      <c r="U67" s="1">
        <f>91862+26221+2983+266441+93731+34439+12813</f>
        <v>528490</v>
      </c>
      <c r="W67" s="1">
        <v>0</v>
      </c>
      <c r="Y67" s="1">
        <f>823872-290376-18132</f>
        <v>515364</v>
      </c>
      <c r="AA67" s="58">
        <f t="shared" si="3"/>
        <v>1043854</v>
      </c>
      <c r="AC67" s="1">
        <f t="shared" si="1"/>
        <v>0</v>
      </c>
    </row>
    <row r="68" spans="1:29" ht="12" customHeight="1">
      <c r="A68" s="12" t="s">
        <v>394</v>
      </c>
      <c r="B68" s="12"/>
      <c r="C68" s="12" t="s">
        <v>395</v>
      </c>
      <c r="D68" s="12"/>
      <c r="E68" s="13">
        <v>47613</v>
      </c>
      <c r="G68" s="1">
        <v>2710812</v>
      </c>
      <c r="I68" s="1">
        <v>22449</v>
      </c>
      <c r="K68" s="41">
        <f t="shared" si="9"/>
        <v>1973526</v>
      </c>
      <c r="M68" s="1">
        <v>4706787</v>
      </c>
      <c r="O68" s="41">
        <f t="shared" si="10"/>
        <v>1248697</v>
      </c>
      <c r="Q68" s="1">
        <v>1529444</v>
      </c>
      <c r="S68" s="1">
        <v>2778141</v>
      </c>
      <c r="U68" s="1">
        <f>178369+179913+22449</f>
        <v>380731</v>
      </c>
      <c r="W68" s="1">
        <v>0</v>
      </c>
      <c r="Y68" s="1">
        <f>565714+140171+636140+205890</f>
        <v>1547915</v>
      </c>
      <c r="AA68" s="58">
        <f t="shared" si="3"/>
        <v>1928646</v>
      </c>
      <c r="AC68" s="1">
        <f t="shared" si="1"/>
        <v>0</v>
      </c>
    </row>
    <row r="69" spans="1:29" ht="12" customHeight="1">
      <c r="A69" s="12" t="s">
        <v>600</v>
      </c>
      <c r="B69" s="12"/>
      <c r="C69" s="12" t="s">
        <v>64</v>
      </c>
      <c r="D69" s="12"/>
      <c r="E69" s="13">
        <v>50112</v>
      </c>
      <c r="G69" s="1">
        <v>2605133</v>
      </c>
      <c r="I69" s="1">
        <v>204563</v>
      </c>
      <c r="K69" s="41">
        <f t="shared" si="9"/>
        <v>3090539</v>
      </c>
      <c r="M69" s="1">
        <v>5900235</v>
      </c>
      <c r="O69" s="41">
        <f t="shared" si="10"/>
        <v>855001</v>
      </c>
      <c r="Q69" s="1">
        <f>395042+2535520</f>
        <v>2930562</v>
      </c>
      <c r="S69" s="1">
        <v>3785563</v>
      </c>
      <c r="U69" s="1">
        <f>37848+2224+49636+8646+204563+65219</f>
        <v>368136</v>
      </c>
      <c r="W69" s="1">
        <v>0</v>
      </c>
      <c r="Y69" s="1">
        <f>1270423+386290+89823</f>
        <v>1746536</v>
      </c>
      <c r="AA69" s="58">
        <f t="shared" si="3"/>
        <v>2114672</v>
      </c>
      <c r="AC69" s="1">
        <f t="shared" si="1"/>
        <v>0</v>
      </c>
    </row>
    <row r="70" spans="1:29" ht="12" customHeight="1">
      <c r="A70" s="12" t="s">
        <v>601</v>
      </c>
      <c r="B70" s="12"/>
      <c r="C70" s="12" t="s">
        <v>64</v>
      </c>
      <c r="D70" s="12"/>
      <c r="E70" s="13">
        <v>50120</v>
      </c>
      <c r="G70" s="1">
        <v>9759426</v>
      </c>
      <c r="I70" s="1">
        <v>0</v>
      </c>
      <c r="K70" s="41">
        <f t="shared" si="9"/>
        <v>18488044</v>
      </c>
      <c r="M70" s="1">
        <v>28247470</v>
      </c>
      <c r="O70" s="41">
        <f t="shared" si="10"/>
        <v>2925610</v>
      </c>
      <c r="Q70" s="1">
        <f>3520673+3497201</f>
        <v>7017874</v>
      </c>
      <c r="S70" s="1">
        <v>9943484</v>
      </c>
      <c r="U70" s="1">
        <f>1587+50109+510086</f>
        <v>561782</v>
      </c>
      <c r="W70" s="1">
        <v>0</v>
      </c>
      <c r="Y70" s="1">
        <f>225721+18596838-1080355</f>
        <v>17742204</v>
      </c>
      <c r="AA70" s="58">
        <f t="shared" si="3"/>
        <v>18303986</v>
      </c>
      <c r="AC70" s="1">
        <f t="shared" si="1"/>
        <v>0</v>
      </c>
    </row>
    <row r="71" spans="1:29" ht="12" customHeight="1">
      <c r="A71" s="12" t="s">
        <v>284</v>
      </c>
      <c r="B71" s="12"/>
      <c r="C71" s="12" t="s">
        <v>20</v>
      </c>
      <c r="D71" s="12"/>
      <c r="E71" s="13">
        <v>43653</v>
      </c>
      <c r="G71" s="1">
        <v>3571656</v>
      </c>
      <c r="I71" s="1">
        <v>13341</v>
      </c>
      <c r="K71" s="41">
        <f t="shared" si="9"/>
        <v>12699152</v>
      </c>
      <c r="M71" s="1">
        <v>16284149</v>
      </c>
      <c r="O71" s="41">
        <f t="shared" si="10"/>
        <v>1725516</v>
      </c>
      <c r="Q71" s="1">
        <v>11201802</v>
      </c>
      <c r="S71" s="1">
        <v>12927318</v>
      </c>
      <c r="U71" s="1">
        <f>20985+1195369+13341</f>
        <v>1229695</v>
      </c>
      <c r="W71" s="1">
        <v>0</v>
      </c>
      <c r="Y71" s="1">
        <f>1986326+179403-38593</f>
        <v>2127136</v>
      </c>
      <c r="AA71" s="58">
        <f t="shared" si="3"/>
        <v>3356831</v>
      </c>
      <c r="AC71" s="1">
        <f t="shared" si="1"/>
        <v>0</v>
      </c>
    </row>
    <row r="72" spans="1:29" ht="12" customHeight="1">
      <c r="A72" s="12" t="s">
        <v>828</v>
      </c>
      <c r="B72" s="12"/>
      <c r="C72" s="12" t="s">
        <v>50</v>
      </c>
      <c r="D72" s="12"/>
      <c r="E72" s="13">
        <v>48678</v>
      </c>
      <c r="G72" s="1">
        <f>13049607+3993250</f>
        <v>17042857</v>
      </c>
      <c r="I72" s="1">
        <v>542722</v>
      </c>
      <c r="K72" s="41">
        <f t="shared" si="9"/>
        <v>11836006</v>
      </c>
      <c r="M72" s="1">
        <v>29421585</v>
      </c>
      <c r="O72" s="41">
        <f t="shared" si="10"/>
        <v>1774107</v>
      </c>
      <c r="Q72" s="1">
        <v>11364579</v>
      </c>
      <c r="S72" s="1">
        <v>13138686</v>
      </c>
      <c r="U72" s="1">
        <f>8657561+97875+276390+542722</f>
        <v>9574548</v>
      </c>
      <c r="W72" s="1">
        <v>0</v>
      </c>
      <c r="Y72" s="1">
        <f>2566532+300506+5824682-1983369</f>
        <v>6708351</v>
      </c>
      <c r="AA72" s="58">
        <f t="shared" si="3"/>
        <v>16282899</v>
      </c>
      <c r="AC72" s="1">
        <f t="shared" si="1"/>
        <v>0</v>
      </c>
    </row>
    <row r="73" spans="1:29" ht="12" customHeight="1">
      <c r="A73" s="12" t="s">
        <v>237</v>
      </c>
      <c r="B73" s="12"/>
      <c r="C73" s="12" t="s">
        <v>16</v>
      </c>
      <c r="D73" s="12"/>
      <c r="E73" s="13">
        <v>46177</v>
      </c>
      <c r="G73" s="1">
        <v>3378727</v>
      </c>
      <c r="I73" s="1">
        <v>3508</v>
      </c>
      <c r="K73" s="41">
        <f t="shared" si="9"/>
        <v>2920559</v>
      </c>
      <c r="M73" s="1">
        <v>6302794</v>
      </c>
      <c r="O73" s="41">
        <f t="shared" si="10"/>
        <v>763555</v>
      </c>
      <c r="Q73" s="1">
        <v>2842360</v>
      </c>
      <c r="S73" s="1">
        <v>3605915</v>
      </c>
      <c r="U73" s="1">
        <f>12892+769507+207240+42929</f>
        <v>1032568</v>
      </c>
      <c r="W73" s="1">
        <v>0</v>
      </c>
      <c r="Y73" s="1">
        <v>1664311</v>
      </c>
      <c r="AA73" s="58">
        <f t="shared" si="3"/>
        <v>2696879</v>
      </c>
      <c r="AC73" s="1">
        <f t="shared" si="1"/>
        <v>0</v>
      </c>
    </row>
    <row r="74" spans="1:29" ht="12" customHeight="1">
      <c r="A74" s="12" t="s">
        <v>479</v>
      </c>
      <c r="B74" s="12"/>
      <c r="C74" s="12" t="s">
        <v>47</v>
      </c>
      <c r="D74" s="12"/>
      <c r="E74" s="13">
        <v>43661</v>
      </c>
      <c r="G74" s="1">
        <v>16273239</v>
      </c>
      <c r="I74" s="1">
        <v>96531</v>
      </c>
      <c r="K74" s="41">
        <f t="shared" si="9"/>
        <v>42119044</v>
      </c>
      <c r="M74" s="1">
        <v>58488814</v>
      </c>
      <c r="O74" s="41">
        <f t="shared" si="10"/>
        <v>9593909</v>
      </c>
      <c r="Q74" s="1">
        <v>35449000</v>
      </c>
      <c r="S74" s="1">
        <v>45042909</v>
      </c>
      <c r="U74" s="1">
        <f>3134594+5297231+96531</f>
        <v>8528356</v>
      </c>
      <c r="W74" s="1">
        <v>0</v>
      </c>
      <c r="Y74" s="1">
        <f>3793193+693939-634769+1065186</f>
        <v>4917549</v>
      </c>
      <c r="AA74" s="58">
        <f t="shared" si="3"/>
        <v>13445905</v>
      </c>
      <c r="AC74" s="1">
        <f t="shared" si="1"/>
        <v>0</v>
      </c>
    </row>
    <row r="75" spans="1:29" ht="12" hidden="1" customHeight="1">
      <c r="A75" s="12" t="s">
        <v>829</v>
      </c>
      <c r="B75" s="12"/>
      <c r="C75" s="12" t="s">
        <v>643</v>
      </c>
      <c r="D75" s="12"/>
      <c r="E75" s="13">
        <v>43679</v>
      </c>
      <c r="K75" s="41">
        <f t="shared" si="9"/>
        <v>0</v>
      </c>
      <c r="O75" s="41">
        <f t="shared" si="10"/>
        <v>0</v>
      </c>
      <c r="AA75" s="58">
        <f t="shared" si="3"/>
        <v>0</v>
      </c>
      <c r="AC75" s="1">
        <f t="shared" si="1"/>
        <v>0</v>
      </c>
    </row>
    <row r="76" spans="1:29" ht="12" customHeight="1">
      <c r="A76" s="12" t="s">
        <v>275</v>
      </c>
      <c r="B76" s="12"/>
      <c r="C76" s="12" t="s">
        <v>113</v>
      </c>
      <c r="D76" s="12"/>
      <c r="E76" s="13">
        <v>46508</v>
      </c>
      <c r="G76" s="1">
        <v>5354170</v>
      </c>
      <c r="I76" s="1">
        <v>263124</v>
      </c>
      <c r="K76" s="41">
        <f t="shared" si="9"/>
        <v>3142746</v>
      </c>
      <c r="M76" s="1">
        <v>8760040</v>
      </c>
      <c r="O76" s="41">
        <f t="shared" si="10"/>
        <v>1237260</v>
      </c>
      <c r="Q76" s="1">
        <f>1688498+282461</f>
        <v>1970959</v>
      </c>
      <c r="S76" s="1">
        <v>3208219</v>
      </c>
      <c r="U76" s="1">
        <f>567202+12719+11154+645314+362945</f>
        <v>1599334</v>
      </c>
      <c r="W76" s="1">
        <v>0</v>
      </c>
      <c r="Y76" s="1">
        <f>1928679+257360+1766448</f>
        <v>3952487</v>
      </c>
      <c r="AA76" s="58">
        <f t="shared" si="3"/>
        <v>5551821</v>
      </c>
      <c r="AC76" s="1">
        <f t="shared" si="1"/>
        <v>0</v>
      </c>
    </row>
    <row r="77" spans="1:29" ht="12" customHeight="1">
      <c r="A77" s="12" t="s">
        <v>209</v>
      </c>
      <c r="B77" s="12"/>
      <c r="C77" s="12" t="s">
        <v>12</v>
      </c>
      <c r="D77" s="12"/>
      <c r="E77" s="13">
        <v>45856</v>
      </c>
      <c r="G77" s="1">
        <v>5079442</v>
      </c>
      <c r="I77" s="1">
        <v>156424</v>
      </c>
      <c r="K77" s="41">
        <f t="shared" si="9"/>
        <v>8051639</v>
      </c>
      <c r="M77" s="1">
        <v>13287505</v>
      </c>
      <c r="O77" s="41">
        <f t="shared" si="10"/>
        <v>2479750</v>
      </c>
      <c r="Q77" s="1">
        <v>4679197</v>
      </c>
      <c r="S77" s="1">
        <v>7158947</v>
      </c>
      <c r="U77" s="1">
        <f>267210+156424+3193110</f>
        <v>3616744</v>
      </c>
      <c r="W77" s="1">
        <v>0</v>
      </c>
      <c r="Y77" s="1">
        <f>1988371+174305+349138</f>
        <v>2511814</v>
      </c>
      <c r="AA77" s="58">
        <f t="shared" si="3"/>
        <v>6128558</v>
      </c>
      <c r="AC77" s="1">
        <f t="shared" si="1"/>
        <v>0</v>
      </c>
    </row>
    <row r="78" spans="1:29" ht="12" customHeight="1">
      <c r="A78" s="12" t="s">
        <v>209</v>
      </c>
      <c r="B78" s="12"/>
      <c r="C78" s="12" t="s">
        <v>39</v>
      </c>
      <c r="D78" s="12"/>
      <c r="E78" s="13">
        <v>47787</v>
      </c>
      <c r="G78" s="1">
        <f>1615228+402266+95465</f>
        <v>2112959</v>
      </c>
      <c r="I78" s="1">
        <v>133452</v>
      </c>
      <c r="K78" s="41">
        <f t="shared" si="9"/>
        <v>7353105</v>
      </c>
      <c r="M78" s="1">
        <v>9599516</v>
      </c>
      <c r="O78" s="41">
        <f t="shared" si="10"/>
        <v>2716131</v>
      </c>
      <c r="Q78" s="1">
        <v>6611354</v>
      </c>
      <c r="S78" s="1">
        <v>9327485</v>
      </c>
      <c r="U78" s="1">
        <f>7348+367495+115961+5959+11532</f>
        <v>508295</v>
      </c>
      <c r="W78" s="1">
        <v>0</v>
      </c>
      <c r="Y78" s="1">
        <f>37083+1227151+2397-1502895</f>
        <v>-236264</v>
      </c>
      <c r="AA78" s="58">
        <f t="shared" si="3"/>
        <v>272031</v>
      </c>
      <c r="AC78" s="1">
        <f t="shared" si="1"/>
        <v>0</v>
      </c>
    </row>
    <row r="79" spans="1:29" ht="12" customHeight="1">
      <c r="A79" s="12" t="s">
        <v>209</v>
      </c>
      <c r="B79" s="12"/>
      <c r="C79" s="12" t="s">
        <v>47</v>
      </c>
      <c r="D79" s="12"/>
      <c r="E79" s="13">
        <v>48470</v>
      </c>
      <c r="G79" s="1">
        <v>3190427</v>
      </c>
      <c r="I79" s="1">
        <v>1164242</v>
      </c>
      <c r="K79" s="41">
        <f t="shared" si="9"/>
        <v>11736562</v>
      </c>
      <c r="M79" s="1">
        <v>16091231</v>
      </c>
      <c r="O79" s="41">
        <f t="shared" si="10"/>
        <v>3602569</v>
      </c>
      <c r="Q79" s="1">
        <v>9943356</v>
      </c>
      <c r="S79" s="1">
        <v>13545925</v>
      </c>
      <c r="U79" s="1">
        <f>969038+1317180</f>
        <v>2286218</v>
      </c>
      <c r="W79" s="1">
        <v>0</v>
      </c>
      <c r="Y79" s="1">
        <f>442884+666963+370108-1220867</f>
        <v>259088</v>
      </c>
      <c r="AA79" s="58">
        <f t="shared" si="3"/>
        <v>2545306</v>
      </c>
      <c r="AC79" s="1">
        <f t="shared" si="1"/>
        <v>0</v>
      </c>
    </row>
    <row r="80" spans="1:29" ht="12" customHeight="1">
      <c r="A80" s="1" t="s">
        <v>775</v>
      </c>
      <c r="B80" s="12"/>
      <c r="C80" s="12" t="s">
        <v>114</v>
      </c>
      <c r="D80" s="12"/>
      <c r="E80" s="13">
        <v>46755</v>
      </c>
      <c r="G80" s="1">
        <v>423980</v>
      </c>
      <c r="I80" s="1">
        <v>0</v>
      </c>
      <c r="K80" s="41">
        <f>M80-G80-I80</f>
        <v>4424864</v>
      </c>
      <c r="M80" s="1">
        <v>4848844</v>
      </c>
      <c r="O80" s="41">
        <f>S80-Q80</f>
        <v>456840</v>
      </c>
      <c r="Q80" s="1">
        <v>924041</v>
      </c>
      <c r="S80" s="1">
        <v>1380881</v>
      </c>
      <c r="U80" s="1">
        <v>2776288</v>
      </c>
      <c r="W80" s="1">
        <v>409215</v>
      </c>
      <c r="Y80" s="1">
        <v>282460</v>
      </c>
      <c r="AA80" s="58">
        <f>U80+W80+Y80</f>
        <v>3467963</v>
      </c>
      <c r="AC80" s="1">
        <f t="shared" ref="AC80:AC83" si="11">+G80+I80+K80-O80-Q80-Y80-W80-U80</f>
        <v>0</v>
      </c>
    </row>
    <row r="81" spans="1:29" ht="12" customHeight="1">
      <c r="A81" s="12" t="s">
        <v>312</v>
      </c>
      <c r="B81" s="12"/>
      <c r="C81" s="12" t="s">
        <v>23</v>
      </c>
      <c r="D81" s="12"/>
      <c r="E81" s="13">
        <v>46755</v>
      </c>
      <c r="G81" s="1">
        <v>19550658</v>
      </c>
      <c r="I81" s="1">
        <v>0</v>
      </c>
      <c r="K81" s="41">
        <f t="shared" si="9"/>
        <v>13888150</v>
      </c>
      <c r="M81" s="1">
        <v>33438808</v>
      </c>
      <c r="O81" s="41">
        <f t="shared" si="10"/>
        <v>2645287</v>
      </c>
      <c r="Q81" s="1">
        <f>516516+10243554</f>
        <v>10760070</v>
      </c>
      <c r="S81" s="1">
        <v>13405357</v>
      </c>
      <c r="U81" s="1">
        <f>585082+16290+1261632+3102</f>
        <v>1866106</v>
      </c>
      <c r="W81" s="1">
        <v>0</v>
      </c>
      <c r="Y81" s="1">
        <f>2294637+151746+637407+15083555</f>
        <v>18167345</v>
      </c>
      <c r="AA81" s="58">
        <f>U81+W81+Y81</f>
        <v>20033451</v>
      </c>
      <c r="AC81" s="1">
        <f t="shared" si="11"/>
        <v>0</v>
      </c>
    </row>
    <row r="82" spans="1:29" ht="12" customHeight="1">
      <c r="A82" s="12" t="s">
        <v>276</v>
      </c>
      <c r="B82" s="12"/>
      <c r="C82" s="12" t="s">
        <v>113</v>
      </c>
      <c r="D82" s="12"/>
      <c r="E82" s="13">
        <v>43687</v>
      </c>
      <c r="G82" s="1">
        <v>10409639</v>
      </c>
      <c r="I82" s="1">
        <f>73427+645363</f>
        <v>718790</v>
      </c>
      <c r="K82" s="41">
        <f t="shared" si="9"/>
        <v>5791717</v>
      </c>
      <c r="M82" s="1">
        <v>16920146</v>
      </c>
      <c r="O82" s="41">
        <f t="shared" si="10"/>
        <v>3029865</v>
      </c>
      <c r="Q82" s="1">
        <v>3583776</v>
      </c>
      <c r="S82" s="1">
        <v>6613641</v>
      </c>
      <c r="U82" s="1">
        <f>1925926+67822+5605+1108344</f>
        <v>3107697</v>
      </c>
      <c r="W82" s="1">
        <v>0</v>
      </c>
      <c r="Y82" s="1">
        <f>4580430+229485+414111+1974782</f>
        <v>7198808</v>
      </c>
      <c r="AA82" s="58">
        <f>U82+W82+Y82</f>
        <v>10306505</v>
      </c>
      <c r="AC82" s="1">
        <f t="shared" si="11"/>
        <v>0</v>
      </c>
    </row>
    <row r="83" spans="1:29" ht="12" customHeight="1">
      <c r="A83" s="12" t="s">
        <v>517</v>
      </c>
      <c r="B83" s="12"/>
      <c r="C83" s="12" t="s">
        <v>52</v>
      </c>
      <c r="D83" s="12"/>
      <c r="E83" s="13">
        <v>45252</v>
      </c>
      <c r="G83" s="1">
        <v>1921202</v>
      </c>
      <c r="I83" s="1">
        <v>86930</v>
      </c>
      <c r="K83" s="41">
        <f t="shared" ref="K83" si="12">M83-G83-I83</f>
        <v>3139317</v>
      </c>
      <c r="M83" s="1">
        <v>5147449</v>
      </c>
      <c r="O83" s="41">
        <f t="shared" ref="O83" si="13">S83-Q83</f>
        <v>1105259</v>
      </c>
      <c r="Q83" s="1">
        <v>2673288</v>
      </c>
      <c r="S83" s="1">
        <v>3778547</v>
      </c>
      <c r="U83" s="1">
        <f>143150+177+28284+58469+335479</f>
        <v>565559</v>
      </c>
      <c r="W83" s="1">
        <v>40000</v>
      </c>
      <c r="Y83" s="1">
        <f>201949+242821+55534+263039</f>
        <v>763343</v>
      </c>
      <c r="AA83" s="58">
        <f t="shared" ref="AA83" si="14">U83+W83+Y83</f>
        <v>1368902</v>
      </c>
      <c r="AC83" s="1">
        <f t="shared" si="11"/>
        <v>0</v>
      </c>
    </row>
    <row r="84" spans="1:29" ht="12" customHeight="1">
      <c r="A84" s="12" t="s">
        <v>360</v>
      </c>
      <c r="B84" s="12"/>
      <c r="C84" s="12" t="s">
        <v>31</v>
      </c>
      <c r="D84" s="12"/>
      <c r="E84" s="13">
        <v>43695</v>
      </c>
      <c r="G84" s="1">
        <v>5188357</v>
      </c>
      <c r="I84" s="1">
        <f>554+15449+27499</f>
        <v>43502</v>
      </c>
      <c r="K84" s="41">
        <f t="shared" ref="K84:K152" si="15">M84-G84-I84</f>
        <v>7491322</v>
      </c>
      <c r="M84" s="1">
        <v>12723181</v>
      </c>
      <c r="O84" s="41">
        <f t="shared" ref="O84:O152" si="16">S84-Q84</f>
        <v>2870161</v>
      </c>
      <c r="Q84" s="1">
        <v>5646938</v>
      </c>
      <c r="S84" s="1">
        <v>8517099</v>
      </c>
      <c r="U84" s="1">
        <f>768778+1328000+16843+10656+500</f>
        <v>2124777</v>
      </c>
      <c r="W84" s="1">
        <v>0</v>
      </c>
      <c r="Y84" s="1">
        <f>105286+1758311+1707285+1995-1491572</f>
        <v>2081305</v>
      </c>
      <c r="AA84" s="58">
        <f t="shared" ref="AA84:AA152" si="17">U84+W84+Y84</f>
        <v>4206082</v>
      </c>
      <c r="AC84" s="1">
        <f t="shared" ref="AC84:AC152" si="18">+G84+I84+K84-O84-Q84-Y84-W84-U84</f>
        <v>0</v>
      </c>
    </row>
    <row r="85" spans="1:29" ht="12" customHeight="1">
      <c r="A85" s="12" t="s">
        <v>463</v>
      </c>
      <c r="B85" s="12"/>
      <c r="C85" s="12" t="s">
        <v>45</v>
      </c>
      <c r="D85" s="12"/>
      <c r="E85" s="13">
        <v>43703</v>
      </c>
      <c r="G85" s="1">
        <v>2327749</v>
      </c>
      <c r="I85" s="1">
        <v>103351</v>
      </c>
      <c r="K85" s="41">
        <f t="shared" si="15"/>
        <v>3576939</v>
      </c>
      <c r="M85" s="1">
        <v>6008039</v>
      </c>
      <c r="O85" s="41">
        <f t="shared" si="16"/>
        <v>2296253</v>
      </c>
      <c r="Q85" s="1">
        <v>2970052</v>
      </c>
      <c r="S85" s="1">
        <v>5266305</v>
      </c>
      <c r="U85" s="1">
        <f>480027+23159+80192</f>
        <v>583378</v>
      </c>
      <c r="W85" s="1">
        <v>0</v>
      </c>
      <c r="Y85" s="1">
        <f>143256+335309+83747-403956</f>
        <v>158356</v>
      </c>
      <c r="AA85" s="58">
        <f t="shared" si="17"/>
        <v>741734</v>
      </c>
      <c r="AC85" s="1">
        <f t="shared" si="18"/>
        <v>0</v>
      </c>
    </row>
    <row r="86" spans="1:29" ht="12" customHeight="1">
      <c r="A86" s="12" t="s">
        <v>330</v>
      </c>
      <c r="B86" s="12"/>
      <c r="C86" s="12" t="s">
        <v>27</v>
      </c>
      <c r="D86" s="12"/>
      <c r="E86" s="13">
        <v>46946</v>
      </c>
      <c r="G86" s="1">
        <v>7179681</v>
      </c>
      <c r="I86" s="1">
        <v>175</v>
      </c>
      <c r="K86" s="41">
        <f t="shared" si="15"/>
        <v>22908337</v>
      </c>
      <c r="M86" s="1">
        <v>30088193</v>
      </c>
      <c r="O86" s="41">
        <f t="shared" si="16"/>
        <v>5169733</v>
      </c>
      <c r="Q86" s="1">
        <f>1450773+13459773</f>
        <v>14910546</v>
      </c>
      <c r="S86" s="1">
        <v>20080279</v>
      </c>
      <c r="U86" s="1">
        <f>766697+1247720+6486372</f>
        <v>8500789</v>
      </c>
      <c r="W86" s="1">
        <v>0</v>
      </c>
      <c r="Y86" s="1">
        <f>803406+810860-107141</f>
        <v>1507125</v>
      </c>
      <c r="AA86" s="58">
        <f t="shared" si="17"/>
        <v>10007914</v>
      </c>
      <c r="AC86" s="1">
        <f t="shared" si="18"/>
        <v>0</v>
      </c>
    </row>
    <row r="87" spans="1:29" ht="12" customHeight="1">
      <c r="A87" s="12"/>
      <c r="B87" s="12"/>
      <c r="C87" s="12"/>
      <c r="D87" s="12"/>
      <c r="E87" s="13"/>
      <c r="K87" s="41"/>
      <c r="O87" s="41"/>
      <c r="AA87" s="58"/>
    </row>
    <row r="88" spans="1:29" ht="12" customHeight="1">
      <c r="A88" s="12"/>
      <c r="B88" s="12"/>
      <c r="C88" s="12"/>
      <c r="D88" s="12"/>
      <c r="E88" s="13"/>
      <c r="K88" s="41"/>
      <c r="O88" s="41"/>
      <c r="AA88" s="20" t="s">
        <v>709</v>
      </c>
    </row>
    <row r="89" spans="1:29" ht="12" customHeight="1">
      <c r="A89" s="12"/>
      <c r="B89" s="12"/>
      <c r="C89" s="12"/>
      <c r="D89" s="12"/>
      <c r="E89" s="13"/>
      <c r="K89" s="41"/>
      <c r="O89" s="41"/>
      <c r="AA89" s="58"/>
    </row>
    <row r="90" spans="1:29" ht="12" customHeight="1">
      <c r="A90" s="12" t="s">
        <v>464</v>
      </c>
      <c r="B90" s="12"/>
      <c r="C90" s="12" t="s">
        <v>45</v>
      </c>
      <c r="D90" s="12"/>
      <c r="E90" s="13">
        <v>48314</v>
      </c>
      <c r="G90" s="16">
        <v>8847246</v>
      </c>
      <c r="H90" s="16"/>
      <c r="I90" s="16">
        <v>867642</v>
      </c>
      <c r="J90" s="16"/>
      <c r="K90" s="59">
        <f t="shared" si="15"/>
        <v>17843613</v>
      </c>
      <c r="L90" s="16"/>
      <c r="M90" s="16">
        <v>27558501</v>
      </c>
      <c r="N90" s="16"/>
      <c r="O90" s="59">
        <f t="shared" si="16"/>
        <v>2287297</v>
      </c>
      <c r="P90" s="16"/>
      <c r="Q90" s="16">
        <v>17721197</v>
      </c>
      <c r="R90" s="16"/>
      <c r="S90" s="16">
        <v>20008494</v>
      </c>
      <c r="T90" s="16"/>
      <c r="U90" s="16">
        <f>646+867642</f>
        <v>868288</v>
      </c>
      <c r="V90" s="16"/>
      <c r="W90" s="16">
        <v>11000</v>
      </c>
      <c r="X90" s="16"/>
      <c r="Y90" s="16">
        <f>3868357+607298+1545006+615204+34854</f>
        <v>6670719</v>
      </c>
      <c r="Z90" s="16"/>
      <c r="AA90" s="90">
        <f t="shared" si="17"/>
        <v>7550007</v>
      </c>
      <c r="AC90" s="1">
        <f t="shared" si="18"/>
        <v>0</v>
      </c>
    </row>
    <row r="91" spans="1:29" ht="12" customHeight="1">
      <c r="A91" s="12" t="s">
        <v>574</v>
      </c>
      <c r="B91" s="12"/>
      <c r="C91" s="12" t="s">
        <v>62</v>
      </c>
      <c r="D91" s="12"/>
      <c r="E91" s="13">
        <v>43711</v>
      </c>
      <c r="G91" s="1">
        <v>0</v>
      </c>
      <c r="I91" s="1">
        <v>0</v>
      </c>
      <c r="K91" s="41">
        <f t="shared" si="15"/>
        <v>11340534</v>
      </c>
      <c r="M91" s="1">
        <v>11340534</v>
      </c>
      <c r="O91" s="41">
        <f t="shared" si="16"/>
        <v>5721350</v>
      </c>
      <c r="Q91" s="1">
        <f>7683425+887024</f>
        <v>8570449</v>
      </c>
      <c r="S91" s="1">
        <v>14291799</v>
      </c>
      <c r="U91" s="1">
        <f>179498+15305+225400</f>
        <v>420203</v>
      </c>
      <c r="W91" s="1">
        <v>0</v>
      </c>
      <c r="Y91" s="1">
        <f>47058-3409022-9504</f>
        <v>-3371468</v>
      </c>
      <c r="AA91" s="58">
        <f t="shared" si="17"/>
        <v>-2951265</v>
      </c>
      <c r="AC91" s="1">
        <f t="shared" si="18"/>
        <v>0</v>
      </c>
    </row>
    <row r="92" spans="1:29" ht="12" customHeight="1">
      <c r="A92" s="12" t="s">
        <v>573</v>
      </c>
      <c r="B92" s="12"/>
      <c r="C92" s="12" t="s">
        <v>62</v>
      </c>
      <c r="D92" s="12"/>
      <c r="E92" s="13">
        <v>49833</v>
      </c>
      <c r="G92" s="1">
        <v>30341000</v>
      </c>
      <c r="I92" s="1">
        <v>12258000</v>
      </c>
      <c r="K92" s="41">
        <f t="shared" si="15"/>
        <v>37820000</v>
      </c>
      <c r="M92" s="1">
        <v>80419000</v>
      </c>
      <c r="O92" s="41">
        <f t="shared" si="16"/>
        <v>20112000</v>
      </c>
      <c r="Q92" s="1">
        <f>7371000+24631000</f>
        <v>32002000</v>
      </c>
      <c r="S92" s="1">
        <v>52114000</v>
      </c>
      <c r="U92" s="1">
        <f>7645000+604000+241000+12808000+1193000+58000</f>
        <v>22549000</v>
      </c>
      <c r="W92" s="1">
        <v>0</v>
      </c>
      <c r="Y92" s="1">
        <f>5972000+3906000-4122000</f>
        <v>5756000</v>
      </c>
      <c r="AA92" s="58">
        <f t="shared" si="17"/>
        <v>28305000</v>
      </c>
      <c r="AC92" s="1">
        <f t="shared" si="18"/>
        <v>0</v>
      </c>
    </row>
    <row r="93" spans="1:29" ht="12" customHeight="1">
      <c r="A93" s="12" t="s">
        <v>352</v>
      </c>
      <c r="B93" s="12"/>
      <c r="C93" s="12" t="s">
        <v>30</v>
      </c>
      <c r="D93" s="12"/>
      <c r="E93" s="13">
        <v>47175</v>
      </c>
      <c r="G93" s="1">
        <v>2660811</v>
      </c>
      <c r="I93" s="1">
        <v>598532</v>
      </c>
      <c r="K93" s="41">
        <f t="shared" si="15"/>
        <v>7765463</v>
      </c>
      <c r="M93" s="1">
        <v>11024806</v>
      </c>
      <c r="O93" s="41">
        <f t="shared" si="16"/>
        <v>2102030</v>
      </c>
      <c r="Q93" s="1">
        <v>6854830</v>
      </c>
      <c r="S93" s="1">
        <v>8956860</v>
      </c>
      <c r="U93" s="1">
        <f>138446+589455+598532</f>
        <v>1326433</v>
      </c>
      <c r="W93" s="1">
        <v>0</v>
      </c>
      <c r="Y93" s="1">
        <f>1296501+547171-1041321-60838</f>
        <v>741513</v>
      </c>
      <c r="AA93" s="58">
        <f t="shared" si="17"/>
        <v>2067946</v>
      </c>
      <c r="AC93" s="1">
        <f t="shared" si="18"/>
        <v>0</v>
      </c>
    </row>
    <row r="94" spans="1:29" ht="12" customHeight="1">
      <c r="A94" s="12" t="s">
        <v>924</v>
      </c>
      <c r="B94" s="12"/>
      <c r="C94" s="12" t="s">
        <v>78</v>
      </c>
      <c r="D94" s="12"/>
      <c r="E94" s="95">
        <v>48793</v>
      </c>
      <c r="G94" s="1">
        <v>3571121</v>
      </c>
      <c r="I94" s="1">
        <f>1962+28476</f>
        <v>30438</v>
      </c>
      <c r="K94" s="41">
        <f t="shared" si="15"/>
        <v>2740100</v>
      </c>
      <c r="M94" s="1">
        <v>6341659</v>
      </c>
      <c r="O94" s="41">
        <f t="shared" si="16"/>
        <v>1854738</v>
      </c>
      <c r="Q94" s="1">
        <f>1909907+270443</f>
        <v>2180350</v>
      </c>
      <c r="S94" s="1">
        <v>4035088</v>
      </c>
      <c r="U94" s="1">
        <f>63195+12094+18016+549921+1233860+28476</f>
        <v>1905562</v>
      </c>
      <c r="W94" s="1">
        <v>0</v>
      </c>
      <c r="Y94" s="1">
        <f>372636+161968-133595</f>
        <v>401009</v>
      </c>
      <c r="AA94" s="58">
        <f t="shared" si="17"/>
        <v>2306571</v>
      </c>
      <c r="AC94" s="1">
        <f t="shared" si="18"/>
        <v>0</v>
      </c>
    </row>
    <row r="95" spans="1:29" ht="12" hidden="1" customHeight="1">
      <c r="A95" s="12" t="s">
        <v>739</v>
      </c>
      <c r="B95" s="12"/>
      <c r="C95" s="12" t="s">
        <v>653</v>
      </c>
      <c r="D95" s="12"/>
      <c r="E95" s="13">
        <v>45260</v>
      </c>
      <c r="K95" s="41">
        <f t="shared" si="15"/>
        <v>0</v>
      </c>
      <c r="O95" s="41">
        <f t="shared" si="16"/>
        <v>0</v>
      </c>
      <c r="AA95" s="58">
        <f t="shared" si="17"/>
        <v>0</v>
      </c>
      <c r="AC95" s="1">
        <f t="shared" si="18"/>
        <v>0</v>
      </c>
    </row>
    <row r="96" spans="1:29" ht="12" customHeight="1">
      <c r="A96" s="12" t="s">
        <v>631</v>
      </c>
      <c r="B96" s="12"/>
      <c r="C96" s="12" t="s">
        <v>69</v>
      </c>
      <c r="D96" s="12"/>
      <c r="E96" s="13">
        <v>50419</v>
      </c>
      <c r="G96" s="1">
        <v>1941843</v>
      </c>
      <c r="I96" s="1">
        <v>0</v>
      </c>
      <c r="K96" s="41">
        <f t="shared" si="15"/>
        <v>5445981</v>
      </c>
      <c r="M96" s="1">
        <v>7387824</v>
      </c>
      <c r="O96" s="41">
        <f t="shared" si="16"/>
        <v>2189921</v>
      </c>
      <c r="Q96" s="1">
        <v>4320175</v>
      </c>
      <c r="S96" s="1">
        <v>6510096</v>
      </c>
      <c r="U96" s="1">
        <f>913+306591</f>
        <v>307504</v>
      </c>
      <c r="W96" s="1">
        <v>0</v>
      </c>
      <c r="Y96" s="1">
        <f>465035-103741+208930</f>
        <v>570224</v>
      </c>
      <c r="AA96" s="58">
        <f t="shared" si="17"/>
        <v>877728</v>
      </c>
      <c r="AC96" s="1">
        <f t="shared" si="18"/>
        <v>0</v>
      </c>
    </row>
    <row r="97" spans="1:29" ht="12" customHeight="1">
      <c r="A97" s="12" t="s">
        <v>238</v>
      </c>
      <c r="B97" s="12"/>
      <c r="C97" s="12" t="s">
        <v>16</v>
      </c>
      <c r="D97" s="12"/>
      <c r="E97" s="13">
        <v>45278</v>
      </c>
      <c r="G97" s="1">
        <v>5056466</v>
      </c>
      <c r="I97" s="1">
        <v>0</v>
      </c>
      <c r="K97" s="41">
        <f t="shared" si="15"/>
        <v>6259051</v>
      </c>
      <c r="M97" s="1">
        <v>11315517</v>
      </c>
      <c r="O97" s="41">
        <f t="shared" si="16"/>
        <v>2384653</v>
      </c>
      <c r="Q97" s="1">
        <v>5553398</v>
      </c>
      <c r="S97" s="1">
        <v>7938051</v>
      </c>
      <c r="U97" s="1">
        <f>628129+325800</f>
        <v>953929</v>
      </c>
      <c r="W97" s="1">
        <v>0</v>
      </c>
      <c r="Y97" s="1">
        <f>2560627-137090</f>
        <v>2423537</v>
      </c>
      <c r="AA97" s="58">
        <f t="shared" si="17"/>
        <v>3377466</v>
      </c>
      <c r="AC97" s="1">
        <f t="shared" si="18"/>
        <v>0</v>
      </c>
    </row>
    <row r="98" spans="1:29" ht="12" hidden="1" customHeight="1">
      <c r="A98" s="12" t="s">
        <v>925</v>
      </c>
      <c r="B98" s="12"/>
      <c r="C98" s="12" t="s">
        <v>116</v>
      </c>
      <c r="D98" s="12"/>
      <c r="E98" s="13">
        <v>47258</v>
      </c>
      <c r="K98" s="41">
        <f t="shared" si="15"/>
        <v>0</v>
      </c>
      <c r="O98" s="41">
        <f t="shared" si="16"/>
        <v>0</v>
      </c>
      <c r="AA98" s="58">
        <f t="shared" si="17"/>
        <v>0</v>
      </c>
      <c r="AC98" s="1">
        <f t="shared" si="18"/>
        <v>0</v>
      </c>
    </row>
    <row r="99" spans="1:29" ht="12" hidden="1" customHeight="1">
      <c r="A99" s="12" t="s">
        <v>740</v>
      </c>
      <c r="B99" s="12"/>
      <c r="C99" s="12" t="s">
        <v>486</v>
      </c>
      <c r="D99" s="12"/>
      <c r="E99" s="13">
        <v>43729</v>
      </c>
      <c r="K99" s="41">
        <f t="shared" si="15"/>
        <v>0</v>
      </c>
      <c r="O99" s="41">
        <f t="shared" si="16"/>
        <v>0</v>
      </c>
      <c r="AA99" s="58">
        <f t="shared" si="17"/>
        <v>0</v>
      </c>
      <c r="AC99" s="1">
        <f t="shared" si="18"/>
        <v>0</v>
      </c>
    </row>
    <row r="100" spans="1:29" ht="12" customHeight="1">
      <c r="A100" s="12" t="s">
        <v>414</v>
      </c>
      <c r="B100" s="12"/>
      <c r="C100" s="12" t="s">
        <v>40</v>
      </c>
      <c r="D100" s="12"/>
      <c r="E100" s="13">
        <v>47829</v>
      </c>
      <c r="G100" s="1">
        <v>4787454</v>
      </c>
      <c r="I100" s="1">
        <v>381984</v>
      </c>
      <c r="K100" s="41">
        <f t="shared" si="15"/>
        <v>3326150</v>
      </c>
      <c r="M100" s="1">
        <v>8495588</v>
      </c>
      <c r="O100" s="41">
        <f t="shared" si="16"/>
        <v>1066653</v>
      </c>
      <c r="Q100" s="1">
        <v>1823190</v>
      </c>
      <c r="S100" s="1">
        <v>2889843</v>
      </c>
      <c r="U100" s="1">
        <f>277400+1077508+98263+283721</f>
        <v>1736892</v>
      </c>
      <c r="W100" s="1">
        <v>0</v>
      </c>
      <c r="Y100" s="1">
        <f>2523864+361941+738032+245016</f>
        <v>3868853</v>
      </c>
      <c r="AA100" s="58">
        <f t="shared" si="17"/>
        <v>5605745</v>
      </c>
      <c r="AC100" s="1">
        <f t="shared" si="18"/>
        <v>0</v>
      </c>
    </row>
    <row r="101" spans="1:29" ht="12" customHeight="1">
      <c r="A101" s="14" t="s">
        <v>795</v>
      </c>
      <c r="B101" s="12"/>
      <c r="C101" s="12" t="s">
        <v>50</v>
      </c>
      <c r="D101" s="12"/>
      <c r="E101" s="13">
        <v>43737</v>
      </c>
      <c r="G101" s="1">
        <v>37415023</v>
      </c>
      <c r="I101" s="1">
        <v>141886</v>
      </c>
      <c r="K101" s="41">
        <f t="shared" si="15"/>
        <v>61272500</v>
      </c>
      <c r="M101" s="1">
        <v>98829409</v>
      </c>
      <c r="O101" s="41">
        <f t="shared" si="16"/>
        <v>10900369</v>
      </c>
      <c r="Q101" s="1">
        <v>57210733</v>
      </c>
      <c r="S101" s="1">
        <v>68111102</v>
      </c>
      <c r="U101" s="1">
        <f>2814980+27016+3814523+141886</f>
        <v>6798405</v>
      </c>
      <c r="W101" s="1">
        <v>0</v>
      </c>
      <c r="Y101" s="1">
        <f>9012820+487182+7640126+6779774</f>
        <v>23919902</v>
      </c>
      <c r="AA101" s="58">
        <f t="shared" si="17"/>
        <v>30718307</v>
      </c>
      <c r="AC101" s="1">
        <f t="shared" si="18"/>
        <v>0</v>
      </c>
    </row>
    <row r="102" spans="1:29" ht="12" hidden="1" customHeight="1">
      <c r="A102" s="12" t="s">
        <v>926</v>
      </c>
      <c r="B102" s="12"/>
      <c r="C102" s="12" t="s">
        <v>22</v>
      </c>
      <c r="D102" s="12"/>
      <c r="E102" s="13">
        <v>46714</v>
      </c>
      <c r="K102" s="41">
        <f t="shared" si="15"/>
        <v>0</v>
      </c>
      <c r="O102" s="41">
        <f t="shared" si="16"/>
        <v>0</v>
      </c>
      <c r="AA102" s="58">
        <f t="shared" si="17"/>
        <v>0</v>
      </c>
      <c r="AC102" s="1">
        <f t="shared" si="18"/>
        <v>0</v>
      </c>
    </row>
    <row r="103" spans="1:29" ht="12" customHeight="1">
      <c r="A103" s="12" t="s">
        <v>285</v>
      </c>
      <c r="B103" s="12"/>
      <c r="C103" s="12" t="s">
        <v>20</v>
      </c>
      <c r="D103" s="12"/>
      <c r="E103" s="13">
        <v>45286</v>
      </c>
      <c r="G103" s="1">
        <v>9494504</v>
      </c>
      <c r="I103" s="1">
        <v>39756</v>
      </c>
      <c r="K103" s="41">
        <f t="shared" si="15"/>
        <v>21191468</v>
      </c>
      <c r="M103" s="1">
        <v>30725728</v>
      </c>
      <c r="O103" s="41">
        <f t="shared" si="16"/>
        <v>2873739</v>
      </c>
      <c r="Q103" s="1">
        <v>18658391</v>
      </c>
      <c r="S103" s="1">
        <v>21532130</v>
      </c>
      <c r="U103" s="1">
        <f>291101+2495796</f>
        <v>2786897</v>
      </c>
      <c r="W103" s="1">
        <v>0</v>
      </c>
      <c r="Y103" s="1">
        <f>3338370+91217+2814709+162405</f>
        <v>6406701</v>
      </c>
      <c r="AA103" s="58">
        <f t="shared" si="17"/>
        <v>9193598</v>
      </c>
      <c r="AC103" s="1">
        <f t="shared" si="18"/>
        <v>0</v>
      </c>
    </row>
    <row r="104" spans="1:29" ht="12" customHeight="1">
      <c r="A104" s="12" t="s">
        <v>602</v>
      </c>
      <c r="B104" s="12"/>
      <c r="C104" s="12" t="s">
        <v>64</v>
      </c>
      <c r="D104" s="12"/>
      <c r="E104" s="13">
        <v>50138</v>
      </c>
      <c r="G104" s="1">
        <v>942607</v>
      </c>
      <c r="I104" s="1">
        <v>0</v>
      </c>
      <c r="K104" s="41">
        <f t="shared" si="15"/>
        <v>6245625</v>
      </c>
      <c r="M104" s="1">
        <v>7188232</v>
      </c>
      <c r="O104" s="41">
        <f t="shared" si="16"/>
        <v>1888852</v>
      </c>
      <c r="Q104" s="1">
        <f>4775830+1366639</f>
        <v>6142469</v>
      </c>
      <c r="S104" s="1">
        <v>8031321</v>
      </c>
      <c r="U104" s="1">
        <f>143451+13838+23031+77096</f>
        <v>257416</v>
      </c>
      <c r="W104" s="1">
        <v>0</v>
      </c>
      <c r="Y104" s="1">
        <f>32494-885455-247544</f>
        <v>-1100505</v>
      </c>
      <c r="AA104" s="58">
        <f t="shared" si="17"/>
        <v>-843089</v>
      </c>
      <c r="AC104" s="1">
        <f t="shared" si="18"/>
        <v>0</v>
      </c>
    </row>
    <row r="105" spans="1:29" ht="12" hidden="1" customHeight="1">
      <c r="A105" s="12" t="s">
        <v>927</v>
      </c>
      <c r="B105" s="12"/>
      <c r="C105" s="12" t="s">
        <v>30</v>
      </c>
      <c r="D105" s="12"/>
      <c r="E105" s="13">
        <v>47183</v>
      </c>
      <c r="K105" s="41">
        <f t="shared" si="15"/>
        <v>0</v>
      </c>
      <c r="O105" s="41">
        <f t="shared" si="16"/>
        <v>0</v>
      </c>
      <c r="AA105" s="58">
        <f t="shared" si="17"/>
        <v>0</v>
      </c>
      <c r="AC105" s="1">
        <f t="shared" si="18"/>
        <v>0</v>
      </c>
    </row>
    <row r="106" spans="1:29" ht="12" customHeight="1">
      <c r="A106" s="12" t="s">
        <v>419</v>
      </c>
      <c r="B106" s="12"/>
      <c r="C106" s="12" t="s">
        <v>420</v>
      </c>
      <c r="D106" s="12"/>
      <c r="E106" s="13">
        <v>45294</v>
      </c>
      <c r="G106" s="1">
        <v>2892673</v>
      </c>
      <c r="I106" s="1">
        <v>702441</v>
      </c>
      <c r="K106" s="41">
        <f t="shared" si="15"/>
        <v>3129750</v>
      </c>
      <c r="M106" s="1">
        <v>6724864</v>
      </c>
      <c r="O106" s="41">
        <f t="shared" si="16"/>
        <v>1648615</v>
      </c>
      <c r="Q106" s="1">
        <v>2820992</v>
      </c>
      <c r="S106" s="1">
        <v>4469607</v>
      </c>
      <c r="U106" s="1">
        <f>290619+298444+541843+41685+118913</f>
        <v>1291504</v>
      </c>
      <c r="W106" s="1">
        <v>0</v>
      </c>
      <c r="Y106" s="1">
        <f>432891+1348559+53943-871640</f>
        <v>963753</v>
      </c>
      <c r="AA106" s="58">
        <f t="shared" si="17"/>
        <v>2255257</v>
      </c>
      <c r="AC106" s="1">
        <f t="shared" si="18"/>
        <v>0</v>
      </c>
    </row>
    <row r="107" spans="1:29" ht="12" customHeight="1">
      <c r="A107" s="12" t="s">
        <v>550</v>
      </c>
      <c r="B107" s="12"/>
      <c r="C107" s="12" t="s">
        <v>58</v>
      </c>
      <c r="D107" s="12"/>
      <c r="E107" s="13">
        <v>43745</v>
      </c>
      <c r="G107" s="1">
        <v>7315767</v>
      </c>
      <c r="I107" s="1">
        <v>492</v>
      </c>
      <c r="K107" s="41">
        <f t="shared" si="15"/>
        <v>14033498</v>
      </c>
      <c r="M107" s="1">
        <v>21349757</v>
      </c>
      <c r="O107" s="41">
        <f t="shared" si="16"/>
        <v>3743432</v>
      </c>
      <c r="Q107" s="1">
        <v>11245022</v>
      </c>
      <c r="S107" s="1">
        <v>14988454</v>
      </c>
      <c r="U107" s="1">
        <f>335033+2119228+492+450000</f>
        <v>2904753</v>
      </c>
      <c r="W107" s="1">
        <v>221423</v>
      </c>
      <c r="Y107" s="1">
        <f>1190012+67494+553028+1359287+65306</f>
        <v>3235127</v>
      </c>
      <c r="AA107" s="58">
        <f t="shared" si="17"/>
        <v>6361303</v>
      </c>
      <c r="AC107" s="1">
        <f t="shared" si="18"/>
        <v>0</v>
      </c>
    </row>
    <row r="108" spans="1:29" ht="12" customHeight="1">
      <c r="A108" s="12" t="s">
        <v>640</v>
      </c>
      <c r="B108" s="12"/>
      <c r="C108" s="12" t="s">
        <v>71</v>
      </c>
      <c r="D108" s="12"/>
      <c r="E108" s="13">
        <v>50534</v>
      </c>
      <c r="G108" s="1">
        <v>5218208</v>
      </c>
      <c r="I108" s="1">
        <v>43205</v>
      </c>
      <c r="K108" s="41">
        <f t="shared" si="15"/>
        <v>4944056</v>
      </c>
      <c r="M108" s="1">
        <v>10205469</v>
      </c>
      <c r="O108" s="41">
        <f t="shared" si="16"/>
        <v>1726815</v>
      </c>
      <c r="Q108" s="1">
        <f>360578+3237327</f>
        <v>3597905</v>
      </c>
      <c r="S108" s="1">
        <v>5324720</v>
      </c>
      <c r="U108" s="1">
        <f>269029+9795+25031+125150+330000+43205</f>
        <v>802210</v>
      </c>
      <c r="W108" s="1">
        <v>150386</v>
      </c>
      <c r="Y108" s="1">
        <f>3487546+357061+83546</f>
        <v>3928153</v>
      </c>
      <c r="AA108" s="58">
        <f t="shared" si="17"/>
        <v>4880749</v>
      </c>
      <c r="AC108" s="1">
        <f t="shared" si="18"/>
        <v>0</v>
      </c>
    </row>
    <row r="109" spans="1:29" ht="12" customHeight="1">
      <c r="A109" s="12" t="s">
        <v>928</v>
      </c>
      <c r="B109" s="12"/>
      <c r="C109" s="12" t="s">
        <v>32</v>
      </c>
      <c r="D109" s="12"/>
      <c r="E109" s="13">
        <v>43752</v>
      </c>
      <c r="G109" s="1">
        <v>452906913</v>
      </c>
      <c r="I109" s="1">
        <v>7681610</v>
      </c>
      <c r="K109" s="41">
        <f t="shared" si="15"/>
        <v>389784171</v>
      </c>
      <c r="M109" s="1">
        <v>850372694</v>
      </c>
      <c r="O109" s="41">
        <f t="shared" si="16"/>
        <v>73430714</v>
      </c>
      <c r="Q109" s="1">
        <f>275761288+31318706</f>
        <v>307079994</v>
      </c>
      <c r="S109" s="1">
        <v>380510708</v>
      </c>
      <c r="U109" s="1">
        <f>89279255+6226910+70130860+1420826+768034+3467976</f>
        <v>171293861</v>
      </c>
      <c r="W109" s="1">
        <v>0</v>
      </c>
      <c r="Y109" s="1">
        <f>45882306+5435099+246788752+461968</f>
        <v>298568125</v>
      </c>
      <c r="AA109" s="58">
        <f t="shared" si="17"/>
        <v>469861986</v>
      </c>
      <c r="AC109" s="1">
        <f t="shared" si="18"/>
        <v>0</v>
      </c>
    </row>
    <row r="110" spans="1:29" ht="12" customHeight="1">
      <c r="A110" s="12" t="s">
        <v>525</v>
      </c>
      <c r="B110" s="12"/>
      <c r="C110" s="12" t="s">
        <v>54</v>
      </c>
      <c r="D110" s="12"/>
      <c r="E110" s="13">
        <v>43760</v>
      </c>
      <c r="G110" s="1">
        <v>14750449</v>
      </c>
      <c r="I110" s="1">
        <v>104324</v>
      </c>
      <c r="K110" s="41">
        <f t="shared" si="15"/>
        <v>10369697</v>
      </c>
      <c r="M110" s="1">
        <v>25224470</v>
      </c>
      <c r="O110" s="41">
        <f t="shared" si="16"/>
        <v>3740254</v>
      </c>
      <c r="Q110" s="1">
        <f>7097193+1256857</f>
        <v>8354050</v>
      </c>
      <c r="S110" s="1">
        <v>12094304</v>
      </c>
      <c r="U110" s="1">
        <f>198099+27219+986235+190+82071+22253</f>
        <v>1316067</v>
      </c>
      <c r="W110" s="1">
        <v>0</v>
      </c>
      <c r="Y110" s="1">
        <f>11674406+802885-663192</f>
        <v>11814099</v>
      </c>
      <c r="AA110" s="58">
        <f t="shared" si="17"/>
        <v>13130166</v>
      </c>
      <c r="AC110" s="1">
        <f t="shared" si="18"/>
        <v>0</v>
      </c>
    </row>
    <row r="111" spans="1:29" ht="12" customHeight="1">
      <c r="A111" s="12" t="s">
        <v>245</v>
      </c>
      <c r="B111" s="12"/>
      <c r="C111" s="12" t="s">
        <v>17</v>
      </c>
      <c r="D111" s="12"/>
      <c r="E111" s="13">
        <v>46284</v>
      </c>
      <c r="G111" s="1">
        <v>3547482</v>
      </c>
      <c r="I111" s="1">
        <v>21270</v>
      </c>
      <c r="K111" s="41">
        <f t="shared" si="15"/>
        <v>11379759</v>
      </c>
      <c r="M111" s="1">
        <v>14948511</v>
      </c>
      <c r="O111" s="41">
        <f t="shared" si="16"/>
        <v>2634157</v>
      </c>
      <c r="Q111" s="1">
        <v>8939683</v>
      </c>
      <c r="S111" s="1">
        <v>11573840</v>
      </c>
      <c r="U111" s="1">
        <f>452296+2489924+21270</f>
        <v>2963490</v>
      </c>
      <c r="W111" s="1">
        <v>0</v>
      </c>
      <c r="Y111" s="1">
        <f>16309+99133+295739</f>
        <v>411181</v>
      </c>
      <c r="AA111" s="58">
        <f t="shared" si="17"/>
        <v>3374671</v>
      </c>
      <c r="AC111" s="1">
        <f t="shared" si="18"/>
        <v>0</v>
      </c>
    </row>
    <row r="112" spans="1:29" s="16" customFormat="1" ht="12" customHeight="1">
      <c r="A112" s="14" t="s">
        <v>560</v>
      </c>
      <c r="B112" s="14"/>
      <c r="C112" s="14" t="s">
        <v>59</v>
      </c>
      <c r="D112" s="14"/>
      <c r="E112" s="13">
        <v>49601</v>
      </c>
      <c r="G112" s="1">
        <v>770685</v>
      </c>
      <c r="H112" s="1"/>
      <c r="I112" s="1">
        <v>24837</v>
      </c>
      <c r="J112" s="1"/>
      <c r="K112" s="41">
        <f t="shared" si="15"/>
        <v>23949507</v>
      </c>
      <c r="L112" s="1"/>
      <c r="M112" s="1">
        <v>24745029</v>
      </c>
      <c r="N112" s="1"/>
      <c r="O112" s="41">
        <f t="shared" si="16"/>
        <v>1496166</v>
      </c>
      <c r="P112" s="1"/>
      <c r="Q112" s="1">
        <v>11710010</v>
      </c>
      <c r="R112" s="1"/>
      <c r="S112" s="1">
        <v>13206176</v>
      </c>
      <c r="T112" s="1"/>
      <c r="U112" s="1">
        <f>5339574+105499</f>
        <v>5445073</v>
      </c>
      <c r="V112" s="1"/>
      <c r="W112" s="1">
        <v>0</v>
      </c>
      <c r="X112" s="1"/>
      <c r="Y112" s="1">
        <f>6026760+73226+41393-47599</f>
        <v>6093780</v>
      </c>
      <c r="Z112" s="1"/>
      <c r="AA112" s="58">
        <f t="shared" si="17"/>
        <v>11538853</v>
      </c>
      <c r="AB112" s="1"/>
      <c r="AC112" s="1">
        <f t="shared" si="18"/>
        <v>0</v>
      </c>
    </row>
    <row r="113" spans="1:29" ht="12" customHeight="1">
      <c r="A113" s="12" t="s">
        <v>618</v>
      </c>
      <c r="B113" s="12"/>
      <c r="C113" s="12" t="s">
        <v>65</v>
      </c>
      <c r="D113" s="12"/>
      <c r="E113" s="13">
        <v>43778</v>
      </c>
      <c r="G113" s="1">
        <v>4253981</v>
      </c>
      <c r="I113" s="1">
        <v>197257</v>
      </c>
      <c r="K113" s="41">
        <f t="shared" si="15"/>
        <v>4534327</v>
      </c>
      <c r="M113" s="1">
        <v>8985565</v>
      </c>
      <c r="O113" s="41">
        <f t="shared" si="16"/>
        <v>2772640</v>
      </c>
      <c r="Q113" s="1">
        <f>667600+3052780</f>
        <v>3720380</v>
      </c>
      <c r="S113" s="1">
        <v>6493020</v>
      </c>
      <c r="U113" s="1">
        <f>1303262+8964+24193+292776+474246+185767+11490</f>
        <v>2300698</v>
      </c>
      <c r="W113" s="1">
        <v>0</v>
      </c>
      <c r="Y113" s="1">
        <f>182265+43243-33661</f>
        <v>191847</v>
      </c>
      <c r="AA113" s="58">
        <f t="shared" si="17"/>
        <v>2492545</v>
      </c>
      <c r="AC113" s="1">
        <f t="shared" si="18"/>
        <v>0</v>
      </c>
    </row>
    <row r="114" spans="1:29" ht="12" customHeight="1">
      <c r="A114" s="12" t="s">
        <v>543</v>
      </c>
      <c r="B114" s="12"/>
      <c r="C114" s="12" t="s">
        <v>112</v>
      </c>
      <c r="D114" s="12"/>
      <c r="E114" s="13">
        <v>49411</v>
      </c>
      <c r="G114" s="1">
        <v>7329884</v>
      </c>
      <c r="I114" s="1">
        <v>1112</v>
      </c>
      <c r="K114" s="41">
        <f t="shared" si="15"/>
        <v>5005787</v>
      </c>
      <c r="M114" s="1">
        <v>12336783</v>
      </c>
      <c r="O114" s="41">
        <f t="shared" si="16"/>
        <v>1629679</v>
      </c>
      <c r="Q114" s="1">
        <f>454628+3557385</f>
        <v>4012013</v>
      </c>
      <c r="S114" s="1">
        <v>5641692</v>
      </c>
      <c r="U114" s="1">
        <f>29516+52371+216512+428409+718988</f>
        <v>1445796</v>
      </c>
      <c r="W114" s="1">
        <v>0</v>
      </c>
      <c r="Y114" s="1">
        <f>5053703+88533+107059</f>
        <v>5249295</v>
      </c>
      <c r="AA114" s="58">
        <f t="shared" si="17"/>
        <v>6695091</v>
      </c>
      <c r="AC114" s="1">
        <f t="shared" si="18"/>
        <v>0</v>
      </c>
    </row>
    <row r="115" spans="1:29" ht="12" customHeight="1">
      <c r="A115" s="12" t="s">
        <v>438</v>
      </c>
      <c r="B115" s="12"/>
      <c r="C115" s="12" t="s">
        <v>44</v>
      </c>
      <c r="D115" s="12"/>
      <c r="E115" s="13">
        <v>48132</v>
      </c>
      <c r="G115" s="1">
        <v>2465707</v>
      </c>
      <c r="I115" s="1">
        <v>251559</v>
      </c>
      <c r="K115" s="41">
        <f t="shared" si="15"/>
        <v>3781790</v>
      </c>
      <c r="M115" s="1">
        <v>6499056</v>
      </c>
      <c r="O115" s="41">
        <f t="shared" si="16"/>
        <v>2388554</v>
      </c>
      <c r="Q115" s="1">
        <v>3494467</v>
      </c>
      <c r="S115" s="1">
        <v>5883021</v>
      </c>
      <c r="U115" s="1">
        <f>8909+242650+166537+323570</f>
        <v>741666</v>
      </c>
      <c r="W115" s="1">
        <v>0</v>
      </c>
      <c r="Y115" s="1">
        <f>464+236954+404892-767941</f>
        <v>-125631</v>
      </c>
      <c r="AA115" s="58">
        <f t="shared" si="17"/>
        <v>616035</v>
      </c>
      <c r="AC115" s="1">
        <f t="shared" si="18"/>
        <v>0</v>
      </c>
    </row>
    <row r="116" spans="1:29" ht="12" customHeight="1">
      <c r="A116" s="12" t="s">
        <v>797</v>
      </c>
      <c r="B116" s="12"/>
      <c r="C116" s="12" t="s">
        <v>115</v>
      </c>
      <c r="D116" s="12"/>
      <c r="E116" s="13"/>
      <c r="G116" s="1">
        <v>3039814</v>
      </c>
      <c r="I116" s="1">
        <v>0</v>
      </c>
      <c r="K116" s="41">
        <f t="shared" si="15"/>
        <v>7986435</v>
      </c>
      <c r="M116" s="1">
        <v>11026249</v>
      </c>
      <c r="O116" s="41">
        <f t="shared" si="16"/>
        <v>1720108</v>
      </c>
      <c r="Q116" s="1">
        <v>6305839</v>
      </c>
      <c r="S116" s="1">
        <v>8025947</v>
      </c>
      <c r="U116" s="1">
        <f>48831+688200+15648+1162590</f>
        <v>1915269</v>
      </c>
      <c r="W116" s="1">
        <v>0</v>
      </c>
      <c r="Y116" s="1">
        <f>1319346-234313</f>
        <v>1085033</v>
      </c>
      <c r="AA116" s="58">
        <f t="shared" si="17"/>
        <v>3000302</v>
      </c>
      <c r="AC116" s="1">
        <f t="shared" si="18"/>
        <v>0</v>
      </c>
    </row>
    <row r="117" spans="1:29" s="16" customFormat="1" ht="12" customHeight="1">
      <c r="A117" s="12" t="s">
        <v>796</v>
      </c>
      <c r="B117" s="12"/>
      <c r="C117" s="12" t="s">
        <v>20</v>
      </c>
      <c r="D117" s="12"/>
      <c r="E117" s="13">
        <v>43794</v>
      </c>
      <c r="F117" s="1"/>
      <c r="G117" s="1">
        <v>43022776</v>
      </c>
      <c r="H117" s="1"/>
      <c r="I117" s="1">
        <v>5476042</v>
      </c>
      <c r="J117" s="1"/>
      <c r="K117" s="41">
        <f t="shared" si="15"/>
        <v>81705398</v>
      </c>
      <c r="L117" s="1"/>
      <c r="M117" s="1">
        <v>130204216</v>
      </c>
      <c r="N117" s="1"/>
      <c r="O117" s="41">
        <f t="shared" si="16"/>
        <v>6569354</v>
      </c>
      <c r="P117" s="1"/>
      <c r="Q117" s="1">
        <v>55648079</v>
      </c>
      <c r="R117" s="1"/>
      <c r="S117" s="1">
        <v>62217433</v>
      </c>
      <c r="T117" s="1"/>
      <c r="U117" s="1">
        <f>3690440+391876+17426001+99138+1734828</f>
        <v>23342283</v>
      </c>
      <c r="V117" s="1"/>
      <c r="W117" s="1">
        <v>0</v>
      </c>
      <c r="X117" s="1"/>
      <c r="Y117" s="1">
        <f>40721484+10070+3912946</f>
        <v>44644500</v>
      </c>
      <c r="Z117" s="1"/>
      <c r="AA117" s="58">
        <f t="shared" si="17"/>
        <v>67986783</v>
      </c>
      <c r="AB117" s="1"/>
      <c r="AC117" s="1">
        <f t="shared" si="18"/>
        <v>0</v>
      </c>
    </row>
    <row r="118" spans="1:29" ht="12" customHeight="1">
      <c r="A118" s="12" t="s">
        <v>286</v>
      </c>
      <c r="B118" s="12"/>
      <c r="C118" s="12" t="s">
        <v>20</v>
      </c>
      <c r="D118" s="12"/>
      <c r="E118" s="13">
        <v>43786</v>
      </c>
      <c r="G118" s="1">
        <v>144952236</v>
      </c>
      <c r="I118" s="1">
        <v>3579736</v>
      </c>
      <c r="K118" s="41">
        <f t="shared" si="15"/>
        <v>519368728</v>
      </c>
      <c r="M118" s="1">
        <v>667900700</v>
      </c>
      <c r="O118" s="41">
        <f t="shared" si="16"/>
        <v>89900649</v>
      </c>
      <c r="Q118" s="1">
        <v>429104578</v>
      </c>
      <c r="S118" s="1">
        <v>519005227</v>
      </c>
      <c r="U118" s="1">
        <f>59613866+2629181+19923504</f>
        <v>82166551</v>
      </c>
      <c r="W118" s="1">
        <v>0</v>
      </c>
      <c r="Y118" s="1">
        <f>66946176+21439876+19307184-40964314</f>
        <v>66728922</v>
      </c>
      <c r="AA118" s="58">
        <f t="shared" si="17"/>
        <v>148895473</v>
      </c>
      <c r="AC118" s="1">
        <f t="shared" si="18"/>
        <v>0</v>
      </c>
    </row>
    <row r="119" spans="1:29" ht="12" customHeight="1">
      <c r="A119" s="12" t="s">
        <v>260</v>
      </c>
      <c r="B119" s="12"/>
      <c r="C119" s="12" t="s">
        <v>18</v>
      </c>
      <c r="D119" s="12"/>
      <c r="E119" s="13">
        <v>46391</v>
      </c>
      <c r="G119" s="1">
        <v>6582846</v>
      </c>
      <c r="I119" s="1">
        <v>31360</v>
      </c>
      <c r="K119" s="41">
        <f t="shared" si="15"/>
        <v>5727598</v>
      </c>
      <c r="M119" s="1">
        <v>12341804</v>
      </c>
      <c r="O119" s="41">
        <f t="shared" si="16"/>
        <v>1868651</v>
      </c>
      <c r="Q119" s="1">
        <f>4972874+396296</f>
        <v>5369170</v>
      </c>
      <c r="S119" s="1">
        <v>7237821</v>
      </c>
      <c r="U119" s="1">
        <f>321856+30628+17226+410611+1187973</f>
        <v>1968294</v>
      </c>
      <c r="W119" s="1">
        <v>0</v>
      </c>
      <c r="Y119" s="1">
        <f>1832989+74996+1227704</f>
        <v>3135689</v>
      </c>
      <c r="AA119" s="58">
        <f t="shared" si="17"/>
        <v>5103983</v>
      </c>
      <c r="AC119" s="1">
        <f t="shared" si="18"/>
        <v>0</v>
      </c>
    </row>
    <row r="120" spans="1:29" ht="12" customHeight="1">
      <c r="A120" s="12" t="s">
        <v>480</v>
      </c>
      <c r="B120" s="12"/>
      <c r="C120" s="12" t="s">
        <v>47</v>
      </c>
      <c r="D120" s="12"/>
      <c r="E120" s="13">
        <v>48488</v>
      </c>
      <c r="G120" s="1">
        <v>3991536</v>
      </c>
      <c r="I120" s="1">
        <f>22069330+24277</f>
        <v>22093607</v>
      </c>
      <c r="K120" s="41">
        <f t="shared" si="15"/>
        <v>14718068</v>
      </c>
      <c r="M120" s="1">
        <v>40803211</v>
      </c>
      <c r="O120" s="41">
        <f t="shared" si="16"/>
        <v>4925016</v>
      </c>
      <c r="Q120" s="1">
        <v>12258278</v>
      </c>
      <c r="S120" s="1">
        <v>17183294</v>
      </c>
      <c r="U120" s="1">
        <f>18239665+1522780</f>
        <v>19762445</v>
      </c>
      <c r="W120" s="1">
        <v>0</v>
      </c>
      <c r="Y120" s="1">
        <f>8670+6169970-2321168</f>
        <v>3857472</v>
      </c>
      <c r="AA120" s="58">
        <f t="shared" si="17"/>
        <v>23619917</v>
      </c>
      <c r="AC120" s="1">
        <f t="shared" si="18"/>
        <v>0</v>
      </c>
    </row>
    <row r="121" spans="1:29" ht="12" customHeight="1">
      <c r="A121" s="12" t="s">
        <v>555</v>
      </c>
      <c r="B121" s="12"/>
      <c r="C121" s="12" t="s">
        <v>79</v>
      </c>
      <c r="D121" s="12"/>
      <c r="E121" s="13">
        <v>45302</v>
      </c>
      <c r="G121" s="1">
        <f>6665234+17932837</f>
        <v>24598071</v>
      </c>
      <c r="I121" s="1">
        <v>591345</v>
      </c>
      <c r="K121" s="41">
        <f t="shared" si="15"/>
        <v>9024339</v>
      </c>
      <c r="M121" s="1">
        <v>34213755</v>
      </c>
      <c r="O121" s="41">
        <f t="shared" si="16"/>
        <v>6275700</v>
      </c>
      <c r="Q121" s="1">
        <f>1814271+5389044</f>
        <v>7203315</v>
      </c>
      <c r="S121" s="1">
        <v>13479015</v>
      </c>
      <c r="U121" s="1">
        <f>7775123+24362+1137882+23697</f>
        <v>8961064</v>
      </c>
      <c r="W121" s="1">
        <v>972375</v>
      </c>
      <c r="Y121" s="1">
        <f>51524+668195+586240+9495342</f>
        <v>10801301</v>
      </c>
      <c r="AA121" s="58">
        <f t="shared" si="17"/>
        <v>20734740</v>
      </c>
      <c r="AC121" s="1">
        <f t="shared" si="18"/>
        <v>0</v>
      </c>
    </row>
    <row r="122" spans="1:29" ht="12" hidden="1" customHeight="1">
      <c r="A122" s="12" t="s">
        <v>798</v>
      </c>
      <c r="B122" s="12"/>
      <c r="C122" s="12" t="s">
        <v>486</v>
      </c>
      <c r="D122" s="12"/>
      <c r="E122" s="13"/>
      <c r="K122" s="41">
        <f t="shared" si="15"/>
        <v>0</v>
      </c>
      <c r="O122" s="41">
        <f t="shared" si="16"/>
        <v>0</v>
      </c>
      <c r="AA122" s="58">
        <f t="shared" si="17"/>
        <v>0</v>
      </c>
      <c r="AC122" s="1">
        <f t="shared" si="18"/>
        <v>0</v>
      </c>
    </row>
    <row r="123" spans="1:29" ht="12" hidden="1" customHeight="1">
      <c r="A123" s="12" t="s">
        <v>929</v>
      </c>
      <c r="B123" s="12"/>
      <c r="C123" s="12" t="s">
        <v>57</v>
      </c>
      <c r="D123" s="12"/>
      <c r="E123" s="13">
        <v>64964</v>
      </c>
      <c r="K123" s="41">
        <f t="shared" si="15"/>
        <v>0</v>
      </c>
      <c r="O123" s="41">
        <f t="shared" si="16"/>
        <v>0</v>
      </c>
      <c r="AA123" s="58">
        <f t="shared" si="17"/>
        <v>0</v>
      </c>
      <c r="AC123" s="1">
        <f t="shared" si="18"/>
        <v>0</v>
      </c>
    </row>
    <row r="124" spans="1:29" ht="12" customHeight="1">
      <c r="A124" s="12" t="s">
        <v>277</v>
      </c>
      <c r="B124" s="12"/>
      <c r="C124" s="12" t="s">
        <v>113</v>
      </c>
      <c r="D124" s="12"/>
      <c r="E124" s="13">
        <v>46516</v>
      </c>
      <c r="G124" s="1">
        <v>2542090</v>
      </c>
      <c r="I124" s="1">
        <v>45561</v>
      </c>
      <c r="K124" s="41">
        <f t="shared" si="15"/>
        <v>3466739</v>
      </c>
      <c r="M124" s="1">
        <v>6054390</v>
      </c>
      <c r="O124" s="41">
        <f t="shared" si="16"/>
        <v>1103391</v>
      </c>
      <c r="Q124" s="1">
        <f>1563657+173008</f>
        <v>1736665</v>
      </c>
      <c r="S124" s="1">
        <v>2840056</v>
      </c>
      <c r="U124" s="1">
        <f>51182+17519+1163612+676654+45561</f>
        <v>1954528</v>
      </c>
      <c r="W124" s="1">
        <v>37427</v>
      </c>
      <c r="Y124" s="1">
        <f>520184+67798+634397</f>
        <v>1222379</v>
      </c>
      <c r="AA124" s="58">
        <f t="shared" si="17"/>
        <v>3214334</v>
      </c>
      <c r="AC124" s="1">
        <f t="shared" si="18"/>
        <v>0</v>
      </c>
    </row>
    <row r="125" spans="1:29" ht="12" customHeight="1">
      <c r="A125" s="12" t="s">
        <v>439</v>
      </c>
      <c r="B125" s="12"/>
      <c r="C125" s="12" t="s">
        <v>44</v>
      </c>
      <c r="D125" s="12"/>
      <c r="E125" s="13">
        <v>48140</v>
      </c>
      <c r="G125" s="1">
        <v>2198776</v>
      </c>
      <c r="I125" s="1">
        <v>0</v>
      </c>
      <c r="K125" s="41">
        <f t="shared" si="15"/>
        <v>5810454</v>
      </c>
      <c r="M125" s="1">
        <v>8009230</v>
      </c>
      <c r="O125" s="41">
        <f t="shared" si="16"/>
        <v>1592222</v>
      </c>
      <c r="Q125" s="1">
        <f>43480+5464600</f>
        <v>5508080</v>
      </c>
      <c r="S125" s="1">
        <v>7100302</v>
      </c>
      <c r="U125" s="1">
        <f>206147+2213+323260</f>
        <v>531620</v>
      </c>
      <c r="W125" s="1">
        <v>0</v>
      </c>
      <c r="Y125" s="1">
        <f>340259+66512-29463</f>
        <v>377308</v>
      </c>
      <c r="AA125" s="58">
        <f t="shared" si="17"/>
        <v>908928</v>
      </c>
      <c r="AC125" s="1">
        <f t="shared" si="18"/>
        <v>0</v>
      </c>
    </row>
    <row r="126" spans="1:29" ht="12" customHeight="1">
      <c r="A126" s="12" t="s">
        <v>264</v>
      </c>
      <c r="B126" s="12"/>
      <c r="C126" s="12" t="s">
        <v>114</v>
      </c>
      <c r="D126" s="12"/>
      <c r="E126" s="13">
        <v>45328</v>
      </c>
      <c r="G126" s="1">
        <v>2980393</v>
      </c>
      <c r="I126" s="1">
        <v>96492</v>
      </c>
      <c r="K126" s="41">
        <f t="shared" si="15"/>
        <v>7437118</v>
      </c>
      <c r="M126" s="1">
        <v>10514003</v>
      </c>
      <c r="O126" s="41">
        <f t="shared" si="16"/>
        <v>3495417</v>
      </c>
      <c r="Q126" s="1">
        <v>4913072</v>
      </c>
      <c r="S126" s="1">
        <v>8408489</v>
      </c>
      <c r="U126" s="1">
        <f>1537181+60964</f>
        <v>1598145</v>
      </c>
      <c r="W126" s="1">
        <v>0</v>
      </c>
      <c r="Y126" s="1">
        <f>1350154+80742+209711-1133238</f>
        <v>507369</v>
      </c>
      <c r="AA126" s="58">
        <f t="shared" si="17"/>
        <v>2105514</v>
      </c>
      <c r="AC126" s="1">
        <f t="shared" si="18"/>
        <v>0</v>
      </c>
    </row>
    <row r="127" spans="1:29" ht="12" customHeight="1">
      <c r="A127" s="12" t="s">
        <v>331</v>
      </c>
      <c r="B127" s="12"/>
      <c r="C127" s="12" t="s">
        <v>27</v>
      </c>
      <c r="D127" s="12"/>
      <c r="E127" s="13">
        <v>43802</v>
      </c>
      <c r="G127" s="1">
        <f>416639240+3000216+78074382</f>
        <v>497713838</v>
      </c>
      <c r="I127" s="1">
        <v>1074233</v>
      </c>
      <c r="K127" s="41">
        <f t="shared" si="15"/>
        <v>534300743</v>
      </c>
      <c r="M127" s="1">
        <v>1033088814</v>
      </c>
      <c r="O127" s="41">
        <f t="shared" si="16"/>
        <v>166015759</v>
      </c>
      <c r="Q127" s="1">
        <v>426055798</v>
      </c>
      <c r="S127" s="1">
        <v>592071557</v>
      </c>
      <c r="U127" s="1">
        <f>30202424+50379149+673401</f>
        <v>81254974</v>
      </c>
      <c r="W127" s="1">
        <v>0</v>
      </c>
      <c r="Y127" s="1">
        <f>143861372+26731357+31879910+157032477+257167</f>
        <v>359762283</v>
      </c>
      <c r="AA127" s="58">
        <f t="shared" si="17"/>
        <v>441017257</v>
      </c>
      <c r="AC127" s="1">
        <f t="shared" si="18"/>
        <v>0</v>
      </c>
    </row>
    <row r="128" spans="1:29" ht="12" hidden="1" customHeight="1">
      <c r="A128" s="12" t="s">
        <v>731</v>
      </c>
      <c r="B128" s="12"/>
      <c r="C128" s="12" t="s">
        <v>542</v>
      </c>
      <c r="D128" s="12"/>
      <c r="E128" s="13">
        <v>49312</v>
      </c>
      <c r="K128" s="41">
        <f t="shared" si="15"/>
        <v>0</v>
      </c>
      <c r="O128" s="41">
        <f t="shared" si="16"/>
        <v>0</v>
      </c>
      <c r="AA128" s="58">
        <f t="shared" si="17"/>
        <v>0</v>
      </c>
      <c r="AC128" s="1">
        <f t="shared" si="18"/>
        <v>0</v>
      </c>
    </row>
    <row r="129" spans="1:29" ht="12" customHeight="1">
      <c r="A129" s="12" t="s">
        <v>210</v>
      </c>
      <c r="B129" s="12"/>
      <c r="C129" s="12" t="s">
        <v>12</v>
      </c>
      <c r="D129" s="12"/>
      <c r="E129" s="13">
        <v>43810</v>
      </c>
      <c r="G129" s="1">
        <v>7133385</v>
      </c>
      <c r="I129" s="1">
        <v>649536</v>
      </c>
      <c r="K129" s="41">
        <f t="shared" si="15"/>
        <v>5386446</v>
      </c>
      <c r="M129" s="1">
        <v>13169367</v>
      </c>
      <c r="O129" s="41">
        <f t="shared" si="16"/>
        <v>2482248</v>
      </c>
      <c r="Q129" s="1">
        <v>2977393</v>
      </c>
      <c r="S129" s="1">
        <v>5459641</v>
      </c>
      <c r="U129" s="1">
        <f>53680+1845162+649536</f>
        <v>2548378</v>
      </c>
      <c r="W129" s="1">
        <v>0</v>
      </c>
      <c r="Y129" s="1">
        <f>1309615+409876+1232827+2209030</f>
        <v>5161348</v>
      </c>
      <c r="AA129" s="58">
        <f t="shared" si="17"/>
        <v>7709726</v>
      </c>
      <c r="AC129" s="1">
        <f t="shared" si="18"/>
        <v>0</v>
      </c>
    </row>
    <row r="130" spans="1:29" ht="12" customHeight="1">
      <c r="A130" s="12" t="s">
        <v>387</v>
      </c>
      <c r="B130" s="12"/>
      <c r="C130" s="12" t="s">
        <v>388</v>
      </c>
      <c r="D130" s="12"/>
      <c r="E130" s="13">
        <v>47548</v>
      </c>
      <c r="G130" s="1">
        <v>955699</v>
      </c>
      <c r="I130" s="1">
        <v>178019</v>
      </c>
      <c r="K130" s="41">
        <f t="shared" si="15"/>
        <v>2121224</v>
      </c>
      <c r="M130" s="1">
        <v>3254942</v>
      </c>
      <c r="O130" s="41">
        <f t="shared" si="16"/>
        <v>639192</v>
      </c>
      <c r="Q130" s="1">
        <f>142873+1916170</f>
        <v>2059043</v>
      </c>
      <c r="S130" s="1">
        <v>2698235</v>
      </c>
      <c r="U130" s="1">
        <f>48990+3064+20787+103371+138753+39266</f>
        <v>354231</v>
      </c>
      <c r="W130" s="1">
        <v>0</v>
      </c>
      <c r="Y130" s="1">
        <f>298216+13256-108996</f>
        <v>202476</v>
      </c>
      <c r="AA130" s="58">
        <f t="shared" si="17"/>
        <v>556707</v>
      </c>
      <c r="AC130" s="1">
        <f t="shared" si="18"/>
        <v>0</v>
      </c>
    </row>
    <row r="131" spans="1:29" ht="12" hidden="1" customHeight="1">
      <c r="A131" s="12" t="s">
        <v>831</v>
      </c>
      <c r="B131" s="12"/>
      <c r="C131" s="12" t="s">
        <v>542</v>
      </c>
      <c r="D131" s="12"/>
      <c r="E131" s="13">
        <v>49320</v>
      </c>
      <c r="K131" s="41">
        <f t="shared" si="15"/>
        <v>0</v>
      </c>
      <c r="O131" s="41">
        <f t="shared" si="16"/>
        <v>0</v>
      </c>
      <c r="AA131" s="58">
        <f t="shared" si="17"/>
        <v>0</v>
      </c>
      <c r="AC131" s="1">
        <f t="shared" si="18"/>
        <v>0</v>
      </c>
    </row>
    <row r="132" spans="1:29" ht="12" customHeight="1">
      <c r="A132" s="12" t="s">
        <v>588</v>
      </c>
      <c r="B132" s="12"/>
      <c r="C132" s="12" t="s">
        <v>63</v>
      </c>
      <c r="D132" s="12"/>
      <c r="E132" s="13">
        <v>49981</v>
      </c>
      <c r="G132" s="1">
        <v>8814989</v>
      </c>
      <c r="I132" s="1">
        <v>0</v>
      </c>
      <c r="K132" s="41">
        <f t="shared" si="15"/>
        <v>26611874</v>
      </c>
      <c r="M132" s="1">
        <v>35426863</v>
      </c>
      <c r="O132" s="41">
        <f t="shared" si="16"/>
        <v>4725612</v>
      </c>
      <c r="Q132" s="1">
        <v>22984402</v>
      </c>
      <c r="S132" s="1">
        <v>27710014</v>
      </c>
      <c r="U132" s="1">
        <v>387672</v>
      </c>
      <c r="W132" s="1">
        <v>0</v>
      </c>
      <c r="Y132" s="1">
        <f>5580177+770725+1060647-82372</f>
        <v>7329177</v>
      </c>
      <c r="AA132" s="58">
        <f t="shared" si="17"/>
        <v>7716849</v>
      </c>
      <c r="AC132" s="1">
        <f t="shared" si="18"/>
        <v>0</v>
      </c>
    </row>
    <row r="133" spans="1:29" ht="12" customHeight="1">
      <c r="A133" s="12" t="s">
        <v>930</v>
      </c>
      <c r="B133" s="12"/>
      <c r="C133" s="12" t="s">
        <v>33</v>
      </c>
      <c r="D133" s="12"/>
      <c r="E133" s="13">
        <v>47431</v>
      </c>
      <c r="G133" s="1">
        <v>6780781</v>
      </c>
      <c r="I133" s="1">
        <v>5370</v>
      </c>
      <c r="K133" s="41">
        <f t="shared" si="15"/>
        <v>9175304</v>
      </c>
      <c r="M133" s="1">
        <v>15961455</v>
      </c>
      <c r="O133" s="41">
        <f t="shared" si="16"/>
        <v>995961</v>
      </c>
      <c r="Q133" s="1">
        <v>8417147</v>
      </c>
      <c r="S133" s="1">
        <v>9413108</v>
      </c>
      <c r="U133" s="1">
        <f>161000+5370+930110</f>
        <v>1096480</v>
      </c>
      <c r="W133" s="1">
        <v>0</v>
      </c>
      <c r="Y133" s="1">
        <f>5555635+213145+114752-431665</f>
        <v>5451867</v>
      </c>
      <c r="AA133" s="58">
        <f t="shared" si="17"/>
        <v>6548347</v>
      </c>
      <c r="AC133" s="1">
        <f t="shared" si="18"/>
        <v>0</v>
      </c>
    </row>
    <row r="134" spans="1:29" ht="12" customHeight="1">
      <c r="A134" s="12" t="s">
        <v>272</v>
      </c>
      <c r="B134" s="12"/>
      <c r="C134" s="12" t="s">
        <v>19</v>
      </c>
      <c r="D134" s="12"/>
      <c r="E134" s="13">
        <v>43828</v>
      </c>
      <c r="G134" s="1">
        <v>1217625</v>
      </c>
      <c r="I134" s="1">
        <v>1002609</v>
      </c>
      <c r="K134" s="41">
        <f t="shared" si="15"/>
        <v>5568708</v>
      </c>
      <c r="M134" s="1">
        <v>7788942</v>
      </c>
      <c r="O134" s="41">
        <f t="shared" si="16"/>
        <v>1882317</v>
      </c>
      <c r="Q134" s="1">
        <v>5102867</v>
      </c>
      <c r="S134" s="1">
        <v>6985184</v>
      </c>
      <c r="U134" s="1">
        <f>228867+34683+11565+5949+288090+693491+309118</f>
        <v>1571763</v>
      </c>
      <c r="W134" s="1">
        <v>0</v>
      </c>
      <c r="Y134" s="1">
        <f>165742+31442-965189</f>
        <v>-768005</v>
      </c>
      <c r="AA134" s="58">
        <f t="shared" si="17"/>
        <v>803758</v>
      </c>
      <c r="AC134" s="1">
        <f t="shared" si="18"/>
        <v>0</v>
      </c>
    </row>
    <row r="135" spans="1:29" ht="12" customHeight="1">
      <c r="A135" s="12" t="s">
        <v>720</v>
      </c>
      <c r="B135" s="12"/>
      <c r="C135" s="12" t="s">
        <v>63</v>
      </c>
      <c r="D135" s="12"/>
      <c r="E135" s="13"/>
      <c r="G135" s="1">
        <v>427166</v>
      </c>
      <c r="I135" s="1">
        <v>502583</v>
      </c>
      <c r="K135" s="41">
        <f t="shared" si="15"/>
        <v>10958023</v>
      </c>
      <c r="M135" s="1">
        <v>11887772</v>
      </c>
      <c r="O135" s="41">
        <f t="shared" si="16"/>
        <v>4918368</v>
      </c>
      <c r="Q135" s="1">
        <v>9497508</v>
      </c>
      <c r="S135" s="1">
        <v>14415876</v>
      </c>
      <c r="U135" s="1">
        <f>175881+987103+940752</f>
        <v>2103736</v>
      </c>
      <c r="W135" s="1">
        <v>0</v>
      </c>
      <c r="Y135" s="1">
        <f>95-3301-4628634</f>
        <v>-4631840</v>
      </c>
      <c r="AA135" s="58">
        <f t="shared" si="17"/>
        <v>-2528104</v>
      </c>
      <c r="AC135" s="1">
        <f t="shared" si="18"/>
        <v>0</v>
      </c>
    </row>
    <row r="136" spans="1:29" ht="12" customHeight="1">
      <c r="A136" s="12" t="s">
        <v>799</v>
      </c>
      <c r="B136" s="12"/>
      <c r="C136" s="12" t="s">
        <v>48</v>
      </c>
      <c r="D136" s="12"/>
      <c r="E136" s="13">
        <v>45336</v>
      </c>
      <c r="G136" s="1">
        <v>1920997</v>
      </c>
      <c r="I136" s="1">
        <v>0</v>
      </c>
      <c r="K136" s="41">
        <f t="shared" si="15"/>
        <v>2218937</v>
      </c>
      <c r="M136" s="1">
        <v>4139934</v>
      </c>
      <c r="O136" s="41">
        <f t="shared" si="16"/>
        <v>936038</v>
      </c>
      <c r="Q136" s="1">
        <f>30575+1505407</f>
        <v>1535982</v>
      </c>
      <c r="S136" s="1">
        <v>2472020</v>
      </c>
      <c r="U136" s="1">
        <f>86595+21425+5905+154921</f>
        <v>268846</v>
      </c>
      <c r="W136" s="1">
        <v>0</v>
      </c>
      <c r="Y136" s="1">
        <f>1295896+100570+2602</f>
        <v>1399068</v>
      </c>
      <c r="AA136" s="58">
        <f t="shared" si="17"/>
        <v>1667914</v>
      </c>
      <c r="AC136" s="1">
        <f t="shared" si="18"/>
        <v>0</v>
      </c>
    </row>
    <row r="137" spans="1:29" ht="12" customHeight="1">
      <c r="A137" s="12" t="s">
        <v>800</v>
      </c>
      <c r="B137" s="12"/>
      <c r="C137" s="12" t="s">
        <v>113</v>
      </c>
      <c r="D137" s="12"/>
      <c r="E137" s="13">
        <v>45344</v>
      </c>
      <c r="G137" s="1">
        <v>5266417</v>
      </c>
      <c r="I137" s="1">
        <v>50211</v>
      </c>
      <c r="K137" s="41">
        <f t="shared" si="15"/>
        <v>28735649</v>
      </c>
      <c r="M137" s="1">
        <v>34052277</v>
      </c>
      <c r="O137" s="41">
        <f t="shared" si="16"/>
        <v>1157198</v>
      </c>
      <c r="Q137" s="1">
        <f>11810283+1771301</f>
        <v>13581584</v>
      </c>
      <c r="S137" s="1">
        <v>14738782</v>
      </c>
      <c r="U137" s="1">
        <f>420173+5636+12475+940879+35920+14291</f>
        <v>1429374</v>
      </c>
      <c r="W137" s="1">
        <v>0</v>
      </c>
      <c r="Y137" s="1">
        <f>1656998+64928+139906+16022289</f>
        <v>17884121</v>
      </c>
      <c r="AA137" s="58">
        <f t="shared" si="17"/>
        <v>19313495</v>
      </c>
      <c r="AC137" s="1">
        <f t="shared" si="18"/>
        <v>0</v>
      </c>
    </row>
    <row r="138" spans="1:29" ht="12" customHeight="1">
      <c r="A138" s="12" t="s">
        <v>265</v>
      </c>
      <c r="B138" s="12"/>
      <c r="C138" s="12" t="s">
        <v>114</v>
      </c>
      <c r="D138" s="12"/>
      <c r="E138" s="13">
        <v>46433</v>
      </c>
      <c r="G138" s="1">
        <v>1713945</v>
      </c>
      <c r="I138" s="1">
        <v>58564</v>
      </c>
      <c r="K138" s="41">
        <f t="shared" si="15"/>
        <v>3251200</v>
      </c>
      <c r="M138" s="1">
        <v>5023709</v>
      </c>
      <c r="O138" s="41">
        <f t="shared" si="16"/>
        <v>1373904</v>
      </c>
      <c r="Q138" s="1">
        <v>2704792</v>
      </c>
      <c r="S138" s="1">
        <v>4078696</v>
      </c>
      <c r="U138" s="1">
        <f>812459+58564+36169</f>
        <v>907192</v>
      </c>
      <c r="W138" s="1">
        <v>0</v>
      </c>
      <c r="Y138" s="1">
        <f>112820+54808+528618-658425</f>
        <v>37821</v>
      </c>
      <c r="AA138" s="58">
        <f t="shared" si="17"/>
        <v>945013</v>
      </c>
      <c r="AC138" s="1">
        <f t="shared" si="18"/>
        <v>0</v>
      </c>
    </row>
    <row r="139" spans="1:29" ht="12" customHeight="1">
      <c r="A139" s="12" t="s">
        <v>265</v>
      </c>
      <c r="B139" s="12"/>
      <c r="C139" s="12" t="s">
        <v>112</v>
      </c>
      <c r="D139" s="12"/>
      <c r="E139" s="13">
        <v>49429</v>
      </c>
      <c r="G139" s="1">
        <v>7341613</v>
      </c>
      <c r="I139" s="1">
        <v>33996</v>
      </c>
      <c r="K139" s="41">
        <f t="shared" si="15"/>
        <v>3171393</v>
      </c>
      <c r="M139" s="1">
        <v>10547002</v>
      </c>
      <c r="O139" s="41">
        <f t="shared" si="16"/>
        <v>1194124</v>
      </c>
      <c r="Q139" s="1">
        <f>2247961+195092</f>
        <v>2443053</v>
      </c>
      <c r="S139" s="1">
        <v>3637177</v>
      </c>
      <c r="U139" s="1">
        <f>127691+39006+66175+480039+696033+1198+32798</f>
        <v>1442940</v>
      </c>
      <c r="W139" s="1">
        <v>621033</v>
      </c>
      <c r="Y139" s="1">
        <f>4271411+400818+173623</f>
        <v>4845852</v>
      </c>
      <c r="AA139" s="58">
        <f t="shared" si="17"/>
        <v>6909825</v>
      </c>
      <c r="AC139" s="1">
        <f t="shared" si="18"/>
        <v>0</v>
      </c>
    </row>
    <row r="140" spans="1:29" ht="12" hidden="1" customHeight="1">
      <c r="A140" s="12" t="s">
        <v>801</v>
      </c>
      <c r="B140" s="12"/>
      <c r="C140" s="12" t="s">
        <v>67</v>
      </c>
      <c r="D140" s="12"/>
      <c r="E140" s="13"/>
      <c r="K140" s="41">
        <f t="shared" si="15"/>
        <v>0</v>
      </c>
      <c r="O140" s="41">
        <f t="shared" si="16"/>
        <v>0</v>
      </c>
      <c r="AA140" s="58">
        <f t="shared" si="17"/>
        <v>0</v>
      </c>
      <c r="AC140" s="1">
        <f t="shared" si="18"/>
        <v>0</v>
      </c>
    </row>
    <row r="141" spans="1:29" ht="12" customHeight="1">
      <c r="A141" s="12" t="s">
        <v>533</v>
      </c>
      <c r="B141" s="12"/>
      <c r="C141" s="12" t="s">
        <v>56</v>
      </c>
      <c r="D141" s="12"/>
      <c r="E141" s="13">
        <v>49189</v>
      </c>
      <c r="G141" s="1">
        <f>8428723+30280</f>
        <v>8459003</v>
      </c>
      <c r="I141" s="1">
        <v>422468</v>
      </c>
      <c r="K141" s="41">
        <f t="shared" si="15"/>
        <v>7920363</v>
      </c>
      <c r="M141" s="1">
        <v>16801834</v>
      </c>
      <c r="O141" s="41">
        <f t="shared" si="16"/>
        <v>3278321</v>
      </c>
      <c r="Q141" s="1">
        <v>6298493</v>
      </c>
      <c r="S141" s="1">
        <v>9576814</v>
      </c>
      <c r="U141" s="1">
        <f>1291705+1409781+422468+30280</f>
        <v>3154234</v>
      </c>
      <c r="W141" s="1">
        <v>0</v>
      </c>
      <c r="Y141" s="1">
        <f>672968+2112917+445468+834406+5027</f>
        <v>4070786</v>
      </c>
      <c r="AA141" s="58">
        <f t="shared" si="17"/>
        <v>7225020</v>
      </c>
      <c r="AC141" s="1">
        <f t="shared" si="18"/>
        <v>0</v>
      </c>
    </row>
    <row r="142" spans="1:29" ht="12" customHeight="1">
      <c r="A142" s="12" t="s">
        <v>721</v>
      </c>
      <c r="B142" s="12"/>
      <c r="C142" s="12" t="s">
        <v>524</v>
      </c>
      <c r="D142" s="12"/>
      <c r="E142" s="13"/>
      <c r="G142" s="1">
        <v>1538278</v>
      </c>
      <c r="I142" s="1">
        <v>181061</v>
      </c>
      <c r="K142" s="41">
        <f t="shared" si="15"/>
        <v>2347188</v>
      </c>
      <c r="M142" s="1">
        <v>4066527</v>
      </c>
      <c r="O142" s="41">
        <f t="shared" si="16"/>
        <v>1413628</v>
      </c>
      <c r="Q142" s="1">
        <f>1374037+17307</f>
        <v>1391344</v>
      </c>
      <c r="S142" s="1">
        <v>2804972</v>
      </c>
      <c r="U142" s="1">
        <f>344153+125756+16509+413595+189270+159602</f>
        <v>1248885</v>
      </c>
      <c r="W142" s="1">
        <v>0</v>
      </c>
      <c r="Y142" s="1">
        <f>30717-21209+3162</f>
        <v>12670</v>
      </c>
      <c r="AA142" s="58">
        <f t="shared" si="17"/>
        <v>1261555</v>
      </c>
      <c r="AC142" s="1">
        <f t="shared" si="18"/>
        <v>0</v>
      </c>
    </row>
    <row r="143" spans="1:29" ht="12" customHeight="1">
      <c r="A143" s="12" t="s">
        <v>589</v>
      </c>
      <c r="B143" s="12"/>
      <c r="C143" s="12" t="s">
        <v>63</v>
      </c>
      <c r="D143" s="12"/>
      <c r="E143" s="13">
        <v>43836</v>
      </c>
      <c r="G143" s="1">
        <v>6791425</v>
      </c>
      <c r="I143" s="1">
        <v>0</v>
      </c>
      <c r="K143" s="41">
        <f t="shared" si="15"/>
        <v>26350212</v>
      </c>
      <c r="M143" s="1">
        <v>33141637</v>
      </c>
      <c r="O143" s="41">
        <f t="shared" si="16"/>
        <v>5175910</v>
      </c>
      <c r="Q143" s="1">
        <f>22492933+930691</f>
        <v>23423624</v>
      </c>
      <c r="S143" s="1">
        <v>28599534</v>
      </c>
      <c r="U143" s="1">
        <f>169515+93381+25102+2699134</f>
        <v>2987132</v>
      </c>
      <c r="W143" s="1">
        <v>0</v>
      </c>
      <c r="Y143" s="1">
        <f>148295+861616+262838+282222</f>
        <v>1554971</v>
      </c>
      <c r="AA143" s="58">
        <f t="shared" si="17"/>
        <v>4542103</v>
      </c>
      <c r="AC143" s="1">
        <f t="shared" si="18"/>
        <v>0</v>
      </c>
    </row>
    <row r="144" spans="1:29" ht="12" customHeight="1">
      <c r="A144" s="12" t="s">
        <v>904</v>
      </c>
      <c r="B144" s="12"/>
      <c r="C144" s="12" t="s">
        <v>20</v>
      </c>
      <c r="D144" s="12"/>
      <c r="E144" s="13">
        <v>46557</v>
      </c>
      <c r="G144" s="1">
        <v>5845714</v>
      </c>
      <c r="I144" s="1">
        <v>70259</v>
      </c>
      <c r="K144" s="41">
        <f t="shared" si="15"/>
        <v>8679016</v>
      </c>
      <c r="M144" s="1">
        <v>14594989</v>
      </c>
      <c r="O144" s="41">
        <f t="shared" si="16"/>
        <v>2155205</v>
      </c>
      <c r="Q144" s="1">
        <v>7746542</v>
      </c>
      <c r="S144" s="1">
        <v>9901747</v>
      </c>
      <c r="U144" s="1">
        <f>124781+15115+55144+835514</f>
        <v>1030554</v>
      </c>
      <c r="W144" s="1">
        <v>0</v>
      </c>
      <c r="Y144" s="1">
        <f>2417919+287417+965714-8362</f>
        <v>3662688</v>
      </c>
      <c r="AA144" s="58">
        <f t="shared" si="17"/>
        <v>4693242</v>
      </c>
      <c r="AC144" s="1">
        <f t="shared" si="18"/>
        <v>0</v>
      </c>
    </row>
    <row r="145" spans="1:29" ht="12" customHeight="1">
      <c r="A145" s="12" t="s">
        <v>730</v>
      </c>
      <c r="B145" s="12"/>
      <c r="C145" s="12" t="s">
        <v>71</v>
      </c>
      <c r="D145" s="12"/>
      <c r="E145" s="13">
        <v>48934</v>
      </c>
      <c r="G145" s="1">
        <v>699607</v>
      </c>
      <c r="I145" s="1">
        <v>156800</v>
      </c>
      <c r="K145" s="41">
        <f t="shared" si="15"/>
        <v>3608777</v>
      </c>
      <c r="M145" s="1">
        <v>4465184</v>
      </c>
      <c r="O145" s="41">
        <f t="shared" si="16"/>
        <v>1160595</v>
      </c>
      <c r="Q145" s="1">
        <f>49630+2913736</f>
        <v>2963366</v>
      </c>
      <c r="S145" s="1">
        <v>4123961</v>
      </c>
      <c r="U145" s="1">
        <f>105842+6180+275000+156800</f>
        <v>543822</v>
      </c>
      <c r="W145" s="1">
        <v>0</v>
      </c>
      <c r="Y145" s="1">
        <f>-400013-64445+261859</f>
        <v>-202599</v>
      </c>
      <c r="AA145" s="58">
        <f t="shared" si="17"/>
        <v>341223</v>
      </c>
      <c r="AC145" s="1">
        <f t="shared" si="18"/>
        <v>0</v>
      </c>
    </row>
    <row r="146" spans="1:29" ht="12" customHeight="1">
      <c r="A146" s="12" t="s">
        <v>520</v>
      </c>
      <c r="B146" s="12"/>
      <c r="C146" s="12" t="s">
        <v>53</v>
      </c>
      <c r="D146" s="12"/>
      <c r="E146" s="13">
        <v>48934</v>
      </c>
      <c r="G146" s="1">
        <f>5682121+2651</f>
        <v>5684772</v>
      </c>
      <c r="I146" s="1">
        <v>0</v>
      </c>
      <c r="K146" s="41">
        <f t="shared" si="15"/>
        <v>7259529</v>
      </c>
      <c r="M146" s="1">
        <v>12944301</v>
      </c>
      <c r="O146" s="41">
        <f t="shared" si="16"/>
        <v>1376685</v>
      </c>
      <c r="Q146" s="1">
        <f>268228+5800424</f>
        <v>6068652</v>
      </c>
      <c r="S146" s="1">
        <v>7445337</v>
      </c>
      <c r="U146" s="1">
        <f>2712516+29864+4093+1233937</f>
        <v>3980410</v>
      </c>
      <c r="W146" s="1">
        <v>0</v>
      </c>
      <c r="Y146" s="1">
        <f>1589936-82855+11473</f>
        <v>1518554</v>
      </c>
      <c r="AA146" s="58">
        <f t="shared" si="17"/>
        <v>5498964</v>
      </c>
      <c r="AC146" s="1">
        <f t="shared" si="18"/>
        <v>0</v>
      </c>
    </row>
    <row r="147" spans="1:29" ht="12" hidden="1" customHeight="1">
      <c r="A147" s="12" t="s">
        <v>803</v>
      </c>
      <c r="B147" s="12"/>
      <c r="C147" s="12" t="s">
        <v>40</v>
      </c>
      <c r="D147" s="12"/>
      <c r="E147" s="13">
        <v>47837</v>
      </c>
      <c r="K147" s="41">
        <f t="shared" si="15"/>
        <v>0</v>
      </c>
      <c r="O147" s="41">
        <f t="shared" si="16"/>
        <v>0</v>
      </c>
      <c r="AA147" s="58">
        <f t="shared" si="17"/>
        <v>0</v>
      </c>
      <c r="AC147" s="1">
        <f t="shared" si="18"/>
        <v>0</v>
      </c>
    </row>
    <row r="148" spans="1:29" ht="12" customHeight="1">
      <c r="A148" s="12" t="s">
        <v>421</v>
      </c>
      <c r="B148" s="12"/>
      <c r="C148" s="12" t="s">
        <v>420</v>
      </c>
      <c r="D148" s="12"/>
      <c r="E148" s="13">
        <v>47928</v>
      </c>
      <c r="G148" s="1">
        <v>6163254</v>
      </c>
      <c r="I148" s="1">
        <v>0</v>
      </c>
      <c r="K148" s="41">
        <f t="shared" si="15"/>
        <v>1688863</v>
      </c>
      <c r="M148" s="1">
        <v>7852117</v>
      </c>
      <c r="O148" s="41">
        <f t="shared" si="16"/>
        <v>1630706</v>
      </c>
      <c r="Q148" s="1">
        <v>1248535</v>
      </c>
      <c r="S148" s="1">
        <v>2879241</v>
      </c>
      <c r="U148" s="1">
        <f>329037+158995</f>
        <v>488032</v>
      </c>
      <c r="W148" s="1">
        <v>0</v>
      </c>
      <c r="Y148" s="1">
        <f>2817298+185850+775433+706263</f>
        <v>4484844</v>
      </c>
      <c r="AA148" s="58">
        <f t="shared" si="17"/>
        <v>4972876</v>
      </c>
      <c r="AC148" s="1">
        <f t="shared" si="18"/>
        <v>0</v>
      </c>
    </row>
    <row r="149" spans="1:29" ht="12" customHeight="1">
      <c r="A149" s="12" t="s">
        <v>496</v>
      </c>
      <c r="B149" s="12"/>
      <c r="C149" s="12" t="s">
        <v>50</v>
      </c>
      <c r="D149" s="12"/>
      <c r="E149" s="13">
        <v>43844</v>
      </c>
      <c r="G149" s="1">
        <f>152400205+9166844</f>
        <v>161567049</v>
      </c>
      <c r="I149" s="1">
        <v>1239089</v>
      </c>
      <c r="K149" s="41">
        <f t="shared" si="15"/>
        <v>138023540</v>
      </c>
      <c r="M149" s="1">
        <v>300829678</v>
      </c>
      <c r="O149" s="41">
        <f t="shared" si="16"/>
        <v>23342036</v>
      </c>
      <c r="Q149" s="1">
        <v>126449960</v>
      </c>
      <c r="S149" s="1">
        <v>149791996</v>
      </c>
      <c r="U149" s="1">
        <f>76950579+990695+3182026+105120</f>
        <v>81228420</v>
      </c>
      <c r="W149" s="1">
        <v>0</v>
      </c>
      <c r="Y149" s="1">
        <f>961061+7252783+8567537+53027881</f>
        <v>69809262</v>
      </c>
      <c r="AA149" s="58">
        <f t="shared" si="17"/>
        <v>151037682</v>
      </c>
      <c r="AC149" s="1">
        <f>+G149+I149+K149-O149-Q149-Y149-W149-U149</f>
        <v>0</v>
      </c>
    </row>
    <row r="150" spans="1:29" ht="12" customHeight="1">
      <c r="A150" s="12" t="s">
        <v>804</v>
      </c>
      <c r="B150" s="12"/>
      <c r="C150" s="12" t="s">
        <v>32</v>
      </c>
      <c r="D150" s="12"/>
      <c r="E150" s="13">
        <v>43851</v>
      </c>
      <c r="G150" s="1">
        <v>5764384</v>
      </c>
      <c r="I150" s="1">
        <v>50000</v>
      </c>
      <c r="K150" s="41">
        <f t="shared" si="15"/>
        <v>9907626</v>
      </c>
      <c r="M150" s="1">
        <v>15722010</v>
      </c>
      <c r="O150" s="41">
        <f t="shared" si="16"/>
        <v>1740923</v>
      </c>
      <c r="Q150" s="1">
        <v>6287069</v>
      </c>
      <c r="S150" s="1">
        <v>8027992</v>
      </c>
      <c r="U150" s="1">
        <f>339649+833+3264000+50000</f>
        <v>3654482</v>
      </c>
      <c r="W150" s="1">
        <v>0</v>
      </c>
      <c r="Y150" s="1">
        <f>3500233+127868+18190+393245</f>
        <v>4039536</v>
      </c>
      <c r="AA150" s="58">
        <f t="shared" si="17"/>
        <v>7694018</v>
      </c>
      <c r="AC150" s="1">
        <f t="shared" si="18"/>
        <v>0</v>
      </c>
    </row>
    <row r="151" spans="1:29" ht="12" hidden="1" customHeight="1">
      <c r="A151" s="12" t="s">
        <v>805</v>
      </c>
      <c r="B151" s="12"/>
      <c r="C151" s="12" t="s">
        <v>22</v>
      </c>
      <c r="D151" s="12"/>
      <c r="E151" s="13">
        <v>43869</v>
      </c>
      <c r="K151" s="41">
        <f t="shared" si="15"/>
        <v>0</v>
      </c>
      <c r="O151" s="41">
        <f t="shared" si="16"/>
        <v>0</v>
      </c>
      <c r="AA151" s="58">
        <f t="shared" si="17"/>
        <v>0</v>
      </c>
      <c r="AC151" s="1">
        <f t="shared" si="18"/>
        <v>0</v>
      </c>
    </row>
    <row r="152" spans="1:29" ht="12" customHeight="1">
      <c r="A152" s="12" t="s">
        <v>806</v>
      </c>
      <c r="B152" s="12"/>
      <c r="C152" s="12" t="s">
        <v>23</v>
      </c>
      <c r="D152" s="12"/>
      <c r="E152" s="13"/>
      <c r="G152" s="1">
        <v>11957468</v>
      </c>
      <c r="I152" s="1">
        <v>0</v>
      </c>
      <c r="K152" s="41">
        <f t="shared" si="15"/>
        <v>30173968</v>
      </c>
      <c r="M152" s="1">
        <v>42131436</v>
      </c>
      <c r="O152" s="41">
        <f t="shared" si="16"/>
        <v>7216248</v>
      </c>
      <c r="Q152" s="1">
        <v>25437428</v>
      </c>
      <c r="S152" s="1">
        <v>32653676</v>
      </c>
      <c r="U152" s="1">
        <f>1006556+4020892</f>
        <v>5027448</v>
      </c>
      <c r="W152" s="1">
        <v>103384</v>
      </c>
      <c r="Y152" s="1">
        <f>1315386+1493054+1533534+4954</f>
        <v>4346928</v>
      </c>
      <c r="AA152" s="58">
        <f t="shared" si="17"/>
        <v>9477760</v>
      </c>
      <c r="AC152" s="1">
        <f t="shared" si="18"/>
        <v>0</v>
      </c>
    </row>
    <row r="153" spans="1:29" ht="12" customHeight="1">
      <c r="A153" s="12" t="s">
        <v>204</v>
      </c>
      <c r="B153" s="12"/>
      <c r="C153" s="12" t="s">
        <v>10</v>
      </c>
      <c r="D153" s="12"/>
      <c r="E153" s="13">
        <v>43885</v>
      </c>
      <c r="G153" s="1">
        <v>808654</v>
      </c>
      <c r="I153" s="1">
        <v>0</v>
      </c>
      <c r="K153" s="41">
        <f t="shared" ref="K153:K156" si="19">M153-G153-I153</f>
        <v>4688340</v>
      </c>
      <c r="M153" s="1">
        <v>5496994</v>
      </c>
      <c r="O153" s="41">
        <f t="shared" ref="O153:O155" si="20">S153-Q153</f>
        <v>1158159</v>
      </c>
      <c r="Q153" s="1">
        <v>3821788</v>
      </c>
      <c r="S153" s="1">
        <v>4979947</v>
      </c>
      <c r="U153" s="1">
        <f>749140+11268+134168</f>
        <v>894576</v>
      </c>
      <c r="W153" s="1">
        <v>0</v>
      </c>
      <c r="Y153" s="1">
        <f>120987+519298-1017814</f>
        <v>-377529</v>
      </c>
      <c r="AA153" s="58">
        <f t="shared" ref="AA153:AA154" si="21">U153+W153+Y153</f>
        <v>517047</v>
      </c>
      <c r="AC153" s="1">
        <f t="shared" ref="AC153:AC154" si="22">+G153+I153+K153-O153-Q153-Y153-W153-U153</f>
        <v>0</v>
      </c>
    </row>
    <row r="154" spans="1:29" ht="12" customHeight="1">
      <c r="A154" s="12" t="s">
        <v>619</v>
      </c>
      <c r="B154" s="12"/>
      <c r="C154" s="12" t="s">
        <v>65</v>
      </c>
      <c r="D154" s="12"/>
      <c r="E154" s="13">
        <v>43893</v>
      </c>
      <c r="G154" s="1">
        <v>8384164</v>
      </c>
      <c r="I154" s="1">
        <v>0</v>
      </c>
      <c r="K154" s="41">
        <f t="shared" si="19"/>
        <v>13364918</v>
      </c>
      <c r="M154" s="1">
        <v>21749082</v>
      </c>
      <c r="O154" s="41">
        <f t="shared" si="20"/>
        <v>3587598</v>
      </c>
      <c r="Q154" s="1">
        <v>11560785</v>
      </c>
      <c r="S154" s="1">
        <v>15148383</v>
      </c>
      <c r="U154" s="1">
        <f>842568+629862+1434617</f>
        <v>2907047</v>
      </c>
      <c r="W154" s="1">
        <v>0</v>
      </c>
      <c r="Y154" s="1">
        <f>3338710+226780+128162</f>
        <v>3693652</v>
      </c>
      <c r="AA154" s="58">
        <f t="shared" si="21"/>
        <v>6600699</v>
      </c>
      <c r="AC154" s="1">
        <f t="shared" si="22"/>
        <v>0</v>
      </c>
    </row>
    <row r="155" spans="1:29" ht="12" customHeight="1">
      <c r="A155" s="12" t="s">
        <v>332</v>
      </c>
      <c r="B155" s="12"/>
      <c r="C155" s="12" t="s">
        <v>27</v>
      </c>
      <c r="D155" s="12"/>
      <c r="E155" s="13">
        <v>47027</v>
      </c>
      <c r="G155" s="1">
        <v>71466706</v>
      </c>
      <c r="I155" s="1">
        <v>0</v>
      </c>
      <c r="K155" s="41">
        <f t="shared" si="19"/>
        <v>234154463</v>
      </c>
      <c r="M155" s="1">
        <v>305621169</v>
      </c>
      <c r="O155" s="41">
        <f t="shared" si="20"/>
        <v>22637182</v>
      </c>
      <c r="Q155" s="1">
        <v>184566456</v>
      </c>
      <c r="S155" s="1">
        <v>207203638</v>
      </c>
      <c r="U155" s="1">
        <f>98417531-62506091</f>
        <v>35911440</v>
      </c>
      <c r="W155" s="1">
        <v>0</v>
      </c>
      <c r="Y155" s="1">
        <v>62506091</v>
      </c>
      <c r="AA155" s="58">
        <f t="shared" ref="AA155:AA225" si="23">U155+W155+Y155</f>
        <v>98417531</v>
      </c>
      <c r="AC155" s="1">
        <f t="shared" ref="AC155:AC225" si="24">+G155+I155+K155-O155-Q155-Y155-W155-U155</f>
        <v>0</v>
      </c>
    </row>
    <row r="156" spans="1:29" ht="12" customHeight="1">
      <c r="A156" s="12" t="s">
        <v>288</v>
      </c>
      <c r="B156" s="12"/>
      <c r="C156" s="12" t="s">
        <v>20</v>
      </c>
      <c r="D156" s="12"/>
      <c r="E156" s="13">
        <v>43901</v>
      </c>
      <c r="G156" s="1">
        <f>41052503+9480</f>
        <v>41061983</v>
      </c>
      <c r="I156" s="1">
        <v>0</v>
      </c>
      <c r="K156" s="41">
        <f t="shared" si="19"/>
        <v>27001946</v>
      </c>
      <c r="M156" s="1">
        <v>68063929</v>
      </c>
      <c r="O156" s="41">
        <f>S156-Q156</f>
        <v>10856919</v>
      </c>
      <c r="Q156" s="1">
        <v>19035221</v>
      </c>
      <c r="S156" s="1">
        <v>29892140</v>
      </c>
      <c r="U156" s="1">
        <f>4475227+1242145</f>
        <v>5717372</v>
      </c>
      <c r="W156" s="1">
        <v>0</v>
      </c>
      <c r="Y156" s="1">
        <f>31302316-694545+1155568+691078</f>
        <v>32454417</v>
      </c>
      <c r="AA156" s="58">
        <f t="shared" si="23"/>
        <v>38171789</v>
      </c>
      <c r="AC156" s="1">
        <f t="shared" si="24"/>
        <v>0</v>
      </c>
    </row>
    <row r="157" spans="1:29" ht="12" customHeight="1">
      <c r="A157" s="12" t="s">
        <v>261</v>
      </c>
      <c r="B157" s="12"/>
      <c r="C157" s="12" t="s">
        <v>18</v>
      </c>
      <c r="D157" s="12"/>
      <c r="E157" s="13">
        <v>46409</v>
      </c>
      <c r="G157" s="1">
        <v>3883804</v>
      </c>
      <c r="I157" s="1">
        <v>0</v>
      </c>
      <c r="K157" s="41">
        <f>M157-G157-I157</f>
        <v>3668816</v>
      </c>
      <c r="M157" s="1">
        <v>7552620</v>
      </c>
      <c r="O157" s="41">
        <f>S157-Q157</f>
        <v>1834079</v>
      </c>
      <c r="Q157" s="1">
        <v>3258746</v>
      </c>
      <c r="S157" s="1">
        <v>5092825</v>
      </c>
      <c r="U157" s="1">
        <f>354963+301384+300000</f>
        <v>956347</v>
      </c>
      <c r="W157" s="1">
        <v>0</v>
      </c>
      <c r="Y157" s="1">
        <f>178104+471734+287781+509012+56817</f>
        <v>1503448</v>
      </c>
      <c r="AA157" s="58">
        <f t="shared" si="23"/>
        <v>2459795</v>
      </c>
      <c r="AC157" s="1">
        <f t="shared" si="24"/>
        <v>0</v>
      </c>
    </row>
    <row r="158" spans="1:29" ht="12" customHeight="1">
      <c r="A158" s="12" t="s">
        <v>361</v>
      </c>
      <c r="B158" s="12"/>
      <c r="C158" s="12" t="s">
        <v>31</v>
      </c>
      <c r="D158" s="12"/>
      <c r="E158" s="13">
        <v>69682</v>
      </c>
      <c r="G158" s="1">
        <v>5394603</v>
      </c>
      <c r="I158" s="1">
        <v>0</v>
      </c>
      <c r="K158" s="41">
        <f t="shared" ref="K158:K225" si="25">M158-G158-I158</f>
        <v>4248814</v>
      </c>
      <c r="M158" s="1">
        <v>9643417</v>
      </c>
      <c r="O158" s="41">
        <f t="shared" ref="O158:O225" si="26">S158-Q158</f>
        <v>1217410</v>
      </c>
      <c r="Q158" s="1">
        <v>3695665</v>
      </c>
      <c r="S158" s="1">
        <v>4913075</v>
      </c>
      <c r="U158" s="1">
        <f>1757443+214601</f>
        <v>1972044</v>
      </c>
      <c r="W158" s="1">
        <v>0</v>
      </c>
      <c r="Y158" s="1">
        <f>798665+134401+1302150+523082</f>
        <v>2758298</v>
      </c>
      <c r="AA158" s="58">
        <f t="shared" si="23"/>
        <v>4730342</v>
      </c>
      <c r="AC158" s="1">
        <f t="shared" si="24"/>
        <v>0</v>
      </c>
    </row>
    <row r="159" spans="1:29" ht="12" customHeight="1">
      <c r="A159" s="12" t="s">
        <v>401</v>
      </c>
      <c r="B159" s="12"/>
      <c r="C159" s="12" t="s">
        <v>36</v>
      </c>
      <c r="D159" s="12"/>
      <c r="E159" s="13">
        <v>47688</v>
      </c>
      <c r="G159" s="1">
        <v>6806589</v>
      </c>
      <c r="I159" s="1">
        <v>0</v>
      </c>
      <c r="K159" s="41">
        <f t="shared" si="25"/>
        <v>9529113</v>
      </c>
      <c r="M159" s="1">
        <v>16335702</v>
      </c>
      <c r="O159" s="41">
        <f t="shared" si="26"/>
        <v>2407961</v>
      </c>
      <c r="Q159" s="1">
        <v>8668913</v>
      </c>
      <c r="S159" s="1">
        <v>11076874</v>
      </c>
      <c r="U159" s="1">
        <f>221196+272472+366115</f>
        <v>859783</v>
      </c>
      <c r="W159" s="1">
        <v>0</v>
      </c>
      <c r="Y159" s="1">
        <f>3386281+306498+706266</f>
        <v>4399045</v>
      </c>
      <c r="AA159" s="58">
        <f t="shared" si="23"/>
        <v>5258828</v>
      </c>
      <c r="AC159" s="1">
        <f t="shared" si="24"/>
        <v>0</v>
      </c>
    </row>
    <row r="160" spans="1:29" ht="12" hidden="1" customHeight="1">
      <c r="A160" s="12" t="s">
        <v>807</v>
      </c>
      <c r="B160" s="12"/>
      <c r="C160" s="12" t="s">
        <v>40</v>
      </c>
      <c r="D160" s="12"/>
      <c r="E160" s="13"/>
      <c r="K160" s="41">
        <f t="shared" si="25"/>
        <v>0</v>
      </c>
      <c r="O160" s="41">
        <f t="shared" si="26"/>
        <v>0</v>
      </c>
      <c r="AA160" s="58">
        <f t="shared" si="23"/>
        <v>0</v>
      </c>
      <c r="AC160" s="1">
        <f t="shared" si="24"/>
        <v>0</v>
      </c>
    </row>
    <row r="161" spans="1:29" ht="12" customHeight="1">
      <c r="A161" s="12" t="s">
        <v>266</v>
      </c>
      <c r="B161" s="12"/>
      <c r="C161" s="12" t="s">
        <v>114</v>
      </c>
      <c r="D161" s="12"/>
      <c r="E161" s="13">
        <v>43919</v>
      </c>
      <c r="G161" s="1">
        <f>11924636+3036468</f>
        <v>14961104</v>
      </c>
      <c r="I161" s="1">
        <v>0</v>
      </c>
      <c r="K161" s="41">
        <f t="shared" si="25"/>
        <v>6239539</v>
      </c>
      <c r="M161" s="1">
        <v>21200643</v>
      </c>
      <c r="O161" s="41">
        <f t="shared" si="26"/>
        <v>3159883</v>
      </c>
      <c r="Q161" s="1">
        <v>5458436</v>
      </c>
      <c r="S161" s="1">
        <v>8618319</v>
      </c>
      <c r="U161" s="1">
        <f>2050574+453933</f>
        <v>2504507</v>
      </c>
      <c r="W161" s="1">
        <v>0</v>
      </c>
      <c r="Y161" s="1">
        <f>3795580+1349729+1730145+3202363</f>
        <v>10077817</v>
      </c>
      <c r="AA161" s="58">
        <f t="shared" si="23"/>
        <v>12582324</v>
      </c>
      <c r="AC161" s="1">
        <f t="shared" si="24"/>
        <v>0</v>
      </c>
    </row>
    <row r="162" spans="1:29" ht="12" customHeight="1">
      <c r="A162" s="12" t="s">
        <v>511</v>
      </c>
      <c r="B162" s="12"/>
      <c r="C162" s="12" t="s">
        <v>51</v>
      </c>
      <c r="D162" s="12"/>
      <c r="E162" s="13">
        <v>48835</v>
      </c>
      <c r="G162" s="1">
        <f>6245472+1903</f>
        <v>6247375</v>
      </c>
      <c r="I162" s="1">
        <v>3503</v>
      </c>
      <c r="K162" s="41">
        <f t="shared" si="25"/>
        <v>7093044</v>
      </c>
      <c r="M162" s="1">
        <v>13343922</v>
      </c>
      <c r="O162" s="41">
        <f t="shared" si="26"/>
        <v>2239035</v>
      </c>
      <c r="Q162" s="1">
        <v>6574812</v>
      </c>
      <c r="S162" s="1">
        <v>8813847</v>
      </c>
      <c r="U162" s="1">
        <f>457128+3503+278412</f>
        <v>739043</v>
      </c>
      <c r="W162" s="1">
        <v>0</v>
      </c>
      <c r="Y162" s="1">
        <f>1568756+585614+301500+1335162</f>
        <v>3791032</v>
      </c>
      <c r="AA162" s="58">
        <f t="shared" si="23"/>
        <v>4530075</v>
      </c>
      <c r="AC162" s="1">
        <f t="shared" si="24"/>
        <v>0</v>
      </c>
    </row>
    <row r="163" spans="1:29" ht="12" customHeight="1">
      <c r="A163" s="12" t="s">
        <v>267</v>
      </c>
      <c r="B163" s="12"/>
      <c r="C163" s="12" t="s">
        <v>114</v>
      </c>
      <c r="D163" s="12"/>
      <c r="E163" s="13">
        <v>43927</v>
      </c>
      <c r="G163" s="1">
        <f>756954+232049+358540+111409</f>
        <v>1458952</v>
      </c>
      <c r="I163" s="1">
        <v>151406</v>
      </c>
      <c r="K163" s="41">
        <f t="shared" si="25"/>
        <v>3592069</v>
      </c>
      <c r="M163" s="1">
        <v>5202427</v>
      </c>
      <c r="O163" s="41">
        <f t="shared" si="26"/>
        <v>1448945</v>
      </c>
      <c r="Q163" s="1">
        <v>3330515</v>
      </c>
      <c r="S163" s="1">
        <v>4779460</v>
      </c>
      <c r="U163" s="1">
        <f>201371+46036+225360</f>
        <v>472767</v>
      </c>
      <c r="W163" s="1">
        <v>0</v>
      </c>
      <c r="Y163" s="1">
        <f>-894697+194597+122148+528152</f>
        <v>-49800</v>
      </c>
      <c r="AA163" s="58">
        <f t="shared" si="23"/>
        <v>422967</v>
      </c>
      <c r="AC163" s="1">
        <f t="shared" si="24"/>
        <v>0</v>
      </c>
    </row>
    <row r="164" spans="1:29" ht="12" customHeight="1">
      <c r="A164" s="12" t="s">
        <v>223</v>
      </c>
      <c r="B164" s="12"/>
      <c r="C164" s="12" t="s">
        <v>77</v>
      </c>
      <c r="D164" s="12"/>
      <c r="E164" s="13">
        <v>46037</v>
      </c>
      <c r="G164" s="1">
        <v>8868697</v>
      </c>
      <c r="I164" s="1">
        <v>189470</v>
      </c>
      <c r="K164" s="41">
        <f t="shared" si="25"/>
        <v>10332688</v>
      </c>
      <c r="M164" s="1">
        <v>19390855</v>
      </c>
      <c r="O164" s="41">
        <f t="shared" si="26"/>
        <v>1852800</v>
      </c>
      <c r="Q164" s="1">
        <v>9124030</v>
      </c>
      <c r="S164" s="1">
        <v>10976830</v>
      </c>
      <c r="U164" s="1">
        <f>449614+674850+113338</f>
        <v>1237802</v>
      </c>
      <c r="W164" s="1">
        <v>0</v>
      </c>
      <c r="Y164" s="1">
        <f>-649379+488865+866802+6469935</f>
        <v>7176223</v>
      </c>
      <c r="AA164" s="58">
        <f t="shared" si="23"/>
        <v>8414025</v>
      </c>
      <c r="AC164" s="1">
        <f t="shared" si="24"/>
        <v>0</v>
      </c>
    </row>
    <row r="165" spans="1:29" ht="12" customHeight="1">
      <c r="A165" s="17" t="s">
        <v>223</v>
      </c>
      <c r="B165" s="17"/>
      <c r="C165" s="17" t="s">
        <v>484</v>
      </c>
      <c r="D165" s="17"/>
      <c r="E165" s="13">
        <v>48512</v>
      </c>
      <c r="G165" s="1">
        <v>1426724</v>
      </c>
      <c r="I165" s="1">
        <v>83259</v>
      </c>
      <c r="K165" s="41">
        <f t="shared" si="25"/>
        <v>2153825</v>
      </c>
      <c r="M165" s="1">
        <v>3663808</v>
      </c>
      <c r="O165" s="41">
        <f t="shared" si="26"/>
        <v>1196146</v>
      </c>
      <c r="Q165" s="1">
        <v>1985059</v>
      </c>
      <c r="S165" s="1">
        <v>3181205</v>
      </c>
      <c r="U165" s="1">
        <f>116172+51635+30393+52866</f>
        <v>251066</v>
      </c>
      <c r="W165" s="1">
        <v>0</v>
      </c>
      <c r="Y165" s="1">
        <f>-348207+215606+356600+7538</f>
        <v>231537</v>
      </c>
      <c r="AA165" s="58">
        <f t="shared" si="23"/>
        <v>482603</v>
      </c>
      <c r="AC165" s="1">
        <f t="shared" si="24"/>
        <v>0</v>
      </c>
    </row>
    <row r="166" spans="1:29" ht="12" hidden="1" customHeight="1">
      <c r="A166" s="12" t="s">
        <v>808</v>
      </c>
      <c r="B166" s="12"/>
      <c r="C166" s="12" t="s">
        <v>55</v>
      </c>
      <c r="D166" s="12"/>
      <c r="E166" s="13">
        <v>49122</v>
      </c>
      <c r="I166" s="1">
        <v>0</v>
      </c>
      <c r="K166" s="41">
        <f t="shared" si="25"/>
        <v>0</v>
      </c>
      <c r="O166" s="41">
        <f t="shared" si="26"/>
        <v>0</v>
      </c>
      <c r="W166" s="1">
        <v>0</v>
      </c>
      <c r="AA166" s="58">
        <f t="shared" si="23"/>
        <v>0</v>
      </c>
      <c r="AC166" s="1">
        <f t="shared" si="24"/>
        <v>0</v>
      </c>
    </row>
    <row r="167" spans="1:29" ht="12" customHeight="1">
      <c r="A167" s="12" t="s">
        <v>647</v>
      </c>
      <c r="B167" s="12"/>
      <c r="C167" s="12" t="s">
        <v>72</v>
      </c>
      <c r="D167" s="12"/>
      <c r="E167" s="13">
        <v>50674</v>
      </c>
      <c r="G167" s="1">
        <v>7842119</v>
      </c>
      <c r="I167" s="1">
        <v>0</v>
      </c>
      <c r="K167" s="41">
        <f t="shared" si="25"/>
        <v>6959357</v>
      </c>
      <c r="M167" s="1">
        <v>14801476</v>
      </c>
      <c r="O167" s="41">
        <f t="shared" si="26"/>
        <v>2479869</v>
      </c>
      <c r="Q167" s="1">
        <v>5115585</v>
      </c>
      <c r="S167" s="1">
        <v>7595454</v>
      </c>
      <c r="U167" s="1">
        <v>1242465</v>
      </c>
      <c r="W167" s="1">
        <v>0</v>
      </c>
      <c r="Y167" s="1">
        <v>5963557</v>
      </c>
      <c r="AA167" s="58">
        <f t="shared" si="23"/>
        <v>7206022</v>
      </c>
      <c r="AC167" s="1">
        <f t="shared" si="24"/>
        <v>0</v>
      </c>
    </row>
    <row r="168" spans="1:29" ht="12" customHeight="1">
      <c r="A168" s="17" t="s">
        <v>835</v>
      </c>
      <c r="B168" s="12"/>
      <c r="C168" s="12" t="s">
        <v>57</v>
      </c>
      <c r="D168" s="12"/>
      <c r="E168" s="13">
        <v>43935</v>
      </c>
      <c r="G168" s="1">
        <f>4398965+8610345</f>
        <v>13009310</v>
      </c>
      <c r="I168" s="1">
        <v>1173312</v>
      </c>
      <c r="K168" s="41">
        <f t="shared" si="25"/>
        <v>9493091</v>
      </c>
      <c r="M168" s="1">
        <v>23675713</v>
      </c>
      <c r="O168" s="41">
        <f t="shared" si="26"/>
        <v>1998705</v>
      </c>
      <c r="Q168" s="1">
        <v>7346226</v>
      </c>
      <c r="S168" s="1">
        <v>9344931</v>
      </c>
      <c r="U168" s="1">
        <f>379137+157252+1107613+409688+1173312</f>
        <v>3227002</v>
      </c>
      <c r="W168" s="1">
        <v>0</v>
      </c>
      <c r="Y168" s="1">
        <f>10214491+124273+765016</f>
        <v>11103780</v>
      </c>
      <c r="AA168" s="58">
        <f t="shared" si="23"/>
        <v>14330782</v>
      </c>
      <c r="AC168" s="1">
        <f t="shared" si="24"/>
        <v>0</v>
      </c>
    </row>
    <row r="169" spans="1:29" ht="12" hidden="1" customHeight="1">
      <c r="A169" s="17" t="s">
        <v>809</v>
      </c>
      <c r="B169" s="12"/>
      <c r="C169" s="12" t="s">
        <v>643</v>
      </c>
      <c r="D169" s="12"/>
      <c r="E169" s="13">
        <v>50617</v>
      </c>
      <c r="K169" s="41">
        <f t="shared" si="25"/>
        <v>0</v>
      </c>
      <c r="O169" s="41">
        <f t="shared" si="26"/>
        <v>0</v>
      </c>
      <c r="AA169" s="58">
        <f t="shared" si="23"/>
        <v>0</v>
      </c>
      <c r="AC169" s="1">
        <f t="shared" si="24"/>
        <v>0</v>
      </c>
    </row>
    <row r="170" spans="1:29" ht="12" customHeight="1">
      <c r="A170" s="12" t="s">
        <v>226</v>
      </c>
      <c r="B170" s="12"/>
      <c r="C170" s="12" t="s">
        <v>227</v>
      </c>
      <c r="D170" s="12"/>
      <c r="E170" s="13">
        <v>46094</v>
      </c>
      <c r="G170" s="1">
        <f>16130379+23951334</f>
        <v>40081713</v>
      </c>
      <c r="I170" s="1">
        <v>123223</v>
      </c>
      <c r="K170" s="41">
        <f t="shared" si="25"/>
        <v>23500805</v>
      </c>
      <c r="M170" s="1">
        <v>63705741</v>
      </c>
      <c r="O170" s="41">
        <f t="shared" si="26"/>
        <v>5916062</v>
      </c>
      <c r="Q170" s="1">
        <f>9101361+13833987</f>
        <v>22935348</v>
      </c>
      <c r="S170" s="1">
        <v>28851410</v>
      </c>
      <c r="U170" s="1">
        <f>28913135+123223+19498+200000+3569342+799</f>
        <v>32825997</v>
      </c>
      <c r="W170" s="1">
        <v>0</v>
      </c>
      <c r="Y170" s="1">
        <f>-1695901-249473+3973708</f>
        <v>2028334</v>
      </c>
      <c r="AA170" s="58">
        <f t="shared" si="23"/>
        <v>34854331</v>
      </c>
      <c r="AC170" s="1">
        <f t="shared" si="24"/>
        <v>0</v>
      </c>
    </row>
    <row r="171" spans="1:29" ht="12" customHeight="1">
      <c r="A171" s="12"/>
      <c r="B171" s="12"/>
      <c r="C171" s="12"/>
      <c r="D171" s="12"/>
      <c r="E171" s="13"/>
      <c r="K171" s="41"/>
      <c r="O171" s="41"/>
      <c r="AA171" s="58"/>
    </row>
    <row r="172" spans="1:29" ht="12" customHeight="1">
      <c r="A172" s="12"/>
      <c r="B172" s="12"/>
      <c r="C172" s="12"/>
      <c r="D172" s="12"/>
      <c r="E172" s="13"/>
      <c r="K172" s="41"/>
      <c r="O172" s="41"/>
      <c r="AA172" s="20" t="s">
        <v>709</v>
      </c>
    </row>
    <row r="173" spans="1:29" ht="12" customHeight="1">
      <c r="A173" s="12"/>
      <c r="B173" s="12"/>
      <c r="C173" s="12"/>
      <c r="D173" s="12"/>
      <c r="E173" s="13"/>
      <c r="K173" s="41"/>
      <c r="O173" s="41"/>
      <c r="AA173" s="58"/>
    </row>
    <row r="174" spans="1:29" ht="12" customHeight="1">
      <c r="A174" s="12" t="s">
        <v>410</v>
      </c>
      <c r="B174" s="12"/>
      <c r="C174" s="12" t="s">
        <v>39</v>
      </c>
      <c r="D174" s="12"/>
      <c r="E174" s="13">
        <v>47795</v>
      </c>
      <c r="G174" s="16">
        <v>1762746</v>
      </c>
      <c r="H174" s="16"/>
      <c r="I174" s="16">
        <v>39801</v>
      </c>
      <c r="J174" s="16"/>
      <c r="K174" s="59">
        <f t="shared" si="25"/>
        <v>8896418</v>
      </c>
      <c r="L174" s="16"/>
      <c r="M174" s="16">
        <v>10698965</v>
      </c>
      <c r="N174" s="16"/>
      <c r="O174" s="59">
        <f t="shared" si="26"/>
        <v>2043531</v>
      </c>
      <c r="P174" s="16"/>
      <c r="Q174" s="16">
        <f>676898+7425000</f>
        <v>8101898</v>
      </c>
      <c r="R174" s="16"/>
      <c r="S174" s="16">
        <v>10145429</v>
      </c>
      <c r="T174" s="16"/>
      <c r="U174" s="16">
        <f>164162+17101+49180+538000+229+39801</f>
        <v>808473</v>
      </c>
      <c r="V174" s="16"/>
      <c r="W174" s="16">
        <v>0</v>
      </c>
      <c r="X174" s="16"/>
      <c r="Y174" s="16">
        <f>-329563-2199+76825</f>
        <v>-254937</v>
      </c>
      <c r="Z174" s="16"/>
      <c r="AA174" s="90">
        <f t="shared" si="23"/>
        <v>553536</v>
      </c>
      <c r="AC174" s="1">
        <f t="shared" si="24"/>
        <v>0</v>
      </c>
    </row>
    <row r="175" spans="1:29" ht="12" customHeight="1">
      <c r="A175" s="12" t="s">
        <v>644</v>
      </c>
      <c r="B175" s="12"/>
      <c r="C175" s="12" t="s">
        <v>643</v>
      </c>
      <c r="D175" s="12"/>
      <c r="E175" s="13">
        <v>50625</v>
      </c>
      <c r="G175" s="1">
        <v>3442614</v>
      </c>
      <c r="I175" s="1">
        <v>0</v>
      </c>
      <c r="K175" s="41">
        <f t="shared" si="25"/>
        <v>2451714</v>
      </c>
      <c r="M175" s="1">
        <v>5894328</v>
      </c>
      <c r="O175" s="41">
        <f t="shared" si="26"/>
        <v>667638</v>
      </c>
      <c r="Q175" s="1">
        <v>2174770</v>
      </c>
      <c r="S175" s="1">
        <v>2842408</v>
      </c>
      <c r="U175" s="1">
        <f>61942+24835+42680+149921</f>
        <v>279378</v>
      </c>
      <c r="W175" s="1">
        <v>0</v>
      </c>
      <c r="Y175" s="1">
        <f>1743728+297933+634981+95900</f>
        <v>2772542</v>
      </c>
      <c r="AA175" s="58">
        <f t="shared" si="23"/>
        <v>3051920</v>
      </c>
      <c r="AC175" s="1">
        <f t="shared" si="24"/>
        <v>0</v>
      </c>
    </row>
    <row r="176" spans="1:29" ht="12" customHeight="1">
      <c r="A176" s="17" t="s">
        <v>836</v>
      </c>
      <c r="B176" s="12"/>
      <c r="C176" s="12" t="s">
        <v>46</v>
      </c>
      <c r="D176" s="12"/>
      <c r="E176" s="13">
        <v>48413</v>
      </c>
      <c r="G176" s="1">
        <f>20074062+67</f>
        <v>20074129</v>
      </c>
      <c r="I176" s="1">
        <v>197885</v>
      </c>
      <c r="K176" s="41">
        <f t="shared" si="25"/>
        <v>23704019</v>
      </c>
      <c r="M176" s="1">
        <v>43976033</v>
      </c>
      <c r="O176" s="41">
        <f t="shared" si="26"/>
        <v>18117865</v>
      </c>
      <c r="Q176" s="1">
        <v>21979256</v>
      </c>
      <c r="S176" s="1">
        <v>40097121</v>
      </c>
      <c r="U176" s="1">
        <f>1464894+172193+25692+351543</f>
        <v>2014322</v>
      </c>
      <c r="W176" s="1">
        <f>76925+230</f>
        <v>77155</v>
      </c>
      <c r="Y176" s="1">
        <f>-350978+520802+385820+1231791</f>
        <v>1787435</v>
      </c>
      <c r="AA176" s="58">
        <f t="shared" si="23"/>
        <v>3878912</v>
      </c>
      <c r="AC176" s="1">
        <f t="shared" si="24"/>
        <v>0</v>
      </c>
    </row>
    <row r="177" spans="1:29" ht="12" hidden="1" customHeight="1">
      <c r="A177" s="12" t="s">
        <v>811</v>
      </c>
      <c r="B177" s="12"/>
      <c r="C177" s="12" t="s">
        <v>10</v>
      </c>
      <c r="D177" s="12"/>
      <c r="E177" s="13"/>
      <c r="K177" s="41">
        <f t="shared" si="25"/>
        <v>0</v>
      </c>
      <c r="O177" s="41">
        <f t="shared" si="26"/>
        <v>0</v>
      </c>
      <c r="AA177" s="58">
        <f t="shared" si="23"/>
        <v>0</v>
      </c>
      <c r="AC177" s="1">
        <f t="shared" si="24"/>
        <v>0</v>
      </c>
    </row>
    <row r="178" spans="1:29" ht="12" hidden="1" customHeight="1">
      <c r="A178" s="17" t="s">
        <v>861</v>
      </c>
      <c r="B178" s="17"/>
      <c r="C178" s="17" t="s">
        <v>72</v>
      </c>
      <c r="D178" s="12"/>
      <c r="E178" s="13"/>
      <c r="K178" s="41"/>
      <c r="O178" s="41"/>
      <c r="AA178" s="58"/>
    </row>
    <row r="179" spans="1:29" ht="12" customHeight="1">
      <c r="A179" s="12" t="s">
        <v>440</v>
      </c>
      <c r="B179" s="12"/>
      <c r="C179" s="12" t="s">
        <v>44</v>
      </c>
      <c r="D179" s="12"/>
      <c r="E179" s="13">
        <v>43943</v>
      </c>
      <c r="G179" s="1">
        <f>14387845+25685146+363511</f>
        <v>40436502</v>
      </c>
      <c r="I179" s="1">
        <v>444812</v>
      </c>
      <c r="K179" s="41">
        <f t="shared" si="25"/>
        <v>39352150</v>
      </c>
      <c r="M179" s="1">
        <v>80233464</v>
      </c>
      <c r="O179" s="41">
        <f t="shared" si="26"/>
        <v>20104193</v>
      </c>
      <c r="Q179" s="1">
        <v>33038821</v>
      </c>
      <c r="S179" s="1">
        <v>53143014</v>
      </c>
      <c r="U179" s="1">
        <f>26040146+1692261+444812</f>
        <v>28177219</v>
      </c>
      <c r="W179" s="1">
        <v>0</v>
      </c>
      <c r="Y179" s="1">
        <f>-3112204+170086+936109+919240</f>
        <v>-1086769</v>
      </c>
      <c r="AA179" s="58">
        <f t="shared" si="23"/>
        <v>27090450</v>
      </c>
      <c r="AC179" s="1">
        <f t="shared" si="24"/>
        <v>0</v>
      </c>
    </row>
    <row r="180" spans="1:29" ht="12" customHeight="1">
      <c r="A180" s="12" t="s">
        <v>289</v>
      </c>
      <c r="B180" s="12"/>
      <c r="C180" s="12" t="s">
        <v>20</v>
      </c>
      <c r="D180" s="12"/>
      <c r="E180" s="13">
        <v>43950</v>
      </c>
      <c r="G180" s="1">
        <f>11523131+38937839</f>
        <v>50460970</v>
      </c>
      <c r="I180" s="1">
        <v>1276135</v>
      </c>
      <c r="K180" s="41">
        <f t="shared" si="25"/>
        <v>46155676</v>
      </c>
      <c r="M180" s="1">
        <v>97892781</v>
      </c>
      <c r="O180" s="41">
        <f t="shared" si="26"/>
        <v>8897983</v>
      </c>
      <c r="Q180" s="1">
        <v>37135363</v>
      </c>
      <c r="S180" s="1">
        <v>46033346</v>
      </c>
      <c r="U180" s="1">
        <f>974538+107828+79356+1276135+6634238</f>
        <v>9072095</v>
      </c>
      <c r="W180" s="1">
        <v>0</v>
      </c>
      <c r="Y180" s="1">
        <f>-1282681-1995+4179001+39893015</f>
        <v>42787340</v>
      </c>
      <c r="AA180" s="58">
        <f t="shared" si="23"/>
        <v>51859435</v>
      </c>
      <c r="AC180" s="1">
        <f t="shared" si="24"/>
        <v>0</v>
      </c>
    </row>
    <row r="181" spans="1:29" ht="12" hidden="1" customHeight="1">
      <c r="A181" s="12" t="s">
        <v>741</v>
      </c>
      <c r="B181" s="12"/>
      <c r="C181" s="12" t="s">
        <v>28</v>
      </c>
      <c r="D181" s="12"/>
      <c r="E181" s="13">
        <v>47050</v>
      </c>
      <c r="K181" s="41">
        <f t="shared" si="25"/>
        <v>0</v>
      </c>
      <c r="O181" s="41">
        <f t="shared" si="26"/>
        <v>0</v>
      </c>
      <c r="W181" s="1">
        <v>0</v>
      </c>
      <c r="AA181" s="58">
        <f t="shared" si="23"/>
        <v>0</v>
      </c>
      <c r="AC181" s="1">
        <f t="shared" si="24"/>
        <v>0</v>
      </c>
    </row>
    <row r="182" spans="1:29" ht="12" customHeight="1">
      <c r="A182" s="12" t="s">
        <v>625</v>
      </c>
      <c r="B182" s="12"/>
      <c r="C182" s="12" t="s">
        <v>66</v>
      </c>
      <c r="D182" s="12"/>
      <c r="E182" s="13">
        <v>50328</v>
      </c>
      <c r="F182" s="16"/>
      <c r="G182" s="1">
        <v>2894533</v>
      </c>
      <c r="I182" s="1">
        <v>87102</v>
      </c>
      <c r="K182" s="41">
        <f t="shared" si="25"/>
        <v>5957015</v>
      </c>
      <c r="M182" s="1">
        <v>8938650</v>
      </c>
      <c r="O182" s="41">
        <f t="shared" si="26"/>
        <v>1218389</v>
      </c>
      <c r="Q182" s="1">
        <v>4594476</v>
      </c>
      <c r="S182" s="1">
        <v>5812865</v>
      </c>
      <c r="U182" s="1">
        <v>1477282</v>
      </c>
      <c r="W182" s="1">
        <v>0</v>
      </c>
      <c r="Y182" s="1">
        <v>1648503</v>
      </c>
      <c r="AA182" s="58">
        <f t="shared" si="23"/>
        <v>3125785</v>
      </c>
      <c r="AC182" s="1">
        <f t="shared" si="24"/>
        <v>0</v>
      </c>
    </row>
    <row r="183" spans="1:29" ht="12" customHeight="1">
      <c r="A183" s="12" t="s">
        <v>753</v>
      </c>
      <c r="B183" s="12"/>
      <c r="C183" s="12" t="s">
        <v>116</v>
      </c>
      <c r="D183" s="12"/>
      <c r="E183" s="13">
        <v>50328</v>
      </c>
      <c r="F183" s="16"/>
      <c r="G183" s="1">
        <v>7254405</v>
      </c>
      <c r="I183" s="1">
        <v>612272</v>
      </c>
      <c r="K183" s="41">
        <f t="shared" si="25"/>
        <v>19403393</v>
      </c>
      <c r="M183" s="1">
        <v>27270070</v>
      </c>
      <c r="O183" s="41">
        <f t="shared" si="26"/>
        <v>6238730</v>
      </c>
      <c r="Q183" s="1">
        <v>15933018</v>
      </c>
      <c r="S183" s="1">
        <v>22171748</v>
      </c>
      <c r="U183" s="1">
        <f>404436+19945+1602307+612272</f>
        <v>2638960</v>
      </c>
      <c r="W183" s="1">
        <v>0</v>
      </c>
      <c r="Y183" s="1">
        <f>6607+818329+1271530+155250+207646</f>
        <v>2459362</v>
      </c>
      <c r="AA183" s="58">
        <f t="shared" si="23"/>
        <v>5098322</v>
      </c>
      <c r="AC183" s="1">
        <f t="shared" si="24"/>
        <v>0</v>
      </c>
    </row>
    <row r="184" spans="1:29" ht="12" customHeight="1">
      <c r="A184" s="12" t="s">
        <v>228</v>
      </c>
      <c r="B184" s="12"/>
      <c r="C184" s="12" t="s">
        <v>227</v>
      </c>
      <c r="D184" s="12"/>
      <c r="E184" s="12">
        <v>46102</v>
      </c>
      <c r="G184" s="1">
        <v>16902121</v>
      </c>
      <c r="I184" s="1">
        <v>203843</v>
      </c>
      <c r="K184" s="41">
        <f t="shared" si="25"/>
        <v>53652936</v>
      </c>
      <c r="M184" s="1">
        <v>70758900</v>
      </c>
      <c r="O184" s="41">
        <f t="shared" si="26"/>
        <v>11798845</v>
      </c>
      <c r="Q184" s="1">
        <v>51386481</v>
      </c>
      <c r="S184" s="1">
        <v>63185326</v>
      </c>
      <c r="U184" s="1">
        <f>1643477+19212+991551+203843</f>
        <v>2858083</v>
      </c>
      <c r="W184" s="1">
        <v>0</v>
      </c>
      <c r="Y184" s="1">
        <f>1637436+149835+1812830+1115390</f>
        <v>4715491</v>
      </c>
      <c r="AA184" s="58">
        <f t="shared" si="23"/>
        <v>7573574</v>
      </c>
      <c r="AC184" s="1">
        <f t="shared" si="24"/>
        <v>0</v>
      </c>
    </row>
    <row r="185" spans="1:29" ht="12" customHeight="1">
      <c r="A185" s="12" t="s">
        <v>396</v>
      </c>
      <c r="B185" s="12"/>
      <c r="C185" s="12" t="s">
        <v>395</v>
      </c>
      <c r="D185" s="12"/>
      <c r="E185" s="13">
        <v>47621</v>
      </c>
      <c r="G185" s="1">
        <f>2674137+62983</f>
        <v>2737120</v>
      </c>
      <c r="I185" s="1">
        <v>0</v>
      </c>
      <c r="K185" s="41">
        <f t="shared" si="25"/>
        <v>1947712</v>
      </c>
      <c r="M185" s="1">
        <v>4684832</v>
      </c>
      <c r="O185" s="41">
        <f t="shared" si="26"/>
        <v>1376833</v>
      </c>
      <c r="Q185" s="1">
        <v>1652792</v>
      </c>
      <c r="S185" s="1">
        <v>3029625</v>
      </c>
      <c r="U185" s="1">
        <f>168981+22000+246338</f>
        <v>437319</v>
      </c>
      <c r="W185" s="1">
        <v>0</v>
      </c>
      <c r="Y185" s="1">
        <f>354339+229917+594981+38651</f>
        <v>1217888</v>
      </c>
      <c r="AA185" s="58">
        <f t="shared" si="23"/>
        <v>1655207</v>
      </c>
      <c r="AC185" s="1">
        <f t="shared" si="24"/>
        <v>0</v>
      </c>
    </row>
    <row r="186" spans="1:29" ht="12" customHeight="1">
      <c r="A186" s="12" t="s">
        <v>324</v>
      </c>
      <c r="B186" s="12"/>
      <c r="C186" s="12" t="s">
        <v>25</v>
      </c>
      <c r="D186" s="12"/>
      <c r="E186" s="13">
        <v>46870</v>
      </c>
      <c r="G186" s="1">
        <v>26852561</v>
      </c>
      <c r="I186" s="1">
        <v>0</v>
      </c>
      <c r="K186" s="41">
        <f t="shared" si="25"/>
        <v>6134891</v>
      </c>
      <c r="M186" s="1">
        <v>32987452</v>
      </c>
      <c r="O186" s="41">
        <f t="shared" si="26"/>
        <v>4246739</v>
      </c>
      <c r="Q186" s="1">
        <v>4047769</v>
      </c>
      <c r="S186" s="1">
        <v>8294508</v>
      </c>
      <c r="U186" s="1">
        <f>11697029+479793</f>
        <v>12176822</v>
      </c>
      <c r="W186" s="1">
        <v>0</v>
      </c>
      <c r="Y186" s="1">
        <f>3586697+976346+1799180+6153899</f>
        <v>12516122</v>
      </c>
      <c r="AA186" s="58">
        <f t="shared" si="23"/>
        <v>24692944</v>
      </c>
      <c r="AC186" s="1">
        <f t="shared" si="24"/>
        <v>0</v>
      </c>
    </row>
    <row r="187" spans="1:29" ht="12" customHeight="1">
      <c r="A187" s="12" t="s">
        <v>422</v>
      </c>
      <c r="B187" s="12"/>
      <c r="C187" s="12" t="s">
        <v>420</v>
      </c>
      <c r="D187" s="12"/>
      <c r="E187" s="13">
        <v>47936</v>
      </c>
      <c r="G187" s="1">
        <v>6774742</v>
      </c>
      <c r="I187" s="1">
        <v>113029</v>
      </c>
      <c r="K187" s="41">
        <f t="shared" si="25"/>
        <v>3475430</v>
      </c>
      <c r="M187" s="1">
        <v>10363201</v>
      </c>
      <c r="O187" s="41">
        <f t="shared" si="26"/>
        <v>2139928</v>
      </c>
      <c r="Q187" s="1">
        <v>2805258</v>
      </c>
      <c r="S187" s="1">
        <v>4945186</v>
      </c>
      <c r="U187" s="1">
        <f>97756+510658+69569+43460</f>
        <v>721443</v>
      </c>
      <c r="W187" s="1">
        <v>58859</v>
      </c>
      <c r="Y187" s="1">
        <f>2788566+652254+1196895-2</f>
        <v>4637713</v>
      </c>
      <c r="AA187" s="58">
        <f t="shared" si="23"/>
        <v>5418015</v>
      </c>
      <c r="AC187" s="1">
        <f t="shared" si="24"/>
        <v>0</v>
      </c>
    </row>
    <row r="188" spans="1:29" ht="12" hidden="1" customHeight="1">
      <c r="A188" s="17" t="s">
        <v>742</v>
      </c>
      <c r="B188" s="12"/>
      <c r="C188" s="12" t="s">
        <v>61</v>
      </c>
      <c r="D188" s="12"/>
      <c r="E188" s="13">
        <v>49775</v>
      </c>
      <c r="K188" s="41">
        <f t="shared" si="25"/>
        <v>0</v>
      </c>
      <c r="O188" s="41">
        <f t="shared" si="26"/>
        <v>0</v>
      </c>
      <c r="AA188" s="58">
        <f t="shared" si="23"/>
        <v>0</v>
      </c>
      <c r="AC188" s="1">
        <f t="shared" si="24"/>
        <v>0</v>
      </c>
    </row>
    <row r="189" spans="1:29" ht="12" customHeight="1">
      <c r="A189" s="12" t="s">
        <v>575</v>
      </c>
      <c r="B189" s="12"/>
      <c r="C189" s="12" t="s">
        <v>62</v>
      </c>
      <c r="D189" s="12"/>
      <c r="E189" s="13">
        <v>49841</v>
      </c>
      <c r="G189" s="1">
        <v>5051888</v>
      </c>
      <c r="I189" s="1">
        <v>80333</v>
      </c>
      <c r="K189" s="41">
        <f t="shared" si="25"/>
        <v>7035039</v>
      </c>
      <c r="M189" s="1">
        <v>12167260</v>
      </c>
      <c r="O189" s="41">
        <f t="shared" si="26"/>
        <v>2342831</v>
      </c>
      <c r="Q189" s="1">
        <f>5894793+765781</f>
        <v>6660574</v>
      </c>
      <c r="S189" s="1">
        <v>9003405</v>
      </c>
      <c r="U189" s="1">
        <f>380385+31437+9817+255700+603745+53112+27221</f>
        <v>1361417</v>
      </c>
      <c r="W189" s="1">
        <v>0</v>
      </c>
      <c r="Y189" s="1">
        <f>1225298+324243+252897</f>
        <v>1802438</v>
      </c>
      <c r="AA189" s="58">
        <f t="shared" si="23"/>
        <v>3163855</v>
      </c>
      <c r="AC189" s="1">
        <f t="shared" si="24"/>
        <v>0</v>
      </c>
    </row>
    <row r="190" spans="1:29" ht="12" hidden="1" customHeight="1">
      <c r="A190" s="17" t="s">
        <v>834</v>
      </c>
      <c r="B190" s="12"/>
      <c r="C190" s="12"/>
      <c r="D190" s="12"/>
      <c r="E190" s="13"/>
      <c r="K190" s="41"/>
      <c r="O190" s="41"/>
      <c r="AA190" s="58"/>
    </row>
    <row r="191" spans="1:29" ht="12" customHeight="1">
      <c r="A191" s="12" t="s">
        <v>290</v>
      </c>
      <c r="B191" s="12"/>
      <c r="C191" s="12" t="s">
        <v>20</v>
      </c>
      <c r="D191" s="12"/>
      <c r="E191" s="13">
        <v>43976</v>
      </c>
      <c r="G191" s="1">
        <v>15384626</v>
      </c>
      <c r="I191" s="1">
        <v>364682</v>
      </c>
      <c r="K191" s="41">
        <f t="shared" si="25"/>
        <v>18543853</v>
      </c>
      <c r="M191" s="1">
        <v>34293161</v>
      </c>
      <c r="O191" s="41">
        <f t="shared" si="26"/>
        <v>2770490</v>
      </c>
      <c r="Q191" s="1">
        <f>1294432+14281654</f>
        <v>15576086</v>
      </c>
      <c r="S191" s="1">
        <v>18346576</v>
      </c>
      <c r="U191" s="1">
        <f>942337+2607837+364682</f>
        <v>3914856</v>
      </c>
      <c r="W191" s="1">
        <v>95561</v>
      </c>
      <c r="Y191" s="1">
        <f>9058880+138529+2122537+616222</f>
        <v>11936168</v>
      </c>
      <c r="AA191" s="58">
        <f t="shared" si="23"/>
        <v>15946585</v>
      </c>
      <c r="AC191" s="1">
        <f t="shared" si="24"/>
        <v>0</v>
      </c>
    </row>
    <row r="192" spans="1:29" ht="12" customHeight="1">
      <c r="A192" s="17" t="s">
        <v>812</v>
      </c>
      <c r="B192" s="17"/>
      <c r="C192" s="17" t="s">
        <v>28</v>
      </c>
      <c r="D192" s="12"/>
      <c r="E192" s="13"/>
      <c r="G192" s="1">
        <v>2858252</v>
      </c>
      <c r="I192" s="1">
        <v>0</v>
      </c>
      <c r="K192" s="41">
        <f t="shared" si="25"/>
        <v>1535460</v>
      </c>
      <c r="M192" s="1">
        <v>4393712</v>
      </c>
      <c r="O192" s="41">
        <f t="shared" si="26"/>
        <v>559415</v>
      </c>
      <c r="Q192" s="1">
        <v>1270473</v>
      </c>
      <c r="S192" s="1">
        <v>1829888</v>
      </c>
      <c r="U192" s="1">
        <f>112900+758308</f>
        <v>871208</v>
      </c>
      <c r="W192" s="1">
        <v>0</v>
      </c>
      <c r="Y192" s="1">
        <f>1034869+179625+151652+326470</f>
        <v>1692616</v>
      </c>
      <c r="AA192" s="58">
        <f t="shared" si="23"/>
        <v>2563824</v>
      </c>
      <c r="AC192" s="1">
        <f t="shared" si="24"/>
        <v>0</v>
      </c>
    </row>
    <row r="193" spans="1:29" ht="12" customHeight="1">
      <c r="A193" s="12" t="s">
        <v>224</v>
      </c>
      <c r="B193" s="12"/>
      <c r="C193" s="12" t="s">
        <v>77</v>
      </c>
      <c r="D193" s="12"/>
      <c r="E193" s="13">
        <v>46045</v>
      </c>
      <c r="G193" s="1">
        <v>3757841</v>
      </c>
      <c r="I193" s="1">
        <v>0</v>
      </c>
      <c r="K193" s="41">
        <f t="shared" si="25"/>
        <v>2723993</v>
      </c>
      <c r="M193" s="1">
        <v>6481834</v>
      </c>
      <c r="O193" s="41">
        <f t="shared" si="26"/>
        <v>1085654</v>
      </c>
      <c r="Q193" s="1">
        <v>2077664</v>
      </c>
      <c r="S193" s="1">
        <v>3163318</v>
      </c>
      <c r="U193" s="1">
        <f>947369+605089</f>
        <v>1552458</v>
      </c>
      <c r="W193" s="1">
        <v>0</v>
      </c>
      <c r="Y193" s="1">
        <f>-135249+367269+1158086+375952</f>
        <v>1766058</v>
      </c>
      <c r="AA193" s="58">
        <f t="shared" si="23"/>
        <v>3318516</v>
      </c>
      <c r="AC193" s="1">
        <f t="shared" si="24"/>
        <v>0</v>
      </c>
    </row>
    <row r="194" spans="1:29" ht="12" customHeight="1">
      <c r="A194" s="12" t="s">
        <v>813</v>
      </c>
      <c r="B194" s="12"/>
      <c r="C194" s="12" t="s">
        <v>13</v>
      </c>
      <c r="D194" s="12"/>
      <c r="E194" s="13"/>
      <c r="G194" s="1">
        <f>3418381+51</f>
        <v>3418432</v>
      </c>
      <c r="I194" s="1">
        <v>823</v>
      </c>
      <c r="K194" s="41">
        <f t="shared" si="25"/>
        <v>3675522</v>
      </c>
      <c r="M194" s="1">
        <v>7094777</v>
      </c>
      <c r="O194" s="41">
        <f t="shared" si="26"/>
        <v>1700446</v>
      </c>
      <c r="Q194" s="1">
        <v>3275173</v>
      </c>
      <c r="S194" s="1">
        <v>4975619</v>
      </c>
      <c r="U194" s="1">
        <f>152512+306573+923</f>
        <v>460008</v>
      </c>
      <c r="W194" s="1">
        <v>0</v>
      </c>
      <c r="Y194" s="1">
        <f>1080536+28437+416991+133186</f>
        <v>1659150</v>
      </c>
      <c r="AA194" s="58">
        <f t="shared" si="23"/>
        <v>2119158</v>
      </c>
      <c r="AC194" s="1">
        <f t="shared" si="24"/>
        <v>0</v>
      </c>
    </row>
    <row r="195" spans="1:29" ht="12" customHeight="1">
      <c r="A195" s="12" t="s">
        <v>253</v>
      </c>
      <c r="B195" s="12"/>
      <c r="C195" s="12" t="s">
        <v>115</v>
      </c>
      <c r="D195" s="12"/>
      <c r="E195" s="13">
        <v>46334</v>
      </c>
      <c r="G195" s="1">
        <v>1762493</v>
      </c>
      <c r="I195" s="1">
        <v>208272</v>
      </c>
      <c r="K195" s="41">
        <f t="shared" si="25"/>
        <v>2004964</v>
      </c>
      <c r="M195" s="1">
        <v>3975729</v>
      </c>
      <c r="O195" s="41">
        <f t="shared" si="26"/>
        <v>1044516</v>
      </c>
      <c r="Q195" s="1">
        <v>1782364</v>
      </c>
      <c r="S195" s="1">
        <v>2826880</v>
      </c>
      <c r="U195" s="1">
        <f>51365+195452+12820+182500+28347+6100</f>
        <v>476584</v>
      </c>
      <c r="W195" s="1">
        <v>46060</v>
      </c>
      <c r="Y195" s="1">
        <f>-526733+156644+882783+113511</f>
        <v>626205</v>
      </c>
      <c r="AA195" s="58">
        <f t="shared" si="23"/>
        <v>1148849</v>
      </c>
      <c r="AC195" s="1">
        <f t="shared" si="24"/>
        <v>0</v>
      </c>
    </row>
    <row r="196" spans="1:29" ht="12" customHeight="1">
      <c r="A196" s="17" t="s">
        <v>905</v>
      </c>
      <c r="B196" s="12"/>
      <c r="C196" s="12" t="s">
        <v>56</v>
      </c>
      <c r="D196" s="12"/>
      <c r="E196" s="13">
        <v>49197</v>
      </c>
      <c r="G196" s="1">
        <f>1017256+11690</f>
        <v>1028946</v>
      </c>
      <c r="I196" s="1">
        <v>568401</v>
      </c>
      <c r="K196" s="41">
        <f t="shared" si="25"/>
        <v>10033671</v>
      </c>
      <c r="M196" s="1">
        <v>11631018</v>
      </c>
      <c r="O196" s="41">
        <f t="shared" si="26"/>
        <v>1928136</v>
      </c>
      <c r="Q196" s="1">
        <v>8938540</v>
      </c>
      <c r="S196" s="1">
        <v>10866676</v>
      </c>
      <c r="U196" s="1">
        <f>92249+1014658+568401</f>
        <v>1675308</v>
      </c>
      <c r="W196" s="1">
        <v>0</v>
      </c>
      <c r="Y196" s="1">
        <f>+-1672546+235386+513982+12212</f>
        <v>-910966</v>
      </c>
      <c r="AA196" s="58">
        <f t="shared" si="23"/>
        <v>764342</v>
      </c>
      <c r="AC196" s="1">
        <f t="shared" si="24"/>
        <v>0</v>
      </c>
    </row>
    <row r="197" spans="1:29" ht="12" customHeight="1">
      <c r="A197" s="12" t="s">
        <v>380</v>
      </c>
      <c r="B197" s="12"/>
      <c r="C197" s="12" t="s">
        <v>33</v>
      </c>
      <c r="D197" s="12"/>
      <c r="E197" s="13">
        <v>43984</v>
      </c>
      <c r="G197" s="1">
        <v>70818889</v>
      </c>
      <c r="I197" s="1">
        <v>63923</v>
      </c>
      <c r="K197" s="41">
        <f t="shared" si="25"/>
        <v>47518770</v>
      </c>
      <c r="M197" s="1">
        <v>118401582</v>
      </c>
      <c r="O197" s="41">
        <f t="shared" si="26"/>
        <v>8019533</v>
      </c>
      <c r="Q197" s="1">
        <f>18199211+26952281</f>
        <v>45151492</v>
      </c>
      <c r="S197" s="1">
        <v>53171025</v>
      </c>
      <c r="U197" s="1">
        <f>1932358+70878+2029000+130633+63923+618000+844729</f>
        <v>5689521</v>
      </c>
      <c r="W197" s="1">
        <v>0</v>
      </c>
      <c r="Y197" s="1">
        <f>3335028+1649729+54459468+96811</f>
        <v>59541036</v>
      </c>
      <c r="AA197" s="58">
        <f t="shared" si="23"/>
        <v>65230557</v>
      </c>
      <c r="AC197" s="1">
        <f t="shared" si="24"/>
        <v>0</v>
      </c>
    </row>
    <row r="198" spans="1:29" ht="12" customHeight="1">
      <c r="A198" s="12" t="s">
        <v>363</v>
      </c>
      <c r="B198" s="12"/>
      <c r="C198" s="12" t="s">
        <v>32</v>
      </c>
      <c r="D198" s="12"/>
      <c r="E198" s="13">
        <v>47332</v>
      </c>
      <c r="G198" s="1">
        <v>3299793</v>
      </c>
      <c r="I198" s="1">
        <v>4354</v>
      </c>
      <c r="K198" s="41">
        <f t="shared" si="25"/>
        <v>11586113</v>
      </c>
      <c r="M198" s="1">
        <v>14890260</v>
      </c>
      <c r="O198" s="41">
        <f t="shared" si="26"/>
        <v>3114672</v>
      </c>
      <c r="Q198" s="1">
        <v>7516439</v>
      </c>
      <c r="S198" s="1">
        <v>10631111</v>
      </c>
      <c r="U198" s="1">
        <f>230811+3627400</f>
        <v>3858211</v>
      </c>
      <c r="W198" s="1">
        <v>0</v>
      </c>
      <c r="Y198" s="1">
        <f>-732444+431934+551387+150061</f>
        <v>400938</v>
      </c>
      <c r="AA198" s="58">
        <f t="shared" si="23"/>
        <v>4259149</v>
      </c>
      <c r="AC198" s="1">
        <f t="shared" si="24"/>
        <v>0</v>
      </c>
    </row>
    <row r="199" spans="1:29" ht="12" customHeight="1">
      <c r="A199" s="12" t="s">
        <v>441</v>
      </c>
      <c r="B199" s="12"/>
      <c r="C199" s="12" t="s">
        <v>44</v>
      </c>
      <c r="D199" s="12"/>
      <c r="E199" s="13">
        <v>48157</v>
      </c>
      <c r="G199" s="1">
        <v>4834925</v>
      </c>
      <c r="I199" s="1">
        <v>0</v>
      </c>
      <c r="K199" s="41">
        <f t="shared" si="25"/>
        <v>6926022</v>
      </c>
      <c r="M199" s="1">
        <v>11760947</v>
      </c>
      <c r="O199" s="41">
        <f t="shared" si="26"/>
        <v>2528219</v>
      </c>
      <c r="Q199" s="1">
        <f>187589+6184779</f>
        <v>6372368</v>
      </c>
      <c r="S199" s="1">
        <v>8900587</v>
      </c>
      <c r="U199" s="1">
        <f>162173+5997+501348+29881+7386+112091</f>
        <v>818876</v>
      </c>
      <c r="W199" s="1">
        <v>0</v>
      </c>
      <c r="Y199" s="1">
        <f>608182+262195+1171107</f>
        <v>2041484</v>
      </c>
      <c r="AA199" s="58">
        <f t="shared" si="23"/>
        <v>2860360</v>
      </c>
      <c r="AC199" s="1">
        <f t="shared" si="24"/>
        <v>0</v>
      </c>
    </row>
    <row r="200" spans="1:29" ht="12" customHeight="1">
      <c r="A200" s="12" t="s">
        <v>364</v>
      </c>
      <c r="B200" s="12"/>
      <c r="C200" s="12" t="s">
        <v>32</v>
      </c>
      <c r="D200" s="12"/>
      <c r="E200" s="13">
        <v>47340</v>
      </c>
      <c r="G200" s="1">
        <v>20688776</v>
      </c>
      <c r="I200" s="1">
        <v>250638</v>
      </c>
      <c r="K200" s="41">
        <f t="shared" si="25"/>
        <v>49166008</v>
      </c>
      <c r="M200" s="1">
        <v>70105422</v>
      </c>
      <c r="O200" s="41">
        <f t="shared" si="26"/>
        <v>10423616</v>
      </c>
      <c r="Q200" s="1">
        <v>32702918</v>
      </c>
      <c r="S200" s="1">
        <v>43126534</v>
      </c>
      <c r="U200" s="1">
        <f>466398+250638+15707200+345757+718073</f>
        <v>17488066</v>
      </c>
      <c r="W200" s="1">
        <v>0</v>
      </c>
      <c r="Y200" s="1">
        <f>3738070+4214219+1527652+10881</f>
        <v>9490822</v>
      </c>
      <c r="AA200" s="58">
        <f t="shared" si="23"/>
        <v>26978888</v>
      </c>
      <c r="AC200" s="1">
        <f t="shared" si="24"/>
        <v>0</v>
      </c>
    </row>
    <row r="201" spans="1:29" ht="12" hidden="1" customHeight="1">
      <c r="A201" s="12" t="s">
        <v>737</v>
      </c>
      <c r="B201" s="12"/>
      <c r="C201" s="12" t="s">
        <v>70</v>
      </c>
      <c r="D201" s="12"/>
      <c r="E201" s="13">
        <v>50484</v>
      </c>
      <c r="K201" s="41">
        <f t="shared" si="25"/>
        <v>0</v>
      </c>
      <c r="O201" s="41">
        <f t="shared" si="26"/>
        <v>0</v>
      </c>
      <c r="AA201" s="58">
        <f t="shared" si="23"/>
        <v>0</v>
      </c>
      <c r="AC201" s="1">
        <f t="shared" si="24"/>
        <v>0</v>
      </c>
    </row>
    <row r="202" spans="1:29" ht="12" customHeight="1">
      <c r="A202" s="12" t="s">
        <v>569</v>
      </c>
      <c r="B202" s="12"/>
      <c r="C202" s="12" t="s">
        <v>61</v>
      </c>
      <c r="D202" s="12"/>
      <c r="E202" s="13">
        <v>49783</v>
      </c>
      <c r="G202" s="1">
        <v>4432733</v>
      </c>
      <c r="I202" s="1">
        <f>194+77452</f>
        <v>77646</v>
      </c>
      <c r="K202" s="41">
        <f t="shared" si="25"/>
        <v>2914516</v>
      </c>
      <c r="M202" s="1">
        <v>7424895</v>
      </c>
      <c r="O202" s="41">
        <f t="shared" si="26"/>
        <v>1115947</v>
      </c>
      <c r="Q202" s="1">
        <v>2209084</v>
      </c>
      <c r="S202" s="1">
        <v>3325031</v>
      </c>
      <c r="U202" s="1">
        <f>209231+194+392156+566+19758</f>
        <v>621905</v>
      </c>
      <c r="W202" s="1">
        <v>0</v>
      </c>
      <c r="Y202" s="1">
        <f>2352056+230542+845803+49558</f>
        <v>3477959</v>
      </c>
      <c r="AA202" s="58">
        <f t="shared" si="23"/>
        <v>4099864</v>
      </c>
      <c r="AC202" s="1">
        <f t="shared" si="24"/>
        <v>0</v>
      </c>
    </row>
    <row r="203" spans="1:29" ht="12" hidden="1" customHeight="1">
      <c r="A203" s="12" t="s">
        <v>814</v>
      </c>
      <c r="B203" s="12"/>
      <c r="C203" s="12" t="s">
        <v>486</v>
      </c>
      <c r="D203" s="12"/>
      <c r="E203" s="13"/>
      <c r="K203" s="41">
        <f t="shared" si="25"/>
        <v>0</v>
      </c>
      <c r="O203" s="41">
        <f t="shared" si="26"/>
        <v>0</v>
      </c>
      <c r="AA203" s="58">
        <f t="shared" si="23"/>
        <v>0</v>
      </c>
      <c r="AC203" s="1">
        <f t="shared" si="24"/>
        <v>0</v>
      </c>
    </row>
    <row r="204" spans="1:29" ht="12" hidden="1" customHeight="1">
      <c r="A204" s="12" t="s">
        <v>950</v>
      </c>
      <c r="B204" s="12"/>
      <c r="C204" s="12" t="s">
        <v>60</v>
      </c>
      <c r="D204" s="12"/>
      <c r="E204" s="13">
        <v>43992</v>
      </c>
      <c r="K204" s="41">
        <f t="shared" si="25"/>
        <v>0</v>
      </c>
      <c r="O204" s="41">
        <f t="shared" si="26"/>
        <v>0</v>
      </c>
      <c r="AA204" s="58">
        <f t="shared" si="23"/>
        <v>0</v>
      </c>
      <c r="AC204" s="1">
        <f t="shared" si="24"/>
        <v>0</v>
      </c>
    </row>
    <row r="205" spans="1:29" ht="12" customHeight="1">
      <c r="A205" s="12" t="s">
        <v>632</v>
      </c>
      <c r="B205" s="12"/>
      <c r="C205" s="12" t="s">
        <v>69</v>
      </c>
      <c r="D205" s="12"/>
      <c r="E205" s="13">
        <v>44008</v>
      </c>
      <c r="G205" s="1">
        <v>8858800</v>
      </c>
      <c r="I205" s="1">
        <v>0</v>
      </c>
      <c r="K205" s="41">
        <f t="shared" si="25"/>
        <v>13443934</v>
      </c>
      <c r="M205" s="1">
        <v>22302734</v>
      </c>
      <c r="O205" s="41">
        <f t="shared" si="26"/>
        <v>3908608</v>
      </c>
      <c r="Q205" s="1">
        <v>12578281</v>
      </c>
      <c r="S205" s="1">
        <v>16486889</v>
      </c>
      <c r="U205" s="1">
        <f>541737+555129</f>
        <v>1096866</v>
      </c>
      <c r="W205" s="1">
        <v>0</v>
      </c>
      <c r="Y205" s="1">
        <f>2844006+337810+1127792+409371</f>
        <v>4718979</v>
      </c>
      <c r="AA205" s="58">
        <f t="shared" si="23"/>
        <v>5815845</v>
      </c>
      <c r="AC205" s="1">
        <f t="shared" si="24"/>
        <v>0</v>
      </c>
    </row>
    <row r="206" spans="1:29" ht="12" customHeight="1">
      <c r="A206" s="12" t="s">
        <v>512</v>
      </c>
      <c r="B206" s="12"/>
      <c r="C206" s="12" t="s">
        <v>51</v>
      </c>
      <c r="D206" s="12"/>
      <c r="E206" s="13">
        <v>48843</v>
      </c>
      <c r="G206" s="1">
        <f>8161401+259</f>
        <v>8161660</v>
      </c>
      <c r="I206" s="1">
        <v>1806</v>
      </c>
      <c r="K206" s="41">
        <f t="shared" si="25"/>
        <v>6484281</v>
      </c>
      <c r="M206" s="1">
        <v>14647747</v>
      </c>
      <c r="O206" s="41">
        <f t="shared" si="26"/>
        <v>3390013</v>
      </c>
      <c r="Q206" s="1">
        <v>5738396</v>
      </c>
      <c r="S206" s="1">
        <v>9128409</v>
      </c>
      <c r="U206" s="1">
        <f>93396+1558568+320064+936945</f>
        <v>2908973</v>
      </c>
      <c r="W206" s="1">
        <v>0</v>
      </c>
      <c r="Y206" s="1">
        <v>2610365</v>
      </c>
      <c r="AA206" s="58">
        <f t="shared" si="23"/>
        <v>5519338</v>
      </c>
      <c r="AC206" s="1">
        <f t="shared" si="24"/>
        <v>0</v>
      </c>
    </row>
    <row r="207" spans="1:29" ht="12" hidden="1" customHeight="1">
      <c r="A207" s="17" t="s">
        <v>736</v>
      </c>
      <c r="B207" s="12"/>
      <c r="C207" s="12" t="s">
        <v>21</v>
      </c>
      <c r="D207" s="12"/>
      <c r="E207" s="13">
        <v>46649</v>
      </c>
      <c r="K207" s="41">
        <f t="shared" si="25"/>
        <v>0</v>
      </c>
      <c r="O207" s="41">
        <f t="shared" si="26"/>
        <v>0</v>
      </c>
      <c r="AA207" s="58">
        <f t="shared" si="23"/>
        <v>0</v>
      </c>
      <c r="AC207" s="1">
        <f t="shared" si="24"/>
        <v>0</v>
      </c>
    </row>
    <row r="208" spans="1:29" ht="12" hidden="1" customHeight="1">
      <c r="A208" s="17" t="s">
        <v>815</v>
      </c>
      <c r="B208" s="12"/>
      <c r="C208" s="12" t="s">
        <v>40</v>
      </c>
      <c r="D208" s="12"/>
      <c r="E208" s="13">
        <v>47852</v>
      </c>
      <c r="K208" s="41">
        <f t="shared" si="25"/>
        <v>0</v>
      </c>
      <c r="O208" s="41">
        <f t="shared" si="26"/>
        <v>0</v>
      </c>
      <c r="AA208" s="58">
        <f t="shared" si="23"/>
        <v>0</v>
      </c>
      <c r="AC208" s="1">
        <f t="shared" si="24"/>
        <v>0</v>
      </c>
    </row>
    <row r="209" spans="1:29" ht="12" customHeight="1">
      <c r="A209" s="12" t="s">
        <v>556</v>
      </c>
      <c r="B209" s="12"/>
      <c r="C209" s="12" t="s">
        <v>79</v>
      </c>
      <c r="D209" s="12"/>
      <c r="E209" s="13">
        <v>44016</v>
      </c>
      <c r="G209" s="1">
        <f>11802025+1070965+17686451</f>
        <v>30559441</v>
      </c>
      <c r="I209" s="1">
        <v>68003</v>
      </c>
      <c r="K209" s="41">
        <f t="shared" si="25"/>
        <v>15910142</v>
      </c>
      <c r="M209" s="1">
        <v>46537586</v>
      </c>
      <c r="O209" s="41">
        <f t="shared" si="26"/>
        <v>3591592</v>
      </c>
      <c r="Q209" s="1">
        <v>11529789</v>
      </c>
      <c r="S209" s="1">
        <v>15121381</v>
      </c>
      <c r="U209" s="1">
        <f>843225+33766+1841032+68003</f>
        <v>2786026</v>
      </c>
      <c r="W209" s="1">
        <v>0</v>
      </c>
      <c r="Y209" s="1">
        <f>3737838+4312910+807107+19772324</f>
        <v>28630179</v>
      </c>
      <c r="AA209" s="58">
        <f t="shared" si="23"/>
        <v>31416205</v>
      </c>
      <c r="AC209" s="1">
        <f t="shared" si="24"/>
        <v>0</v>
      </c>
    </row>
    <row r="210" spans="1:29" ht="12" customHeight="1">
      <c r="A210" s="12" t="s">
        <v>637</v>
      </c>
      <c r="B210" s="12"/>
      <c r="C210" s="12" t="s">
        <v>70</v>
      </c>
      <c r="D210" s="12"/>
      <c r="E210" s="13">
        <v>50492</v>
      </c>
      <c r="G210" s="1">
        <f>2626122+29</f>
        <v>2626151</v>
      </c>
      <c r="I210" s="1">
        <v>179721</v>
      </c>
      <c r="K210" s="41">
        <f t="shared" si="25"/>
        <v>2117586</v>
      </c>
      <c r="M210" s="1">
        <v>4923458</v>
      </c>
      <c r="O210" s="41">
        <f t="shared" si="26"/>
        <v>1108024</v>
      </c>
      <c r="Q210" s="1">
        <f>199321+1440815</f>
        <v>1640136</v>
      </c>
      <c r="S210" s="1">
        <v>2748160</v>
      </c>
      <c r="U210" s="1">
        <f>76332+8720+86355+211759+177218+2503</f>
        <v>562887</v>
      </c>
      <c r="W210" s="1">
        <v>0</v>
      </c>
      <c r="Y210" s="1">
        <f>670410-41343+983344</f>
        <v>1612411</v>
      </c>
      <c r="AA210" s="58">
        <f t="shared" si="23"/>
        <v>2175298</v>
      </c>
      <c r="AC210" s="1">
        <f t="shared" si="24"/>
        <v>0</v>
      </c>
    </row>
    <row r="211" spans="1:29" ht="12" customHeight="1">
      <c r="A211" s="12" t="s">
        <v>333</v>
      </c>
      <c r="B211" s="12"/>
      <c r="C211" s="12" t="s">
        <v>27</v>
      </c>
      <c r="D211" s="12"/>
      <c r="E211" s="13">
        <v>46961</v>
      </c>
      <c r="G211" s="1">
        <v>30853947</v>
      </c>
      <c r="I211" s="1">
        <v>1076664</v>
      </c>
      <c r="K211" s="41">
        <f t="shared" si="25"/>
        <v>83240484</v>
      </c>
      <c r="M211" s="1">
        <v>115171095</v>
      </c>
      <c r="O211" s="41">
        <f t="shared" si="26"/>
        <v>11531380</v>
      </c>
      <c r="Q211" s="1">
        <v>63502731</v>
      </c>
      <c r="S211" s="1">
        <v>75034111</v>
      </c>
      <c r="U211" s="1">
        <f>3649436+105766+19552727+1000303+76361+250000</f>
        <v>24634593</v>
      </c>
      <c r="W211" s="1">
        <v>0</v>
      </c>
      <c r="Y211" s="1">
        <f>303333+2250078+13142196-193216</f>
        <v>15502391</v>
      </c>
      <c r="AA211" s="58">
        <f t="shared" si="23"/>
        <v>40136984</v>
      </c>
      <c r="AC211" s="1">
        <f t="shared" si="24"/>
        <v>0</v>
      </c>
    </row>
    <row r="212" spans="1:29" ht="12" customHeight="1">
      <c r="A212" s="12" t="s">
        <v>278</v>
      </c>
      <c r="B212" s="12"/>
      <c r="C212" s="12" t="s">
        <v>113</v>
      </c>
      <c r="D212" s="12"/>
      <c r="E212" s="13">
        <v>44024</v>
      </c>
      <c r="G212" s="1">
        <v>4490435</v>
      </c>
      <c r="I212" s="1">
        <v>0</v>
      </c>
      <c r="K212" s="41">
        <f t="shared" si="25"/>
        <v>7089679</v>
      </c>
      <c r="M212" s="1">
        <v>11580114</v>
      </c>
      <c r="O212" s="41">
        <f t="shared" si="26"/>
        <v>2453329</v>
      </c>
      <c r="Q212" s="1">
        <v>4546854</v>
      </c>
      <c r="S212" s="1">
        <v>7000183</v>
      </c>
      <c r="U212" s="1">
        <f>2125611+319867</f>
        <v>2445478</v>
      </c>
      <c r="W212" s="1">
        <v>0</v>
      </c>
      <c r="Y212" s="1">
        <f>679818+308520+1284898-138783</f>
        <v>2134453</v>
      </c>
      <c r="AA212" s="58">
        <f t="shared" si="23"/>
        <v>4579931</v>
      </c>
      <c r="AC212" s="1">
        <f t="shared" si="24"/>
        <v>0</v>
      </c>
    </row>
    <row r="213" spans="1:29" ht="12" customHeight="1">
      <c r="A213" s="12" t="s">
        <v>349</v>
      </c>
      <c r="B213" s="12"/>
      <c r="C213" s="12" t="s">
        <v>29</v>
      </c>
      <c r="D213" s="12"/>
      <c r="E213" s="13">
        <v>65680</v>
      </c>
      <c r="G213" s="1">
        <v>14609676</v>
      </c>
      <c r="I213" s="1">
        <f>690172+55764</f>
        <v>745936</v>
      </c>
      <c r="K213" s="41">
        <f t="shared" si="25"/>
        <v>13655827</v>
      </c>
      <c r="M213" s="1">
        <v>29011439</v>
      </c>
      <c r="O213" s="41">
        <f t="shared" si="26"/>
        <v>3532606</v>
      </c>
      <c r="Q213" s="1">
        <v>12892079</v>
      </c>
      <c r="S213" s="1">
        <v>16424685</v>
      </c>
      <c r="U213" s="1">
        <f>1005506+92000+219709+370767</f>
        <v>1687982</v>
      </c>
      <c r="W213" s="1">
        <v>0</v>
      </c>
      <c r="Y213" s="1">
        <f>1432553+63451+4015616+2050+5385102</f>
        <v>10898772</v>
      </c>
      <c r="AA213" s="58">
        <f t="shared" si="23"/>
        <v>12586754</v>
      </c>
      <c r="AC213" s="1">
        <f t="shared" si="24"/>
        <v>0</v>
      </c>
    </row>
    <row r="214" spans="1:29" s="16" customFormat="1" ht="12" customHeight="1">
      <c r="A214" s="14" t="s">
        <v>350</v>
      </c>
      <c r="B214" s="14"/>
      <c r="C214" s="14" t="s">
        <v>29</v>
      </c>
      <c r="D214" s="14"/>
      <c r="E214" s="14">
        <v>44032</v>
      </c>
      <c r="G214" s="1">
        <v>18539128</v>
      </c>
      <c r="H214" s="1"/>
      <c r="I214" s="1">
        <v>822997</v>
      </c>
      <c r="J214" s="1"/>
      <c r="K214" s="41">
        <f t="shared" si="25"/>
        <v>13051613</v>
      </c>
      <c r="L214" s="1"/>
      <c r="M214" s="1">
        <v>32413738</v>
      </c>
      <c r="N214" s="1"/>
      <c r="O214" s="41">
        <f t="shared" si="26"/>
        <v>5976794</v>
      </c>
      <c r="P214" s="1"/>
      <c r="Q214" s="1">
        <f>5363345+7050199</f>
        <v>12413544</v>
      </c>
      <c r="R214" s="1"/>
      <c r="S214" s="1">
        <v>18390338</v>
      </c>
      <c r="T214" s="1"/>
      <c r="U214" s="1">
        <f>13433678+79386+62548+760518+260062+141867</f>
        <v>14738059</v>
      </c>
      <c r="V214" s="1"/>
      <c r="W214" s="1">
        <v>0</v>
      </c>
      <c r="X214" s="1"/>
      <c r="Y214" s="1">
        <f>806261-841522-679398</f>
        <v>-714659</v>
      </c>
      <c r="Z214" s="1"/>
      <c r="AA214" s="58">
        <f t="shared" si="23"/>
        <v>14023400</v>
      </c>
      <c r="AB214" s="1"/>
      <c r="AC214" s="1">
        <f t="shared" si="24"/>
        <v>0</v>
      </c>
    </row>
    <row r="215" spans="1:29" ht="12" customHeight="1">
      <c r="A215" s="12" t="s">
        <v>620</v>
      </c>
      <c r="B215" s="12"/>
      <c r="C215" s="12" t="s">
        <v>65</v>
      </c>
      <c r="D215" s="12"/>
      <c r="E215" s="13">
        <v>50278</v>
      </c>
      <c r="G215" s="1">
        <v>4365189</v>
      </c>
      <c r="I215" s="1">
        <v>0</v>
      </c>
      <c r="K215" s="41">
        <f t="shared" si="25"/>
        <v>5785812</v>
      </c>
      <c r="M215" s="1">
        <v>10151001</v>
      </c>
      <c r="O215" s="41">
        <f t="shared" si="26"/>
        <v>1761807</v>
      </c>
      <c r="Q215" s="1">
        <f>4944612+296424</f>
        <v>5241036</v>
      </c>
      <c r="S215" s="1">
        <v>7002843</v>
      </c>
      <c r="U215" s="1">
        <f>6814+1858+436720+452987</f>
        <v>898379</v>
      </c>
      <c r="W215" s="1">
        <v>0</v>
      </c>
      <c r="Y215" s="1">
        <f>2097723-56239+208295</f>
        <v>2249779</v>
      </c>
      <c r="AA215" s="58">
        <f t="shared" si="23"/>
        <v>3148158</v>
      </c>
      <c r="AC215" s="1">
        <f t="shared" si="24"/>
        <v>0</v>
      </c>
    </row>
    <row r="216" spans="1:29" ht="12" customHeight="1">
      <c r="A216" s="17" t="s">
        <v>837</v>
      </c>
      <c r="B216" s="12"/>
      <c r="C216" s="12" t="s">
        <v>20</v>
      </c>
      <c r="D216" s="12"/>
      <c r="E216" s="13">
        <v>44040</v>
      </c>
      <c r="G216" s="1">
        <f>5426161+4077988</f>
        <v>9504149</v>
      </c>
      <c r="I216" s="1">
        <v>0</v>
      </c>
      <c r="K216" s="41">
        <f t="shared" si="25"/>
        <v>38030997</v>
      </c>
      <c r="M216" s="1">
        <v>47535146</v>
      </c>
      <c r="O216" s="41">
        <f t="shared" si="26"/>
        <v>5785615</v>
      </c>
      <c r="Q216" s="1">
        <v>34471570</v>
      </c>
      <c r="S216" s="1">
        <v>40257185</v>
      </c>
      <c r="U216" s="1">
        <f>2322414+2714794+500000</f>
        <v>5537208</v>
      </c>
      <c r="W216" s="1">
        <v>0</v>
      </c>
      <c r="Y216" s="1">
        <f>356388+992628+1280367-888630</f>
        <v>1740753</v>
      </c>
      <c r="AA216" s="58">
        <f t="shared" si="23"/>
        <v>7277961</v>
      </c>
      <c r="AC216" s="1">
        <f t="shared" si="24"/>
        <v>0</v>
      </c>
    </row>
    <row r="217" spans="1:29" ht="12" customHeight="1">
      <c r="A217" s="17" t="s">
        <v>786</v>
      </c>
      <c r="B217" s="12"/>
      <c r="C217" s="12" t="s">
        <v>12</v>
      </c>
      <c r="D217" s="12"/>
      <c r="E217" s="13">
        <v>44057</v>
      </c>
      <c r="G217" s="1">
        <f>7738112+15000+8606847+4643810</f>
        <v>21003769</v>
      </c>
      <c r="I217" s="1">
        <v>358077</v>
      </c>
      <c r="K217" s="41">
        <f t="shared" si="25"/>
        <v>9696463</v>
      </c>
      <c r="M217" s="1">
        <v>31058309</v>
      </c>
      <c r="O217" s="41">
        <f t="shared" si="26"/>
        <v>6559039</v>
      </c>
      <c r="Q217" s="1">
        <v>5538501</v>
      </c>
      <c r="S217" s="1">
        <v>12097540</v>
      </c>
      <c r="U217" s="1">
        <f>6143869+3739404+358077</f>
        <v>10241350</v>
      </c>
      <c r="W217" s="1">
        <v>0</v>
      </c>
      <c r="Y217" s="1">
        <f>614068+2037858+7643679-1576186</f>
        <v>8719419</v>
      </c>
      <c r="AA217" s="58">
        <f t="shared" si="23"/>
        <v>18960769</v>
      </c>
      <c r="AC217" s="1">
        <f t="shared" si="24"/>
        <v>0</v>
      </c>
    </row>
    <row r="218" spans="1:29" ht="12" customHeight="1">
      <c r="A218" s="12" t="s">
        <v>521</v>
      </c>
      <c r="B218" s="12"/>
      <c r="C218" s="12" t="s">
        <v>53</v>
      </c>
      <c r="D218" s="12"/>
      <c r="E218" s="13">
        <v>48942</v>
      </c>
      <c r="G218" s="1">
        <f>16280996+7826+27861</f>
        <v>16316683</v>
      </c>
      <c r="I218" s="1">
        <v>44853</v>
      </c>
      <c r="K218" s="41">
        <f t="shared" si="25"/>
        <v>8100068</v>
      </c>
      <c r="M218" s="1">
        <v>24461604</v>
      </c>
      <c r="O218" s="41">
        <f t="shared" si="26"/>
        <v>1508960</v>
      </c>
      <c r="Q218" s="1">
        <f>2784552+4342412</f>
        <v>7126964</v>
      </c>
      <c r="S218" s="1">
        <v>8635924</v>
      </c>
      <c r="U218" s="1">
        <f>136517+35900+20616+655034+1384260+44853+2170</f>
        <v>2279350</v>
      </c>
      <c r="W218" s="1">
        <v>195758</v>
      </c>
      <c r="Y218" s="1">
        <f>13383781-33209</f>
        <v>13350572</v>
      </c>
      <c r="AA218" s="58">
        <f t="shared" si="23"/>
        <v>15825680</v>
      </c>
      <c r="AC218" s="1">
        <f t="shared" si="24"/>
        <v>0</v>
      </c>
    </row>
    <row r="219" spans="1:29" ht="12" hidden="1" customHeight="1">
      <c r="A219" s="17" t="s">
        <v>816</v>
      </c>
      <c r="B219" s="12"/>
      <c r="C219" s="12" t="s">
        <v>77</v>
      </c>
      <c r="D219" s="12"/>
      <c r="E219" s="13">
        <v>45377</v>
      </c>
      <c r="K219" s="41">
        <f t="shared" si="25"/>
        <v>0</v>
      </c>
      <c r="O219" s="41">
        <f t="shared" si="26"/>
        <v>0</v>
      </c>
      <c r="AA219" s="58">
        <f t="shared" si="23"/>
        <v>0</v>
      </c>
      <c r="AC219" s="1">
        <f t="shared" si="24"/>
        <v>0</v>
      </c>
    </row>
    <row r="220" spans="1:29" ht="12" customHeight="1">
      <c r="A220" s="12" t="s">
        <v>557</v>
      </c>
      <c r="B220" s="12"/>
      <c r="C220" s="12" t="s">
        <v>79</v>
      </c>
      <c r="D220" s="12"/>
      <c r="E220" s="12">
        <v>45385</v>
      </c>
      <c r="G220" s="1">
        <f>4639623+8074</f>
        <v>4647697</v>
      </c>
      <c r="I220" s="1">
        <v>210083</v>
      </c>
      <c r="K220" s="41">
        <f t="shared" si="25"/>
        <v>2796000</v>
      </c>
      <c r="M220" s="1">
        <v>7653780</v>
      </c>
      <c r="O220" s="41">
        <f t="shared" si="26"/>
        <v>1575584</v>
      </c>
      <c r="Q220" s="1">
        <f>237709+2067495</f>
        <v>2305204</v>
      </c>
      <c r="S220" s="1">
        <v>3880788</v>
      </c>
      <c r="U220" s="1">
        <f>429031+8636+13464+420713+128712+29247+52124</f>
        <v>1081927</v>
      </c>
      <c r="W220" s="1">
        <v>0</v>
      </c>
      <c r="Y220" s="1">
        <f>1093303+1196599+499932-98769</f>
        <v>2691065</v>
      </c>
      <c r="AA220" s="58">
        <f t="shared" si="23"/>
        <v>3772992</v>
      </c>
      <c r="AC220" s="1">
        <f t="shared" si="24"/>
        <v>0</v>
      </c>
    </row>
    <row r="221" spans="1:29" ht="12" customHeight="1">
      <c r="A221" s="12" t="s">
        <v>603</v>
      </c>
      <c r="B221" s="12"/>
      <c r="C221" s="12" t="s">
        <v>64</v>
      </c>
      <c r="D221" s="12"/>
      <c r="E221" s="13">
        <v>44065</v>
      </c>
      <c r="G221" s="1">
        <v>17517637</v>
      </c>
      <c r="I221" s="1">
        <v>504976</v>
      </c>
      <c r="K221" s="41">
        <f t="shared" si="25"/>
        <v>7460916</v>
      </c>
      <c r="M221" s="1">
        <v>25483529</v>
      </c>
      <c r="O221" s="41">
        <f t="shared" si="26"/>
        <v>3343722</v>
      </c>
      <c r="Q221" s="1">
        <f>2396966+4911972</f>
        <v>7308938</v>
      </c>
      <c r="S221" s="1">
        <v>10652660</v>
      </c>
      <c r="U221" s="1">
        <f>4950529+12485+38204+19495+235832+409411+95565</f>
        <v>5761521</v>
      </c>
      <c r="W221" s="1">
        <v>0</v>
      </c>
      <c r="Y221" s="1">
        <f>4519360+441718+4108270</f>
        <v>9069348</v>
      </c>
      <c r="AA221" s="58">
        <f t="shared" si="23"/>
        <v>14830869</v>
      </c>
      <c r="AC221" s="1">
        <f t="shared" si="24"/>
        <v>0</v>
      </c>
    </row>
    <row r="222" spans="1:29" ht="12" hidden="1" customHeight="1">
      <c r="A222" s="17" t="s">
        <v>869</v>
      </c>
      <c r="B222" s="12"/>
      <c r="C222" s="12" t="s">
        <v>28</v>
      </c>
      <c r="D222" s="12"/>
      <c r="E222" s="13">
        <v>47068</v>
      </c>
      <c r="K222" s="41">
        <f t="shared" si="25"/>
        <v>0</v>
      </c>
      <c r="O222" s="41">
        <f t="shared" si="26"/>
        <v>0</v>
      </c>
      <c r="AA222" s="58">
        <f t="shared" si="23"/>
        <v>0</v>
      </c>
      <c r="AC222" s="1">
        <f t="shared" si="24"/>
        <v>0</v>
      </c>
    </row>
    <row r="223" spans="1:29" ht="12" customHeight="1">
      <c r="A223" s="12" t="s">
        <v>254</v>
      </c>
      <c r="B223" s="12"/>
      <c r="C223" s="12" t="s">
        <v>115</v>
      </c>
      <c r="D223" s="12"/>
      <c r="E223" s="13">
        <v>46342</v>
      </c>
      <c r="G223" s="1">
        <f>5462806+465375</f>
        <v>5928181</v>
      </c>
      <c r="I223" s="1">
        <v>2132</v>
      </c>
      <c r="K223" s="41">
        <f t="shared" si="25"/>
        <v>8363866</v>
      </c>
      <c r="M223" s="1">
        <v>14294179</v>
      </c>
      <c r="O223" s="41">
        <f t="shared" si="26"/>
        <v>3370066</v>
      </c>
      <c r="Q223" s="1">
        <v>6523921</v>
      </c>
      <c r="S223" s="1">
        <v>9893987</v>
      </c>
      <c r="U223" s="1">
        <f>101815+677025+2132</f>
        <v>780972</v>
      </c>
      <c r="W223" s="1">
        <v>0</v>
      </c>
      <c r="Y223" s="1">
        <f>1152954+269460+1309116+887690</f>
        <v>3619220</v>
      </c>
      <c r="AA223" s="58">
        <f t="shared" si="23"/>
        <v>4400192</v>
      </c>
      <c r="AC223" s="1">
        <f t="shared" si="24"/>
        <v>0</v>
      </c>
    </row>
    <row r="224" spans="1:29" ht="12" customHeight="1">
      <c r="A224" s="12" t="s">
        <v>239</v>
      </c>
      <c r="B224" s="12"/>
      <c r="C224" s="12" t="s">
        <v>240</v>
      </c>
      <c r="D224" s="12"/>
      <c r="E224" s="13">
        <v>46193</v>
      </c>
      <c r="G224" s="1">
        <f>8710645+246014</f>
        <v>8956659</v>
      </c>
      <c r="I224" s="1">
        <v>0</v>
      </c>
      <c r="K224" s="41">
        <f t="shared" si="25"/>
        <v>6636785</v>
      </c>
      <c r="M224" s="1">
        <v>15593444</v>
      </c>
      <c r="O224" s="41">
        <f t="shared" si="26"/>
        <v>3464615</v>
      </c>
      <c r="Q224" s="1">
        <v>4342156</v>
      </c>
      <c r="S224" s="1">
        <v>7806771</v>
      </c>
      <c r="U224" s="1">
        <f>2782163+11843+2098643</f>
        <v>4892649</v>
      </c>
      <c r="W224" s="1">
        <v>0</v>
      </c>
      <c r="Y224" s="1">
        <f>453072+1070773+3140136-1769957</f>
        <v>2894024</v>
      </c>
      <c r="AA224" s="58">
        <f t="shared" si="23"/>
        <v>7786673</v>
      </c>
      <c r="AC224" s="1">
        <f t="shared" si="24"/>
        <v>0</v>
      </c>
    </row>
    <row r="225" spans="1:29" ht="12" customHeight="1">
      <c r="A225" s="12" t="s">
        <v>211</v>
      </c>
      <c r="B225" s="12"/>
      <c r="C225" s="12" t="s">
        <v>12</v>
      </c>
      <c r="D225" s="12"/>
      <c r="E225" s="12">
        <v>45864</v>
      </c>
      <c r="G225" s="1">
        <v>10109898</v>
      </c>
      <c r="I225" s="1">
        <v>0</v>
      </c>
      <c r="K225" s="41">
        <f t="shared" si="25"/>
        <v>5769095</v>
      </c>
      <c r="M225" s="1">
        <v>15878993</v>
      </c>
      <c r="O225" s="41">
        <f t="shared" si="26"/>
        <v>1687858</v>
      </c>
      <c r="Q225" s="1">
        <v>3741510</v>
      </c>
      <c r="S225" s="1">
        <v>5429368</v>
      </c>
      <c r="U225" s="1">
        <f>75244+9042991+77580+225577</f>
        <v>9421392</v>
      </c>
      <c r="W225" s="1">
        <v>0</v>
      </c>
      <c r="Y225" s="1">
        <v>1028233</v>
      </c>
      <c r="AA225" s="58">
        <f t="shared" si="23"/>
        <v>10449625</v>
      </c>
      <c r="AC225" s="1">
        <f t="shared" si="24"/>
        <v>0</v>
      </c>
    </row>
    <row r="226" spans="1:29" ht="12" customHeight="1">
      <c r="A226" s="12" t="s">
        <v>334</v>
      </c>
      <c r="B226" s="12"/>
      <c r="C226" s="12" t="s">
        <v>27</v>
      </c>
      <c r="D226" s="12"/>
      <c r="E226" s="13">
        <v>44073</v>
      </c>
      <c r="G226" s="1">
        <f>9578997+68902</f>
        <v>9647899</v>
      </c>
      <c r="I226" s="1">
        <v>0</v>
      </c>
      <c r="K226" s="41">
        <f t="shared" ref="K226:K294" si="27">M226-G226-I226</f>
        <v>9748255</v>
      </c>
      <c r="M226" s="1">
        <v>19396154</v>
      </c>
      <c r="O226" s="41">
        <f t="shared" ref="O226:O294" si="28">S226-Q226</f>
        <v>2250396</v>
      </c>
      <c r="Q226" s="1">
        <f>7937941+180592+3921</f>
        <v>8122454</v>
      </c>
      <c r="S226" s="1">
        <v>10372850</v>
      </c>
      <c r="U226" s="1">
        <f>68902+76029+293644+436773</f>
        <v>875348</v>
      </c>
      <c r="W226" s="1">
        <v>0</v>
      </c>
      <c r="Y226" s="1">
        <f>6712459+1286980+87093+61424</f>
        <v>8147956</v>
      </c>
      <c r="AA226" s="58">
        <f t="shared" ref="AA226:AA294" si="29">U226+W226+Y226</f>
        <v>9023304</v>
      </c>
      <c r="AC226" s="1">
        <f t="shared" ref="AC226:AC294" si="30">+G226+I226+K226-O226-Q226-Y226-W226-U226</f>
        <v>0</v>
      </c>
    </row>
    <row r="227" spans="1:29" ht="12" customHeight="1">
      <c r="A227" s="17" t="s">
        <v>817</v>
      </c>
      <c r="B227" s="12"/>
      <c r="C227" s="12" t="s">
        <v>42</v>
      </c>
      <c r="D227" s="12"/>
      <c r="E227" s="13">
        <v>45393</v>
      </c>
      <c r="G227" s="1">
        <f>7619149+5000+17016</f>
        <v>7641165</v>
      </c>
      <c r="I227" s="1">
        <v>0</v>
      </c>
      <c r="K227" s="41">
        <f t="shared" si="27"/>
        <v>19467378</v>
      </c>
      <c r="M227" s="1">
        <v>27108543</v>
      </c>
      <c r="O227" s="41">
        <f t="shared" si="28"/>
        <v>4930677</v>
      </c>
      <c r="Q227" s="1">
        <v>14867877</v>
      </c>
      <c r="S227" s="1">
        <v>19798554</v>
      </c>
      <c r="U227" s="1">
        <f>284704+5822+2738660+1600000</f>
        <v>4629186</v>
      </c>
      <c r="W227" s="1">
        <v>0</v>
      </c>
      <c r="Y227" s="1">
        <f>1464544+331715+2016183-1131639</f>
        <v>2680803</v>
      </c>
      <c r="AA227" s="58">
        <f t="shared" si="29"/>
        <v>7309989</v>
      </c>
      <c r="AC227" s="1">
        <f t="shared" si="30"/>
        <v>0</v>
      </c>
    </row>
    <row r="228" spans="1:29" ht="12" customHeight="1">
      <c r="A228" s="12" t="s">
        <v>561</v>
      </c>
      <c r="B228" s="12"/>
      <c r="C228" s="12" t="s">
        <v>59</v>
      </c>
      <c r="D228" s="12"/>
      <c r="E228" s="13">
        <v>49619</v>
      </c>
      <c r="G228" s="1">
        <v>727227</v>
      </c>
      <c r="I228" s="1">
        <v>295681</v>
      </c>
      <c r="K228" s="41">
        <f t="shared" si="27"/>
        <v>1689563</v>
      </c>
      <c r="M228" s="1">
        <v>2712471</v>
      </c>
      <c r="O228" s="41">
        <f t="shared" si="28"/>
        <v>669417</v>
      </c>
      <c r="Q228" s="1">
        <v>1467168</v>
      </c>
      <c r="S228" s="1">
        <v>2136585</v>
      </c>
      <c r="U228" s="1">
        <f>397068+105009+127305+168376</f>
        <v>797758</v>
      </c>
      <c r="W228" s="1">
        <v>0</v>
      </c>
      <c r="Y228" s="1">
        <f>197461-419333</f>
        <v>-221872</v>
      </c>
      <c r="AA228" s="58">
        <f t="shared" si="29"/>
        <v>575886</v>
      </c>
      <c r="AC228" s="1">
        <f t="shared" si="30"/>
        <v>0</v>
      </c>
    </row>
    <row r="229" spans="1:29" ht="12" customHeight="1">
      <c r="A229" s="12" t="s">
        <v>561</v>
      </c>
      <c r="B229" s="12"/>
      <c r="C229" s="12" t="s">
        <v>63</v>
      </c>
      <c r="D229" s="12"/>
      <c r="E229" s="13">
        <v>50013</v>
      </c>
      <c r="G229" s="1">
        <v>2832297</v>
      </c>
      <c r="I229" s="1">
        <v>0</v>
      </c>
      <c r="K229" s="41">
        <f t="shared" si="27"/>
        <v>22516747</v>
      </c>
      <c r="M229" s="1">
        <v>25349044</v>
      </c>
      <c r="O229" s="41">
        <f t="shared" si="28"/>
        <v>5878001</v>
      </c>
      <c r="Q229" s="1">
        <v>20288169</v>
      </c>
      <c r="S229" s="1">
        <v>26166170</v>
      </c>
      <c r="U229" s="1">
        <f>199290+2020920</f>
        <v>2220210</v>
      </c>
      <c r="W229" s="1">
        <v>0</v>
      </c>
      <c r="Y229" s="1">
        <f>188149+747704+145483-4118672</f>
        <v>-3037336</v>
      </c>
      <c r="AA229" s="58">
        <f t="shared" si="29"/>
        <v>-817126</v>
      </c>
      <c r="AC229" s="1">
        <f t="shared" si="30"/>
        <v>0</v>
      </c>
    </row>
    <row r="230" spans="1:29" ht="12" hidden="1" customHeight="1">
      <c r="A230" s="17" t="s">
        <v>934</v>
      </c>
      <c r="B230" s="12"/>
      <c r="C230" s="12" t="s">
        <v>71</v>
      </c>
      <c r="D230" s="12"/>
      <c r="E230" s="13">
        <v>50559</v>
      </c>
      <c r="K230" s="41">
        <f t="shared" si="27"/>
        <v>0</v>
      </c>
      <c r="O230" s="41">
        <f t="shared" si="28"/>
        <v>0</v>
      </c>
      <c r="AA230" s="58">
        <f t="shared" si="29"/>
        <v>0</v>
      </c>
      <c r="AC230" s="1">
        <f t="shared" si="30"/>
        <v>0</v>
      </c>
    </row>
    <row r="231" spans="1:29" ht="12" customHeight="1">
      <c r="A231" s="12" t="s">
        <v>358</v>
      </c>
      <c r="B231" s="12"/>
      <c r="C231" s="12" t="s">
        <v>116</v>
      </c>
      <c r="D231" s="12"/>
      <c r="E231" s="13">
        <v>47266</v>
      </c>
      <c r="G231" s="1">
        <v>8931059</v>
      </c>
      <c r="I231" s="1">
        <v>76238</v>
      </c>
      <c r="K231" s="41">
        <f t="shared" si="27"/>
        <v>4327149</v>
      </c>
      <c r="M231" s="1">
        <v>13334446</v>
      </c>
      <c r="O231" s="41">
        <f t="shared" si="28"/>
        <v>1343734</v>
      </c>
      <c r="Q231" s="1">
        <v>3395392</v>
      </c>
      <c r="S231" s="1">
        <v>4739126</v>
      </c>
      <c r="U231" s="1">
        <f>1041121+310151+76238+134347</f>
        <v>1561857</v>
      </c>
      <c r="W231" s="1">
        <v>0</v>
      </c>
      <c r="Y231" s="1">
        <f>4382237+275636+428925+1946665</f>
        <v>7033463</v>
      </c>
      <c r="AA231" s="58">
        <f t="shared" si="29"/>
        <v>8595320</v>
      </c>
      <c r="AC231" s="1">
        <f t="shared" si="30"/>
        <v>0</v>
      </c>
    </row>
    <row r="232" spans="1:29" ht="12" customHeight="1">
      <c r="A232" s="12" t="s">
        <v>397</v>
      </c>
      <c r="B232" s="12"/>
      <c r="C232" s="12" t="s">
        <v>395</v>
      </c>
      <c r="D232" s="12"/>
      <c r="E232" s="13">
        <v>45401</v>
      </c>
      <c r="G232" s="1">
        <v>8001416</v>
      </c>
      <c r="I232" s="1">
        <v>0</v>
      </c>
      <c r="K232" s="41">
        <f t="shared" si="27"/>
        <v>7238699</v>
      </c>
      <c r="M232" s="1">
        <v>15240115</v>
      </c>
      <c r="O232" s="41">
        <f t="shared" si="28"/>
        <v>4191186</v>
      </c>
      <c r="Q232" s="1">
        <v>3213967</v>
      </c>
      <c r="S232" s="1">
        <v>7405153</v>
      </c>
      <c r="U232" s="1">
        <f>803638+470650</f>
        <v>1274288</v>
      </c>
      <c r="W232" s="1">
        <v>0</v>
      </c>
      <c r="Y232" s="1">
        <f>4419952+619092+835576+686054</f>
        <v>6560674</v>
      </c>
      <c r="AA232" s="58">
        <f t="shared" si="29"/>
        <v>7834962</v>
      </c>
      <c r="AC232" s="1">
        <f t="shared" si="30"/>
        <v>0</v>
      </c>
    </row>
    <row r="233" spans="1:29" ht="12" customHeight="1">
      <c r="A233" s="12" t="s">
        <v>246</v>
      </c>
      <c r="B233" s="12"/>
      <c r="C233" s="12" t="s">
        <v>17</v>
      </c>
      <c r="D233" s="12"/>
      <c r="E233" s="13">
        <v>46235</v>
      </c>
      <c r="G233" s="1">
        <f>3689668+2476</f>
        <v>3692144</v>
      </c>
      <c r="I233" s="1">
        <v>32397</v>
      </c>
      <c r="K233" s="41">
        <f t="shared" si="27"/>
        <v>5260653</v>
      </c>
      <c r="M233" s="1">
        <v>8985194</v>
      </c>
      <c r="O233" s="41">
        <f t="shared" si="28"/>
        <v>1733286</v>
      </c>
      <c r="Q233" s="1">
        <v>4269493</v>
      </c>
      <c r="S233" s="1">
        <v>6002779</v>
      </c>
      <c r="U233" s="1">
        <f>136900+918274+32397</f>
        <v>1087571</v>
      </c>
      <c r="W233" s="1">
        <v>218555</v>
      </c>
      <c r="Y233" s="1">
        <f>440934+146703+1088652</f>
        <v>1676289</v>
      </c>
      <c r="AA233" s="58">
        <f t="shared" si="29"/>
        <v>2982415</v>
      </c>
      <c r="AC233" s="1">
        <f t="shared" si="30"/>
        <v>0</v>
      </c>
    </row>
    <row r="234" spans="1:29" ht="12" customHeight="1">
      <c r="A234" s="12" t="s">
        <v>309</v>
      </c>
      <c r="B234" s="12"/>
      <c r="C234" s="12" t="s">
        <v>21</v>
      </c>
      <c r="D234" s="12"/>
      <c r="E234" s="13">
        <v>44099</v>
      </c>
      <c r="G234" s="1">
        <f>10135220+1463+2559</f>
        <v>10139242</v>
      </c>
      <c r="I234" s="1">
        <v>8132</v>
      </c>
      <c r="K234" s="41">
        <f t="shared" si="27"/>
        <v>11781839</v>
      </c>
      <c r="M234" s="1">
        <v>21929213</v>
      </c>
      <c r="O234" s="41">
        <f t="shared" si="28"/>
        <v>3361261</v>
      </c>
      <c r="Q234" s="1">
        <v>9660064</v>
      </c>
      <c r="S234" s="1">
        <v>13021325</v>
      </c>
      <c r="U234" s="1">
        <f>163200+1003374+8132</f>
        <v>1174706</v>
      </c>
      <c r="W234" s="1">
        <v>407469</v>
      </c>
      <c r="Y234" s="1">
        <f>4320124+1172148+2076+1831365</f>
        <v>7325713</v>
      </c>
      <c r="AA234" s="58">
        <f t="shared" si="29"/>
        <v>8907888</v>
      </c>
      <c r="AC234" s="1">
        <f t="shared" si="30"/>
        <v>0</v>
      </c>
    </row>
    <row r="235" spans="1:29" ht="12" customHeight="1">
      <c r="A235" s="12" t="s">
        <v>335</v>
      </c>
      <c r="B235" s="12"/>
      <c r="C235" s="12" t="s">
        <v>27</v>
      </c>
      <c r="D235" s="12"/>
      <c r="E235" s="13">
        <v>46979</v>
      </c>
      <c r="G235" s="1">
        <f>2693465+305177</f>
        <v>2998642</v>
      </c>
      <c r="I235" s="1">
        <v>0</v>
      </c>
      <c r="K235" s="41">
        <f t="shared" si="27"/>
        <v>28516260</v>
      </c>
      <c r="M235" s="1">
        <v>31514902</v>
      </c>
      <c r="O235" s="41">
        <f t="shared" si="28"/>
        <v>5986704</v>
      </c>
      <c r="Q235" s="1">
        <v>19283413</v>
      </c>
      <c r="S235" s="1">
        <v>25270117</v>
      </c>
      <c r="U235" s="1">
        <f>57701+2138455+266956+9188758</f>
        <v>11651870</v>
      </c>
      <c r="W235" s="1">
        <v>0</v>
      </c>
      <c r="Y235" s="1">
        <f>606181+1429835-7443101</f>
        <v>-5407085</v>
      </c>
      <c r="AA235" s="58">
        <f t="shared" si="29"/>
        <v>6244785</v>
      </c>
      <c r="AC235" s="1">
        <f t="shared" si="30"/>
        <v>0</v>
      </c>
    </row>
    <row r="236" spans="1:29" ht="12" customHeight="1">
      <c r="A236" s="12" t="s">
        <v>229</v>
      </c>
      <c r="B236" s="12"/>
      <c r="C236" s="12" t="s">
        <v>227</v>
      </c>
      <c r="D236" s="12"/>
      <c r="E236" s="13">
        <v>44107</v>
      </c>
      <c r="G236" s="1">
        <v>80939160</v>
      </c>
      <c r="I236" s="1">
        <v>0</v>
      </c>
      <c r="K236" s="41">
        <f t="shared" si="27"/>
        <v>37831008</v>
      </c>
      <c r="M236" s="1">
        <v>118770168</v>
      </c>
      <c r="O236" s="41">
        <f t="shared" si="28"/>
        <v>23121475</v>
      </c>
      <c r="Q236" s="1">
        <v>36220425</v>
      </c>
      <c r="S236" s="1">
        <v>59341900</v>
      </c>
      <c r="U236" s="1">
        <f>38884853+78268+2622+1177715</f>
        <v>40143458</v>
      </c>
      <c r="W236" s="1">
        <v>0</v>
      </c>
      <c r="Y236" s="1">
        <f>6361783+1636009+13672275-2385257</f>
        <v>19284810</v>
      </c>
      <c r="AA236" s="58">
        <f t="shared" si="29"/>
        <v>59428268</v>
      </c>
      <c r="AC236" s="1">
        <f t="shared" si="30"/>
        <v>0</v>
      </c>
    </row>
    <row r="237" spans="1:29" ht="12" customHeight="1">
      <c r="A237" s="17" t="s">
        <v>935</v>
      </c>
      <c r="B237" s="12"/>
      <c r="C237" s="12" t="s">
        <v>27</v>
      </c>
      <c r="D237" s="12"/>
      <c r="E237" s="12">
        <v>46953</v>
      </c>
      <c r="G237" s="1">
        <v>10609144</v>
      </c>
      <c r="I237" s="1">
        <v>309343</v>
      </c>
      <c r="K237" s="41">
        <f t="shared" si="27"/>
        <v>8398991</v>
      </c>
      <c r="M237" s="1">
        <v>19317478</v>
      </c>
      <c r="O237" s="41">
        <f t="shared" si="28"/>
        <v>3932772</v>
      </c>
      <c r="Q237" s="1">
        <v>5619108</v>
      </c>
      <c r="S237" s="1">
        <v>9551880</v>
      </c>
      <c r="U237" s="1">
        <f>464763+10108+309343+2686415</f>
        <v>3470629</v>
      </c>
      <c r="W237" s="1">
        <v>0</v>
      </c>
      <c r="Y237" s="1">
        <f>2918142+150301+860385+2366141</f>
        <v>6294969</v>
      </c>
      <c r="AA237" s="58">
        <f t="shared" si="29"/>
        <v>9765598</v>
      </c>
      <c r="AC237" s="1">
        <f t="shared" si="30"/>
        <v>0</v>
      </c>
    </row>
    <row r="238" spans="1:29" ht="12" customHeight="1">
      <c r="A238" s="12" t="s">
        <v>384</v>
      </c>
      <c r="B238" s="12"/>
      <c r="C238" s="12" t="s">
        <v>383</v>
      </c>
      <c r="D238" s="12"/>
      <c r="E238" s="13">
        <v>47498</v>
      </c>
      <c r="G238" s="1">
        <f>8351668+361</f>
        <v>8352029</v>
      </c>
      <c r="I238" s="1">
        <v>164243</v>
      </c>
      <c r="K238" s="41">
        <f t="shared" si="27"/>
        <v>1740448</v>
      </c>
      <c r="M238" s="1">
        <v>10256720</v>
      </c>
      <c r="O238" s="41">
        <f t="shared" si="28"/>
        <v>545018</v>
      </c>
      <c r="Q238" s="1">
        <v>1291181</v>
      </c>
      <c r="S238" s="1">
        <v>1836199</v>
      </c>
      <c r="U238" s="1">
        <f>3735873+114807+146927+17316</f>
        <v>4014923</v>
      </c>
      <c r="W238" s="1">
        <v>0</v>
      </c>
      <c r="Y238" s="1">
        <f>1917959+49072+109693+2328874</f>
        <v>4405598</v>
      </c>
      <c r="AA238" s="58">
        <f t="shared" si="29"/>
        <v>8420521</v>
      </c>
      <c r="AC238" s="1">
        <f t="shared" si="30"/>
        <v>0</v>
      </c>
    </row>
    <row r="239" spans="1:29" ht="12" hidden="1" customHeight="1">
      <c r="A239" s="17" t="s">
        <v>936</v>
      </c>
      <c r="B239" s="12"/>
      <c r="C239" s="12" t="s">
        <v>61</v>
      </c>
      <c r="D239" s="12"/>
      <c r="E239" s="13">
        <v>49791</v>
      </c>
      <c r="K239" s="41">
        <f t="shared" si="27"/>
        <v>0</v>
      </c>
      <c r="O239" s="41">
        <f t="shared" si="28"/>
        <v>0</v>
      </c>
      <c r="AA239" s="58">
        <f t="shared" si="29"/>
        <v>0</v>
      </c>
      <c r="AC239" s="1">
        <f t="shared" si="30"/>
        <v>0</v>
      </c>
    </row>
    <row r="240" spans="1:29" ht="12" customHeight="1">
      <c r="A240" s="12" t="s">
        <v>389</v>
      </c>
      <c r="B240" s="12"/>
      <c r="C240" s="12" t="s">
        <v>388</v>
      </c>
      <c r="D240" s="12"/>
      <c r="E240" s="13">
        <v>45245</v>
      </c>
      <c r="G240" s="1">
        <f>2666123+99228</f>
        <v>2765351</v>
      </c>
      <c r="I240" s="1">
        <v>686066</v>
      </c>
      <c r="K240" s="41">
        <f t="shared" si="27"/>
        <v>6353810</v>
      </c>
      <c r="M240" s="1">
        <v>9805227</v>
      </c>
      <c r="O240" s="41">
        <f t="shared" si="28"/>
        <v>2769765</v>
      </c>
      <c r="Q240" s="1">
        <f>1053540+4021321</f>
        <v>5074861</v>
      </c>
      <c r="S240" s="1">
        <v>7844626</v>
      </c>
      <c r="U240" s="1">
        <f>901975+56107+106718+291468+73694+610950+1422+289934</f>
        <v>2332268</v>
      </c>
      <c r="W240" s="1">
        <v>78109</v>
      </c>
      <c r="Y240" s="1">
        <f>128984+367210+43919-989889</f>
        <v>-449776</v>
      </c>
      <c r="AA240" s="58">
        <f t="shared" si="29"/>
        <v>1960601</v>
      </c>
      <c r="AC240" s="1">
        <f t="shared" si="30"/>
        <v>0</v>
      </c>
    </row>
    <row r="241" spans="1:29" ht="12" customHeight="1">
      <c r="A241" s="12" t="s">
        <v>427</v>
      </c>
      <c r="B241" s="12"/>
      <c r="C241" s="12" t="s">
        <v>42</v>
      </c>
      <c r="D241" s="12"/>
      <c r="E241" s="13">
        <v>44115</v>
      </c>
      <c r="G241" s="1">
        <f>2969944+1286842</f>
        <v>4256786</v>
      </c>
      <c r="I241" s="1">
        <v>815061</v>
      </c>
      <c r="K241" s="41">
        <f t="shared" si="27"/>
        <v>9539537</v>
      </c>
      <c r="M241" s="1">
        <v>14611384</v>
      </c>
      <c r="O241" s="41">
        <f t="shared" si="28"/>
        <v>1891738</v>
      </c>
      <c r="Q241" s="1">
        <f>7892343+96793</f>
        <v>7989136</v>
      </c>
      <c r="S241" s="1">
        <v>9880874</v>
      </c>
      <c r="U241" s="1">
        <f>452786+195882+20829+880415+1238170+815061</f>
        <v>3603143</v>
      </c>
      <c r="W241" s="1">
        <v>10026</v>
      </c>
      <c r="Y241" s="1">
        <f>79028+455673+582640</f>
        <v>1117341</v>
      </c>
      <c r="AA241" s="58">
        <f t="shared" si="29"/>
        <v>4730510</v>
      </c>
      <c r="AC241" s="1">
        <f t="shared" si="30"/>
        <v>0</v>
      </c>
    </row>
    <row r="242" spans="1:29" ht="12" hidden="1" customHeight="1">
      <c r="A242" s="17" t="s">
        <v>818</v>
      </c>
      <c r="B242" s="12"/>
      <c r="C242" s="12" t="s">
        <v>22</v>
      </c>
      <c r="D242" s="12"/>
      <c r="E242" s="13">
        <v>45419</v>
      </c>
      <c r="K242" s="41">
        <f t="shared" si="27"/>
        <v>0</v>
      </c>
      <c r="O242" s="41">
        <f t="shared" si="28"/>
        <v>0</v>
      </c>
      <c r="AA242" s="58">
        <f t="shared" si="29"/>
        <v>0</v>
      </c>
      <c r="AC242" s="1">
        <f t="shared" si="30"/>
        <v>0</v>
      </c>
    </row>
    <row r="243" spans="1:29" ht="12" customHeight="1">
      <c r="A243" s="12" t="s">
        <v>481</v>
      </c>
      <c r="B243" s="12"/>
      <c r="C243" s="12" t="s">
        <v>47</v>
      </c>
      <c r="D243" s="12"/>
      <c r="E243" s="13">
        <v>48496</v>
      </c>
      <c r="G243" s="1">
        <f>11646855+412</f>
        <v>11647267</v>
      </c>
      <c r="I243" s="1">
        <v>19514</v>
      </c>
      <c r="K243" s="41">
        <f t="shared" si="27"/>
        <v>20010272</v>
      </c>
      <c r="M243" s="1">
        <v>31677053</v>
      </c>
      <c r="O243" s="41">
        <f t="shared" si="28"/>
        <v>3738147</v>
      </c>
      <c r="Q243" s="1">
        <v>17355826</v>
      </c>
      <c r="S243" s="1">
        <v>21093973</v>
      </c>
      <c r="U243" s="1">
        <f>252103+32971+19514+8000</f>
        <v>312588</v>
      </c>
      <c r="W243" s="1">
        <v>0</v>
      </c>
      <c r="Y243" s="1">
        <f>5197517+483663+3641664+947648</f>
        <v>10270492</v>
      </c>
      <c r="AA243" s="58">
        <f t="shared" si="29"/>
        <v>10583080</v>
      </c>
      <c r="AC243" s="1">
        <f t="shared" si="30"/>
        <v>0</v>
      </c>
    </row>
    <row r="244" spans="1:29" ht="12" customHeight="1">
      <c r="A244" s="12" t="s">
        <v>481</v>
      </c>
      <c r="B244" s="12"/>
      <c r="C244" s="12" t="s">
        <v>78</v>
      </c>
      <c r="D244" s="12"/>
      <c r="E244" s="13">
        <v>48801</v>
      </c>
      <c r="G244" s="1">
        <v>39695976</v>
      </c>
      <c r="I244" s="1">
        <f>875574+103501</f>
        <v>979075</v>
      </c>
      <c r="K244" s="41">
        <f t="shared" si="27"/>
        <v>8455442</v>
      </c>
      <c r="M244" s="1">
        <v>49130493</v>
      </c>
      <c r="O244" s="41">
        <f t="shared" si="28"/>
        <v>6636610</v>
      </c>
      <c r="Q244" s="1">
        <v>6640432</v>
      </c>
      <c r="S244" s="1">
        <v>13277042</v>
      </c>
      <c r="U244" s="1">
        <f>942660+874404+2170+23353178</f>
        <v>25172412</v>
      </c>
      <c r="W244" s="1">
        <v>50000</v>
      </c>
      <c r="Y244" s="1">
        <f>404063+453902+330547+9442527</f>
        <v>10631039</v>
      </c>
      <c r="AA244" s="58">
        <f t="shared" si="29"/>
        <v>35853451</v>
      </c>
      <c r="AC244" s="1">
        <f t="shared" si="30"/>
        <v>0</v>
      </c>
    </row>
    <row r="245" spans="1:29" ht="12" customHeight="1">
      <c r="A245" s="12" t="s">
        <v>337</v>
      </c>
      <c r="B245" s="12"/>
      <c r="C245" s="12" t="s">
        <v>27</v>
      </c>
      <c r="D245" s="12"/>
      <c r="E245" s="13">
        <v>47019</v>
      </c>
      <c r="G245" s="1">
        <v>29585193</v>
      </c>
      <c r="I245" s="1">
        <v>0</v>
      </c>
      <c r="K245" s="41">
        <f t="shared" si="27"/>
        <v>132956509</v>
      </c>
      <c r="M245" s="1">
        <v>162541702</v>
      </c>
      <c r="O245" s="41">
        <f t="shared" si="28"/>
        <v>19929737</v>
      </c>
      <c r="Q245" s="1">
        <v>74660812</v>
      </c>
      <c r="S245" s="1">
        <v>94590549</v>
      </c>
      <c r="U245" s="1">
        <v>2876204</v>
      </c>
      <c r="W245" s="1">
        <v>46676963</v>
      </c>
      <c r="Y245" s="1">
        <f>1710524+13894502+3464650-671690</f>
        <v>18397986</v>
      </c>
      <c r="AA245" s="58">
        <f t="shared" si="29"/>
        <v>67951153</v>
      </c>
      <c r="AC245" s="1">
        <f t="shared" si="30"/>
        <v>0</v>
      </c>
    </row>
    <row r="246" spans="1:29" ht="12" hidden="1" customHeight="1">
      <c r="A246" s="12" t="s">
        <v>398</v>
      </c>
      <c r="B246" s="12"/>
      <c r="C246" s="12" t="s">
        <v>395</v>
      </c>
      <c r="D246" s="12"/>
      <c r="E246" s="13">
        <v>44123</v>
      </c>
      <c r="K246" s="41">
        <f t="shared" si="27"/>
        <v>0</v>
      </c>
      <c r="O246" s="41">
        <f t="shared" si="28"/>
        <v>0</v>
      </c>
      <c r="AA246" s="58">
        <f t="shared" si="29"/>
        <v>0</v>
      </c>
      <c r="AC246" s="1">
        <f t="shared" si="30"/>
        <v>0</v>
      </c>
    </row>
    <row r="247" spans="1:29" ht="12" customHeight="1">
      <c r="A247" s="12" t="s">
        <v>207</v>
      </c>
      <c r="B247" s="12"/>
      <c r="C247" s="12" t="s">
        <v>11</v>
      </c>
      <c r="D247" s="12"/>
      <c r="E247" s="13">
        <v>45823</v>
      </c>
      <c r="G247" s="1">
        <v>2064631</v>
      </c>
      <c r="I247" s="1">
        <v>0</v>
      </c>
      <c r="K247" s="41">
        <f t="shared" si="27"/>
        <v>4566037</v>
      </c>
      <c r="M247" s="1">
        <v>6630668</v>
      </c>
      <c r="O247" s="41">
        <f t="shared" si="28"/>
        <v>1442433</v>
      </c>
      <c r="Q247" s="1">
        <f>237563+2918496</f>
        <v>3156059</v>
      </c>
      <c r="S247" s="1">
        <v>4598492</v>
      </c>
      <c r="U247" s="1">
        <f>247759+21947+1257688+124308</f>
        <v>1651702</v>
      </c>
      <c r="W247" s="1">
        <v>0</v>
      </c>
      <c r="Y247" s="1">
        <f>165457+8688+206329</f>
        <v>380474</v>
      </c>
      <c r="AA247" s="58">
        <f t="shared" si="29"/>
        <v>2032176</v>
      </c>
      <c r="AC247" s="1">
        <f t="shared" si="30"/>
        <v>0</v>
      </c>
    </row>
    <row r="248" spans="1:29" ht="12" customHeight="1">
      <c r="A248" s="12" t="s">
        <v>390</v>
      </c>
      <c r="B248" s="12"/>
      <c r="C248" s="12" t="s">
        <v>34</v>
      </c>
      <c r="D248" s="12"/>
      <c r="E248" s="13">
        <v>47571</v>
      </c>
      <c r="G248" s="1">
        <v>4149150</v>
      </c>
      <c r="I248" s="1">
        <v>28193</v>
      </c>
      <c r="K248" s="41">
        <f t="shared" si="27"/>
        <v>1851540</v>
      </c>
      <c r="M248" s="1">
        <v>6028883</v>
      </c>
      <c r="O248" s="41">
        <f t="shared" si="28"/>
        <v>784399</v>
      </c>
      <c r="Q248" s="1">
        <v>1415656</v>
      </c>
      <c r="S248" s="1">
        <v>2200055</v>
      </c>
      <c r="U248" s="1">
        <f>206366+28193+1031333</f>
        <v>1265892</v>
      </c>
      <c r="W248" s="1">
        <v>0</v>
      </c>
      <c r="Y248" s="1">
        <f>1964500+170736+282241+145459</f>
        <v>2562936</v>
      </c>
      <c r="AA248" s="58">
        <f t="shared" si="29"/>
        <v>3828828</v>
      </c>
      <c r="AC248" s="1">
        <f t="shared" si="30"/>
        <v>0</v>
      </c>
    </row>
    <row r="249" spans="1:29" ht="12" customHeight="1">
      <c r="A249" s="12" t="s">
        <v>604</v>
      </c>
      <c r="B249" s="12"/>
      <c r="C249" s="12" t="s">
        <v>64</v>
      </c>
      <c r="D249" s="12"/>
      <c r="E249" s="13">
        <v>50161</v>
      </c>
      <c r="G249" s="1">
        <v>2327823</v>
      </c>
      <c r="I249" s="1">
        <v>0</v>
      </c>
      <c r="K249" s="41">
        <f t="shared" si="27"/>
        <v>20910721</v>
      </c>
      <c r="M249" s="1">
        <v>23238544</v>
      </c>
      <c r="O249" s="41">
        <f t="shared" si="28"/>
        <v>4060185</v>
      </c>
      <c r="Q249" s="1">
        <f>3520531+17008282</f>
        <v>20528813</v>
      </c>
      <c r="S249" s="1">
        <v>24588998</v>
      </c>
      <c r="U249" s="1">
        <f>699758+97752+31918+164456+373</f>
        <v>994257</v>
      </c>
      <c r="W249" s="1">
        <v>0</v>
      </c>
      <c r="Y249" s="1">
        <f>361029+223787-2929527</f>
        <v>-2344711</v>
      </c>
      <c r="AA249" s="58">
        <f t="shared" si="29"/>
        <v>-1350454</v>
      </c>
      <c r="AC249" s="1">
        <f t="shared" si="30"/>
        <v>0</v>
      </c>
    </row>
    <row r="250" spans="1:29" ht="12" customHeight="1">
      <c r="A250" s="12" t="s">
        <v>605</v>
      </c>
      <c r="B250" s="12"/>
      <c r="C250" s="12" t="s">
        <v>64</v>
      </c>
      <c r="D250" s="12"/>
      <c r="E250" s="13">
        <v>45427</v>
      </c>
      <c r="G250" s="1">
        <v>34587518</v>
      </c>
      <c r="I250" s="1">
        <v>581639</v>
      </c>
      <c r="K250" s="41">
        <f t="shared" si="27"/>
        <v>10701223</v>
      </c>
      <c r="M250" s="1">
        <v>45870380</v>
      </c>
      <c r="O250" s="41">
        <f t="shared" si="28"/>
        <v>3616498</v>
      </c>
      <c r="Q250" s="1">
        <v>10257965</v>
      </c>
      <c r="S250" s="1">
        <v>13874463</v>
      </c>
      <c r="U250" s="1">
        <f>15854649+514744+66895+107999+32803</f>
        <v>16577090</v>
      </c>
      <c r="W250" s="1">
        <v>0</v>
      </c>
      <c r="Y250" s="1">
        <f>4595772+546415+423696+9852944</f>
        <v>15418827</v>
      </c>
      <c r="AA250" s="58">
        <f t="shared" si="29"/>
        <v>31995917</v>
      </c>
      <c r="AC250" s="1">
        <f t="shared" si="30"/>
        <v>0</v>
      </c>
    </row>
    <row r="251" spans="1:29" ht="12" customHeight="1">
      <c r="A251" s="12" t="s">
        <v>497</v>
      </c>
      <c r="B251" s="12"/>
      <c r="C251" s="12" t="s">
        <v>50</v>
      </c>
      <c r="D251" s="12"/>
      <c r="E251" s="13">
        <v>48751</v>
      </c>
      <c r="G251" s="1">
        <f>44812101+91235093</f>
        <v>136047194</v>
      </c>
      <c r="I251" s="1">
        <f>827054+36236</f>
        <v>863290</v>
      </c>
      <c r="K251" s="41">
        <f t="shared" si="27"/>
        <v>82695006</v>
      </c>
      <c r="M251" s="1">
        <v>219605490</v>
      </c>
      <c r="O251" s="41">
        <f t="shared" si="28"/>
        <v>10157959</v>
      </c>
      <c r="Q251" s="1">
        <f>30376069+49278087</f>
        <v>79654156</v>
      </c>
      <c r="S251" s="1">
        <v>89812115</v>
      </c>
      <c r="U251" s="1">
        <f>72326203+393002+1599907+827054+21446+14880</f>
        <v>75182492</v>
      </c>
      <c r="W251" s="1">
        <v>0</v>
      </c>
      <c r="Y251" s="1">
        <f>14334982+37629+38193697+2044575</f>
        <v>54610883</v>
      </c>
      <c r="AA251" s="58">
        <f t="shared" si="29"/>
        <v>129793375</v>
      </c>
      <c r="AC251" s="1">
        <f t="shared" si="30"/>
        <v>0</v>
      </c>
    </row>
    <row r="252" spans="1:29" ht="12" customHeight="1">
      <c r="A252" s="12" t="s">
        <v>590</v>
      </c>
      <c r="B252" s="12"/>
      <c r="C252" s="12" t="s">
        <v>63</v>
      </c>
      <c r="D252" s="12"/>
      <c r="E252" s="13">
        <v>50021</v>
      </c>
      <c r="G252" s="1">
        <f>17773504+2305287</f>
        <v>20078791</v>
      </c>
      <c r="I252" s="1">
        <v>0</v>
      </c>
      <c r="K252" s="41">
        <f t="shared" si="27"/>
        <v>42923100</v>
      </c>
      <c r="M252" s="1">
        <v>63001891</v>
      </c>
      <c r="O252" s="41">
        <f t="shared" si="28"/>
        <v>8470186</v>
      </c>
      <c r="Q252" s="1">
        <f>36146443+2943762</f>
        <v>39090205</v>
      </c>
      <c r="S252" s="1">
        <v>47560391</v>
      </c>
      <c r="U252" s="1">
        <f>2512899+47389+3516563+3665842</f>
        <v>9742693</v>
      </c>
      <c r="W252" s="1">
        <v>0</v>
      </c>
      <c r="Y252" s="1">
        <f>3667368+612247+1419192</f>
        <v>5698807</v>
      </c>
      <c r="AA252" s="58">
        <f t="shared" si="29"/>
        <v>15441500</v>
      </c>
      <c r="AC252" s="1">
        <f t="shared" si="30"/>
        <v>0</v>
      </c>
    </row>
    <row r="253" spans="1:29" ht="12" customHeight="1">
      <c r="A253" s="12" t="s">
        <v>551</v>
      </c>
      <c r="B253" s="12"/>
      <c r="C253" s="12" t="s">
        <v>58</v>
      </c>
      <c r="D253" s="12"/>
      <c r="E253" s="13">
        <v>49502</v>
      </c>
      <c r="G253" s="1">
        <v>5524448</v>
      </c>
      <c r="I253" s="1">
        <v>661164</v>
      </c>
      <c r="K253" s="41">
        <f t="shared" si="27"/>
        <v>1546773</v>
      </c>
      <c r="M253" s="1">
        <v>7732385</v>
      </c>
      <c r="O253" s="41">
        <f t="shared" si="28"/>
        <v>1511311</v>
      </c>
      <c r="Q253" s="1">
        <v>1671141</v>
      </c>
      <c r="S253" s="1">
        <v>3182452</v>
      </c>
      <c r="U253" s="1">
        <f>97286+175147+21547+475862+185302</f>
        <v>955144</v>
      </c>
      <c r="W253" s="1">
        <v>0</v>
      </c>
      <c r="Y253" s="1">
        <f>3536435+138700+32-80378</f>
        <v>3594789</v>
      </c>
      <c r="AA253" s="58">
        <f t="shared" si="29"/>
        <v>4549933</v>
      </c>
      <c r="AC253" s="1">
        <f t="shared" si="30"/>
        <v>0</v>
      </c>
    </row>
    <row r="254" spans="1:29" ht="12" customHeight="1">
      <c r="A254" s="12" t="s">
        <v>315</v>
      </c>
      <c r="B254" s="12"/>
      <c r="C254" s="12" t="s">
        <v>24</v>
      </c>
      <c r="D254" s="12"/>
      <c r="E254" s="13">
        <v>44131</v>
      </c>
      <c r="G254" s="1">
        <f>9550323+17372</f>
        <v>9567695</v>
      </c>
      <c r="I254" s="1">
        <v>26629</v>
      </c>
      <c r="K254" s="41">
        <f t="shared" si="27"/>
        <v>11429637</v>
      </c>
      <c r="M254" s="1">
        <v>21023961</v>
      </c>
      <c r="O254" s="41">
        <f t="shared" si="28"/>
        <v>2056393</v>
      </c>
      <c r="Q254" s="1">
        <f>8890962+927848</f>
        <v>9818810</v>
      </c>
      <c r="S254" s="1">
        <v>11875203</v>
      </c>
      <c r="U254" s="1">
        <f>558754+9646+1417683+349107+26629</f>
        <v>2361819</v>
      </c>
      <c r="W254" s="1">
        <v>0</v>
      </c>
      <c r="Y254" s="1">
        <f>5396162+259629+1131148</f>
        <v>6786939</v>
      </c>
      <c r="AA254" s="58">
        <f t="shared" si="29"/>
        <v>9148758</v>
      </c>
      <c r="AC254" s="1">
        <f t="shared" si="30"/>
        <v>0</v>
      </c>
    </row>
    <row r="255" spans="1:29" ht="12" customHeight="1">
      <c r="A255" s="12" t="s">
        <v>292</v>
      </c>
      <c r="B255" s="12"/>
      <c r="C255" s="12" t="s">
        <v>20</v>
      </c>
      <c r="D255" s="12"/>
      <c r="E255" s="13">
        <v>46565</v>
      </c>
      <c r="G255" s="1">
        <v>3363571</v>
      </c>
      <c r="I255" s="1">
        <v>0</v>
      </c>
      <c r="K255" s="41">
        <f t="shared" si="27"/>
        <v>16972249</v>
      </c>
      <c r="M255" s="1">
        <v>20335820</v>
      </c>
      <c r="O255" s="41">
        <f t="shared" si="28"/>
        <v>2074283</v>
      </c>
      <c r="Q255" s="1">
        <v>15146534</v>
      </c>
      <c r="S255" s="1">
        <v>17220817</v>
      </c>
      <c r="U255" s="1">
        <f>66094+1327385</f>
        <v>1393479</v>
      </c>
      <c r="W255" s="1">
        <v>0</v>
      </c>
      <c r="Y255" s="1">
        <f>317776+42024+1771899-410175</f>
        <v>1721524</v>
      </c>
      <c r="AA255" s="58">
        <f t="shared" si="29"/>
        <v>3115003</v>
      </c>
      <c r="AC255" s="1">
        <f t="shared" si="30"/>
        <v>0</v>
      </c>
    </row>
    <row r="256" spans="1:29" ht="12" customHeight="1">
      <c r="A256" s="12"/>
      <c r="B256" s="12"/>
      <c r="C256" s="12"/>
      <c r="D256" s="12"/>
      <c r="E256" s="13"/>
      <c r="K256" s="41"/>
      <c r="O256" s="41"/>
      <c r="AA256" s="58"/>
    </row>
    <row r="257" spans="1:29" ht="12" customHeight="1">
      <c r="A257" s="12"/>
      <c r="B257" s="12"/>
      <c r="C257" s="12"/>
      <c r="D257" s="12"/>
      <c r="E257" s="13"/>
      <c r="K257" s="41"/>
      <c r="O257" s="41"/>
      <c r="AA257" s="20" t="s">
        <v>709</v>
      </c>
    </row>
    <row r="258" spans="1:29" ht="12" customHeight="1">
      <c r="A258" s="12"/>
      <c r="B258" s="12"/>
      <c r="C258" s="12"/>
      <c r="D258" s="12"/>
      <c r="E258" s="13"/>
      <c r="K258" s="41"/>
      <c r="O258" s="41"/>
      <c r="AA258" s="58"/>
    </row>
    <row r="259" spans="1:29" ht="12" customHeight="1">
      <c r="A259" s="12" t="s">
        <v>411</v>
      </c>
      <c r="B259" s="12"/>
      <c r="C259" s="12" t="s">
        <v>39</v>
      </c>
      <c r="D259" s="12"/>
      <c r="E259" s="13">
        <v>47803</v>
      </c>
      <c r="G259" s="16">
        <v>16290470</v>
      </c>
      <c r="H259" s="16"/>
      <c r="I259" s="16">
        <v>0</v>
      </c>
      <c r="J259" s="16"/>
      <c r="K259" s="59">
        <f t="shared" si="27"/>
        <v>10135157</v>
      </c>
      <c r="L259" s="16"/>
      <c r="M259" s="16">
        <v>26425627</v>
      </c>
      <c r="N259" s="16"/>
      <c r="O259" s="59">
        <f t="shared" si="28"/>
        <v>4128260</v>
      </c>
      <c r="P259" s="16"/>
      <c r="Q259" s="16">
        <v>8585094</v>
      </c>
      <c r="R259" s="16"/>
      <c r="S259" s="16">
        <v>12713354</v>
      </c>
      <c r="T259" s="16"/>
      <c r="U259" s="16">
        <f>93698+15902165</f>
        <v>15995863</v>
      </c>
      <c r="V259" s="16"/>
      <c r="W259" s="16">
        <v>362270</v>
      </c>
      <c r="X259" s="16"/>
      <c r="Y259" s="16">
        <v>-2645860</v>
      </c>
      <c r="Z259" s="16"/>
      <c r="AA259" s="90">
        <f t="shared" si="29"/>
        <v>13712273</v>
      </c>
      <c r="AC259" s="1">
        <f t="shared" si="30"/>
        <v>0</v>
      </c>
    </row>
    <row r="260" spans="1:29" ht="12" customHeight="1">
      <c r="A260" s="12" t="s">
        <v>365</v>
      </c>
      <c r="B260" s="12"/>
      <c r="C260" s="12" t="s">
        <v>32</v>
      </c>
      <c r="D260" s="12"/>
      <c r="E260" s="13">
        <v>45435</v>
      </c>
      <c r="G260" s="1">
        <v>27607954</v>
      </c>
      <c r="I260" s="1">
        <v>29477</v>
      </c>
      <c r="K260" s="41">
        <f t="shared" si="27"/>
        <v>31961695</v>
      </c>
      <c r="M260" s="1">
        <v>59599126</v>
      </c>
      <c r="O260" s="41">
        <f t="shared" si="28"/>
        <v>3440251</v>
      </c>
      <c r="Q260" s="1">
        <f>321295+20082276</f>
        <v>20403571</v>
      </c>
      <c r="S260" s="1">
        <v>23843822</v>
      </c>
      <c r="U260" s="1">
        <f>162970+13166+11311100+1955220+29477</f>
        <v>13471933</v>
      </c>
      <c r="W260" s="1">
        <v>0</v>
      </c>
      <c r="Y260" s="1">
        <f>21927016+356355</f>
        <v>22283371</v>
      </c>
      <c r="AA260" s="58">
        <f t="shared" si="29"/>
        <v>35755304</v>
      </c>
      <c r="AC260" s="1">
        <f t="shared" si="30"/>
        <v>0</v>
      </c>
    </row>
    <row r="261" spans="1:29" hidden="1">
      <c r="A261" s="17" t="s">
        <v>937</v>
      </c>
      <c r="B261" s="17"/>
      <c r="C261" s="17" t="s">
        <v>43</v>
      </c>
      <c r="D261" s="12"/>
      <c r="E261" s="13"/>
      <c r="K261" s="41">
        <f t="shared" si="27"/>
        <v>0</v>
      </c>
      <c r="O261" s="41">
        <f t="shared" si="28"/>
        <v>0</v>
      </c>
      <c r="AA261" s="58">
        <f t="shared" si="29"/>
        <v>0</v>
      </c>
      <c r="AC261" s="1">
        <f t="shared" si="30"/>
        <v>0</v>
      </c>
    </row>
    <row r="262" spans="1:29">
      <c r="A262" s="12" t="s">
        <v>621</v>
      </c>
      <c r="B262" s="12"/>
      <c r="C262" s="12" t="s">
        <v>65</v>
      </c>
      <c r="D262" s="12"/>
      <c r="E262" s="13">
        <v>50286</v>
      </c>
      <c r="G262" s="1">
        <v>5171623</v>
      </c>
      <c r="I262" s="1">
        <v>0</v>
      </c>
      <c r="K262" s="41">
        <f t="shared" si="27"/>
        <v>5502296</v>
      </c>
      <c r="M262" s="1">
        <v>10673919</v>
      </c>
      <c r="O262" s="41">
        <f t="shared" si="28"/>
        <v>2853695</v>
      </c>
      <c r="Q262" s="1">
        <v>4896244</v>
      </c>
      <c r="S262" s="1">
        <v>7749939</v>
      </c>
      <c r="U262" s="1">
        <f>126724+44557+405765</f>
        <v>577046</v>
      </c>
      <c r="W262" s="1">
        <v>0</v>
      </c>
      <c r="Y262" s="1">
        <f>690335+385224+1114035+157340</f>
        <v>2346934</v>
      </c>
      <c r="AA262" s="58">
        <f t="shared" si="29"/>
        <v>2923980</v>
      </c>
      <c r="AC262" s="1">
        <f t="shared" si="30"/>
        <v>0</v>
      </c>
    </row>
    <row r="263" spans="1:29">
      <c r="A263" s="12" t="s">
        <v>423</v>
      </c>
      <c r="B263" s="12"/>
      <c r="C263" s="12" t="s">
        <v>420</v>
      </c>
      <c r="D263" s="12"/>
      <c r="E263" s="13">
        <v>44149</v>
      </c>
      <c r="G263" s="1">
        <f>5287295+1858351</f>
        <v>7145646</v>
      </c>
      <c r="I263" s="1">
        <f>778145+397469+782401</f>
        <v>1958015</v>
      </c>
      <c r="K263" s="41">
        <f t="shared" si="27"/>
        <v>6129796</v>
      </c>
      <c r="M263" s="1">
        <v>15233457</v>
      </c>
      <c r="O263" s="41">
        <f t="shared" si="28"/>
        <v>3414839</v>
      </c>
      <c r="Q263" s="1">
        <v>5630027</v>
      </c>
      <c r="S263" s="1">
        <v>9044866</v>
      </c>
      <c r="U263" s="1">
        <f>874403+381749+738357+35379+4409</f>
        <v>2034297</v>
      </c>
      <c r="W263" s="1">
        <v>0</v>
      </c>
      <c r="Y263" s="1">
        <f>176199+279782+646378+3051935</f>
        <v>4154294</v>
      </c>
      <c r="AA263" s="58">
        <f t="shared" si="29"/>
        <v>6188591</v>
      </c>
      <c r="AC263" s="1">
        <f t="shared" si="30"/>
        <v>0</v>
      </c>
    </row>
    <row r="264" spans="1:29" hidden="1">
      <c r="A264" s="17" t="s">
        <v>820</v>
      </c>
      <c r="B264" s="12"/>
      <c r="C264" s="12" t="s">
        <v>61</v>
      </c>
      <c r="D264" s="12"/>
      <c r="E264" s="13">
        <v>49809</v>
      </c>
      <c r="K264" s="41">
        <f t="shared" si="27"/>
        <v>0</v>
      </c>
      <c r="O264" s="41">
        <f t="shared" si="28"/>
        <v>0</v>
      </c>
      <c r="AA264" s="58">
        <f t="shared" si="29"/>
        <v>0</v>
      </c>
      <c r="AC264" s="1">
        <f t="shared" si="30"/>
        <v>0</v>
      </c>
    </row>
    <row r="265" spans="1:29" hidden="1">
      <c r="A265" s="17" t="s">
        <v>838</v>
      </c>
      <c r="B265" s="12"/>
      <c r="C265" s="12" t="s">
        <v>38</v>
      </c>
      <c r="D265" s="12"/>
      <c r="E265" s="13"/>
      <c r="K265" s="41">
        <f t="shared" si="27"/>
        <v>0</v>
      </c>
      <c r="O265" s="41">
        <f t="shared" si="28"/>
        <v>0</v>
      </c>
      <c r="AA265" s="58">
        <f t="shared" si="29"/>
        <v>0</v>
      </c>
      <c r="AC265" s="1">
        <f t="shared" si="30"/>
        <v>0</v>
      </c>
    </row>
    <row r="266" spans="1:29">
      <c r="A266" s="12" t="s">
        <v>576</v>
      </c>
      <c r="B266" s="12"/>
      <c r="C266" s="12" t="s">
        <v>62</v>
      </c>
      <c r="D266" s="12"/>
      <c r="E266" s="13">
        <v>49858</v>
      </c>
      <c r="G266" s="1">
        <f>18003858+7918</f>
        <v>18011776</v>
      </c>
      <c r="I266" s="1">
        <v>0</v>
      </c>
      <c r="K266" s="41">
        <f t="shared" si="27"/>
        <v>45512402</v>
      </c>
      <c r="M266" s="1">
        <v>63524178</v>
      </c>
      <c r="O266" s="41">
        <f t="shared" si="28"/>
        <v>6569150</v>
      </c>
      <c r="Q266" s="1">
        <f>41742715+2001323</f>
        <v>43744038</v>
      </c>
      <c r="S266" s="1">
        <v>50313188</v>
      </c>
      <c r="U266" s="1">
        <f>934050+176347+36808+1364111+50131+5134426</f>
        <v>7695873</v>
      </c>
      <c r="W266" s="1">
        <v>0</v>
      </c>
      <c r="Y266" s="1">
        <f>4465769+571896+477452</f>
        <v>5515117</v>
      </c>
      <c r="AA266" s="58">
        <f>U266+W266+Y266</f>
        <v>13210990</v>
      </c>
      <c r="AC266" s="1">
        <f>+G266+I266+K266-O266-Q266-Y266-W266-U266</f>
        <v>0</v>
      </c>
    </row>
    <row r="267" spans="1:29">
      <c r="A267" s="12" t="s">
        <v>465</v>
      </c>
      <c r="B267" s="12"/>
      <c r="C267" s="12" t="s">
        <v>45</v>
      </c>
      <c r="D267" s="12"/>
      <c r="E267" s="13">
        <v>48322</v>
      </c>
      <c r="G267" s="1">
        <f>4709154+70265</f>
        <v>4779419</v>
      </c>
      <c r="I267" s="1">
        <v>0</v>
      </c>
      <c r="K267" s="41">
        <f t="shared" si="27"/>
        <v>5779294</v>
      </c>
      <c r="M267" s="1">
        <v>10558713</v>
      </c>
      <c r="O267" s="41">
        <f t="shared" si="28"/>
        <v>1256763</v>
      </c>
      <c r="Q267" s="1">
        <f>377733+5347802</f>
        <v>5725535</v>
      </c>
      <c r="S267" s="1">
        <v>6982298</v>
      </c>
      <c r="U267" s="1">
        <f>128265+4812+10800</f>
        <v>143877</v>
      </c>
      <c r="W267" s="1">
        <v>0</v>
      </c>
      <c r="Y267" s="1">
        <f>1775365+215900+1441273</f>
        <v>3432538</v>
      </c>
      <c r="AA267" s="58">
        <f t="shared" si="29"/>
        <v>3576415</v>
      </c>
      <c r="AC267" s="1">
        <f t="shared" si="30"/>
        <v>0</v>
      </c>
    </row>
    <row r="268" spans="1:29">
      <c r="A268" s="12" t="s">
        <v>534</v>
      </c>
      <c r="B268" s="12"/>
      <c r="C268" s="12" t="s">
        <v>56</v>
      </c>
      <c r="D268" s="12"/>
      <c r="E268" s="12">
        <v>49205</v>
      </c>
      <c r="G268" s="1">
        <v>3329223</v>
      </c>
      <c r="I268" s="1">
        <v>50662</v>
      </c>
      <c r="K268" s="41">
        <f t="shared" si="27"/>
        <v>5330979</v>
      </c>
      <c r="M268" s="1">
        <v>8710864</v>
      </c>
      <c r="O268" s="41">
        <f t="shared" si="28"/>
        <v>1865361</v>
      </c>
      <c r="Q268" s="1">
        <f>546789+3528048</f>
        <v>4074837</v>
      </c>
      <c r="S268" s="1">
        <v>5940198</v>
      </c>
      <c r="U268" s="1">
        <f>190839+58718+20544+893313+50662</f>
        <v>1214076</v>
      </c>
      <c r="W268" s="1">
        <v>0</v>
      </c>
      <c r="Y268" s="1">
        <f>1427023+223717-94150</f>
        <v>1556590</v>
      </c>
      <c r="AA268" s="58">
        <f t="shared" si="29"/>
        <v>2770666</v>
      </c>
      <c r="AC268" s="1">
        <f t="shared" si="30"/>
        <v>0</v>
      </c>
    </row>
    <row r="269" spans="1:29">
      <c r="A269" s="17" t="s">
        <v>840</v>
      </c>
      <c r="B269" s="12"/>
      <c r="C269" s="12" t="s">
        <v>12</v>
      </c>
      <c r="D269" s="12"/>
      <c r="E269" s="13">
        <v>45872</v>
      </c>
      <c r="G269" s="1">
        <v>10081345</v>
      </c>
      <c r="I269" s="1">
        <v>1445429</v>
      </c>
      <c r="K269" s="41">
        <f t="shared" si="27"/>
        <v>7873141</v>
      </c>
      <c r="M269" s="1">
        <v>19399915</v>
      </c>
      <c r="O269" s="41">
        <f t="shared" si="28"/>
        <v>3245193</v>
      </c>
      <c r="Q269" s="1">
        <f>4586610+12839</f>
        <v>4599449</v>
      </c>
      <c r="S269" s="1">
        <v>7844642</v>
      </c>
      <c r="U269" s="1">
        <f>12500692+1445429+1922+2991040</f>
        <v>16939083</v>
      </c>
      <c r="W269" s="1">
        <v>1043</v>
      </c>
      <c r="Y269" s="1">
        <f>821076+851234-861524-6195835+196</f>
        <v>-5384853</v>
      </c>
      <c r="AA269" s="58">
        <f t="shared" si="29"/>
        <v>11555273</v>
      </c>
      <c r="AC269" s="1">
        <f t="shared" si="30"/>
        <v>0</v>
      </c>
    </row>
    <row r="270" spans="1:29">
      <c r="A270" s="12" t="s">
        <v>457</v>
      </c>
      <c r="B270" s="12"/>
      <c r="C270" s="12" t="s">
        <v>458</v>
      </c>
      <c r="D270" s="12"/>
      <c r="E270" s="13">
        <v>48256</v>
      </c>
      <c r="G270" s="1">
        <f>7764872+12660</f>
        <v>7777532</v>
      </c>
      <c r="I270" s="1">
        <v>3882</v>
      </c>
      <c r="K270" s="41">
        <f t="shared" si="27"/>
        <v>5850954</v>
      </c>
      <c r="M270" s="1">
        <v>13632368</v>
      </c>
      <c r="O270" s="41">
        <f t="shared" si="28"/>
        <v>1367632</v>
      </c>
      <c r="Q270" s="1">
        <f>243532+2691226</f>
        <v>2934758</v>
      </c>
      <c r="S270" s="1">
        <v>4302390</v>
      </c>
      <c r="U270" s="1">
        <f>178735+9301+45157+2480757+944227+3882+57658</f>
        <v>3719717</v>
      </c>
      <c r="W270" s="1">
        <v>0</v>
      </c>
      <c r="Y270" s="1">
        <f>5294378+301209+14674</f>
        <v>5610261</v>
      </c>
      <c r="AA270" s="58">
        <f t="shared" si="29"/>
        <v>9329978</v>
      </c>
      <c r="AC270" s="1">
        <f t="shared" si="30"/>
        <v>0</v>
      </c>
    </row>
    <row r="271" spans="1:29">
      <c r="A271" s="17" t="s">
        <v>841</v>
      </c>
      <c r="B271" s="12"/>
      <c r="C271" s="12" t="s">
        <v>50</v>
      </c>
      <c r="D271" s="12"/>
      <c r="E271" s="13">
        <v>48686</v>
      </c>
      <c r="G271" s="1">
        <v>2386559</v>
      </c>
      <c r="I271" s="1">
        <v>5450</v>
      </c>
      <c r="K271" s="41">
        <f t="shared" si="27"/>
        <v>3759723</v>
      </c>
      <c r="M271" s="1">
        <v>6151732</v>
      </c>
      <c r="O271" s="41">
        <f t="shared" si="28"/>
        <v>872603</v>
      </c>
      <c r="Q271" s="1">
        <f>856575+2595660</f>
        <v>3452235</v>
      </c>
      <c r="S271" s="1">
        <v>4324838</v>
      </c>
      <c r="U271" s="1">
        <f>314603+23607+8482+173274+5450+36854</f>
        <v>562270</v>
      </c>
      <c r="W271" s="1">
        <v>0</v>
      </c>
      <c r="Y271" s="1">
        <f>1098512+157523+8589</f>
        <v>1264624</v>
      </c>
      <c r="AA271" s="58">
        <f t="shared" si="29"/>
        <v>1826894</v>
      </c>
      <c r="AC271" s="1">
        <f t="shared" si="30"/>
        <v>0</v>
      </c>
    </row>
    <row r="272" spans="1:29" hidden="1">
      <c r="A272" s="17" t="s">
        <v>821</v>
      </c>
      <c r="B272" s="17"/>
      <c r="C272" s="17" t="s">
        <v>542</v>
      </c>
      <c r="D272" s="12"/>
      <c r="E272" s="13"/>
      <c r="K272" s="41">
        <f t="shared" si="27"/>
        <v>0</v>
      </c>
      <c r="O272" s="41">
        <f t="shared" si="28"/>
        <v>0</v>
      </c>
      <c r="AA272" s="58">
        <f t="shared" si="29"/>
        <v>0</v>
      </c>
      <c r="AC272" s="1">
        <f t="shared" si="30"/>
        <v>0</v>
      </c>
    </row>
    <row r="273" spans="1:29">
      <c r="A273" s="12" t="s">
        <v>428</v>
      </c>
      <c r="B273" s="12"/>
      <c r="C273" s="12" t="s">
        <v>42</v>
      </c>
      <c r="D273" s="12"/>
      <c r="E273" s="13">
        <v>47985</v>
      </c>
      <c r="G273" s="1">
        <v>6413455</v>
      </c>
      <c r="I273" s="1">
        <v>135865</v>
      </c>
      <c r="K273" s="41">
        <f t="shared" si="27"/>
        <v>7347045</v>
      </c>
      <c r="M273" s="1">
        <v>13896365</v>
      </c>
      <c r="O273" s="41">
        <f t="shared" si="28"/>
        <v>1232431</v>
      </c>
      <c r="Q273" s="1">
        <f>4958876+326645</f>
        <v>5285521</v>
      </c>
      <c r="S273" s="1">
        <v>6517952</v>
      </c>
      <c r="U273" s="1">
        <f>126935+14042+9780+1186051+46000+3162+126266+9599</f>
        <v>1521835</v>
      </c>
      <c r="W273" s="1">
        <v>629497</v>
      </c>
      <c r="Y273" s="1">
        <f>5024409+202672</f>
        <v>5227081</v>
      </c>
      <c r="AA273" s="58">
        <f t="shared" si="29"/>
        <v>7378413</v>
      </c>
      <c r="AC273" s="1">
        <f t="shared" si="30"/>
        <v>0</v>
      </c>
    </row>
    <row r="274" spans="1:29">
      <c r="A274" s="12" t="s">
        <v>459</v>
      </c>
      <c r="B274" s="12"/>
      <c r="C274" s="12" t="s">
        <v>458</v>
      </c>
      <c r="D274" s="12"/>
      <c r="E274" s="13">
        <v>48264</v>
      </c>
      <c r="G274" s="1">
        <v>17249532</v>
      </c>
      <c r="I274" s="1">
        <v>44799</v>
      </c>
      <c r="K274" s="41">
        <f t="shared" si="27"/>
        <v>21012760</v>
      </c>
      <c r="M274" s="1">
        <v>38307091</v>
      </c>
      <c r="O274" s="41">
        <f t="shared" si="28"/>
        <v>3328041</v>
      </c>
      <c r="Q274" s="1">
        <f>13564659+4880057</f>
        <v>18444716</v>
      </c>
      <c r="S274" s="1">
        <v>21772757</v>
      </c>
      <c r="U274" s="1">
        <f>21341955+11136+1828343+44799+1646436</f>
        <v>24872669</v>
      </c>
      <c r="W274" s="1">
        <v>0</v>
      </c>
      <c r="Y274" s="1">
        <f>733697+395352-9467384</f>
        <v>-8338335</v>
      </c>
      <c r="AA274" s="58">
        <f t="shared" si="29"/>
        <v>16534334</v>
      </c>
      <c r="AC274" s="1">
        <f t="shared" si="30"/>
        <v>0</v>
      </c>
    </row>
    <row r="275" spans="1:29">
      <c r="A275" s="12" t="s">
        <v>606</v>
      </c>
      <c r="B275" s="12"/>
      <c r="C275" s="12" t="s">
        <v>64</v>
      </c>
      <c r="D275" s="12"/>
      <c r="E275" s="13">
        <v>50179</v>
      </c>
      <c r="G275" s="1">
        <v>3004146</v>
      </c>
      <c r="I275" s="1">
        <v>166991</v>
      </c>
      <c r="K275" s="41">
        <f t="shared" si="27"/>
        <v>4065997</v>
      </c>
      <c r="M275" s="1">
        <v>7237134</v>
      </c>
      <c r="O275" s="41">
        <f t="shared" si="28"/>
        <v>773899</v>
      </c>
      <c r="Q275" s="1">
        <v>3991523</v>
      </c>
      <c r="S275" s="1">
        <v>4765422</v>
      </c>
      <c r="U275" s="1">
        <f>17403+57020+130985+33356+2650</f>
        <v>241414</v>
      </c>
      <c r="W275" s="1">
        <v>0</v>
      </c>
      <c r="Y275" s="1">
        <f>1367612+62616+263473+536597</f>
        <v>2230298</v>
      </c>
      <c r="AA275" s="58">
        <f t="shared" si="29"/>
        <v>2471712</v>
      </c>
      <c r="AC275" s="1">
        <f t="shared" si="30"/>
        <v>0</v>
      </c>
    </row>
    <row r="276" spans="1:29" hidden="1">
      <c r="A276" s="12" t="s">
        <v>316</v>
      </c>
      <c r="B276" s="12"/>
      <c r="C276" s="12" t="s">
        <v>24</v>
      </c>
      <c r="D276" s="12"/>
      <c r="E276" s="13">
        <v>46797</v>
      </c>
      <c r="K276" s="41">
        <f t="shared" si="27"/>
        <v>0</v>
      </c>
      <c r="O276" s="41">
        <f t="shared" si="28"/>
        <v>0</v>
      </c>
      <c r="AA276" s="58">
        <f t="shared" si="29"/>
        <v>0</v>
      </c>
      <c r="AC276" s="1">
        <f t="shared" si="30"/>
        <v>0</v>
      </c>
    </row>
    <row r="277" spans="1:29">
      <c r="A277" s="12" t="s">
        <v>353</v>
      </c>
      <c r="B277" s="12"/>
      <c r="C277" s="12" t="s">
        <v>30</v>
      </c>
      <c r="D277" s="12"/>
      <c r="E277" s="13">
        <v>47191</v>
      </c>
      <c r="G277" s="1">
        <v>14873155</v>
      </c>
      <c r="I277" s="1">
        <v>0</v>
      </c>
      <c r="K277" s="41">
        <f t="shared" si="27"/>
        <v>28121061</v>
      </c>
      <c r="M277" s="1">
        <v>42994216</v>
      </c>
      <c r="O277" s="41">
        <f t="shared" si="28"/>
        <v>5111690</v>
      </c>
      <c r="Q277" s="1">
        <v>23888154</v>
      </c>
      <c r="S277" s="1">
        <v>28999844</v>
      </c>
      <c r="U277" s="1">
        <f>1514844+2830557</f>
        <v>4345401</v>
      </c>
      <c r="W277" s="1">
        <v>0</v>
      </c>
      <c r="Y277" s="1">
        <f>4518455+498387+4590128+42001</f>
        <v>9648971</v>
      </c>
      <c r="AA277" s="58">
        <f t="shared" si="29"/>
        <v>13994372</v>
      </c>
      <c r="AC277" s="1">
        <f t="shared" si="30"/>
        <v>0</v>
      </c>
    </row>
    <row r="278" spans="1:29">
      <c r="A278" s="12" t="s">
        <v>535</v>
      </c>
      <c r="B278" s="12"/>
      <c r="C278" s="12" t="s">
        <v>56</v>
      </c>
      <c r="D278" s="12"/>
      <c r="E278" s="12">
        <v>44164</v>
      </c>
      <c r="G278" s="1">
        <f>19112222+7500</f>
        <v>19119722</v>
      </c>
      <c r="I278" s="1">
        <v>0</v>
      </c>
      <c r="K278" s="41">
        <f t="shared" si="27"/>
        <v>24393535</v>
      </c>
      <c r="M278" s="1">
        <v>43513257</v>
      </c>
      <c r="O278" s="41">
        <f t="shared" si="28"/>
        <v>5683830</v>
      </c>
      <c r="Q278" s="1">
        <v>19908789</v>
      </c>
      <c r="S278" s="1">
        <v>25592619</v>
      </c>
      <c r="U278" s="1">
        <f>496314+139043+4130762</f>
        <v>4766119</v>
      </c>
      <c r="W278" s="1">
        <v>0</v>
      </c>
      <c r="Y278" s="1">
        <f>11794606+480454+480001+399458</f>
        <v>13154519</v>
      </c>
      <c r="AA278" s="58">
        <f t="shared" si="29"/>
        <v>17920638</v>
      </c>
      <c r="AC278" s="1">
        <f t="shared" si="30"/>
        <v>0</v>
      </c>
    </row>
    <row r="279" spans="1:29">
      <c r="A279" s="12" t="s">
        <v>385</v>
      </c>
      <c r="B279" s="12"/>
      <c r="C279" s="12" t="s">
        <v>383</v>
      </c>
      <c r="D279" s="12"/>
      <c r="E279" s="13">
        <v>44172</v>
      </c>
      <c r="G279" s="1">
        <v>2658877</v>
      </c>
      <c r="I279" s="1">
        <v>361</v>
      </c>
      <c r="K279" s="41">
        <f t="shared" si="27"/>
        <v>5052946</v>
      </c>
      <c r="M279" s="1">
        <v>7712184</v>
      </c>
      <c r="O279" s="41">
        <f t="shared" si="28"/>
        <v>2404327</v>
      </c>
      <c r="Q279" s="1">
        <v>3966856</v>
      </c>
      <c r="S279" s="1">
        <v>6371183</v>
      </c>
      <c r="U279" s="1">
        <f>437733+361+75068+68364</f>
        <v>581526</v>
      </c>
      <c r="W279" s="1">
        <v>0</v>
      </c>
      <c r="Y279" s="1">
        <f>768062+2291-10878</f>
        <v>759475</v>
      </c>
      <c r="AA279" s="58">
        <f t="shared" si="29"/>
        <v>1341001</v>
      </c>
      <c r="AC279" s="1">
        <f t="shared" si="30"/>
        <v>0</v>
      </c>
    </row>
    <row r="280" spans="1:29">
      <c r="A280" s="12" t="s">
        <v>499</v>
      </c>
      <c r="B280" s="12"/>
      <c r="C280" s="12" t="s">
        <v>50</v>
      </c>
      <c r="D280" s="12"/>
      <c r="E280" s="13">
        <v>44180</v>
      </c>
      <c r="G280" s="1">
        <f>9389079+8789280</f>
        <v>18178359</v>
      </c>
      <c r="I280" s="1">
        <v>12801</v>
      </c>
      <c r="K280" s="41">
        <f t="shared" si="27"/>
        <v>60061512</v>
      </c>
      <c r="M280" s="1">
        <v>78252672</v>
      </c>
      <c r="O280" s="41">
        <f t="shared" si="28"/>
        <v>11979302</v>
      </c>
      <c r="Q280" s="1">
        <v>57982193</v>
      </c>
      <c r="S280" s="1">
        <v>69961495</v>
      </c>
      <c r="U280" s="1">
        <f>1199805+314088+868969+12801</f>
        <v>2395663</v>
      </c>
      <c r="W280" s="1">
        <v>0</v>
      </c>
      <c r="Y280" s="1">
        <f>1957847+2236522+1346377+352429+2339</f>
        <v>5895514</v>
      </c>
      <c r="AA280" s="58">
        <f t="shared" si="29"/>
        <v>8291177</v>
      </c>
      <c r="AC280" s="1">
        <f t="shared" si="30"/>
        <v>0</v>
      </c>
    </row>
    <row r="281" spans="1:29">
      <c r="A281" s="12" t="s">
        <v>442</v>
      </c>
      <c r="B281" s="12"/>
      <c r="C281" s="12" t="s">
        <v>44</v>
      </c>
      <c r="D281" s="12"/>
      <c r="E281" s="13">
        <v>48165</v>
      </c>
      <c r="G281" s="1">
        <f>8140335+5000</f>
        <v>8145335</v>
      </c>
      <c r="I281" s="1">
        <v>0</v>
      </c>
      <c r="K281" s="41">
        <f t="shared" si="27"/>
        <v>6914354</v>
      </c>
      <c r="M281" s="1">
        <v>15059689</v>
      </c>
      <c r="O281" s="41">
        <f t="shared" si="28"/>
        <v>1753725</v>
      </c>
      <c r="Q281" s="1">
        <f>464519+6057972</f>
        <v>6522491</v>
      </c>
      <c r="S281" s="1">
        <v>8276216</v>
      </c>
      <c r="U281" s="1">
        <f>86480+14207+345247+11997+1074900</f>
        <v>1532831</v>
      </c>
      <c r="W281" s="1">
        <v>0</v>
      </c>
      <c r="Y281" s="1">
        <f>4012383+267242+971017</f>
        <v>5250642</v>
      </c>
      <c r="AA281" s="58">
        <f t="shared" si="29"/>
        <v>6783473</v>
      </c>
      <c r="AC281" s="1">
        <f t="shared" si="30"/>
        <v>0</v>
      </c>
    </row>
    <row r="282" spans="1:29">
      <c r="A282" s="12" t="s">
        <v>633</v>
      </c>
      <c r="B282" s="12"/>
      <c r="C282" s="12" t="s">
        <v>69</v>
      </c>
      <c r="D282" s="12"/>
      <c r="E282" s="13">
        <v>50435</v>
      </c>
      <c r="G282" s="1">
        <f>15869693+45100</f>
        <v>15914793</v>
      </c>
      <c r="I282" s="1">
        <v>0</v>
      </c>
      <c r="K282" s="41">
        <f t="shared" si="27"/>
        <v>28063922</v>
      </c>
      <c r="M282" s="1">
        <v>43978715</v>
      </c>
      <c r="O282" s="41">
        <f t="shared" si="28"/>
        <v>5296059</v>
      </c>
      <c r="Q282" s="1">
        <v>26274270</v>
      </c>
      <c r="S282" s="1">
        <v>31570329</v>
      </c>
      <c r="U282" s="1">
        <f>810460+1091932</f>
        <v>1902392</v>
      </c>
      <c r="W282" s="1">
        <v>0</v>
      </c>
      <c r="Y282" s="1">
        <f>3729385+289662+2751636+3735311</f>
        <v>10505994</v>
      </c>
      <c r="AA282" s="58">
        <f t="shared" si="29"/>
        <v>12408386</v>
      </c>
      <c r="AC282" s="1">
        <f t="shared" si="30"/>
        <v>0</v>
      </c>
    </row>
    <row r="283" spans="1:29" hidden="1">
      <c r="A283" s="17" t="s">
        <v>862</v>
      </c>
      <c r="B283" s="12"/>
      <c r="C283" s="12" t="s">
        <v>41</v>
      </c>
      <c r="D283" s="12"/>
      <c r="E283" s="13">
        <v>47878</v>
      </c>
      <c r="K283" s="41">
        <f t="shared" si="27"/>
        <v>0</v>
      </c>
      <c r="O283" s="41">
        <f t="shared" si="28"/>
        <v>0</v>
      </c>
      <c r="AA283" s="58">
        <f t="shared" si="29"/>
        <v>0</v>
      </c>
      <c r="AC283" s="1">
        <f t="shared" si="30"/>
        <v>0</v>
      </c>
    </row>
    <row r="284" spans="1:29">
      <c r="A284" s="12" t="s">
        <v>607</v>
      </c>
      <c r="B284" s="12"/>
      <c r="C284" s="12" t="s">
        <v>64</v>
      </c>
      <c r="D284" s="12"/>
      <c r="E284" s="13">
        <v>50245</v>
      </c>
      <c r="G284" s="1">
        <f>4063968+2637912</f>
        <v>6701880</v>
      </c>
      <c r="I284" s="1">
        <v>46436</v>
      </c>
      <c r="K284" s="41">
        <f t="shared" si="27"/>
        <v>5719667</v>
      </c>
      <c r="M284" s="1">
        <v>12467983</v>
      </c>
      <c r="O284" s="41">
        <f t="shared" si="28"/>
        <v>1851684</v>
      </c>
      <c r="Q284" s="1">
        <f>1601368+3713164</f>
        <v>5314532</v>
      </c>
      <c r="S284" s="1">
        <v>7166216</v>
      </c>
      <c r="U284" s="1">
        <f>17347+16485+32089+40946+180898+46436</f>
        <v>334201</v>
      </c>
      <c r="W284" s="1">
        <v>0</v>
      </c>
      <c r="Y284" s="1">
        <f>1237684+498685+3231197</f>
        <v>4967566</v>
      </c>
      <c r="AA284" s="58">
        <f t="shared" si="29"/>
        <v>5301767</v>
      </c>
      <c r="AC284" s="1">
        <f t="shared" si="30"/>
        <v>0</v>
      </c>
    </row>
    <row r="285" spans="1:29">
      <c r="A285" s="12" t="s">
        <v>577</v>
      </c>
      <c r="B285" s="12"/>
      <c r="C285" s="12" t="s">
        <v>62</v>
      </c>
      <c r="D285" s="12"/>
      <c r="E285" s="13">
        <v>49866</v>
      </c>
      <c r="G285" s="1">
        <f>8954645+95898</f>
        <v>9050543</v>
      </c>
      <c r="I285" s="1">
        <v>0</v>
      </c>
      <c r="K285" s="41">
        <f t="shared" si="27"/>
        <v>15315993</v>
      </c>
      <c r="M285" s="1">
        <v>24366536</v>
      </c>
      <c r="O285" s="41">
        <f t="shared" si="28"/>
        <v>4689064</v>
      </c>
      <c r="Q285" s="1">
        <v>14725998</v>
      </c>
      <c r="S285" s="1">
        <v>19415062</v>
      </c>
      <c r="U285" s="1">
        <f>530410+508630+95898</f>
        <v>1134938</v>
      </c>
      <c r="W285" s="1">
        <v>0</v>
      </c>
      <c r="Y285" s="1">
        <f>2349485+297282+1058205+111564</f>
        <v>3816536</v>
      </c>
      <c r="AA285" s="58">
        <f t="shared" si="29"/>
        <v>4951474</v>
      </c>
      <c r="AC285" s="1">
        <f t="shared" si="30"/>
        <v>0</v>
      </c>
    </row>
    <row r="286" spans="1:29" hidden="1">
      <c r="A286" s="12" t="s">
        <v>939</v>
      </c>
      <c r="B286" s="12"/>
      <c r="C286" s="12" t="s">
        <v>72</v>
      </c>
      <c r="D286" s="12"/>
      <c r="E286" s="13">
        <v>50690</v>
      </c>
      <c r="K286" s="41">
        <f t="shared" si="27"/>
        <v>0</v>
      </c>
      <c r="O286" s="41">
        <f t="shared" si="28"/>
        <v>0</v>
      </c>
      <c r="AA286" s="58">
        <f t="shared" si="29"/>
        <v>0</v>
      </c>
      <c r="AC286" s="1">
        <f t="shared" si="30"/>
        <v>0</v>
      </c>
    </row>
    <row r="287" spans="1:29">
      <c r="A287" s="12" t="s">
        <v>608</v>
      </c>
      <c r="B287" s="12"/>
      <c r="C287" s="12" t="s">
        <v>64</v>
      </c>
      <c r="D287" s="12"/>
      <c r="E287" s="13">
        <v>50187</v>
      </c>
      <c r="G287" s="1">
        <f>1084443+422</f>
        <v>1084865</v>
      </c>
      <c r="I287" s="1">
        <v>284944</v>
      </c>
      <c r="K287" s="41">
        <f t="shared" si="27"/>
        <v>8523479</v>
      </c>
      <c r="M287" s="1">
        <v>9893288</v>
      </c>
      <c r="O287" s="41">
        <f t="shared" si="28"/>
        <v>1536584</v>
      </c>
      <c r="Q287" s="1">
        <v>7265073</v>
      </c>
      <c r="S287" s="1">
        <v>8801657</v>
      </c>
      <c r="U287" s="1">
        <f>210112+1030000+284944</f>
        <v>1525056</v>
      </c>
      <c r="W287" s="1">
        <v>0</v>
      </c>
      <c r="Y287" s="1">
        <f>225180+286546+142206-1087357</f>
        <v>-433425</v>
      </c>
      <c r="AA287" s="58">
        <f t="shared" si="29"/>
        <v>1091631</v>
      </c>
      <c r="AC287" s="1">
        <f t="shared" si="30"/>
        <v>0</v>
      </c>
    </row>
    <row r="288" spans="1:29">
      <c r="A288" s="12" t="s">
        <v>293</v>
      </c>
      <c r="B288" s="12"/>
      <c r="C288" s="12" t="s">
        <v>20</v>
      </c>
      <c r="D288" s="12"/>
      <c r="E288" s="13">
        <v>44198</v>
      </c>
      <c r="G288" s="1">
        <f>23795732+330842</f>
        <v>24126574</v>
      </c>
      <c r="I288" s="1">
        <v>0</v>
      </c>
      <c r="K288" s="41">
        <f t="shared" si="27"/>
        <v>49272504</v>
      </c>
      <c r="M288" s="1">
        <v>73399078</v>
      </c>
      <c r="O288" s="41">
        <f t="shared" si="28"/>
        <v>13871407</v>
      </c>
      <c r="Q288" s="1">
        <f>4011245+36223866</f>
        <v>40235111</v>
      </c>
      <c r="S288" s="1">
        <v>54106518</v>
      </c>
      <c r="U288" s="1">
        <f>477374+5989613+4148389</f>
        <v>10615376</v>
      </c>
      <c r="W288" s="1">
        <v>0</v>
      </c>
      <c r="Y288" s="1">
        <f>6496671+2221420-40907</f>
        <v>8677184</v>
      </c>
      <c r="AA288" s="58">
        <f t="shared" si="29"/>
        <v>19292560</v>
      </c>
      <c r="AC288" s="1">
        <f t="shared" si="30"/>
        <v>0</v>
      </c>
    </row>
    <row r="289" spans="1:29">
      <c r="A289" s="12" t="s">
        <v>762</v>
      </c>
      <c r="B289" s="12"/>
      <c r="C289" s="12" t="s">
        <v>42</v>
      </c>
      <c r="D289" s="12"/>
      <c r="E289" s="13">
        <v>47993</v>
      </c>
      <c r="G289" s="1">
        <f>888190+4953222</f>
        <v>5841412</v>
      </c>
      <c r="I289" s="1">
        <v>0</v>
      </c>
      <c r="K289" s="41">
        <f t="shared" si="27"/>
        <v>11194338</v>
      </c>
      <c r="M289" s="1">
        <v>17035750</v>
      </c>
      <c r="O289" s="41">
        <f t="shared" si="28"/>
        <v>2296688</v>
      </c>
      <c r="Q289" s="1">
        <f>9338157+11622</f>
        <v>9349779</v>
      </c>
      <c r="S289" s="1">
        <v>11646467</v>
      </c>
      <c r="U289" s="1">
        <f>62465+207879+48727+897885+1436940</f>
        <v>2653896</v>
      </c>
      <c r="W289" s="1">
        <v>204164</v>
      </c>
      <c r="Y289" s="1">
        <f>2411807+119416</f>
        <v>2531223</v>
      </c>
      <c r="AA289" s="58">
        <f t="shared" si="29"/>
        <v>5389283</v>
      </c>
      <c r="AC289" s="1">
        <f t="shared" si="30"/>
        <v>0</v>
      </c>
    </row>
    <row r="290" spans="1:29">
      <c r="A290" s="12" t="s">
        <v>230</v>
      </c>
      <c r="B290" s="12"/>
      <c r="C290" s="12" t="s">
        <v>227</v>
      </c>
      <c r="D290" s="12"/>
      <c r="E290" s="13">
        <v>46110</v>
      </c>
      <c r="G290" s="1">
        <v>55817539</v>
      </c>
      <c r="I290" s="1">
        <v>1568380</v>
      </c>
      <c r="K290" s="41">
        <f t="shared" si="27"/>
        <v>108162650</v>
      </c>
      <c r="M290" s="1">
        <v>165548569</v>
      </c>
      <c r="O290" s="41">
        <f t="shared" si="28"/>
        <v>25227969</v>
      </c>
      <c r="Q290" s="1">
        <v>100951942</v>
      </c>
      <c r="S290" s="1">
        <v>126179911</v>
      </c>
      <c r="U290" s="1">
        <f>1385443+3636368+1568380</f>
        <v>6590191</v>
      </c>
      <c r="W290" s="1">
        <v>0</v>
      </c>
      <c r="Y290" s="1">
        <f>19421784+408704+5965990+6981989</f>
        <v>32778467</v>
      </c>
      <c r="AA290" s="58">
        <f t="shared" si="29"/>
        <v>39368658</v>
      </c>
      <c r="AC290" s="1">
        <f t="shared" si="30"/>
        <v>0</v>
      </c>
    </row>
    <row r="291" spans="1:29">
      <c r="A291" s="17" t="s">
        <v>842</v>
      </c>
      <c r="B291" s="12"/>
      <c r="C291" s="12" t="s">
        <v>79</v>
      </c>
      <c r="D291" s="12"/>
      <c r="E291" s="13">
        <v>49569</v>
      </c>
      <c r="G291" s="1">
        <f>4514622+14904966</f>
        <v>19419588</v>
      </c>
      <c r="I291" s="1">
        <v>71486</v>
      </c>
      <c r="K291" s="41">
        <f t="shared" si="27"/>
        <v>7629871</v>
      </c>
      <c r="M291" s="1">
        <v>27120945</v>
      </c>
      <c r="O291" s="41">
        <f t="shared" si="28"/>
        <v>2441057</v>
      </c>
      <c r="Q291" s="1">
        <f>2083628+2006810</f>
        <v>4090438</v>
      </c>
      <c r="S291" s="1">
        <v>6531495</v>
      </c>
      <c r="U291" s="1">
        <f>3586824+2237+36057+1002605+5000+97173+71486</f>
        <v>4801382</v>
      </c>
      <c r="W291" s="1">
        <v>0</v>
      </c>
      <c r="Y291" s="1">
        <f>219177+347914+15220977</f>
        <v>15788068</v>
      </c>
      <c r="AA291" s="58">
        <f t="shared" si="29"/>
        <v>20589450</v>
      </c>
      <c r="AC291" s="1">
        <f t="shared" si="30"/>
        <v>0</v>
      </c>
    </row>
    <row r="292" spans="1:29">
      <c r="A292" s="12" t="s">
        <v>325</v>
      </c>
      <c r="B292" s="12"/>
      <c r="C292" s="12" t="s">
        <v>25</v>
      </c>
      <c r="D292" s="12"/>
      <c r="E292" s="13">
        <v>44206</v>
      </c>
      <c r="G292" s="1">
        <f>30084631+654</f>
        <v>30085285</v>
      </c>
      <c r="I292" s="1">
        <v>0</v>
      </c>
      <c r="K292" s="41">
        <f t="shared" si="27"/>
        <v>25905133</v>
      </c>
      <c r="M292" s="1">
        <v>55990418</v>
      </c>
      <c r="O292" s="41">
        <f t="shared" si="28"/>
        <v>7772719</v>
      </c>
      <c r="Q292" s="1">
        <v>19599255</v>
      </c>
      <c r="S292" s="1">
        <v>27371974</v>
      </c>
      <c r="U292" s="1">
        <f>1819504+1644031+1003879</f>
        <v>4467414</v>
      </c>
      <c r="W292" s="1">
        <v>0</v>
      </c>
      <c r="Y292" s="1">
        <f>15136195+1042238+7972597</f>
        <v>24151030</v>
      </c>
      <c r="AA292" s="58">
        <f t="shared" si="29"/>
        <v>28618444</v>
      </c>
      <c r="AC292" s="1">
        <f t="shared" si="30"/>
        <v>0</v>
      </c>
    </row>
    <row r="293" spans="1:29" hidden="1">
      <c r="A293" s="17" t="s">
        <v>732</v>
      </c>
      <c r="B293" s="12"/>
      <c r="C293" s="12" t="s">
        <v>69</v>
      </c>
      <c r="D293" s="12"/>
      <c r="E293" s="13">
        <v>44214</v>
      </c>
      <c r="K293" s="41">
        <f t="shared" si="27"/>
        <v>0</v>
      </c>
      <c r="O293" s="41">
        <f t="shared" si="28"/>
        <v>0</v>
      </c>
      <c r="AA293" s="58">
        <f t="shared" si="29"/>
        <v>0</v>
      </c>
      <c r="AC293" s="1">
        <f t="shared" si="30"/>
        <v>0</v>
      </c>
    </row>
    <row r="294" spans="1:29">
      <c r="A294" s="12" t="s">
        <v>354</v>
      </c>
      <c r="B294" s="12"/>
      <c r="C294" s="12" t="s">
        <v>30</v>
      </c>
      <c r="D294" s="12"/>
      <c r="E294" s="13">
        <v>47209</v>
      </c>
      <c r="G294" s="1">
        <v>142499</v>
      </c>
      <c r="I294" s="1">
        <v>41035</v>
      </c>
      <c r="K294" s="41">
        <f t="shared" si="27"/>
        <v>2042571</v>
      </c>
      <c r="M294" s="1">
        <v>2226105</v>
      </c>
      <c r="O294" s="41">
        <f t="shared" si="28"/>
        <v>1064810</v>
      </c>
      <c r="Q294" s="1">
        <v>1778931</v>
      </c>
      <c r="S294" s="1">
        <v>2843741</v>
      </c>
      <c r="U294" s="1">
        <f>1207+170308+376987+16022+511939+10268</f>
        <v>1086731</v>
      </c>
      <c r="W294" s="1">
        <v>0</v>
      </c>
      <c r="Y294" s="1">
        <f>20326+63670+158-1788521</f>
        <v>-1704367</v>
      </c>
      <c r="AA294" s="58">
        <f t="shared" si="29"/>
        <v>-617636</v>
      </c>
      <c r="AC294" s="1">
        <f t="shared" si="30"/>
        <v>0</v>
      </c>
    </row>
    <row r="295" spans="1:29" hidden="1">
      <c r="A295" s="12" t="s">
        <v>941</v>
      </c>
      <c r="B295" s="12"/>
      <c r="C295" s="12" t="s">
        <v>114</v>
      </c>
      <c r="D295" s="12"/>
      <c r="E295" s="13"/>
      <c r="K295" s="41">
        <f t="shared" ref="K295" si="31">M295-G295-I295</f>
        <v>0</v>
      </c>
      <c r="O295" s="41">
        <f t="shared" ref="O295" si="32">S295-Q295</f>
        <v>0</v>
      </c>
      <c r="AA295" s="58">
        <f t="shared" ref="AA295" si="33">U295+W295+Y295</f>
        <v>0</v>
      </c>
      <c r="AC295" s="1">
        <f t="shared" ref="AC295" si="34">+G295+I295+K295-O295-Q295-Y295-W295-U295</f>
        <v>0</v>
      </c>
    </row>
    <row r="296" spans="1:29" hidden="1">
      <c r="A296" s="17" t="s">
        <v>843</v>
      </c>
      <c r="B296" s="12"/>
      <c r="C296" s="12" t="s">
        <v>542</v>
      </c>
      <c r="D296" s="12"/>
      <c r="E296" s="13">
        <v>49353</v>
      </c>
      <c r="K296" s="41">
        <f t="shared" ref="K296:K366" si="35">M296-G296-I296</f>
        <v>0</v>
      </c>
      <c r="O296" s="41">
        <f t="shared" ref="O296:O366" si="36">S296-Q296</f>
        <v>0</v>
      </c>
      <c r="AA296" s="58">
        <f t="shared" ref="AA296:AA366" si="37">U296+W296+Y296</f>
        <v>0</v>
      </c>
      <c r="AC296" s="1">
        <f t="shared" ref="AC296:AC366" si="38">+G296+I296+K296-O296-Q296-Y296-W296-U296</f>
        <v>0</v>
      </c>
    </row>
    <row r="297" spans="1:29" hidden="1">
      <c r="A297" s="12" t="s">
        <v>942</v>
      </c>
      <c r="B297" s="12"/>
      <c r="C297" s="12" t="s">
        <v>112</v>
      </c>
      <c r="D297" s="12"/>
      <c r="E297" s="13">
        <v>49437</v>
      </c>
      <c r="K297" s="41">
        <f t="shared" si="35"/>
        <v>0</v>
      </c>
      <c r="O297" s="41">
        <f t="shared" si="36"/>
        <v>0</v>
      </c>
      <c r="AA297" s="58">
        <f t="shared" si="37"/>
        <v>0</v>
      </c>
      <c r="AC297" s="1">
        <f t="shared" si="38"/>
        <v>0</v>
      </c>
    </row>
    <row r="298" spans="1:29">
      <c r="A298" s="12" t="s">
        <v>391</v>
      </c>
      <c r="B298" s="12"/>
      <c r="C298" s="12" t="s">
        <v>34</v>
      </c>
      <c r="D298" s="12"/>
      <c r="E298" s="13">
        <v>47589</v>
      </c>
      <c r="G298" s="1">
        <v>5457391</v>
      </c>
      <c r="I298" s="1">
        <v>0</v>
      </c>
      <c r="K298" s="41">
        <f t="shared" si="35"/>
        <v>5703286</v>
      </c>
      <c r="M298" s="1">
        <v>11160677</v>
      </c>
      <c r="O298" s="41">
        <f t="shared" si="36"/>
        <v>1304514</v>
      </c>
      <c r="Q298" s="1">
        <v>4489190</v>
      </c>
      <c r="S298" s="1">
        <v>5793704</v>
      </c>
      <c r="U298" s="1">
        <f>407286+357631</f>
        <v>764917</v>
      </c>
      <c r="W298" s="1">
        <v>0</v>
      </c>
      <c r="Y298" s="1">
        <f>4122828+3613+322562+153053</f>
        <v>4602056</v>
      </c>
      <c r="AA298" s="58">
        <f t="shared" si="37"/>
        <v>5366973</v>
      </c>
      <c r="AC298" s="1">
        <f t="shared" si="38"/>
        <v>0</v>
      </c>
    </row>
    <row r="299" spans="1:29">
      <c r="A299" s="17" t="s">
        <v>609</v>
      </c>
      <c r="B299" s="12"/>
      <c r="C299" s="12" t="s">
        <v>64</v>
      </c>
      <c r="D299" s="12"/>
      <c r="E299" s="13">
        <v>50195</v>
      </c>
      <c r="G299" s="1">
        <v>1838044</v>
      </c>
      <c r="I299" s="1">
        <v>461464</v>
      </c>
      <c r="K299" s="41">
        <f t="shared" si="35"/>
        <v>12278009</v>
      </c>
      <c r="M299" s="1">
        <v>14577517</v>
      </c>
      <c r="O299" s="41">
        <f t="shared" si="36"/>
        <v>6317685</v>
      </c>
      <c r="Q299" s="1">
        <v>10400350</v>
      </c>
      <c r="S299" s="1">
        <v>16718035</v>
      </c>
      <c r="U299" s="1">
        <f>262263+20006+147509+39581+421883+80046+4269</f>
        <v>975557</v>
      </c>
      <c r="W299" s="1">
        <v>0</v>
      </c>
      <c r="Y299" s="1">
        <f>480723+448072-4044870</f>
        <v>-3116075</v>
      </c>
      <c r="AA299" s="58">
        <f t="shared" si="37"/>
        <v>-2140518</v>
      </c>
      <c r="AC299" s="1">
        <f t="shared" si="38"/>
        <v>0</v>
      </c>
    </row>
    <row r="300" spans="1:29">
      <c r="A300" s="12" t="s">
        <v>768</v>
      </c>
      <c r="B300" s="12"/>
      <c r="C300" s="12" t="s">
        <v>25</v>
      </c>
      <c r="D300" s="12"/>
      <c r="E300" s="13">
        <v>46888</v>
      </c>
      <c r="G300" s="1">
        <v>20422696</v>
      </c>
      <c r="I300" s="1">
        <v>0</v>
      </c>
      <c r="K300" s="41">
        <f t="shared" si="35"/>
        <v>13738624</v>
      </c>
      <c r="M300" s="1">
        <v>34161320</v>
      </c>
      <c r="O300" s="41">
        <f t="shared" si="36"/>
        <v>1532329</v>
      </c>
      <c r="Q300" s="1">
        <v>12262759</v>
      </c>
      <c r="S300" s="1">
        <v>13795088</v>
      </c>
      <c r="U300" s="1">
        <f>577210+441015</f>
        <v>1018225</v>
      </c>
      <c r="W300" s="1">
        <v>0</v>
      </c>
      <c r="Y300" s="1">
        <f>3993649+436658+914415+14003285</f>
        <v>19348007</v>
      </c>
      <c r="AA300" s="58">
        <f t="shared" si="37"/>
        <v>20366232</v>
      </c>
      <c r="AC300" s="1">
        <f t="shared" si="38"/>
        <v>0</v>
      </c>
    </row>
    <row r="301" spans="1:29">
      <c r="A301" s="12" t="s">
        <v>381</v>
      </c>
      <c r="B301" s="12"/>
      <c r="C301" s="12" t="s">
        <v>33</v>
      </c>
      <c r="D301" s="12"/>
      <c r="E301" s="13">
        <v>47449</v>
      </c>
      <c r="G301" s="1">
        <v>5217482</v>
      </c>
      <c r="I301" s="1">
        <v>42620</v>
      </c>
      <c r="K301" s="41">
        <f t="shared" si="35"/>
        <v>5470104</v>
      </c>
      <c r="M301" s="1">
        <v>10730206</v>
      </c>
      <c r="O301" s="41">
        <f t="shared" si="36"/>
        <v>1408161</v>
      </c>
      <c r="Q301" s="1">
        <v>4528405</v>
      </c>
      <c r="S301" s="1">
        <v>5936566</v>
      </c>
      <c r="U301" s="1">
        <f>434000+42620+269924</f>
        <v>746544</v>
      </c>
      <c r="W301" s="1">
        <v>175871</v>
      </c>
      <c r="Y301" s="1">
        <f>3112752+166198+404204+188071</f>
        <v>3871225</v>
      </c>
      <c r="AA301" s="58">
        <f t="shared" si="37"/>
        <v>4793640</v>
      </c>
      <c r="AC301" s="1">
        <f t="shared" si="38"/>
        <v>0</v>
      </c>
    </row>
    <row r="302" spans="1:29">
      <c r="A302" s="12" t="s">
        <v>429</v>
      </c>
      <c r="B302" s="12"/>
      <c r="C302" s="12" t="s">
        <v>42</v>
      </c>
      <c r="D302" s="12"/>
      <c r="E302" s="13">
        <v>48009</v>
      </c>
      <c r="G302" s="1">
        <v>6558452</v>
      </c>
      <c r="I302" s="1">
        <v>0</v>
      </c>
      <c r="K302" s="41">
        <f t="shared" si="35"/>
        <v>21176608</v>
      </c>
      <c r="M302" s="1">
        <v>27735060</v>
      </c>
      <c r="O302" s="41">
        <f t="shared" si="36"/>
        <v>3490762</v>
      </c>
      <c r="Q302" s="1">
        <v>15119272</v>
      </c>
      <c r="S302" s="1">
        <v>18610034</v>
      </c>
      <c r="U302" s="1">
        <f>61654+5696004+26326</f>
        <v>5783984</v>
      </c>
      <c r="W302" s="1">
        <v>0</v>
      </c>
      <c r="Y302" s="1">
        <f>2313297+1891599-723375-140479</f>
        <v>3341042</v>
      </c>
      <c r="AA302" s="58">
        <f t="shared" si="37"/>
        <v>9125026</v>
      </c>
      <c r="AC302" s="1">
        <f t="shared" si="38"/>
        <v>0</v>
      </c>
    </row>
    <row r="303" spans="1:29">
      <c r="A303" s="12" t="s">
        <v>430</v>
      </c>
      <c r="B303" s="12"/>
      <c r="C303" s="12" t="s">
        <v>42</v>
      </c>
      <c r="D303" s="12"/>
      <c r="E303" s="13">
        <v>48017</v>
      </c>
      <c r="G303" s="1">
        <v>7306324</v>
      </c>
      <c r="I303" s="1">
        <v>14784</v>
      </c>
      <c r="K303" s="41">
        <f t="shared" si="35"/>
        <v>6014037</v>
      </c>
      <c r="M303" s="1">
        <v>13335145</v>
      </c>
      <c r="O303" s="41">
        <f t="shared" si="36"/>
        <v>2032489</v>
      </c>
      <c r="Q303" s="1">
        <v>4366331</v>
      </c>
      <c r="S303" s="1">
        <v>6398820</v>
      </c>
      <c r="U303" s="1">
        <f>214157+264857+8777+748936+734530+13759+1025</f>
        <v>1986041</v>
      </c>
      <c r="W303" s="1">
        <v>0</v>
      </c>
      <c r="Y303" s="1">
        <f>4581386+362186+6712</f>
        <v>4950284</v>
      </c>
      <c r="AA303" s="58">
        <f t="shared" si="37"/>
        <v>6936325</v>
      </c>
      <c r="AC303" s="1">
        <f t="shared" si="38"/>
        <v>0</v>
      </c>
    </row>
    <row r="304" spans="1:29" hidden="1">
      <c r="A304" s="12" t="s">
        <v>845</v>
      </c>
      <c r="B304" s="12"/>
      <c r="C304" s="12" t="s">
        <v>10</v>
      </c>
      <c r="D304" s="12"/>
      <c r="E304" s="13"/>
      <c r="K304" s="41">
        <f t="shared" si="35"/>
        <v>0</v>
      </c>
      <c r="O304" s="41"/>
      <c r="AA304" s="58">
        <f t="shared" si="37"/>
        <v>0</v>
      </c>
      <c r="AC304" s="1">
        <f t="shared" si="38"/>
        <v>0</v>
      </c>
    </row>
    <row r="305" spans="1:29">
      <c r="A305" s="12" t="s">
        <v>628</v>
      </c>
      <c r="B305" s="12"/>
      <c r="C305" s="12" t="s">
        <v>67</v>
      </c>
      <c r="D305" s="12"/>
      <c r="E305" s="13">
        <v>50369</v>
      </c>
      <c r="G305" s="1">
        <f>11048665+31593+302</f>
        <v>11080560</v>
      </c>
      <c r="I305" s="1">
        <v>8324</v>
      </c>
      <c r="K305" s="41">
        <f t="shared" si="35"/>
        <v>3544547</v>
      </c>
      <c r="M305" s="1">
        <v>14633431</v>
      </c>
      <c r="O305" s="41">
        <f t="shared" si="36"/>
        <v>1005275</v>
      </c>
      <c r="Q305" s="1">
        <f>578303+2723901</f>
        <v>3302204</v>
      </c>
      <c r="S305" s="1">
        <v>4307479</v>
      </c>
      <c r="U305" s="1">
        <f>11743+12547+11089+213718+341769+8324</f>
        <v>599190</v>
      </c>
      <c r="W305" s="1">
        <v>0</v>
      </c>
      <c r="Y305" s="1">
        <f>8366177+396850+963735</f>
        <v>9726762</v>
      </c>
      <c r="AA305" s="58">
        <f t="shared" si="37"/>
        <v>10325952</v>
      </c>
      <c r="AC305" s="1">
        <f t="shared" si="38"/>
        <v>0</v>
      </c>
    </row>
    <row r="306" spans="1:29">
      <c r="A306" s="12" t="s">
        <v>268</v>
      </c>
      <c r="B306" s="12"/>
      <c r="C306" s="12" t="s">
        <v>114</v>
      </c>
      <c r="D306" s="12"/>
      <c r="E306" s="13">
        <v>45450</v>
      </c>
      <c r="G306" s="1">
        <v>5004820</v>
      </c>
      <c r="I306" s="1">
        <v>0</v>
      </c>
      <c r="K306" s="41">
        <f t="shared" si="35"/>
        <v>2484428</v>
      </c>
      <c r="M306" s="1">
        <v>7489248</v>
      </c>
      <c r="O306" s="41">
        <f t="shared" si="36"/>
        <v>966721</v>
      </c>
      <c r="Q306" s="1">
        <v>2253730</v>
      </c>
      <c r="S306" s="1">
        <v>3220451</v>
      </c>
      <c r="U306" s="1">
        <f>13328+898926+16911+186284</f>
        <v>1115449</v>
      </c>
      <c r="W306" s="1">
        <v>0</v>
      </c>
      <c r="Y306" s="1">
        <v>3153348</v>
      </c>
      <c r="AA306" s="58">
        <f t="shared" si="37"/>
        <v>4268797</v>
      </c>
      <c r="AC306" s="1">
        <f t="shared" si="38"/>
        <v>0</v>
      </c>
    </row>
    <row r="307" spans="1:29">
      <c r="A307" s="12" t="s">
        <v>634</v>
      </c>
      <c r="B307" s="12"/>
      <c r="C307" s="12" t="s">
        <v>69</v>
      </c>
      <c r="D307" s="12"/>
      <c r="E307" s="13">
        <v>50443</v>
      </c>
      <c r="G307" s="1">
        <f>4746505+2201882</f>
        <v>6948387</v>
      </c>
      <c r="I307" s="1">
        <v>500841</v>
      </c>
      <c r="K307" s="41">
        <f t="shared" si="35"/>
        <v>28387885</v>
      </c>
      <c r="M307" s="1">
        <v>35837113</v>
      </c>
      <c r="O307" s="41">
        <f t="shared" si="36"/>
        <v>18187884</v>
      </c>
      <c r="Q307" s="1">
        <v>24909752</v>
      </c>
      <c r="S307" s="1">
        <v>43097636</v>
      </c>
      <c r="U307" s="1">
        <f>676229+6668+790053+373103+2154504+18000</f>
        <v>4018557</v>
      </c>
      <c r="W307" s="1">
        <v>0</v>
      </c>
      <c r="Y307" s="1">
        <f>4261+619858-6270746-3394624-2237829</f>
        <v>-11279080</v>
      </c>
      <c r="AA307" s="58">
        <f t="shared" si="37"/>
        <v>-7260523</v>
      </c>
      <c r="AC307" s="1">
        <f t="shared" si="38"/>
        <v>0</v>
      </c>
    </row>
    <row r="308" spans="1:29" hidden="1">
      <c r="A308" s="17" t="s">
        <v>943</v>
      </c>
      <c r="B308" s="12"/>
      <c r="C308" s="12" t="s">
        <v>32</v>
      </c>
      <c r="D308" s="12"/>
      <c r="E308" s="13">
        <v>44230</v>
      </c>
      <c r="K308" s="41">
        <f t="shared" si="35"/>
        <v>0</v>
      </c>
      <c r="O308" s="41">
        <f t="shared" si="36"/>
        <v>0</v>
      </c>
      <c r="AA308" s="58">
        <f t="shared" si="37"/>
        <v>0</v>
      </c>
      <c r="AC308" s="1">
        <f t="shared" si="38"/>
        <v>0</v>
      </c>
    </row>
    <row r="309" spans="1:29">
      <c r="A309" s="12" t="s">
        <v>526</v>
      </c>
      <c r="B309" s="12"/>
      <c r="C309" s="12" t="s">
        <v>54</v>
      </c>
      <c r="D309" s="12"/>
      <c r="E309" s="13">
        <v>49080</v>
      </c>
      <c r="G309" s="1">
        <f>5620552+3144788</f>
        <v>8765340</v>
      </c>
      <c r="I309" s="1">
        <v>170623</v>
      </c>
      <c r="K309" s="41">
        <f t="shared" si="35"/>
        <v>8336097</v>
      </c>
      <c r="M309" s="1">
        <v>17272060</v>
      </c>
      <c r="O309" s="41">
        <f t="shared" si="36"/>
        <v>2640291</v>
      </c>
      <c r="Q309" s="1">
        <f>592336+6060995</f>
        <v>6653331</v>
      </c>
      <c r="S309" s="1">
        <v>9293622</v>
      </c>
      <c r="U309" s="1">
        <f>67897+22684+675959+170623+104300</f>
        <v>1041463</v>
      </c>
      <c r="W309" s="1">
        <v>0</v>
      </c>
      <c r="Y309" s="1">
        <f>7068679+8503-21771-118436</f>
        <v>6936975</v>
      </c>
      <c r="AA309" s="58">
        <f t="shared" si="37"/>
        <v>7978438</v>
      </c>
      <c r="AC309" s="1">
        <f t="shared" si="38"/>
        <v>0</v>
      </c>
    </row>
    <row r="310" spans="1:29">
      <c r="A310" s="12" t="s">
        <v>400</v>
      </c>
      <c r="B310" s="12"/>
      <c r="C310" s="12" t="s">
        <v>35</v>
      </c>
      <c r="D310" s="12"/>
      <c r="E310" s="13">
        <v>44248</v>
      </c>
      <c r="G310" s="1">
        <f>464355+16969122</f>
        <v>17433477</v>
      </c>
      <c r="I310" s="1">
        <v>362667</v>
      </c>
      <c r="K310" s="41">
        <f t="shared" si="35"/>
        <v>14871520</v>
      </c>
      <c r="M310" s="1">
        <v>32667664</v>
      </c>
      <c r="O310" s="41">
        <f t="shared" si="36"/>
        <v>5219399</v>
      </c>
      <c r="Q310" s="1">
        <f>11730067+55927</f>
        <v>11785994</v>
      </c>
      <c r="S310" s="1">
        <v>17005393</v>
      </c>
      <c r="U310" s="1">
        <f>1666494+12249+125565+3323997+2071469+362667</f>
        <v>7562441</v>
      </c>
      <c r="W310" s="1">
        <v>0</v>
      </c>
      <c r="Y310" s="1">
        <f>3067216+925287+4107327</f>
        <v>8099830</v>
      </c>
      <c r="AA310" s="58">
        <f t="shared" si="37"/>
        <v>15662271</v>
      </c>
      <c r="AC310" s="1">
        <f t="shared" si="38"/>
        <v>0</v>
      </c>
    </row>
    <row r="311" spans="1:29">
      <c r="A311" s="12" t="s">
        <v>460</v>
      </c>
      <c r="B311" s="12"/>
      <c r="C311" s="12" t="s">
        <v>458</v>
      </c>
      <c r="D311" s="12"/>
      <c r="E311" s="13">
        <v>44255</v>
      </c>
      <c r="G311" s="1">
        <v>13212462</v>
      </c>
      <c r="I311" s="1">
        <v>0</v>
      </c>
      <c r="K311" s="41">
        <f t="shared" si="35"/>
        <v>24130877</v>
      </c>
      <c r="M311" s="1">
        <v>37343339</v>
      </c>
      <c r="O311" s="41">
        <f t="shared" si="36"/>
        <v>4661881</v>
      </c>
      <c r="Q311" s="1">
        <v>22166038</v>
      </c>
      <c r="S311" s="1">
        <v>26827919</v>
      </c>
      <c r="U311" s="1">
        <f>468009+801393</f>
        <v>1269402</v>
      </c>
      <c r="W311" s="1">
        <v>0</v>
      </c>
      <c r="Y311" s="1">
        <f>548756+612379+2439402+5645481</f>
        <v>9246018</v>
      </c>
      <c r="AA311" s="58">
        <f t="shared" si="37"/>
        <v>10515420</v>
      </c>
      <c r="AC311" s="1">
        <f t="shared" si="38"/>
        <v>0</v>
      </c>
    </row>
    <row r="312" spans="1:29" s="54" customFormat="1">
      <c r="A312" s="52" t="s">
        <v>443</v>
      </c>
      <c r="B312" s="52"/>
      <c r="C312" s="52" t="s">
        <v>44</v>
      </c>
      <c r="D312" s="52"/>
      <c r="E312" s="52">
        <v>44263</v>
      </c>
      <c r="G312" s="1">
        <f>15306928+48630570+6863683</f>
        <v>70801181</v>
      </c>
      <c r="H312" s="1"/>
      <c r="I312" s="1">
        <v>0</v>
      </c>
      <c r="J312" s="1"/>
      <c r="K312" s="41">
        <f t="shared" si="35"/>
        <v>94145256</v>
      </c>
      <c r="L312" s="1"/>
      <c r="M312" s="1">
        <v>164946437</v>
      </c>
      <c r="N312" s="1"/>
      <c r="O312" s="41">
        <f t="shared" si="36"/>
        <v>19692290</v>
      </c>
      <c r="P312" s="1"/>
      <c r="Q312" s="1">
        <v>88960600</v>
      </c>
      <c r="R312" s="1"/>
      <c r="S312" s="1">
        <v>108652890</v>
      </c>
      <c r="T312" s="1"/>
      <c r="U312" s="1">
        <f>26491249+1053442+1555359</f>
        <v>29100050</v>
      </c>
      <c r="V312" s="1"/>
      <c r="W312" s="1">
        <v>0</v>
      </c>
      <c r="X312" s="1"/>
      <c r="Y312" s="1">
        <f>26066828+2085176+1933661-2892168</f>
        <v>27193497</v>
      </c>
      <c r="Z312" s="1"/>
      <c r="AA312" s="58">
        <f t="shared" si="37"/>
        <v>56293547</v>
      </c>
      <c r="AB312" s="1"/>
      <c r="AC312" s="1">
        <f t="shared" si="38"/>
        <v>0</v>
      </c>
    </row>
    <row r="313" spans="1:29">
      <c r="A313" s="12" t="s">
        <v>610</v>
      </c>
      <c r="B313" s="12"/>
      <c r="C313" s="12" t="s">
        <v>64</v>
      </c>
      <c r="D313" s="12"/>
      <c r="E313" s="13">
        <v>50203</v>
      </c>
      <c r="G313" s="1">
        <v>1807537</v>
      </c>
      <c r="I313" s="1">
        <v>13786</v>
      </c>
      <c r="K313" s="41">
        <f t="shared" si="35"/>
        <v>3629192</v>
      </c>
      <c r="M313" s="1">
        <v>5450515</v>
      </c>
      <c r="O313" s="41">
        <f t="shared" si="36"/>
        <v>764142</v>
      </c>
      <c r="Q313" s="1">
        <f>3331436+246143</f>
        <v>3577579</v>
      </c>
      <c r="S313" s="1">
        <v>4341721</v>
      </c>
      <c r="U313" s="1">
        <f>170475+5419+31488+20612+34562+13786+2221</f>
        <v>278563</v>
      </c>
      <c r="W313" s="1">
        <v>0</v>
      </c>
      <c r="Y313" s="1">
        <f>681261+70636+78334</f>
        <v>830231</v>
      </c>
      <c r="AA313" s="58">
        <f t="shared" si="37"/>
        <v>1108794</v>
      </c>
      <c r="AC313" s="1">
        <f t="shared" si="38"/>
        <v>0</v>
      </c>
    </row>
    <row r="314" spans="1:29">
      <c r="A314" s="17" t="s">
        <v>846</v>
      </c>
      <c r="B314" s="12"/>
      <c r="C314" s="12" t="s">
        <v>11</v>
      </c>
      <c r="D314" s="12"/>
      <c r="E314" s="13">
        <v>45468</v>
      </c>
      <c r="G314" s="1">
        <v>3686473</v>
      </c>
      <c r="I314" s="1">
        <v>18706</v>
      </c>
      <c r="K314" s="41">
        <f t="shared" si="35"/>
        <v>5245720</v>
      </c>
      <c r="M314" s="1">
        <v>8950899</v>
      </c>
      <c r="O314" s="41">
        <f t="shared" si="36"/>
        <v>1701042</v>
      </c>
      <c r="Q314" s="1">
        <f>375303+2887788</f>
        <v>3263091</v>
      </c>
      <c r="S314" s="1">
        <v>4964133</v>
      </c>
      <c r="U314" s="1">
        <f>56549+22459+38179+1283168+6671+12035</f>
        <v>1419061</v>
      </c>
      <c r="W314" s="1">
        <v>0</v>
      </c>
      <c r="Y314" s="1">
        <f>2563850+31807-27952</f>
        <v>2567705</v>
      </c>
      <c r="AA314" s="58">
        <f t="shared" si="37"/>
        <v>3986766</v>
      </c>
      <c r="AC314" s="1">
        <f t="shared" si="38"/>
        <v>0</v>
      </c>
    </row>
    <row r="315" spans="1:29">
      <c r="A315" s="12" t="s">
        <v>578</v>
      </c>
      <c r="B315" s="12"/>
      <c r="C315" s="12" t="s">
        <v>62</v>
      </c>
      <c r="D315" s="12"/>
      <c r="E315" s="13">
        <v>49874</v>
      </c>
      <c r="G315" s="1">
        <v>30810468</v>
      </c>
      <c r="I315" s="1">
        <v>222062</v>
      </c>
      <c r="K315" s="41">
        <f t="shared" si="35"/>
        <v>29824567</v>
      </c>
      <c r="M315" s="1">
        <v>60857097</v>
      </c>
      <c r="O315" s="41">
        <f t="shared" si="36"/>
        <v>4158897</v>
      </c>
      <c r="Q315" s="1">
        <v>29133183</v>
      </c>
      <c r="S315" s="1">
        <v>33292080</v>
      </c>
      <c r="U315" s="1">
        <f>15740493+306740+218721+3341</f>
        <v>16269295</v>
      </c>
      <c r="W315" s="1">
        <v>0</v>
      </c>
      <c r="Y315" s="1">
        <f>1363637+510887+1388643+8032555</f>
        <v>11295722</v>
      </c>
      <c r="AA315" s="58">
        <f t="shared" si="37"/>
        <v>27565017</v>
      </c>
      <c r="AC315" s="1">
        <f t="shared" si="38"/>
        <v>0</v>
      </c>
    </row>
    <row r="316" spans="1:29">
      <c r="A316" s="12" t="s">
        <v>366</v>
      </c>
      <c r="B316" s="12"/>
      <c r="C316" s="12" t="s">
        <v>32</v>
      </c>
      <c r="D316" s="12"/>
      <c r="E316" s="12">
        <v>44271</v>
      </c>
      <c r="G316" s="1">
        <f>15285978+459543</f>
        <v>15745521</v>
      </c>
      <c r="I316" s="1">
        <v>0</v>
      </c>
      <c r="K316" s="41">
        <f t="shared" si="35"/>
        <v>29775555</v>
      </c>
      <c r="M316" s="1">
        <v>45521076</v>
      </c>
      <c r="O316" s="41">
        <f t="shared" si="36"/>
        <v>13223566</v>
      </c>
      <c r="Q316" s="1">
        <v>22331008</v>
      </c>
      <c r="S316" s="1">
        <v>35554574</v>
      </c>
      <c r="U316" s="1">
        <f>2827035+22805+7290648+336785</f>
        <v>10477273</v>
      </c>
      <c r="W316" s="1">
        <v>0</v>
      </c>
      <c r="Y316" s="1">
        <f>973049+733390+2902149-5119359</f>
        <v>-510771</v>
      </c>
      <c r="AA316" s="58">
        <f t="shared" si="37"/>
        <v>9966502</v>
      </c>
      <c r="AC316" s="1">
        <f t="shared" si="38"/>
        <v>0</v>
      </c>
    </row>
    <row r="317" spans="1:29">
      <c r="A317" s="12" t="s">
        <v>466</v>
      </c>
      <c r="B317" s="12"/>
      <c r="C317" s="12" t="s">
        <v>45</v>
      </c>
      <c r="D317" s="12"/>
      <c r="E317" s="13">
        <v>48330</v>
      </c>
      <c r="G317" s="1">
        <f>4009572+719</f>
        <v>4010291</v>
      </c>
      <c r="I317" s="1">
        <v>153668</v>
      </c>
      <c r="K317" s="41">
        <f t="shared" si="35"/>
        <v>1887918</v>
      </c>
      <c r="M317" s="1">
        <v>6051877</v>
      </c>
      <c r="O317" s="41">
        <f t="shared" si="36"/>
        <v>1347701</v>
      </c>
      <c r="Q317" s="1">
        <f>107204+1076608</f>
        <v>1183812</v>
      </c>
      <c r="S317" s="1">
        <v>2531513</v>
      </c>
      <c r="U317" s="1">
        <f>24193+4864+716957+32726+106323+47345+137420</f>
        <v>1069828</v>
      </c>
      <c r="W317" s="1">
        <v>0</v>
      </c>
      <c r="Y317" s="1">
        <f>1094340+858291+497905</f>
        <v>2450536</v>
      </c>
      <c r="AA317" s="58">
        <f t="shared" si="37"/>
        <v>3520364</v>
      </c>
      <c r="AC317" s="1">
        <f t="shared" si="38"/>
        <v>0</v>
      </c>
    </row>
    <row r="318" spans="1:29">
      <c r="A318" s="12" t="s">
        <v>544</v>
      </c>
      <c r="B318" s="12"/>
      <c r="C318" s="12" t="s">
        <v>112</v>
      </c>
      <c r="D318" s="12"/>
      <c r="E318" s="13">
        <v>49445</v>
      </c>
      <c r="G318" s="1">
        <v>3069464</v>
      </c>
      <c r="I318" s="1">
        <v>366719</v>
      </c>
      <c r="K318" s="41">
        <f t="shared" si="35"/>
        <v>2295002</v>
      </c>
      <c r="M318" s="1">
        <v>5731185</v>
      </c>
      <c r="O318" s="41">
        <f t="shared" si="36"/>
        <v>664321</v>
      </c>
      <c r="Q318" s="1">
        <f>178401+1705171</f>
        <v>1883572</v>
      </c>
      <c r="S318" s="1">
        <v>2547893</v>
      </c>
      <c r="U318" s="1">
        <f>218236+12190+2052+278998+366719</f>
        <v>878195</v>
      </c>
      <c r="W318" s="1">
        <v>0</v>
      </c>
      <c r="Y318" s="1">
        <f>2098560+196853+9684</f>
        <v>2305097</v>
      </c>
      <c r="AA318" s="58">
        <f t="shared" si="37"/>
        <v>3183292</v>
      </c>
      <c r="AC318" s="1">
        <f t="shared" si="38"/>
        <v>0</v>
      </c>
    </row>
    <row r="319" spans="1:29">
      <c r="A319" s="12" t="s">
        <v>399</v>
      </c>
      <c r="B319" s="12"/>
      <c r="C319" s="12" t="s">
        <v>395</v>
      </c>
      <c r="D319" s="12"/>
      <c r="E319" s="13">
        <v>47639</v>
      </c>
      <c r="G319" s="1">
        <v>9276662</v>
      </c>
      <c r="I319" s="1">
        <v>0</v>
      </c>
      <c r="K319" s="41">
        <f t="shared" si="35"/>
        <v>2200188</v>
      </c>
      <c r="M319" s="1">
        <v>11476850</v>
      </c>
      <c r="O319" s="41">
        <f t="shared" si="36"/>
        <v>1490034</v>
      </c>
      <c r="Q319" s="1">
        <v>1847058</v>
      </c>
      <c r="S319" s="1">
        <v>3337092</v>
      </c>
      <c r="U319" s="1">
        <f>88893+215176+30409+962</f>
        <v>335440</v>
      </c>
      <c r="W319" s="1">
        <v>0</v>
      </c>
      <c r="Y319" s="1">
        <f>6313496+688484+704457+97881</f>
        <v>7804318</v>
      </c>
      <c r="AA319" s="58">
        <f t="shared" si="37"/>
        <v>8139758</v>
      </c>
      <c r="AC319" s="1">
        <f t="shared" si="38"/>
        <v>0</v>
      </c>
    </row>
    <row r="320" spans="1:29">
      <c r="A320" s="12" t="s">
        <v>500</v>
      </c>
      <c r="B320" s="12"/>
      <c r="C320" s="12" t="s">
        <v>50</v>
      </c>
      <c r="D320" s="12"/>
      <c r="E320" s="13">
        <v>48702</v>
      </c>
      <c r="G320" s="1">
        <v>19497702</v>
      </c>
      <c r="I320" s="1">
        <v>0</v>
      </c>
      <c r="K320" s="41">
        <f t="shared" si="35"/>
        <v>10411081</v>
      </c>
      <c r="M320" s="1">
        <v>29908783</v>
      </c>
      <c r="O320" s="41">
        <f t="shared" si="36"/>
        <v>5023002</v>
      </c>
      <c r="Q320" s="1">
        <v>9408271</v>
      </c>
      <c r="S320" s="1">
        <v>14431273</v>
      </c>
      <c r="U320" s="1">
        <f>443282+21181+536393</f>
        <v>1000856</v>
      </c>
      <c r="W320" s="1">
        <v>0</v>
      </c>
      <c r="Y320" s="1">
        <f>9057893+2198247+938533+2281981</f>
        <v>14476654</v>
      </c>
      <c r="AA320" s="58">
        <f t="shared" si="37"/>
        <v>15477510</v>
      </c>
      <c r="AC320" s="1">
        <f t="shared" si="38"/>
        <v>0</v>
      </c>
    </row>
    <row r="321" spans="1:29">
      <c r="A321" s="12" t="s">
        <v>367</v>
      </c>
      <c r="B321" s="12"/>
      <c r="C321" s="12" t="s">
        <v>32</v>
      </c>
      <c r="D321" s="12"/>
      <c r="E321" s="13">
        <v>44289</v>
      </c>
      <c r="G321" s="1">
        <v>9208375</v>
      </c>
      <c r="I321" s="1">
        <v>235710</v>
      </c>
      <c r="K321" s="41">
        <f t="shared" si="35"/>
        <v>14169188</v>
      </c>
      <c r="M321" s="1">
        <v>23613273</v>
      </c>
      <c r="O321" s="41">
        <f t="shared" si="36"/>
        <v>2657073</v>
      </c>
      <c r="Q321" s="1">
        <v>9132469</v>
      </c>
      <c r="S321" s="1">
        <v>11789542</v>
      </c>
      <c r="U321" s="1">
        <f>1877944+4952000+212221</f>
        <v>7042165</v>
      </c>
      <c r="W321" s="1">
        <v>0</v>
      </c>
      <c r="Y321" s="1">
        <f>2765926+386641+1626362+2637</f>
        <v>4781566</v>
      </c>
      <c r="AA321" s="58">
        <f t="shared" si="37"/>
        <v>11823731</v>
      </c>
      <c r="AC321" s="1">
        <f t="shared" si="38"/>
        <v>0</v>
      </c>
    </row>
    <row r="322" spans="1:29">
      <c r="A322" s="12" t="s">
        <v>231</v>
      </c>
      <c r="B322" s="12"/>
      <c r="C322" s="12" t="s">
        <v>227</v>
      </c>
      <c r="D322" s="12"/>
      <c r="E322" s="13">
        <v>46128</v>
      </c>
      <c r="G322" s="1">
        <v>8863256</v>
      </c>
      <c r="I322" s="1">
        <v>0</v>
      </c>
      <c r="K322" s="41">
        <f t="shared" si="35"/>
        <v>10721605</v>
      </c>
      <c r="M322" s="1">
        <v>19584861</v>
      </c>
      <c r="O322" s="41">
        <f t="shared" si="36"/>
        <v>1576626</v>
      </c>
      <c r="Q322" s="1">
        <v>9099185</v>
      </c>
      <c r="S322" s="1">
        <v>10675811</v>
      </c>
      <c r="U322" s="1">
        <f>1812648+11299+358842+1225000</f>
        <v>3407789</v>
      </c>
      <c r="W322" s="1">
        <v>0</v>
      </c>
      <c r="Y322" s="1">
        <f>1334219+365933+3801109</f>
        <v>5501261</v>
      </c>
      <c r="AA322" s="58">
        <f t="shared" si="37"/>
        <v>8909050</v>
      </c>
      <c r="AC322" s="1">
        <f t="shared" si="38"/>
        <v>0</v>
      </c>
    </row>
    <row r="323" spans="1:29" hidden="1">
      <c r="A323" s="17" t="s">
        <v>848</v>
      </c>
      <c r="B323" s="17"/>
      <c r="C323" s="17" t="s">
        <v>41</v>
      </c>
      <c r="D323" s="12"/>
      <c r="E323" s="13"/>
      <c r="K323" s="41">
        <f t="shared" si="35"/>
        <v>0</v>
      </c>
      <c r="O323" s="41"/>
      <c r="AA323" s="58">
        <f t="shared" si="37"/>
        <v>0</v>
      </c>
      <c r="AC323" s="1">
        <f t="shared" si="38"/>
        <v>0</v>
      </c>
    </row>
    <row r="324" spans="1:29">
      <c r="A324" s="12" t="s">
        <v>231</v>
      </c>
      <c r="B324" s="12"/>
      <c r="C324" s="12" t="s">
        <v>112</v>
      </c>
      <c r="D324" s="12"/>
      <c r="E324" s="13">
        <v>49452</v>
      </c>
      <c r="G324" s="1">
        <v>890144</v>
      </c>
      <c r="I324" s="1">
        <v>492720</v>
      </c>
      <c r="K324" s="41">
        <f t="shared" si="35"/>
        <v>20167077</v>
      </c>
      <c r="M324" s="1">
        <v>21549941</v>
      </c>
      <c r="O324" s="41">
        <f t="shared" si="36"/>
        <v>4066814</v>
      </c>
      <c r="Q324" s="1">
        <f>2201808+8308780</f>
        <v>10510588</v>
      </c>
      <c r="S324" s="1">
        <v>14577402</v>
      </c>
      <c r="U324" s="1">
        <f>3563+14603+1300302+435528+57192</f>
        <v>1811188</v>
      </c>
      <c r="W324" s="1">
        <v>0</v>
      </c>
      <c r="Y324" s="1">
        <f>5304623-143272</f>
        <v>5161351</v>
      </c>
      <c r="AA324" s="58">
        <f t="shared" si="37"/>
        <v>6972539</v>
      </c>
      <c r="AC324" s="1">
        <f t="shared" si="38"/>
        <v>0</v>
      </c>
    </row>
    <row r="325" spans="1:29">
      <c r="A325" s="17" t="s">
        <v>864</v>
      </c>
      <c r="B325" s="17"/>
      <c r="C325" s="17" t="s">
        <v>458</v>
      </c>
      <c r="D325" s="12"/>
      <c r="E325" s="13"/>
      <c r="G325" s="1">
        <v>9856800</v>
      </c>
      <c r="I325" s="1">
        <v>483465</v>
      </c>
      <c r="K325" s="41">
        <f t="shared" si="35"/>
        <v>7877018</v>
      </c>
      <c r="M325" s="1">
        <v>18217283</v>
      </c>
      <c r="O325" s="41">
        <f t="shared" si="36"/>
        <v>1862248</v>
      </c>
      <c r="Q325" s="1">
        <v>4789392</v>
      </c>
      <c r="S325" s="1">
        <v>6651640</v>
      </c>
      <c r="U325" s="1">
        <f>117306+196271+2661742+287194</f>
        <v>3262513</v>
      </c>
      <c r="W325" s="1">
        <v>540000</v>
      </c>
      <c r="Y325" s="1">
        <f>6307719+-121021+2060+1574372</f>
        <v>7763130</v>
      </c>
      <c r="AA325" s="58">
        <f t="shared" si="37"/>
        <v>11565643</v>
      </c>
      <c r="AC325" s="1">
        <f t="shared" si="38"/>
        <v>0</v>
      </c>
    </row>
    <row r="326" spans="1:29">
      <c r="A326" s="12" t="s">
        <v>722</v>
      </c>
      <c r="B326" s="12"/>
      <c r="C326" s="12" t="s">
        <v>203</v>
      </c>
      <c r="D326" s="12"/>
      <c r="E326" s="13"/>
      <c r="G326" s="1">
        <v>7011832</v>
      </c>
      <c r="I326" s="1">
        <v>19977</v>
      </c>
      <c r="K326" s="41">
        <f t="shared" si="35"/>
        <v>7396786</v>
      </c>
      <c r="M326" s="1">
        <v>14428595</v>
      </c>
      <c r="O326" s="41">
        <f t="shared" si="36"/>
        <v>1248208</v>
      </c>
      <c r="Q326" s="1">
        <v>6924522</v>
      </c>
      <c r="S326" s="1">
        <v>8172730</v>
      </c>
      <c r="U326" s="1">
        <v>117119</v>
      </c>
      <c r="W326" s="1">
        <v>0</v>
      </c>
      <c r="Y326" s="1">
        <f>2778848+87848+2189328+1082722</f>
        <v>6138746</v>
      </c>
      <c r="AA326" s="58">
        <f t="shared" si="37"/>
        <v>6255865</v>
      </c>
      <c r="AC326" s="1">
        <f t="shared" si="38"/>
        <v>0</v>
      </c>
    </row>
    <row r="327" spans="1:29">
      <c r="A327" s="12" t="s">
        <v>545</v>
      </c>
      <c r="B327" s="12"/>
      <c r="C327" s="12" t="s">
        <v>112</v>
      </c>
      <c r="D327" s="12"/>
      <c r="E327" s="13">
        <v>44297</v>
      </c>
      <c r="G327" s="1">
        <v>20652259</v>
      </c>
      <c r="I327" s="1">
        <v>4982</v>
      </c>
      <c r="K327" s="41">
        <f t="shared" si="35"/>
        <v>25891143</v>
      </c>
      <c r="M327" s="1">
        <v>46548384</v>
      </c>
      <c r="O327" s="41">
        <f t="shared" si="36"/>
        <v>6525230</v>
      </c>
      <c r="Q327" s="1">
        <f>15351256+7564042</f>
        <v>22915298</v>
      </c>
      <c r="S327" s="1">
        <v>29440528</v>
      </c>
      <c r="U327" s="1">
        <f>237338+151778+23585+2487770+9332597+4982</f>
        <v>12238050</v>
      </c>
      <c r="W327" s="1">
        <v>0</v>
      </c>
      <c r="Y327" s="1">
        <v>4869806</v>
      </c>
      <c r="AA327" s="58">
        <f t="shared" si="37"/>
        <v>17107856</v>
      </c>
      <c r="AC327" s="1">
        <f t="shared" si="38"/>
        <v>0</v>
      </c>
    </row>
    <row r="328" spans="1:29">
      <c r="A328" s="17" t="s">
        <v>294</v>
      </c>
      <c r="B328" s="12"/>
      <c r="C328" s="12" t="s">
        <v>20</v>
      </c>
      <c r="D328" s="12"/>
      <c r="E328" s="12">
        <v>44305</v>
      </c>
      <c r="G328" s="1">
        <v>100760740</v>
      </c>
      <c r="I328" s="1">
        <v>338718</v>
      </c>
      <c r="K328" s="41">
        <f t="shared" si="35"/>
        <v>30582479</v>
      </c>
      <c r="M328" s="1">
        <v>131681937</v>
      </c>
      <c r="O328" s="41">
        <f t="shared" si="36"/>
        <v>7885502</v>
      </c>
      <c r="Q328" s="1">
        <v>26279710</v>
      </c>
      <c r="S328" s="1">
        <v>34165212</v>
      </c>
      <c r="U328" s="1">
        <f>40255187+2746929</f>
        <v>43002116</v>
      </c>
      <c r="W328" s="1">
        <v>0</v>
      </c>
      <c r="Y328" s="1">
        <f>+-2401594+199221+3283220+53433762</f>
        <v>54514609</v>
      </c>
      <c r="AA328" s="58">
        <f t="shared" si="37"/>
        <v>97516725</v>
      </c>
      <c r="AC328" s="1">
        <f t="shared" si="38"/>
        <v>0</v>
      </c>
    </row>
    <row r="329" spans="1:29">
      <c r="A329" s="12" t="s">
        <v>208</v>
      </c>
      <c r="B329" s="12"/>
      <c r="C329" s="12" t="s">
        <v>11</v>
      </c>
      <c r="D329" s="12"/>
      <c r="E329" s="13">
        <v>45831</v>
      </c>
      <c r="G329" s="1">
        <f>3185949+9964</f>
        <v>3195913</v>
      </c>
      <c r="I329" s="1">
        <v>32439</v>
      </c>
      <c r="K329" s="41">
        <f t="shared" si="35"/>
        <v>2892217</v>
      </c>
      <c r="M329" s="1">
        <v>6120569</v>
      </c>
      <c r="O329" s="41">
        <f t="shared" si="36"/>
        <v>909914</v>
      </c>
      <c r="Q329" s="1">
        <f>1988740+195110</f>
        <v>2183850</v>
      </c>
      <c r="S329" s="1">
        <v>3093764</v>
      </c>
      <c r="U329" s="1">
        <f>153408+11043+69022+770764+393550+32439</f>
        <v>1430226</v>
      </c>
      <c r="W329" s="1">
        <v>0</v>
      </c>
      <c r="Y329" s="1">
        <f>953162-145723+789140</f>
        <v>1596579</v>
      </c>
      <c r="AA329" s="58">
        <f t="shared" si="37"/>
        <v>3026805</v>
      </c>
      <c r="AC329" s="1">
        <f t="shared" si="38"/>
        <v>0</v>
      </c>
    </row>
    <row r="330" spans="1:29">
      <c r="A330" s="12" t="s">
        <v>611</v>
      </c>
      <c r="B330" s="12"/>
      <c r="C330" s="12" t="s">
        <v>64</v>
      </c>
      <c r="D330" s="12"/>
      <c r="E330" s="13">
        <v>50211</v>
      </c>
      <c r="G330" s="1">
        <v>3194405</v>
      </c>
      <c r="I330" s="1">
        <v>508945</v>
      </c>
      <c r="K330" s="41">
        <f t="shared" si="35"/>
        <v>2809699</v>
      </c>
      <c r="M330" s="1">
        <v>6513049</v>
      </c>
      <c r="O330" s="41">
        <f t="shared" si="36"/>
        <v>1268595</v>
      </c>
      <c r="Q330" s="1">
        <f>265010+2511755</f>
        <v>2776765</v>
      </c>
      <c r="S330" s="1">
        <v>4045360</v>
      </c>
      <c r="U330" s="1">
        <f>109233+6395+2173+46884+138764+508945</f>
        <v>812394</v>
      </c>
      <c r="W330" s="1">
        <v>0</v>
      </c>
      <c r="Y330" s="1">
        <f>1107913+31851+515531</f>
        <v>1655295</v>
      </c>
      <c r="AA330" s="58">
        <f t="shared" si="37"/>
        <v>2467689</v>
      </c>
      <c r="AC330" s="1">
        <f t="shared" si="38"/>
        <v>0</v>
      </c>
    </row>
    <row r="331" spans="1:29">
      <c r="A331" s="12" t="s">
        <v>317</v>
      </c>
      <c r="B331" s="12"/>
      <c r="C331" s="12" t="s">
        <v>24</v>
      </c>
      <c r="D331" s="12"/>
      <c r="E331" s="13">
        <v>46805</v>
      </c>
      <c r="G331" s="1">
        <f>563925+28</f>
        <v>563953</v>
      </c>
      <c r="I331" s="1">
        <v>0</v>
      </c>
      <c r="K331" s="41">
        <f t="shared" si="35"/>
        <v>7372559</v>
      </c>
      <c r="M331" s="1">
        <v>7936512</v>
      </c>
      <c r="O331" s="41">
        <f t="shared" si="36"/>
        <v>2129464</v>
      </c>
      <c r="Q331" s="1">
        <f>1825688+4348992</f>
        <v>6174680</v>
      </c>
      <c r="S331" s="1">
        <v>8304144</v>
      </c>
      <c r="U331" s="1">
        <f>153591+5208+50000+628425</f>
        <v>837224</v>
      </c>
      <c r="W331" s="1">
        <v>0</v>
      </c>
      <c r="Y331" s="1">
        <f>-1247849-44421+87414</f>
        <v>-1204856</v>
      </c>
      <c r="AA331" s="58">
        <f t="shared" si="37"/>
        <v>-367632</v>
      </c>
      <c r="AC331" s="1">
        <f t="shared" si="38"/>
        <v>0</v>
      </c>
    </row>
    <row r="332" spans="1:29">
      <c r="A332" s="12" t="s">
        <v>368</v>
      </c>
      <c r="B332" s="12"/>
      <c r="C332" s="12" t="s">
        <v>32</v>
      </c>
      <c r="D332" s="12"/>
      <c r="E332" s="13">
        <v>44313</v>
      </c>
      <c r="G332" s="1">
        <v>13218874</v>
      </c>
      <c r="I332" s="1">
        <v>140000</v>
      </c>
      <c r="K332" s="41">
        <f t="shared" si="35"/>
        <v>16346856</v>
      </c>
      <c r="M332" s="1">
        <v>29705730</v>
      </c>
      <c r="O332" s="41">
        <f t="shared" si="36"/>
        <v>8420569</v>
      </c>
      <c r="Q332" s="1">
        <v>10808260</v>
      </c>
      <c r="S332" s="1">
        <v>19228829</v>
      </c>
      <c r="U332" s="1">
        <f>5525000+106974+6405+140000</f>
        <v>5778379</v>
      </c>
      <c r="W332" s="1">
        <v>0</v>
      </c>
      <c r="Y332" s="1">
        <f>3279489+318194+610040+490799</f>
        <v>4698522</v>
      </c>
      <c r="AA332" s="58">
        <f t="shared" si="37"/>
        <v>10476901</v>
      </c>
      <c r="AC332" s="1">
        <f t="shared" si="38"/>
        <v>0</v>
      </c>
    </row>
    <row r="333" spans="1:29" hidden="1">
      <c r="A333" s="17" t="s">
        <v>733</v>
      </c>
      <c r="B333" s="12"/>
      <c r="C333" s="12" t="s">
        <v>70</v>
      </c>
      <c r="D333" s="12"/>
      <c r="E333" s="13">
        <v>44321</v>
      </c>
      <c r="K333" s="41">
        <f t="shared" si="35"/>
        <v>0</v>
      </c>
      <c r="O333" s="41">
        <f t="shared" si="36"/>
        <v>0</v>
      </c>
      <c r="AA333" s="58">
        <f t="shared" si="37"/>
        <v>0</v>
      </c>
      <c r="AC333" s="1">
        <f t="shared" si="38"/>
        <v>0</v>
      </c>
    </row>
    <row r="334" spans="1:29">
      <c r="A334" s="12" t="s">
        <v>474</v>
      </c>
      <c r="B334" s="12"/>
      <c r="C334" s="12" t="s">
        <v>46</v>
      </c>
      <c r="D334" s="12"/>
      <c r="E334" s="13">
        <v>44339</v>
      </c>
      <c r="G334" s="1">
        <v>16271307</v>
      </c>
      <c r="I334" s="1">
        <v>1702661</v>
      </c>
      <c r="K334" s="41">
        <f t="shared" si="35"/>
        <v>15244228</v>
      </c>
      <c r="M334" s="1">
        <v>33218196</v>
      </c>
      <c r="O334" s="41">
        <f t="shared" si="36"/>
        <v>6615809</v>
      </c>
      <c r="Q334" s="1">
        <v>10816951</v>
      </c>
      <c r="S334" s="1">
        <v>17432760</v>
      </c>
      <c r="U334" s="1">
        <f>3437010+1702661+1256875+2713</f>
        <v>6399259</v>
      </c>
      <c r="W334" s="1">
        <v>0</v>
      </c>
      <c r="Y334" s="1">
        <v>9386177</v>
      </c>
      <c r="AA334" s="58">
        <f t="shared" si="37"/>
        <v>15785436</v>
      </c>
      <c r="AC334" s="1">
        <f t="shared" si="38"/>
        <v>0</v>
      </c>
    </row>
    <row r="335" spans="1:29" hidden="1">
      <c r="A335" s="17" t="s">
        <v>850</v>
      </c>
      <c r="B335" s="17"/>
      <c r="C335" s="17" t="s">
        <v>486</v>
      </c>
      <c r="D335" s="12"/>
      <c r="E335" s="13"/>
      <c r="K335" s="41">
        <f t="shared" si="35"/>
        <v>0</v>
      </c>
      <c r="O335" s="41"/>
      <c r="AA335" s="58">
        <f t="shared" si="37"/>
        <v>0</v>
      </c>
      <c r="AC335" s="1">
        <f t="shared" si="38"/>
        <v>0</v>
      </c>
    </row>
    <row r="336" spans="1:29">
      <c r="A336" s="12" t="s">
        <v>579</v>
      </c>
      <c r="B336" s="12"/>
      <c r="C336" s="12" t="s">
        <v>62</v>
      </c>
      <c r="D336" s="12"/>
      <c r="E336" s="13">
        <v>49882</v>
      </c>
      <c r="G336" s="1">
        <v>9157714</v>
      </c>
      <c r="I336" s="1">
        <v>397058</v>
      </c>
      <c r="K336" s="41">
        <f t="shared" si="35"/>
        <v>8576618</v>
      </c>
      <c r="M336" s="1">
        <v>18131390</v>
      </c>
      <c r="O336" s="41">
        <f t="shared" si="36"/>
        <v>3124382</v>
      </c>
      <c r="Q336" s="1">
        <f>7515421+617903</f>
        <v>8133324</v>
      </c>
      <c r="S336" s="1">
        <v>11257706</v>
      </c>
      <c r="U336" s="1">
        <f>575901+136888+20922+356110+397058</f>
        <v>1486879</v>
      </c>
      <c r="W336" s="1">
        <v>476349</v>
      </c>
      <c r="Y336" s="1">
        <f>4293501+184563+432392</f>
        <v>4910456</v>
      </c>
      <c r="AA336" s="58">
        <f t="shared" si="37"/>
        <v>6873684</v>
      </c>
      <c r="AC336" s="1">
        <f t="shared" si="38"/>
        <v>0</v>
      </c>
    </row>
    <row r="337" spans="1:29">
      <c r="A337" s="12" t="s">
        <v>221</v>
      </c>
      <c r="B337" s="12"/>
      <c r="C337" s="12" t="s">
        <v>15</v>
      </c>
      <c r="D337" s="12"/>
      <c r="E337" s="13">
        <v>44347</v>
      </c>
      <c r="G337" s="1">
        <v>477154</v>
      </c>
      <c r="I337" s="1">
        <v>28206</v>
      </c>
      <c r="K337" s="41">
        <f t="shared" si="35"/>
        <v>4164829</v>
      </c>
      <c r="M337" s="1">
        <v>4670189</v>
      </c>
      <c r="O337" s="41">
        <f t="shared" si="36"/>
        <v>2927905</v>
      </c>
      <c r="Q337" s="1">
        <v>2946251</v>
      </c>
      <c r="S337" s="1">
        <v>5874156</v>
      </c>
      <c r="U337" s="1">
        <f>75821+242353</f>
        <v>318174</v>
      </c>
      <c r="W337" s="1">
        <v>0</v>
      </c>
      <c r="Y337" s="1">
        <f>-2681595+256087+684395+218972</f>
        <v>-1522141</v>
      </c>
      <c r="AA337" s="58">
        <f t="shared" si="37"/>
        <v>-1203967</v>
      </c>
      <c r="AC337" s="1">
        <f t="shared" si="38"/>
        <v>0</v>
      </c>
    </row>
    <row r="338" spans="1:29">
      <c r="A338" s="12" t="s">
        <v>626</v>
      </c>
      <c r="B338" s="12"/>
      <c r="C338" s="12" t="s">
        <v>66</v>
      </c>
      <c r="D338" s="12"/>
      <c r="E338" s="13">
        <v>45476</v>
      </c>
      <c r="G338" s="1">
        <f>8542368+1500500</f>
        <v>10042868</v>
      </c>
      <c r="I338" s="1">
        <v>396635</v>
      </c>
      <c r="K338" s="41">
        <f t="shared" si="35"/>
        <v>27387410</v>
      </c>
      <c r="M338" s="1">
        <v>37826913</v>
      </c>
      <c r="O338" s="41">
        <f t="shared" si="36"/>
        <v>8145053</v>
      </c>
      <c r="Q338" s="1">
        <f>22279222+69346</f>
        <v>22348568</v>
      </c>
      <c r="S338" s="1">
        <v>30493621</v>
      </c>
      <c r="U338" s="1">
        <f>707862+100699+552411+4878663+396635</f>
        <v>6636270</v>
      </c>
      <c r="W338" s="1">
        <v>0</v>
      </c>
      <c r="Y338" s="1">
        <f>-4338754+317028+4718748</f>
        <v>697022</v>
      </c>
      <c r="AA338" s="58">
        <f t="shared" si="37"/>
        <v>7333292</v>
      </c>
      <c r="AC338" s="1">
        <f t="shared" si="38"/>
        <v>0</v>
      </c>
    </row>
    <row r="339" spans="1:29">
      <c r="A339" s="12" t="s">
        <v>635</v>
      </c>
      <c r="B339" s="12"/>
      <c r="C339" s="12" t="s">
        <v>69</v>
      </c>
      <c r="D339" s="12"/>
      <c r="E339" s="13">
        <v>50450</v>
      </c>
      <c r="G339" s="1">
        <f>73434880+296775</f>
        <v>73731655</v>
      </c>
      <c r="I339" s="1">
        <v>85593</v>
      </c>
      <c r="K339" s="41">
        <f t="shared" si="35"/>
        <v>75562905</v>
      </c>
      <c r="M339" s="1">
        <v>149380153</v>
      </c>
      <c r="O339" s="41">
        <f t="shared" si="36"/>
        <v>23037469</v>
      </c>
      <c r="Q339" s="1">
        <v>71766500</v>
      </c>
      <c r="S339" s="1">
        <v>94803969</v>
      </c>
      <c r="U339" s="1">
        <f>2501906+54297+2309575+85593</f>
        <v>4951371</v>
      </c>
      <c r="W339" s="1">
        <v>0</v>
      </c>
      <c r="Y339" s="1">
        <f>39064608+2865349+8791501-1096645</f>
        <v>49624813</v>
      </c>
      <c r="AA339" s="58">
        <f t="shared" si="37"/>
        <v>54576184</v>
      </c>
      <c r="AC339" s="1">
        <f t="shared" si="38"/>
        <v>0</v>
      </c>
    </row>
    <row r="340" spans="1:29">
      <c r="A340" s="12" t="s">
        <v>580</v>
      </c>
      <c r="B340" s="12"/>
      <c r="C340" s="12" t="s">
        <v>62</v>
      </c>
      <c r="D340" s="12"/>
      <c r="E340" s="13">
        <v>44354</v>
      </c>
      <c r="G340" s="1">
        <v>15979914</v>
      </c>
      <c r="I340" s="1">
        <v>26442</v>
      </c>
      <c r="K340" s="41">
        <f t="shared" si="35"/>
        <v>18693321</v>
      </c>
      <c r="M340" s="1">
        <v>34699677</v>
      </c>
      <c r="O340" s="41">
        <f t="shared" si="36"/>
        <v>6497611</v>
      </c>
      <c r="Q340" s="1">
        <v>17007087</v>
      </c>
      <c r="S340" s="1">
        <v>23504698</v>
      </c>
      <c r="U340" s="1">
        <f>2099485+573590+26442</f>
        <v>2699517</v>
      </c>
      <c r="W340" s="1">
        <v>0</v>
      </c>
      <c r="Y340" s="1">
        <f>2203089+2050465+1703500+2538408</f>
        <v>8495462</v>
      </c>
      <c r="AA340" s="58">
        <f t="shared" si="37"/>
        <v>11194979</v>
      </c>
      <c r="AC340" s="1">
        <f t="shared" si="38"/>
        <v>0</v>
      </c>
    </row>
    <row r="341" spans="1:29">
      <c r="A341" s="12"/>
      <c r="B341" s="12"/>
      <c r="C341" s="12"/>
      <c r="D341" s="12"/>
      <c r="E341" s="13"/>
      <c r="K341" s="41"/>
      <c r="O341" s="41"/>
      <c r="AA341" s="58"/>
    </row>
    <row r="342" spans="1:29">
      <c r="A342" s="12"/>
      <c r="B342" s="12"/>
      <c r="C342" s="12"/>
      <c r="D342" s="12"/>
      <c r="E342" s="13"/>
      <c r="K342" s="41"/>
      <c r="O342" s="41"/>
      <c r="AA342" s="20" t="s">
        <v>709</v>
      </c>
    </row>
    <row r="343" spans="1:29">
      <c r="A343" s="12"/>
      <c r="B343" s="12"/>
      <c r="C343" s="12"/>
      <c r="D343" s="12"/>
      <c r="E343" s="13"/>
      <c r="K343" s="41"/>
      <c r="O343" s="41"/>
      <c r="AA343" s="58"/>
    </row>
    <row r="344" spans="1:29" ht="12" customHeight="1">
      <c r="A344" s="12" t="s">
        <v>612</v>
      </c>
      <c r="B344" s="12"/>
      <c r="C344" s="12" t="s">
        <v>64</v>
      </c>
      <c r="D344" s="12"/>
      <c r="E344" s="13">
        <v>50153</v>
      </c>
      <c r="G344" s="16">
        <v>1840554</v>
      </c>
      <c r="H344" s="16"/>
      <c r="I344" s="16">
        <v>8740</v>
      </c>
      <c r="J344" s="16"/>
      <c r="K344" s="59">
        <f t="shared" si="35"/>
        <v>4735367</v>
      </c>
      <c r="L344" s="16"/>
      <c r="M344" s="16">
        <v>6584661</v>
      </c>
      <c r="N344" s="16"/>
      <c r="O344" s="59">
        <f t="shared" si="36"/>
        <v>1158293</v>
      </c>
      <c r="P344" s="16"/>
      <c r="Q344" s="16">
        <f>610381+4103499</f>
        <v>4713880</v>
      </c>
      <c r="R344" s="16"/>
      <c r="S344" s="16">
        <v>5872173</v>
      </c>
      <c r="T344" s="16"/>
      <c r="U344" s="16">
        <f>102084+46006+32274+54395+8740</f>
        <v>243499</v>
      </c>
      <c r="V344" s="16"/>
      <c r="W344" s="16">
        <v>0</v>
      </c>
      <c r="X344" s="16"/>
      <c r="Y344" s="16">
        <f>566824-179005+81170</f>
        <v>468989</v>
      </c>
      <c r="Z344" s="16"/>
      <c r="AA344" s="90">
        <f t="shared" si="37"/>
        <v>712488</v>
      </c>
      <c r="AC344" s="1">
        <f t="shared" si="38"/>
        <v>0</v>
      </c>
    </row>
    <row r="345" spans="1:29" ht="12" customHeight="1">
      <c r="A345" s="12" t="s">
        <v>450</v>
      </c>
      <c r="B345" s="12"/>
      <c r="C345" s="12" t="s">
        <v>117</v>
      </c>
      <c r="D345" s="12"/>
      <c r="E345" s="13">
        <v>44362</v>
      </c>
      <c r="G345" s="1">
        <v>3703488</v>
      </c>
      <c r="I345" s="1">
        <v>121957</v>
      </c>
      <c r="K345" s="41">
        <f t="shared" si="35"/>
        <v>20880921</v>
      </c>
      <c r="M345" s="1">
        <v>24706366</v>
      </c>
      <c r="O345" s="41">
        <f t="shared" si="36"/>
        <v>4292334</v>
      </c>
      <c r="Q345" s="1">
        <f>1374030+18625676</f>
        <v>19999706</v>
      </c>
      <c r="S345" s="1">
        <v>24292040</v>
      </c>
      <c r="U345" s="1">
        <f>112959+19281+29867+873776+1076085+121957</f>
        <v>2233925</v>
      </c>
      <c r="W345" s="1">
        <v>0</v>
      </c>
      <c r="Y345" s="1">
        <f>-2652821+537855+295367</f>
        <v>-1819599</v>
      </c>
      <c r="AA345" s="58">
        <f t="shared" si="37"/>
        <v>414326</v>
      </c>
      <c r="AC345" s="1">
        <f t="shared" si="38"/>
        <v>0</v>
      </c>
    </row>
    <row r="346" spans="1:29" ht="12" customHeight="1">
      <c r="A346" s="17" t="s">
        <v>908</v>
      </c>
      <c r="B346" s="12"/>
      <c r="C346" s="12" t="s">
        <v>20</v>
      </c>
      <c r="D346" s="12"/>
      <c r="E346" s="13">
        <v>44370</v>
      </c>
      <c r="G346" s="1">
        <v>54988421</v>
      </c>
      <c r="I346" s="1">
        <v>0</v>
      </c>
      <c r="K346" s="41">
        <f t="shared" si="35"/>
        <v>55661018</v>
      </c>
      <c r="M346" s="1">
        <v>110649439</v>
      </c>
      <c r="O346" s="41">
        <f t="shared" si="36"/>
        <v>9062917</v>
      </c>
      <c r="Q346" s="1">
        <v>47125795</v>
      </c>
      <c r="S346" s="1">
        <v>56188712</v>
      </c>
      <c r="U346" s="1">
        <f>177342+31733332+2252891</f>
        <v>34163565</v>
      </c>
      <c r="W346" s="1">
        <v>2323463</v>
      </c>
      <c r="Y346" s="1">
        <v>17973699</v>
      </c>
      <c r="AA346" s="58">
        <f t="shared" si="37"/>
        <v>54460727</v>
      </c>
      <c r="AC346" s="1">
        <f t="shared" si="38"/>
        <v>0</v>
      </c>
    </row>
    <row r="347" spans="1:29" ht="12" customHeight="1">
      <c r="A347" s="12" t="s">
        <v>513</v>
      </c>
      <c r="B347" s="12"/>
      <c r="C347" s="12" t="s">
        <v>51</v>
      </c>
      <c r="D347" s="12"/>
      <c r="E347" s="13">
        <v>48850</v>
      </c>
      <c r="G347" s="1">
        <v>6363551</v>
      </c>
      <c r="I347" s="1">
        <v>0</v>
      </c>
      <c r="K347" s="41">
        <f t="shared" si="35"/>
        <v>4543530</v>
      </c>
      <c r="M347" s="1">
        <v>10907081</v>
      </c>
      <c r="O347" s="41">
        <f t="shared" si="36"/>
        <v>3669511</v>
      </c>
      <c r="Q347" s="1">
        <v>3669063</v>
      </c>
      <c r="S347" s="1">
        <v>7338574</v>
      </c>
      <c r="U347" s="1">
        <f>117423+16159</f>
        <v>133582</v>
      </c>
      <c r="W347" s="1">
        <v>0</v>
      </c>
      <c r="Y347" s="1">
        <f>163062+1035364+375233+1861266</f>
        <v>3434925</v>
      </c>
      <c r="AA347" s="58">
        <f t="shared" si="37"/>
        <v>3568507</v>
      </c>
      <c r="AC347" s="1">
        <f t="shared" si="38"/>
        <v>0</v>
      </c>
    </row>
    <row r="348" spans="1:29" ht="12" hidden="1" customHeight="1">
      <c r="A348" s="17" t="s">
        <v>783</v>
      </c>
      <c r="B348" s="12"/>
      <c r="C348" s="12" t="s">
        <v>33</v>
      </c>
      <c r="D348" s="12"/>
      <c r="E348" s="13">
        <v>47456</v>
      </c>
      <c r="K348" s="41">
        <f t="shared" si="35"/>
        <v>0</v>
      </c>
      <c r="O348" s="41">
        <f t="shared" si="36"/>
        <v>0</v>
      </c>
      <c r="AA348" s="58">
        <f t="shared" si="37"/>
        <v>0</v>
      </c>
      <c r="AC348" s="1">
        <f t="shared" si="38"/>
        <v>0</v>
      </c>
    </row>
    <row r="349" spans="1:29" ht="12" customHeight="1">
      <c r="A349" s="12" t="s">
        <v>780</v>
      </c>
      <c r="B349" s="12"/>
      <c r="C349" s="12" t="s">
        <v>64</v>
      </c>
      <c r="D349" s="12"/>
      <c r="E349" s="13">
        <v>50229</v>
      </c>
      <c r="G349" s="1">
        <v>384168</v>
      </c>
      <c r="I349" s="1">
        <v>0</v>
      </c>
      <c r="K349" s="41">
        <f t="shared" si="35"/>
        <v>1864401</v>
      </c>
      <c r="M349" s="1">
        <v>2248569</v>
      </c>
      <c r="O349" s="41">
        <f t="shared" si="36"/>
        <v>2843992</v>
      </c>
      <c r="Q349" s="1">
        <v>1777920</v>
      </c>
      <c r="S349" s="1">
        <v>4621912</v>
      </c>
      <c r="U349" s="1">
        <f>1711+149605+10864</f>
        <v>162180</v>
      </c>
      <c r="W349" s="1">
        <v>962056</v>
      </c>
      <c r="Y349" s="1">
        <v>-3497579</v>
      </c>
      <c r="AA349" s="58">
        <f t="shared" si="37"/>
        <v>-2373343</v>
      </c>
      <c r="AC349" s="1">
        <f t="shared" si="38"/>
        <v>0</v>
      </c>
    </row>
    <row r="350" spans="1:29" ht="12" customHeight="1">
      <c r="A350" s="12" t="s">
        <v>241</v>
      </c>
      <c r="B350" s="12"/>
      <c r="C350" s="12" t="s">
        <v>240</v>
      </c>
      <c r="D350" s="12"/>
      <c r="E350" s="13">
        <v>45484</v>
      </c>
      <c r="G350" s="1">
        <v>2220428</v>
      </c>
      <c r="I350" s="1">
        <v>37018</v>
      </c>
      <c r="K350" s="41">
        <f t="shared" si="35"/>
        <v>3194124</v>
      </c>
      <c r="M350" s="1">
        <v>5451570</v>
      </c>
      <c r="O350" s="41">
        <f t="shared" si="36"/>
        <v>1520045</v>
      </c>
      <c r="Q350" s="1">
        <f>168752+2042355</f>
        <v>2211107</v>
      </c>
      <c r="S350" s="1">
        <v>3731152</v>
      </c>
      <c r="U350" s="1">
        <f>67425+910+3417+241012+24392+12626+27000+204357</f>
        <v>581139</v>
      </c>
      <c r="W350" s="1">
        <v>0</v>
      </c>
      <c r="Y350" s="1">
        <f>852735-30056+316600</f>
        <v>1139279</v>
      </c>
      <c r="AA350" s="58">
        <f t="shared" si="37"/>
        <v>1720418</v>
      </c>
      <c r="AC350" s="1">
        <f t="shared" si="38"/>
        <v>0</v>
      </c>
    </row>
    <row r="351" spans="1:29" ht="12" customHeight="1">
      <c r="A351" s="12" t="s">
        <v>482</v>
      </c>
      <c r="B351" s="12"/>
      <c r="C351" s="12" t="s">
        <v>47</v>
      </c>
      <c r="D351" s="12"/>
      <c r="E351" s="13">
        <v>44388</v>
      </c>
      <c r="G351" s="1">
        <v>24425903</v>
      </c>
      <c r="I351" s="1">
        <v>0</v>
      </c>
      <c r="K351" s="41">
        <f t="shared" si="35"/>
        <v>57495256</v>
      </c>
      <c r="M351" s="1">
        <v>81921159</v>
      </c>
      <c r="O351" s="41">
        <f t="shared" si="36"/>
        <v>11276579</v>
      </c>
      <c r="Q351" s="1">
        <v>49802477</v>
      </c>
      <c r="S351" s="1">
        <v>61079056</v>
      </c>
      <c r="U351" s="1">
        <f>2963503+6416870</f>
        <v>9380373</v>
      </c>
      <c r="W351" s="1">
        <v>0</v>
      </c>
      <c r="Y351" s="1">
        <f>2265664+585350+5815272+2795444</f>
        <v>11461730</v>
      </c>
      <c r="AA351" s="58">
        <f t="shared" si="37"/>
        <v>20842103</v>
      </c>
      <c r="AC351" s="1">
        <f t="shared" si="38"/>
        <v>0</v>
      </c>
    </row>
    <row r="352" spans="1:29" ht="12" customHeight="1">
      <c r="A352" s="12" t="s">
        <v>485</v>
      </c>
      <c r="B352" s="12"/>
      <c r="C352" s="12" t="s">
        <v>484</v>
      </c>
      <c r="D352" s="12"/>
      <c r="E352" s="12">
        <v>48520</v>
      </c>
      <c r="G352" s="1">
        <v>1846621</v>
      </c>
      <c r="I352" s="1">
        <v>68154</v>
      </c>
      <c r="K352" s="41">
        <f t="shared" si="35"/>
        <v>5488987</v>
      </c>
      <c r="M352" s="1">
        <v>7403762</v>
      </c>
      <c r="O352" s="41">
        <f t="shared" si="36"/>
        <v>2633629</v>
      </c>
      <c r="Q352" s="1">
        <v>4399667</v>
      </c>
      <c r="S352" s="1">
        <v>7033296</v>
      </c>
      <c r="U352" s="1">
        <f>564124+155674+68154+15880</f>
        <v>803832</v>
      </c>
      <c r="W352" s="1">
        <v>0</v>
      </c>
      <c r="Y352" s="1">
        <f>-1266412+274094+402574+156378</f>
        <v>-433366</v>
      </c>
      <c r="AA352" s="58">
        <f t="shared" si="37"/>
        <v>370466</v>
      </c>
      <c r="AC352" s="1">
        <f t="shared" si="38"/>
        <v>0</v>
      </c>
    </row>
    <row r="353" spans="1:29" ht="12" customHeight="1">
      <c r="A353" s="12" t="s">
        <v>416</v>
      </c>
      <c r="B353" s="12"/>
      <c r="C353" s="12" t="s">
        <v>41</v>
      </c>
      <c r="D353" s="12"/>
      <c r="E353" s="13">
        <v>45492</v>
      </c>
      <c r="G353" s="1">
        <v>58695722</v>
      </c>
      <c r="I353" s="1">
        <v>0</v>
      </c>
      <c r="K353" s="41">
        <f t="shared" si="35"/>
        <v>67437201</v>
      </c>
      <c r="M353" s="1">
        <v>126132923</v>
      </c>
      <c r="O353" s="41">
        <f t="shared" si="36"/>
        <v>16749017</v>
      </c>
      <c r="Q353" s="1">
        <v>58020648</v>
      </c>
      <c r="S353" s="1">
        <v>74769665</v>
      </c>
      <c r="U353" s="1">
        <f>162708+2248818+176519</f>
        <v>2588045</v>
      </c>
      <c r="W353" s="1">
        <v>1317737</v>
      </c>
      <c r="Y353" s="1">
        <v>47457476</v>
      </c>
      <c r="AA353" s="58">
        <f t="shared" si="37"/>
        <v>51363258</v>
      </c>
      <c r="AC353" s="1">
        <f t="shared" si="38"/>
        <v>0</v>
      </c>
    </row>
    <row r="354" spans="1:29" ht="12" customHeight="1">
      <c r="A354" s="12" t="s">
        <v>488</v>
      </c>
      <c r="B354" s="12"/>
      <c r="C354" s="12" t="s">
        <v>48</v>
      </c>
      <c r="D354" s="12"/>
      <c r="E354" s="13">
        <v>48629</v>
      </c>
      <c r="G354" s="1">
        <v>17454717</v>
      </c>
      <c r="I354" s="1">
        <f>32568+203325</f>
        <v>235893</v>
      </c>
      <c r="K354" s="41">
        <f t="shared" si="35"/>
        <v>6517371</v>
      </c>
      <c r="M354" s="1">
        <v>24207981</v>
      </c>
      <c r="O354" s="41">
        <f t="shared" si="36"/>
        <v>3089285</v>
      </c>
      <c r="Q354" s="1">
        <v>5158952</v>
      </c>
      <c r="S354" s="1">
        <v>8248237</v>
      </c>
      <c r="U354" s="1">
        <f>11157968+401420+203325</f>
        <v>11762713</v>
      </c>
      <c r="W354" s="1">
        <v>0</v>
      </c>
      <c r="Y354" s="1">
        <f>-525568+340248+579071+3803280</f>
        <v>4197031</v>
      </c>
      <c r="AA354" s="58">
        <f t="shared" si="37"/>
        <v>15959744</v>
      </c>
      <c r="AC354" s="1">
        <f t="shared" si="38"/>
        <v>0</v>
      </c>
    </row>
    <row r="355" spans="1:29" ht="12" customHeight="1">
      <c r="A355" s="12" t="s">
        <v>327</v>
      </c>
      <c r="B355" s="12"/>
      <c r="C355" s="12" t="s">
        <v>26</v>
      </c>
      <c r="D355" s="12"/>
      <c r="E355" s="13">
        <v>46920</v>
      </c>
      <c r="G355" s="1">
        <v>19413475</v>
      </c>
      <c r="I355" s="1">
        <v>617254</v>
      </c>
      <c r="K355" s="41">
        <f t="shared" si="35"/>
        <v>12175523</v>
      </c>
      <c r="M355" s="1">
        <v>32206252</v>
      </c>
      <c r="O355" s="41">
        <f t="shared" si="36"/>
        <v>5530360</v>
      </c>
      <c r="Q355" s="1">
        <v>4557858</v>
      </c>
      <c r="S355" s="1">
        <v>10088218</v>
      </c>
      <c r="U355" s="1">
        <f>8582998+8346+4130075+434849</f>
        <v>13156268</v>
      </c>
      <c r="W355" s="1">
        <v>3105860</v>
      </c>
      <c r="Y355" s="1">
        <f>332600+1138533+2037530+2347243</f>
        <v>5855906</v>
      </c>
      <c r="AA355" s="58">
        <f t="shared" si="37"/>
        <v>22118034</v>
      </c>
      <c r="AC355" s="1">
        <f t="shared" si="38"/>
        <v>0</v>
      </c>
    </row>
    <row r="356" spans="1:29" ht="12" customHeight="1">
      <c r="A356" s="12" t="s">
        <v>501</v>
      </c>
      <c r="B356" s="12"/>
      <c r="C356" s="12" t="s">
        <v>50</v>
      </c>
      <c r="D356" s="12"/>
      <c r="E356" s="12">
        <v>44396</v>
      </c>
      <c r="G356" s="1">
        <v>61862343</v>
      </c>
      <c r="I356" s="1">
        <v>0</v>
      </c>
      <c r="K356" s="41">
        <f t="shared" si="35"/>
        <v>36441727</v>
      </c>
      <c r="M356" s="1">
        <v>98304070</v>
      </c>
      <c r="O356" s="41">
        <f t="shared" si="36"/>
        <v>12089793</v>
      </c>
      <c r="Q356" s="1">
        <v>34204944</v>
      </c>
      <c r="S356" s="1">
        <v>46294737</v>
      </c>
      <c r="U356" s="1">
        <f>19766470+1703189</f>
        <v>21469659</v>
      </c>
      <c r="W356" s="1">
        <v>0</v>
      </c>
      <c r="Y356" s="1">
        <v>30539674</v>
      </c>
      <c r="AA356" s="58">
        <f t="shared" si="37"/>
        <v>52009333</v>
      </c>
      <c r="AC356" s="1">
        <f t="shared" si="38"/>
        <v>0</v>
      </c>
    </row>
    <row r="357" spans="1:29" ht="12" customHeight="1">
      <c r="A357" s="12" t="s">
        <v>232</v>
      </c>
      <c r="B357" s="12"/>
      <c r="C357" s="12" t="s">
        <v>227</v>
      </c>
      <c r="D357" s="12"/>
      <c r="E357" s="13">
        <v>44404</v>
      </c>
      <c r="F357" s="16"/>
      <c r="G357" s="1">
        <v>16077052</v>
      </c>
      <c r="I357" s="1">
        <v>24610</v>
      </c>
      <c r="K357" s="41">
        <f t="shared" si="35"/>
        <v>35558320</v>
      </c>
      <c r="M357" s="1">
        <v>51659982</v>
      </c>
      <c r="O357" s="41">
        <f t="shared" si="36"/>
        <v>11833736</v>
      </c>
      <c r="Q357" s="1">
        <f>30419183+3244923</f>
        <v>33664106</v>
      </c>
      <c r="S357" s="1">
        <v>45497842</v>
      </c>
      <c r="U357" s="1">
        <f>1655438+47739+1035000+24610</f>
        <v>2762787</v>
      </c>
      <c r="W357" s="1">
        <v>0</v>
      </c>
      <c r="Y357" s="1">
        <f>4576377-2456260+-907311+2186547</f>
        <v>3399353</v>
      </c>
      <c r="AA357" s="58">
        <f t="shared" si="37"/>
        <v>6162140</v>
      </c>
      <c r="AC357" s="1">
        <f t="shared" si="38"/>
        <v>0</v>
      </c>
    </row>
    <row r="358" spans="1:29" ht="12" customHeight="1">
      <c r="A358" s="12" t="s">
        <v>444</v>
      </c>
      <c r="B358" s="12"/>
      <c r="C358" s="12" t="s">
        <v>44</v>
      </c>
      <c r="D358" s="12"/>
      <c r="E358" s="13">
        <v>48173</v>
      </c>
      <c r="G358" s="1">
        <v>10698248</v>
      </c>
      <c r="I358" s="1">
        <v>3662855</v>
      </c>
      <c r="K358" s="41">
        <f t="shared" si="35"/>
        <v>13073248</v>
      </c>
      <c r="M358" s="1">
        <v>27434351</v>
      </c>
      <c r="O358" s="41">
        <f t="shared" si="36"/>
        <v>4165914</v>
      </c>
      <c r="Q358" s="1">
        <v>12058663</v>
      </c>
      <c r="S358" s="1">
        <v>16224577</v>
      </c>
      <c r="U358" s="1">
        <f>16735+836858+146660+658218+169610+11723</f>
        <v>1839804</v>
      </c>
      <c r="W358" s="1">
        <v>0</v>
      </c>
      <c r="Y358" s="1">
        <f>2107364+527747+5400+6729459</f>
        <v>9369970</v>
      </c>
      <c r="AA358" s="58">
        <f t="shared" si="37"/>
        <v>11209774</v>
      </c>
      <c r="AC358" s="1">
        <f t="shared" si="38"/>
        <v>0</v>
      </c>
    </row>
    <row r="359" spans="1:29" ht="12" customHeight="1">
      <c r="A359" s="12" t="s">
        <v>255</v>
      </c>
      <c r="B359" s="12"/>
      <c r="C359" s="12" t="s">
        <v>115</v>
      </c>
      <c r="D359" s="12"/>
      <c r="E359" s="13">
        <v>45500</v>
      </c>
      <c r="G359" s="1">
        <v>22811107</v>
      </c>
      <c r="I359" s="1">
        <v>501535</v>
      </c>
      <c r="K359" s="41">
        <f t="shared" si="35"/>
        <v>41623493</v>
      </c>
      <c r="M359" s="1">
        <v>64936135</v>
      </c>
      <c r="O359" s="41">
        <f t="shared" si="36"/>
        <v>12673794</v>
      </c>
      <c r="Q359" s="1">
        <v>36481052</v>
      </c>
      <c r="S359" s="1">
        <v>49154846</v>
      </c>
      <c r="U359" s="1">
        <f>5948178+166865+4524200+12072</f>
        <v>10651315</v>
      </c>
      <c r="W359" s="1">
        <v>0</v>
      </c>
      <c r="Y359" s="1">
        <f>5013548+647962+2404611-3078912+142765</f>
        <v>5129974</v>
      </c>
      <c r="AA359" s="58">
        <f t="shared" si="37"/>
        <v>15781289</v>
      </c>
      <c r="AC359" s="1">
        <f t="shared" si="38"/>
        <v>0</v>
      </c>
    </row>
    <row r="360" spans="1:29" ht="12" hidden="1" customHeight="1">
      <c r="A360" s="17" t="s">
        <v>734</v>
      </c>
      <c r="B360" s="12"/>
      <c r="C360" s="12" t="s">
        <v>643</v>
      </c>
      <c r="D360" s="12"/>
      <c r="E360" s="13">
        <v>50633</v>
      </c>
      <c r="K360" s="41">
        <f t="shared" si="35"/>
        <v>0</v>
      </c>
      <c r="O360" s="41">
        <f t="shared" si="36"/>
        <v>0</v>
      </c>
      <c r="AA360" s="58">
        <f t="shared" si="37"/>
        <v>0</v>
      </c>
      <c r="AC360" s="1">
        <f t="shared" si="38"/>
        <v>0</v>
      </c>
    </row>
    <row r="361" spans="1:29" ht="12" hidden="1" customHeight="1">
      <c r="A361" s="12" t="s">
        <v>851</v>
      </c>
      <c r="B361" s="12"/>
      <c r="C361" s="12" t="s">
        <v>542</v>
      </c>
      <c r="D361" s="12"/>
      <c r="E361" s="13">
        <v>49361</v>
      </c>
      <c r="K361" s="41">
        <f t="shared" si="35"/>
        <v>0</v>
      </c>
      <c r="O361" s="41">
        <f t="shared" si="36"/>
        <v>0</v>
      </c>
      <c r="AA361" s="58">
        <f t="shared" si="37"/>
        <v>0</v>
      </c>
      <c r="AC361" s="1">
        <f t="shared" si="38"/>
        <v>0</v>
      </c>
    </row>
    <row r="362" spans="1:29" ht="12" customHeight="1">
      <c r="A362" s="12" t="s">
        <v>489</v>
      </c>
      <c r="B362" s="12"/>
      <c r="C362" s="12" t="s">
        <v>48</v>
      </c>
      <c r="D362" s="12"/>
      <c r="E362" s="13">
        <v>45518</v>
      </c>
      <c r="G362" s="1">
        <v>10215150</v>
      </c>
      <c r="I362" s="1">
        <f>38814+880000</f>
        <v>918814</v>
      </c>
      <c r="K362" s="41">
        <f t="shared" si="35"/>
        <v>44977368</v>
      </c>
      <c r="M362" s="1">
        <v>56111332</v>
      </c>
      <c r="O362" s="41">
        <f t="shared" si="36"/>
        <v>2248196</v>
      </c>
      <c r="Q362" s="1">
        <f>4800310+10770560</f>
        <v>15570870</v>
      </c>
      <c r="S362" s="1">
        <v>17819066</v>
      </c>
      <c r="U362" s="1">
        <f>986964+79784+15402+1735726+437903+38814</f>
        <v>3294593</v>
      </c>
      <c r="W362" s="1">
        <v>0</v>
      </c>
      <c r="Y362" s="1">
        <f>3393508+504857+31099308</f>
        <v>34997673</v>
      </c>
      <c r="AA362" s="58">
        <f t="shared" si="37"/>
        <v>38292266</v>
      </c>
      <c r="AC362" s="1">
        <f t="shared" si="38"/>
        <v>0</v>
      </c>
    </row>
    <row r="363" spans="1:29" ht="12" customHeight="1">
      <c r="A363" s="12" t="s">
        <v>581</v>
      </c>
      <c r="B363" s="12"/>
      <c r="C363" s="12" t="s">
        <v>62</v>
      </c>
      <c r="D363" s="12"/>
      <c r="E363" s="13">
        <v>49890</v>
      </c>
      <c r="G363" s="1">
        <v>1958094</v>
      </c>
      <c r="I363" s="1">
        <v>0</v>
      </c>
      <c r="K363" s="41">
        <f t="shared" si="35"/>
        <v>6880693</v>
      </c>
      <c r="M363" s="1">
        <v>8838787</v>
      </c>
      <c r="O363" s="41">
        <f t="shared" si="36"/>
        <v>2614427</v>
      </c>
      <c r="Q363" s="1">
        <v>6158542</v>
      </c>
      <c r="S363" s="1">
        <v>8772969</v>
      </c>
      <c r="U363" s="1">
        <f>338464+12192+185832+148492</f>
        <v>684980</v>
      </c>
      <c r="W363" s="1">
        <v>0</v>
      </c>
      <c r="Y363" s="1">
        <f>-2002091+48744+567426+766759</f>
        <v>-619162</v>
      </c>
      <c r="AA363" s="58">
        <f t="shared" si="37"/>
        <v>65818</v>
      </c>
      <c r="AC363" s="1">
        <f t="shared" si="38"/>
        <v>0</v>
      </c>
    </row>
    <row r="364" spans="1:29" ht="12" customHeight="1">
      <c r="A364" s="12" t="s">
        <v>562</v>
      </c>
      <c r="B364" s="12"/>
      <c r="C364" s="12" t="s">
        <v>59</v>
      </c>
      <c r="D364" s="12"/>
      <c r="E364" s="13">
        <v>49627</v>
      </c>
      <c r="G364" s="1">
        <v>2935592</v>
      </c>
      <c r="I364" s="1">
        <v>60708</v>
      </c>
      <c r="K364" s="41">
        <f t="shared" si="35"/>
        <v>2200500</v>
      </c>
      <c r="M364" s="1">
        <v>5196800</v>
      </c>
      <c r="O364" s="41">
        <f t="shared" si="36"/>
        <v>1350453</v>
      </c>
      <c r="Q364" s="1">
        <v>2028021</v>
      </c>
      <c r="S364" s="1">
        <v>3378474</v>
      </c>
      <c r="U364" s="1">
        <f>686441+159667+60708</f>
        <v>906816</v>
      </c>
      <c r="W364" s="1">
        <v>0</v>
      </c>
      <c r="Y364" s="1">
        <f>-384263+120871+817896+357006</f>
        <v>911510</v>
      </c>
      <c r="AA364" s="58">
        <f t="shared" si="37"/>
        <v>1818326</v>
      </c>
      <c r="AC364" s="1">
        <f t="shared" si="38"/>
        <v>0</v>
      </c>
    </row>
    <row r="365" spans="1:29" ht="12" customHeight="1">
      <c r="A365" s="12" t="s">
        <v>217</v>
      </c>
      <c r="B365" s="12"/>
      <c r="C365" s="12" t="s">
        <v>14</v>
      </c>
      <c r="D365" s="12"/>
      <c r="E365" s="13">
        <v>45948</v>
      </c>
      <c r="G365" s="1">
        <v>1149306</v>
      </c>
      <c r="I365" s="1">
        <v>10076</v>
      </c>
      <c r="K365" s="41">
        <f t="shared" si="35"/>
        <v>4361207</v>
      </c>
      <c r="M365" s="1">
        <v>5520589</v>
      </c>
      <c r="O365" s="41">
        <f t="shared" si="36"/>
        <v>1086013</v>
      </c>
      <c r="Q365" s="1">
        <v>3469023</v>
      </c>
      <c r="S365" s="1">
        <v>4555036</v>
      </c>
      <c r="U365" s="1">
        <f>692901+7373+2703+29559</f>
        <v>732536</v>
      </c>
      <c r="W365" s="1">
        <v>14687</v>
      </c>
      <c r="Y365" s="1">
        <f>-313604+47133+454222+30579</f>
        <v>218330</v>
      </c>
      <c r="AA365" s="58">
        <f t="shared" si="37"/>
        <v>965553</v>
      </c>
      <c r="AC365" s="1">
        <f t="shared" si="38"/>
        <v>0</v>
      </c>
    </row>
    <row r="366" spans="1:29" ht="12" hidden="1" customHeight="1">
      <c r="A366" s="17" t="s">
        <v>782</v>
      </c>
      <c r="B366" s="12"/>
      <c r="C366" s="12" t="s">
        <v>21</v>
      </c>
      <c r="D366" s="12"/>
      <c r="E366" s="13">
        <v>46672</v>
      </c>
      <c r="K366" s="41">
        <f t="shared" si="35"/>
        <v>0</v>
      </c>
      <c r="O366" s="41">
        <f t="shared" si="36"/>
        <v>0</v>
      </c>
      <c r="AA366" s="58">
        <f t="shared" si="37"/>
        <v>0</v>
      </c>
      <c r="AC366" s="1">
        <f t="shared" si="38"/>
        <v>0</v>
      </c>
    </row>
    <row r="367" spans="1:29" ht="12" customHeight="1">
      <c r="A367" s="12" t="s">
        <v>591</v>
      </c>
      <c r="B367" s="12"/>
      <c r="C367" s="12" t="s">
        <v>63</v>
      </c>
      <c r="D367" s="12"/>
      <c r="E367" s="13">
        <v>50039</v>
      </c>
      <c r="G367" s="1">
        <v>5077242</v>
      </c>
      <c r="I367" s="1">
        <v>147056</v>
      </c>
      <c r="K367" s="41">
        <f t="shared" ref="K367:K375" si="39">M367-G367-I367</f>
        <v>3097101</v>
      </c>
      <c r="M367" s="1">
        <v>8321399</v>
      </c>
      <c r="O367" s="41">
        <f t="shared" ref="O367:O375" si="40">S367-Q367</f>
        <v>1118886</v>
      </c>
      <c r="Q367" s="1">
        <v>2742337</v>
      </c>
      <c r="S367" s="1">
        <v>3861223</v>
      </c>
      <c r="U367" s="1">
        <f>82909+346457+115288+31768</f>
        <v>576422</v>
      </c>
      <c r="W367" s="1">
        <v>0</v>
      </c>
      <c r="Y367" s="1">
        <f>3347808+131333+161441+243172</f>
        <v>3883754</v>
      </c>
      <c r="AA367" s="58">
        <f t="shared" ref="AA367:AA375" si="41">U367+W367+Y367</f>
        <v>4460176</v>
      </c>
      <c r="AC367" s="1">
        <f t="shared" ref="AC367:AC430" si="42">+G367+I367+K367-O367-Q367-Y367-W367-U367</f>
        <v>0</v>
      </c>
    </row>
    <row r="368" spans="1:29" ht="12" hidden="1" customHeight="1">
      <c r="A368" s="17" t="s">
        <v>743</v>
      </c>
      <c r="B368" s="12"/>
      <c r="C368" s="12" t="s">
        <v>653</v>
      </c>
      <c r="D368" s="12"/>
      <c r="E368" s="13">
        <v>50740</v>
      </c>
      <c r="K368" s="41">
        <f t="shared" si="39"/>
        <v>0</v>
      </c>
      <c r="O368" s="41">
        <f t="shared" si="40"/>
        <v>0</v>
      </c>
      <c r="AA368" s="58">
        <f t="shared" si="41"/>
        <v>0</v>
      </c>
      <c r="AC368" s="1">
        <f t="shared" si="42"/>
        <v>0</v>
      </c>
    </row>
    <row r="369" spans="1:29" ht="12" customHeight="1">
      <c r="A369" s="12" t="s">
        <v>233</v>
      </c>
      <c r="B369" s="12"/>
      <c r="C369" s="12" t="s">
        <v>227</v>
      </c>
      <c r="D369" s="12"/>
      <c r="E369" s="13">
        <v>139303</v>
      </c>
      <c r="G369" s="1">
        <v>1158073</v>
      </c>
      <c r="I369" s="1">
        <v>256054</v>
      </c>
      <c r="K369" s="41">
        <f t="shared" si="39"/>
        <v>13227685</v>
      </c>
      <c r="M369" s="1">
        <v>14641812</v>
      </c>
      <c r="O369" s="41">
        <f t="shared" si="40"/>
        <v>2465721</v>
      </c>
      <c r="Q369" s="1">
        <v>13036340</v>
      </c>
      <c r="S369" s="1">
        <v>15502061</v>
      </c>
      <c r="U369" s="1">
        <f>103268+146326+256054</f>
        <v>505648</v>
      </c>
      <c r="W369" s="1">
        <v>0</v>
      </c>
      <c r="Y369" s="1">
        <f>-1594813+467135-305793+67574</f>
        <v>-1365897</v>
      </c>
      <c r="AA369" s="58">
        <f t="shared" si="41"/>
        <v>-860249</v>
      </c>
      <c r="AC369" s="1">
        <f t="shared" si="42"/>
        <v>0</v>
      </c>
    </row>
    <row r="370" spans="1:29" ht="12" customHeight="1">
      <c r="A370" s="12" t="s">
        <v>404</v>
      </c>
      <c r="B370" s="12"/>
      <c r="C370" s="12" t="s">
        <v>37</v>
      </c>
      <c r="D370" s="12"/>
      <c r="E370" s="13">
        <v>47712</v>
      </c>
      <c r="G370" s="1">
        <v>949538</v>
      </c>
      <c r="I370" s="1">
        <v>96473</v>
      </c>
      <c r="K370" s="41">
        <f t="shared" si="39"/>
        <v>2533995</v>
      </c>
      <c r="M370" s="1">
        <v>3580006</v>
      </c>
      <c r="O370" s="41">
        <f t="shared" si="40"/>
        <v>880488</v>
      </c>
      <c r="Q370" s="1">
        <f>202390+1821394</f>
        <v>2023784</v>
      </c>
      <c r="S370" s="1">
        <v>2904272</v>
      </c>
      <c r="U370" s="1">
        <f>78376+5203+2026+5235+248761+91238</f>
        <v>430839</v>
      </c>
      <c r="W370" s="1">
        <v>0</v>
      </c>
      <c r="Y370" s="1">
        <f>130516+43456+70923</f>
        <v>244895</v>
      </c>
      <c r="AA370" s="58">
        <f t="shared" si="41"/>
        <v>675734</v>
      </c>
      <c r="AC370" s="1">
        <f t="shared" si="42"/>
        <v>0</v>
      </c>
    </row>
    <row r="371" spans="1:29" ht="12" hidden="1" customHeight="1">
      <c r="A371" s="12" t="s">
        <v>949</v>
      </c>
      <c r="B371" s="12"/>
      <c r="C371" s="12" t="s">
        <v>643</v>
      </c>
      <c r="D371" s="12"/>
      <c r="E371" s="13">
        <v>45526</v>
      </c>
      <c r="K371" s="41">
        <f t="shared" si="39"/>
        <v>0</v>
      </c>
      <c r="O371" s="41">
        <f t="shared" si="40"/>
        <v>0</v>
      </c>
      <c r="AA371" s="58">
        <f t="shared" si="41"/>
        <v>0</v>
      </c>
      <c r="AC371" s="1">
        <f t="shared" si="42"/>
        <v>0</v>
      </c>
    </row>
    <row r="372" spans="1:29" ht="12" customHeight="1">
      <c r="A372" s="12" t="s">
        <v>508</v>
      </c>
      <c r="B372" s="12"/>
      <c r="C372" s="12" t="s">
        <v>509</v>
      </c>
      <c r="D372" s="12"/>
      <c r="E372" s="13">
        <v>48777</v>
      </c>
      <c r="G372" s="1">
        <v>11249764</v>
      </c>
      <c r="I372" s="1">
        <v>347753</v>
      </c>
      <c r="K372" s="41">
        <f t="shared" si="39"/>
        <v>6348277</v>
      </c>
      <c r="M372" s="1">
        <v>17945794</v>
      </c>
      <c r="O372" s="41">
        <f t="shared" si="40"/>
        <v>2667929</v>
      </c>
      <c r="Q372" s="1">
        <v>5289601</v>
      </c>
      <c r="S372" s="1">
        <v>7957530</v>
      </c>
      <c r="U372" s="1">
        <f>1046014+177461+76683+597332+93609+5000</f>
        <v>1996099</v>
      </c>
      <c r="W372" s="1">
        <v>0</v>
      </c>
      <c r="Y372" s="1">
        <f>3035658+429142+611788+3914686+891</f>
        <v>7992165</v>
      </c>
      <c r="AA372" s="58">
        <f t="shared" si="41"/>
        <v>9988264</v>
      </c>
      <c r="AC372" s="1">
        <f t="shared" si="42"/>
        <v>0</v>
      </c>
    </row>
    <row r="373" spans="1:29" ht="12" customHeight="1">
      <c r="A373" s="12" t="s">
        <v>757</v>
      </c>
      <c r="B373" s="12"/>
      <c r="C373" s="12" t="s">
        <v>78</v>
      </c>
      <c r="D373" s="12"/>
      <c r="E373" s="13">
        <v>45534</v>
      </c>
      <c r="G373" s="1">
        <v>6692629</v>
      </c>
      <c r="I373" s="1">
        <v>47229</v>
      </c>
      <c r="K373" s="41">
        <f t="shared" si="39"/>
        <v>7764789</v>
      </c>
      <c r="M373" s="1">
        <v>14504647</v>
      </c>
      <c r="O373" s="41">
        <f t="shared" si="40"/>
        <v>1764229</v>
      </c>
      <c r="Q373" s="1">
        <f>965714+5457523</f>
        <v>6423237</v>
      </c>
      <c r="S373" s="1">
        <v>8187466</v>
      </c>
      <c r="U373" s="1">
        <f>1155534+3318+8905+715499+34869+12360+1334753</f>
        <v>3265238</v>
      </c>
      <c r="W373" s="1">
        <v>0</v>
      </c>
      <c r="Y373" s="1">
        <v>3051943</v>
      </c>
      <c r="AA373" s="58">
        <f t="shared" si="41"/>
        <v>6317181</v>
      </c>
      <c r="AC373" s="1">
        <f t="shared" si="42"/>
        <v>0</v>
      </c>
    </row>
    <row r="374" spans="1:29" ht="12" customHeight="1">
      <c r="A374" s="12" t="s">
        <v>415</v>
      </c>
      <c r="B374" s="12"/>
      <c r="C374" s="12" t="s">
        <v>40</v>
      </c>
      <c r="D374" s="12"/>
      <c r="E374" s="13">
        <v>44420</v>
      </c>
      <c r="G374" s="1">
        <v>8590233</v>
      </c>
      <c r="I374" s="1">
        <v>612612</v>
      </c>
      <c r="K374" s="41">
        <f t="shared" si="39"/>
        <v>16111376</v>
      </c>
      <c r="M374" s="1">
        <v>25314221</v>
      </c>
      <c r="O374" s="41">
        <f t="shared" si="40"/>
        <v>4134912</v>
      </c>
      <c r="Q374" s="1">
        <f>242103+10648486</f>
        <v>10890589</v>
      </c>
      <c r="S374" s="1">
        <v>15025501</v>
      </c>
      <c r="U374" s="1">
        <f>941709+15640+2359+5505046+17178+612612+2244912</f>
        <v>9339456</v>
      </c>
      <c r="W374" s="1">
        <v>0</v>
      </c>
      <c r="Y374" s="1">
        <f>160942-249004+1037326</f>
        <v>949264</v>
      </c>
      <c r="AA374" s="58">
        <f t="shared" si="41"/>
        <v>10288720</v>
      </c>
      <c r="AC374" s="1">
        <f t="shared" si="42"/>
        <v>0</v>
      </c>
    </row>
    <row r="375" spans="1:29" ht="12" customHeight="1">
      <c r="A375" s="12" t="s">
        <v>894</v>
      </c>
      <c r="B375" s="12"/>
      <c r="C375" s="12" t="s">
        <v>32</v>
      </c>
      <c r="D375" s="12"/>
      <c r="E375" s="13">
        <v>44412</v>
      </c>
      <c r="G375" s="1">
        <v>62626941</v>
      </c>
      <c r="I375" s="1">
        <v>1220686</v>
      </c>
      <c r="K375" s="41">
        <f t="shared" si="39"/>
        <v>37164208</v>
      </c>
      <c r="M375" s="1">
        <v>101011835</v>
      </c>
      <c r="O375" s="41">
        <f t="shared" si="40"/>
        <v>8064598</v>
      </c>
      <c r="Q375" s="1">
        <v>30416627</v>
      </c>
      <c r="S375" s="1">
        <v>38481225</v>
      </c>
      <c r="U375" s="1">
        <f>56571712+10915+4930000+889998</f>
        <v>62402625</v>
      </c>
      <c r="W375" s="1">
        <v>0</v>
      </c>
      <c r="Y375" s="1">
        <f>+-3009092-493177+600738+3029516</f>
        <v>127985</v>
      </c>
      <c r="AA375" s="58">
        <f t="shared" si="41"/>
        <v>62530610</v>
      </c>
      <c r="AC375" s="1">
        <f t="shared" si="42"/>
        <v>0</v>
      </c>
    </row>
    <row r="376" spans="1:29" ht="12" customHeight="1">
      <c r="A376" s="12" t="s">
        <v>392</v>
      </c>
      <c r="B376" s="12"/>
      <c r="C376" s="12" t="s">
        <v>34</v>
      </c>
      <c r="D376" s="12"/>
      <c r="E376" s="13">
        <v>44438</v>
      </c>
      <c r="G376" s="1">
        <v>11241277</v>
      </c>
      <c r="I376" s="1">
        <v>51337</v>
      </c>
      <c r="K376" s="41">
        <f t="shared" ref="K376:K430" si="43">M376-G376-I376</f>
        <v>13212550</v>
      </c>
      <c r="M376" s="1">
        <v>24505164</v>
      </c>
      <c r="O376" s="41">
        <f t="shared" ref="O376:O430" si="44">S376-Q376</f>
        <v>3757186</v>
      </c>
      <c r="Q376" s="1">
        <v>10744268</v>
      </c>
      <c r="S376" s="1">
        <v>14501454</v>
      </c>
      <c r="U376" s="1">
        <f>410640+161705+674139+1044506+51337</f>
        <v>2342327</v>
      </c>
      <c r="W376" s="1">
        <v>200815</v>
      </c>
      <c r="Y376" s="1">
        <f>6074153+198725+912164+275526</f>
        <v>7460568</v>
      </c>
      <c r="AA376" s="58">
        <f t="shared" ref="AA376:AA422" si="45">U376+W376+Y376</f>
        <v>10003710</v>
      </c>
      <c r="AC376" s="1">
        <f t="shared" si="42"/>
        <v>0</v>
      </c>
    </row>
    <row r="377" spans="1:29" ht="12" hidden="1" customHeight="1">
      <c r="A377" s="12" t="s">
        <v>945</v>
      </c>
      <c r="B377" s="12"/>
      <c r="C377" s="12" t="s">
        <v>57</v>
      </c>
      <c r="D377" s="12"/>
      <c r="E377" s="13"/>
      <c r="K377" s="41">
        <f t="shared" ref="K377" si="46">M377-G377-I377</f>
        <v>0</v>
      </c>
      <c r="O377" s="41">
        <f t="shared" ref="O377" si="47">S377-Q377</f>
        <v>0</v>
      </c>
      <c r="AA377" s="58">
        <f t="shared" ref="AA377" si="48">U377+W377+Y377</f>
        <v>0</v>
      </c>
      <c r="AC377" s="1">
        <f t="shared" ref="AC377" si="49">+G377+I377+K377-O377-Q377-Y377-W377-U377</f>
        <v>0</v>
      </c>
    </row>
    <row r="378" spans="1:29" ht="12" customHeight="1">
      <c r="A378" s="12" t="s">
        <v>215</v>
      </c>
      <c r="B378" s="12"/>
      <c r="C378" s="12" t="s">
        <v>13</v>
      </c>
      <c r="D378" s="12"/>
      <c r="E378" s="13">
        <v>44446</v>
      </c>
      <c r="G378" s="1">
        <v>8032546</v>
      </c>
      <c r="I378" s="1">
        <v>150707</v>
      </c>
      <c r="K378" s="41">
        <f t="shared" si="43"/>
        <v>3229861</v>
      </c>
      <c r="M378" s="1">
        <v>11413114</v>
      </c>
      <c r="O378" s="41">
        <f t="shared" si="44"/>
        <v>3457108</v>
      </c>
      <c r="Q378" s="1">
        <v>2852023</v>
      </c>
      <c r="S378" s="1">
        <v>6309131</v>
      </c>
      <c r="U378" s="1">
        <f>1095492+258745+74359+34897+40730+721</f>
        <v>1504944</v>
      </c>
      <c r="W378" s="1">
        <v>0</v>
      </c>
      <c r="Y378" s="1">
        <f>1983235+85779+1240073+289952</f>
        <v>3599039</v>
      </c>
      <c r="AA378" s="58">
        <f t="shared" si="45"/>
        <v>5103983</v>
      </c>
      <c r="AC378" s="1">
        <f t="shared" si="42"/>
        <v>0</v>
      </c>
    </row>
    <row r="379" spans="1:29" ht="12" customHeight="1">
      <c r="A379" s="12" t="s">
        <v>728</v>
      </c>
      <c r="B379" s="12"/>
      <c r="C379" s="12" t="s">
        <v>27</v>
      </c>
      <c r="D379" s="12"/>
      <c r="E379" s="13"/>
      <c r="G379" s="1">
        <v>26515085</v>
      </c>
      <c r="I379" s="1">
        <v>0</v>
      </c>
      <c r="K379" s="41">
        <f t="shared" si="43"/>
        <v>45296536</v>
      </c>
      <c r="M379" s="1">
        <v>71811621</v>
      </c>
      <c r="O379" s="41">
        <f t="shared" si="44"/>
        <v>6678372</v>
      </c>
      <c r="Q379" s="1">
        <v>28040800</v>
      </c>
      <c r="S379" s="1">
        <v>34719172</v>
      </c>
      <c r="U379" s="1">
        <f>17136000+659336+14245</f>
        <v>17809581</v>
      </c>
      <c r="W379" s="1">
        <v>0</v>
      </c>
      <c r="Y379" s="1">
        <f>11903310+1181229+3849278+2349051</f>
        <v>19282868</v>
      </c>
      <c r="AA379" s="58">
        <f t="shared" si="45"/>
        <v>37092449</v>
      </c>
      <c r="AC379" s="1">
        <f t="shared" si="42"/>
        <v>0</v>
      </c>
    </row>
    <row r="380" spans="1:29" ht="12" customHeight="1">
      <c r="A380" s="12" t="s">
        <v>563</v>
      </c>
      <c r="B380" s="12"/>
      <c r="C380" s="12" t="s">
        <v>59</v>
      </c>
      <c r="D380" s="12"/>
      <c r="E380" s="13">
        <v>44461</v>
      </c>
      <c r="G380" s="1">
        <v>7579746</v>
      </c>
      <c r="I380" s="1">
        <v>0</v>
      </c>
      <c r="K380" s="41">
        <f t="shared" si="43"/>
        <v>17764316</v>
      </c>
      <c r="M380" s="1">
        <v>25344062</v>
      </c>
      <c r="O380" s="41">
        <f t="shared" si="44"/>
        <v>644639</v>
      </c>
      <c r="Q380" s="1">
        <v>17506805</v>
      </c>
      <c r="S380" s="1">
        <v>18151444</v>
      </c>
      <c r="U380" s="1">
        <f>530835+124392</f>
        <v>655227</v>
      </c>
      <c r="W380" s="1">
        <v>0</v>
      </c>
      <c r="Y380" s="1">
        <f>1190792+171662+132733+5042204</f>
        <v>6537391</v>
      </c>
      <c r="AA380" s="58">
        <f t="shared" si="45"/>
        <v>7192618</v>
      </c>
      <c r="AC380" s="1">
        <f t="shared" si="42"/>
        <v>0</v>
      </c>
    </row>
    <row r="381" spans="1:29" ht="12" customHeight="1">
      <c r="A381" s="12" t="s">
        <v>218</v>
      </c>
      <c r="B381" s="12"/>
      <c r="C381" s="12" t="s">
        <v>14</v>
      </c>
      <c r="D381" s="12"/>
      <c r="E381" s="13">
        <v>45955</v>
      </c>
      <c r="G381" s="1">
        <v>6794742</v>
      </c>
      <c r="I381" s="1">
        <v>0</v>
      </c>
      <c r="K381" s="41">
        <f t="shared" si="43"/>
        <v>3625282</v>
      </c>
      <c r="M381" s="1">
        <v>10420024</v>
      </c>
      <c r="O381" s="41">
        <f t="shared" si="44"/>
        <v>1093076</v>
      </c>
      <c r="Q381" s="1">
        <v>2653297</v>
      </c>
      <c r="S381" s="1">
        <v>3746373</v>
      </c>
      <c r="U381" s="1">
        <f>481486+16736+5317+12467</f>
        <v>516006</v>
      </c>
      <c r="W381" s="1">
        <v>0</v>
      </c>
      <c r="Y381" s="1">
        <f>4975485+74325+834562+273273</f>
        <v>6157645</v>
      </c>
      <c r="AA381" s="58">
        <f t="shared" si="45"/>
        <v>6673651</v>
      </c>
      <c r="AC381" s="1">
        <f t="shared" si="42"/>
        <v>0</v>
      </c>
    </row>
    <row r="382" spans="1:29" ht="12" hidden="1" customHeight="1">
      <c r="A382" s="17" t="s">
        <v>879</v>
      </c>
      <c r="B382" s="12"/>
      <c r="C382" s="12" t="s">
        <v>14</v>
      </c>
      <c r="D382" s="12"/>
      <c r="E382" s="13">
        <v>45963</v>
      </c>
      <c r="K382" s="41">
        <f t="shared" si="43"/>
        <v>0</v>
      </c>
      <c r="O382" s="41">
        <f t="shared" si="44"/>
        <v>0</v>
      </c>
      <c r="AA382" s="58">
        <f t="shared" si="45"/>
        <v>0</v>
      </c>
      <c r="AC382" s="1">
        <f t="shared" si="42"/>
        <v>0</v>
      </c>
    </row>
    <row r="383" spans="1:29" ht="12" customHeight="1">
      <c r="A383" s="12" t="s">
        <v>502</v>
      </c>
      <c r="B383" s="12"/>
      <c r="C383" s="12" t="s">
        <v>50</v>
      </c>
      <c r="D383" s="12"/>
      <c r="E383" s="13">
        <v>48710</v>
      </c>
      <c r="G383" s="1">
        <v>5545573</v>
      </c>
      <c r="I383" s="1">
        <v>107643</v>
      </c>
      <c r="K383" s="41">
        <f t="shared" si="43"/>
        <v>3727275</v>
      </c>
      <c r="M383" s="1">
        <v>9380491</v>
      </c>
      <c r="O383" s="41">
        <f t="shared" si="44"/>
        <v>1550224</v>
      </c>
      <c r="Q383" s="1">
        <f>255835+2723417</f>
        <v>2979252</v>
      </c>
      <c r="S383" s="1">
        <v>4529476</v>
      </c>
      <c r="U383" s="1">
        <f>161454+8010+12590+139399+107643+345232</f>
        <v>774328</v>
      </c>
      <c r="W383" s="1">
        <v>0</v>
      </c>
      <c r="Y383" s="1">
        <f>3835039+457817-216169</f>
        <v>4076687</v>
      </c>
      <c r="AA383" s="58">
        <f t="shared" si="45"/>
        <v>4851015</v>
      </c>
      <c r="AC383" s="1">
        <f t="shared" si="42"/>
        <v>0</v>
      </c>
    </row>
    <row r="384" spans="1:29" ht="12" hidden="1" customHeight="1">
      <c r="A384" s="12" t="s">
        <v>889</v>
      </c>
      <c r="B384" s="12"/>
      <c r="C384" s="12" t="s">
        <v>524</v>
      </c>
      <c r="D384" s="12"/>
      <c r="E384" s="13">
        <v>44479</v>
      </c>
      <c r="K384" s="41">
        <f t="shared" si="43"/>
        <v>0</v>
      </c>
      <c r="O384" s="41">
        <f t="shared" si="44"/>
        <v>0</v>
      </c>
      <c r="AA384" s="58">
        <f t="shared" si="45"/>
        <v>0</v>
      </c>
      <c r="AC384" s="1">
        <f t="shared" si="42"/>
        <v>0</v>
      </c>
    </row>
    <row r="385" spans="1:29" ht="12" customHeight="1">
      <c r="A385" s="12" t="s">
        <v>405</v>
      </c>
      <c r="B385" s="12"/>
      <c r="C385" s="12" t="s">
        <v>37</v>
      </c>
      <c r="D385" s="12"/>
      <c r="E385" s="13">
        <v>47720</v>
      </c>
      <c r="G385" s="1">
        <v>3418884</v>
      </c>
      <c r="I385" s="1">
        <v>5525</v>
      </c>
      <c r="K385" s="41">
        <f t="shared" si="43"/>
        <v>2804415</v>
      </c>
      <c r="M385" s="1">
        <v>6228824</v>
      </c>
      <c r="O385" s="41">
        <f t="shared" si="44"/>
        <v>1208623</v>
      </c>
      <c r="Q385" s="1">
        <f>1897462+267658</f>
        <v>2165120</v>
      </c>
      <c r="S385" s="1">
        <v>3373743</v>
      </c>
      <c r="U385" s="1">
        <f>192371+16125+359764+241925</f>
        <v>810185</v>
      </c>
      <c r="W385" s="1">
        <v>0</v>
      </c>
      <c r="Y385" s="1">
        <f>1236377+808519</f>
        <v>2044896</v>
      </c>
      <c r="AA385" s="58">
        <f t="shared" si="45"/>
        <v>2855081</v>
      </c>
      <c r="AC385" s="1">
        <f t="shared" si="42"/>
        <v>0</v>
      </c>
    </row>
    <row r="386" spans="1:29" ht="12" customHeight="1">
      <c r="A386" s="12" t="s">
        <v>234</v>
      </c>
      <c r="B386" s="12"/>
      <c r="C386" s="12" t="s">
        <v>227</v>
      </c>
      <c r="D386" s="12"/>
      <c r="E386" s="13">
        <v>46136</v>
      </c>
      <c r="G386" s="1">
        <v>3522996</v>
      </c>
      <c r="I386" s="1">
        <v>0</v>
      </c>
      <c r="K386" s="41">
        <f t="shared" si="43"/>
        <v>1595310</v>
      </c>
      <c r="M386" s="1">
        <v>5118306</v>
      </c>
      <c r="O386" s="41">
        <f t="shared" si="44"/>
        <v>794162</v>
      </c>
      <c r="Q386" s="1">
        <v>1262331</v>
      </c>
      <c r="S386" s="1">
        <v>2056493</v>
      </c>
      <c r="U386" s="1">
        <f>595+13681+35700+297347</f>
        <v>347323</v>
      </c>
      <c r="W386" s="1">
        <v>0</v>
      </c>
      <c r="Y386" s="1">
        <f>2478471+222244+13775</f>
        <v>2714490</v>
      </c>
      <c r="AA386" s="58">
        <f t="shared" si="45"/>
        <v>3061813</v>
      </c>
      <c r="AC386" s="1">
        <f t="shared" si="42"/>
        <v>0</v>
      </c>
    </row>
    <row r="387" spans="1:29" ht="12" customHeight="1">
      <c r="A387" s="12" t="s">
        <v>622</v>
      </c>
      <c r="B387" s="12"/>
      <c r="C387" s="12" t="s">
        <v>65</v>
      </c>
      <c r="D387" s="12"/>
      <c r="E387" s="13">
        <v>44487</v>
      </c>
      <c r="G387" s="1">
        <v>10715718</v>
      </c>
      <c r="I387" s="1">
        <v>0</v>
      </c>
      <c r="K387" s="41">
        <f t="shared" si="43"/>
        <v>13057036</v>
      </c>
      <c r="M387" s="1">
        <v>23772754</v>
      </c>
      <c r="O387" s="41">
        <f t="shared" si="44"/>
        <v>3508766</v>
      </c>
      <c r="Q387" s="1">
        <v>11540300</v>
      </c>
      <c r="S387" s="1">
        <v>15049066</v>
      </c>
      <c r="U387" s="1">
        <f>386991+41026+19279+1107751</f>
        <v>1555047</v>
      </c>
      <c r="W387" s="1">
        <v>0</v>
      </c>
      <c r="Y387" s="1">
        <f>5638088+448106+748314+334133</f>
        <v>7168641</v>
      </c>
      <c r="AA387" s="58">
        <f t="shared" si="45"/>
        <v>8723688</v>
      </c>
      <c r="AC387" s="1">
        <f t="shared" si="42"/>
        <v>0</v>
      </c>
    </row>
    <row r="388" spans="1:29" ht="12" customHeight="1">
      <c r="A388" s="12" t="s">
        <v>256</v>
      </c>
      <c r="B388" s="12"/>
      <c r="C388" s="12" t="s">
        <v>115</v>
      </c>
      <c r="D388" s="12"/>
      <c r="E388" s="13">
        <v>45559</v>
      </c>
      <c r="G388" s="1">
        <v>19403126</v>
      </c>
      <c r="I388" s="1">
        <v>0</v>
      </c>
      <c r="K388" s="41">
        <f t="shared" si="43"/>
        <v>15165275</v>
      </c>
      <c r="M388" s="1">
        <v>34568401</v>
      </c>
      <c r="O388" s="41">
        <f t="shared" si="44"/>
        <v>4337885</v>
      </c>
      <c r="Q388" s="1">
        <v>13199738</v>
      </c>
      <c r="S388" s="1">
        <v>17537623</v>
      </c>
      <c r="U388" s="1">
        <f>2460288+592300+421397</f>
        <v>3473985</v>
      </c>
      <c r="W388" s="1">
        <v>0</v>
      </c>
      <c r="Y388" s="1">
        <f>14484486-1069001+141308</f>
        <v>13556793</v>
      </c>
      <c r="AA388" s="58">
        <f t="shared" si="45"/>
        <v>17030778</v>
      </c>
      <c r="AC388" s="1">
        <f t="shared" si="42"/>
        <v>0</v>
      </c>
    </row>
    <row r="389" spans="1:29" ht="12" hidden="1" customHeight="1">
      <c r="A389" s="12" t="s">
        <v>888</v>
      </c>
      <c r="B389" s="12"/>
      <c r="C389" s="12" t="s">
        <v>60</v>
      </c>
      <c r="D389" s="12"/>
      <c r="E389" s="13">
        <v>49718</v>
      </c>
      <c r="K389" s="41">
        <f t="shared" si="43"/>
        <v>0</v>
      </c>
      <c r="O389" s="41">
        <f t="shared" si="44"/>
        <v>0</v>
      </c>
      <c r="AA389" s="58">
        <f t="shared" si="45"/>
        <v>0</v>
      </c>
      <c r="AC389" s="1">
        <f t="shared" si="42"/>
        <v>0</v>
      </c>
    </row>
    <row r="390" spans="1:29" ht="12" customHeight="1">
      <c r="A390" s="12" t="s">
        <v>431</v>
      </c>
      <c r="B390" s="12"/>
      <c r="C390" s="12" t="s">
        <v>42</v>
      </c>
      <c r="D390" s="12"/>
      <c r="E390" s="13">
        <v>44453</v>
      </c>
      <c r="G390" s="1">
        <v>41857450</v>
      </c>
      <c r="I390" s="1">
        <v>264425</v>
      </c>
      <c r="K390" s="41">
        <f t="shared" si="43"/>
        <v>74286474</v>
      </c>
      <c r="M390" s="1">
        <v>116408349</v>
      </c>
      <c r="O390" s="41">
        <f t="shared" si="44"/>
        <v>8588598</v>
      </c>
      <c r="Q390" s="1">
        <f>45506181+21630117</f>
        <v>67136298</v>
      </c>
      <c r="S390" s="1">
        <v>75724896</v>
      </c>
      <c r="U390" s="1">
        <f>17246653+30944+58049+4103080+3262279+264425</f>
        <v>24965430</v>
      </c>
      <c r="W390" s="1">
        <v>1199981</v>
      </c>
      <c r="Y390" s="1">
        <f>4917201+804343+8796498</f>
        <v>14518042</v>
      </c>
      <c r="AA390" s="58">
        <f t="shared" si="45"/>
        <v>40683453</v>
      </c>
      <c r="AC390" s="1">
        <f t="shared" si="42"/>
        <v>0</v>
      </c>
    </row>
    <row r="391" spans="1:29" ht="12" customHeight="1">
      <c r="A391" s="12" t="s">
        <v>355</v>
      </c>
      <c r="B391" s="12"/>
      <c r="C391" s="12" t="s">
        <v>30</v>
      </c>
      <c r="D391" s="12"/>
      <c r="E391" s="13">
        <v>47217</v>
      </c>
      <c r="G391" s="1">
        <v>1216483</v>
      </c>
      <c r="I391" s="1">
        <v>31149</v>
      </c>
      <c r="K391" s="41">
        <f t="shared" si="43"/>
        <v>5880021</v>
      </c>
      <c r="M391" s="1">
        <v>7127653</v>
      </c>
      <c r="O391" s="41">
        <f t="shared" si="44"/>
        <v>887008</v>
      </c>
      <c r="Q391" s="1">
        <v>5250247</v>
      </c>
      <c r="S391" s="1">
        <v>6137255</v>
      </c>
      <c r="U391" s="1">
        <f>103753+535910+31149</f>
        <v>670812</v>
      </c>
      <c r="W391" s="1">
        <v>0</v>
      </c>
      <c r="Y391" s="1">
        <f>351302+1545-33261</f>
        <v>319586</v>
      </c>
      <c r="AA391" s="58">
        <f t="shared" si="45"/>
        <v>990398</v>
      </c>
      <c r="AC391" s="1">
        <f t="shared" si="42"/>
        <v>0</v>
      </c>
    </row>
    <row r="392" spans="1:29" ht="12" customHeight="1">
      <c r="A392" s="12" t="s">
        <v>623</v>
      </c>
      <c r="B392" s="12"/>
      <c r="C392" s="12" t="s">
        <v>65</v>
      </c>
      <c r="D392" s="12"/>
      <c r="E392" s="13">
        <v>45542</v>
      </c>
      <c r="G392" s="1">
        <v>1185966</v>
      </c>
      <c r="I392" s="1">
        <v>157857</v>
      </c>
      <c r="K392" s="41">
        <f t="shared" si="43"/>
        <v>3618451</v>
      </c>
      <c r="M392" s="1">
        <v>4962274</v>
      </c>
      <c r="O392" s="41">
        <f t="shared" si="44"/>
        <v>1877487</v>
      </c>
      <c r="Q392" s="1">
        <f>362239+2682317</f>
        <v>3044556</v>
      </c>
      <c r="S392" s="1">
        <v>4922043</v>
      </c>
      <c r="U392" s="1">
        <f>178178+14225+245043+298333+137089+20768</f>
        <v>893636</v>
      </c>
      <c r="W392" s="1">
        <v>0</v>
      </c>
      <c r="Y392" s="1">
        <f>93968-782129-156570-8674</f>
        <v>-853405</v>
      </c>
      <c r="AA392" s="58">
        <f t="shared" si="45"/>
        <v>40231</v>
      </c>
      <c r="AC392" s="1">
        <f t="shared" si="42"/>
        <v>0</v>
      </c>
    </row>
    <row r="393" spans="1:29" ht="12" customHeight="1">
      <c r="A393" s="12" t="s">
        <v>614</v>
      </c>
      <c r="B393" s="12"/>
      <c r="C393" s="12" t="s">
        <v>64</v>
      </c>
      <c r="D393" s="12"/>
      <c r="E393" s="13">
        <v>45567</v>
      </c>
      <c r="G393" s="1">
        <v>3418272</v>
      </c>
      <c r="I393" s="1">
        <v>241899</v>
      </c>
      <c r="K393" s="41">
        <f t="shared" si="43"/>
        <v>4565680</v>
      </c>
      <c r="M393" s="1">
        <v>8225851</v>
      </c>
      <c r="O393" s="41">
        <f t="shared" si="44"/>
        <v>1361671</v>
      </c>
      <c r="Q393" s="1">
        <v>4372645</v>
      </c>
      <c r="S393" s="1">
        <v>5734316</v>
      </c>
      <c r="U393" s="1">
        <f>225943+46508+125947+115952</f>
        <v>514350</v>
      </c>
      <c r="W393" s="1">
        <v>0</v>
      </c>
      <c r="Y393" s="1">
        <f>734283+517780+758724-33602</f>
        <v>1977185</v>
      </c>
      <c r="AA393" s="58">
        <f t="shared" si="45"/>
        <v>2491535</v>
      </c>
      <c r="AC393" s="1">
        <f t="shared" si="42"/>
        <v>0</v>
      </c>
    </row>
    <row r="394" spans="1:29" ht="12" hidden="1" customHeight="1">
      <c r="A394" s="12" t="s">
        <v>946</v>
      </c>
      <c r="B394" s="12"/>
      <c r="C394" s="12" t="s">
        <v>48</v>
      </c>
      <c r="D394" s="12"/>
      <c r="E394" s="13">
        <v>48637</v>
      </c>
      <c r="K394" s="41">
        <f t="shared" si="43"/>
        <v>0</v>
      </c>
      <c r="O394" s="41">
        <f t="shared" si="44"/>
        <v>0</v>
      </c>
      <c r="AA394" s="58">
        <f t="shared" si="45"/>
        <v>0</v>
      </c>
      <c r="AC394" s="1">
        <f t="shared" si="42"/>
        <v>0</v>
      </c>
    </row>
    <row r="395" spans="1:29" ht="12" customHeight="1">
      <c r="A395" s="12" t="s">
        <v>723</v>
      </c>
      <c r="B395" s="12"/>
      <c r="C395" s="12" t="s">
        <v>64</v>
      </c>
      <c r="D395" s="12"/>
      <c r="E395" s="13"/>
      <c r="G395" s="1">
        <v>27042524</v>
      </c>
      <c r="I395" s="1">
        <v>550627</v>
      </c>
      <c r="K395" s="41">
        <f t="shared" si="43"/>
        <v>44240953</v>
      </c>
      <c r="M395" s="1">
        <v>71834104</v>
      </c>
      <c r="O395" s="41">
        <f t="shared" si="44"/>
        <v>4092867</v>
      </c>
      <c r="Q395" s="1">
        <f>34808778+9027433</f>
        <v>43836211</v>
      </c>
      <c r="S395" s="1">
        <v>47929078</v>
      </c>
      <c r="U395" s="1">
        <f>2935180+2600+1559010+70430+150065+1245036</f>
        <v>5962321</v>
      </c>
      <c r="W395" s="1">
        <v>0</v>
      </c>
      <c r="Y395" s="1">
        <f>1325578+21021886-4404759</f>
        <v>17942705</v>
      </c>
      <c r="AA395" s="58">
        <f t="shared" si="45"/>
        <v>23905026</v>
      </c>
      <c r="AC395" s="1">
        <f t="shared" si="42"/>
        <v>0</v>
      </c>
    </row>
    <row r="396" spans="1:29" ht="12" customHeight="1">
      <c r="A396" s="12" t="s">
        <v>518</v>
      </c>
      <c r="B396" s="12"/>
      <c r="C396" s="12" t="s">
        <v>52</v>
      </c>
      <c r="D396" s="12"/>
      <c r="E396" s="13">
        <v>48900</v>
      </c>
      <c r="G396" s="1">
        <v>1624776</v>
      </c>
      <c r="I396" s="1">
        <v>92699</v>
      </c>
      <c r="K396" s="41">
        <f t="shared" si="43"/>
        <v>3273762</v>
      </c>
      <c r="M396" s="1">
        <v>4991237</v>
      </c>
      <c r="O396" s="41">
        <f t="shared" si="44"/>
        <v>1282759</v>
      </c>
      <c r="Q396" s="1">
        <v>2679183</v>
      </c>
      <c r="S396" s="1">
        <v>3961942</v>
      </c>
      <c r="U396" s="1">
        <f>200536+428895+69063+23636</f>
        <v>722130</v>
      </c>
      <c r="W396" s="1">
        <v>0</v>
      </c>
      <c r="Y396" s="1">
        <f>201555+101168+4442</f>
        <v>307165</v>
      </c>
      <c r="AA396" s="58">
        <f t="shared" si="45"/>
        <v>1029295</v>
      </c>
      <c r="AC396" s="1">
        <f t="shared" si="42"/>
        <v>0</v>
      </c>
    </row>
    <row r="397" spans="1:29" ht="12" customHeight="1">
      <c r="A397" s="12" t="s">
        <v>592</v>
      </c>
      <c r="B397" s="12"/>
      <c r="C397" s="12" t="s">
        <v>63</v>
      </c>
      <c r="D397" s="12"/>
      <c r="E397" s="13">
        <v>50047</v>
      </c>
      <c r="G397" s="1">
        <v>14279228</v>
      </c>
      <c r="I397" s="1">
        <v>269950</v>
      </c>
      <c r="K397" s="41">
        <f t="shared" si="43"/>
        <v>29775606</v>
      </c>
      <c r="M397" s="1">
        <v>44324784</v>
      </c>
      <c r="O397" s="41">
        <f t="shared" si="44"/>
        <v>6445344</v>
      </c>
      <c r="Q397" s="1">
        <v>26509358</v>
      </c>
      <c r="S397" s="1">
        <v>32954702</v>
      </c>
      <c r="U397" s="1">
        <f>3247011+2731429+269950</f>
        <v>6248390</v>
      </c>
      <c r="W397" s="1">
        <v>0</v>
      </c>
      <c r="Y397" s="1">
        <f>2957295+1200690+1012191-48484</f>
        <v>5121692</v>
      </c>
      <c r="AA397" s="58">
        <f t="shared" si="45"/>
        <v>11370082</v>
      </c>
      <c r="AC397" s="1">
        <f t="shared" si="42"/>
        <v>0</v>
      </c>
    </row>
    <row r="398" spans="1:29" ht="12" customHeight="1">
      <c r="A398" s="12" t="s">
        <v>648</v>
      </c>
      <c r="B398" s="12"/>
      <c r="C398" s="12" t="s">
        <v>72</v>
      </c>
      <c r="D398" s="12"/>
      <c r="E398" s="13">
        <v>50708</v>
      </c>
      <c r="G398" s="1">
        <v>14844973</v>
      </c>
      <c r="I398" s="1">
        <v>65518</v>
      </c>
      <c r="K398" s="41">
        <f t="shared" si="43"/>
        <v>11471749</v>
      </c>
      <c r="M398" s="1">
        <v>26382240</v>
      </c>
      <c r="O398" s="41">
        <f t="shared" si="44"/>
        <v>1103568</v>
      </c>
      <c r="Q398" s="1">
        <v>10881916</v>
      </c>
      <c r="S398" s="1">
        <v>11985484</v>
      </c>
      <c r="U398" s="1">
        <f>241090+65518+352654+10100+361382</f>
        <v>1030744</v>
      </c>
      <c r="W398" s="1">
        <v>0</v>
      </c>
      <c r="Y398" s="1">
        <f>987220+12473654-94862</f>
        <v>13366012</v>
      </c>
      <c r="AA398" s="58">
        <f t="shared" si="45"/>
        <v>14396756</v>
      </c>
      <c r="AC398" s="1">
        <f t="shared" si="42"/>
        <v>0</v>
      </c>
    </row>
    <row r="399" spans="1:29" ht="12" hidden="1" customHeight="1">
      <c r="A399" s="17" t="s">
        <v>887</v>
      </c>
      <c r="B399" s="12"/>
      <c r="C399" s="12" t="s">
        <v>53</v>
      </c>
      <c r="D399" s="12"/>
      <c r="E399" s="13">
        <v>48967</v>
      </c>
      <c r="K399" s="41">
        <f t="shared" si="43"/>
        <v>0</v>
      </c>
      <c r="O399" s="41">
        <f t="shared" si="44"/>
        <v>0</v>
      </c>
      <c r="AA399" s="58">
        <f t="shared" si="45"/>
        <v>0</v>
      </c>
      <c r="AC399" s="1">
        <f t="shared" si="42"/>
        <v>0</v>
      </c>
    </row>
    <row r="400" spans="1:29" ht="12" customHeight="1">
      <c r="A400" s="12" t="s">
        <v>582</v>
      </c>
      <c r="B400" s="12"/>
      <c r="C400" s="12" t="s">
        <v>62</v>
      </c>
      <c r="D400" s="12"/>
      <c r="E400" s="13">
        <v>44503</v>
      </c>
      <c r="G400" s="1">
        <v>4800329</v>
      </c>
      <c r="I400" s="1">
        <v>445492</v>
      </c>
      <c r="K400" s="41">
        <f t="shared" si="43"/>
        <v>22795539</v>
      </c>
      <c r="M400" s="1">
        <v>28041360</v>
      </c>
      <c r="O400" s="41">
        <f t="shared" si="44"/>
        <v>7622901</v>
      </c>
      <c r="Q400" s="1">
        <f>20523744+896380</f>
        <v>21420124</v>
      </c>
      <c r="S400" s="1">
        <v>29043025</v>
      </c>
      <c r="U400" s="1">
        <f>439961+130123+655670+2071348+363309+82183</f>
        <v>3742594</v>
      </c>
      <c r="W400" s="1">
        <v>0</v>
      </c>
      <c r="Y400" s="1">
        <f>539651+107242-5391152</f>
        <v>-4744259</v>
      </c>
      <c r="AA400" s="58">
        <f t="shared" si="45"/>
        <v>-1001665</v>
      </c>
      <c r="AC400" s="1">
        <f t="shared" si="42"/>
        <v>0</v>
      </c>
    </row>
    <row r="401" spans="1:29" ht="12" hidden="1" customHeight="1">
      <c r="A401" s="17" t="s">
        <v>886</v>
      </c>
      <c r="B401" s="12"/>
      <c r="C401" s="12" t="s">
        <v>643</v>
      </c>
      <c r="D401" s="12"/>
      <c r="E401" s="13">
        <v>50641</v>
      </c>
      <c r="K401" s="41">
        <f t="shared" si="43"/>
        <v>0</v>
      </c>
      <c r="O401" s="41">
        <f t="shared" si="44"/>
        <v>0</v>
      </c>
      <c r="AA401" s="58">
        <f t="shared" si="45"/>
        <v>0</v>
      </c>
      <c r="AC401" s="1">
        <f t="shared" si="42"/>
        <v>0</v>
      </c>
    </row>
    <row r="402" spans="1:29" ht="12" customHeight="1">
      <c r="A402" s="12" t="s">
        <v>369</v>
      </c>
      <c r="B402" s="12"/>
      <c r="C402" s="12" t="s">
        <v>32</v>
      </c>
      <c r="D402" s="12"/>
      <c r="E402" s="13">
        <v>44511</v>
      </c>
      <c r="G402" s="1">
        <v>14480226</v>
      </c>
      <c r="I402" s="1">
        <v>74486</v>
      </c>
      <c r="K402" s="41">
        <f t="shared" si="43"/>
        <v>14577167</v>
      </c>
      <c r="M402" s="1">
        <v>29131879</v>
      </c>
      <c r="O402" s="41">
        <f t="shared" si="44"/>
        <v>5022848</v>
      </c>
      <c r="Q402" s="1">
        <v>12462288</v>
      </c>
      <c r="S402" s="1">
        <v>17485136</v>
      </c>
      <c r="U402" s="1">
        <f>7880572+9635+1862092+456755+215795</f>
        <v>10424849</v>
      </c>
      <c r="W402" s="1">
        <v>233660</v>
      </c>
      <c r="Y402" s="1">
        <f>152564+253801+2823029-2241160</f>
        <v>988234</v>
      </c>
      <c r="AA402" s="58">
        <f t="shared" si="45"/>
        <v>11646743</v>
      </c>
      <c r="AC402" s="1">
        <f t="shared" si="42"/>
        <v>0</v>
      </c>
    </row>
    <row r="403" spans="1:29" ht="12" customHeight="1">
      <c r="A403" s="12" t="s">
        <v>432</v>
      </c>
      <c r="B403" s="12"/>
      <c r="C403" s="12" t="s">
        <v>42</v>
      </c>
      <c r="D403" s="12"/>
      <c r="E403" s="13">
        <v>48025</v>
      </c>
      <c r="G403" s="1">
        <v>2297443</v>
      </c>
      <c r="I403" s="1">
        <v>220804</v>
      </c>
      <c r="K403" s="41">
        <f t="shared" si="43"/>
        <v>5453312</v>
      </c>
      <c r="M403" s="1">
        <v>7971559</v>
      </c>
      <c r="O403" s="41">
        <f t="shared" si="44"/>
        <v>2246665</v>
      </c>
      <c r="Q403" s="1">
        <f>203675+4320960</f>
        <v>4524635</v>
      </c>
      <c r="S403" s="1">
        <v>6771300</v>
      </c>
      <c r="U403" s="1">
        <f>25542+3788+158367+305227+49293+27758+301482</f>
        <v>871457</v>
      </c>
      <c r="W403" s="1">
        <v>0</v>
      </c>
      <c r="Y403" s="1">
        <f>166923+1627220-1465341</f>
        <v>328802</v>
      </c>
      <c r="AA403" s="58">
        <f t="shared" si="45"/>
        <v>1200259</v>
      </c>
      <c r="AC403" s="1">
        <f t="shared" si="42"/>
        <v>0</v>
      </c>
    </row>
    <row r="404" spans="1:29" ht="12" customHeight="1">
      <c r="A404" s="12" t="s">
        <v>296</v>
      </c>
      <c r="B404" s="12"/>
      <c r="C404" s="12" t="s">
        <v>20</v>
      </c>
      <c r="D404" s="12"/>
      <c r="E404" s="13">
        <v>44529</v>
      </c>
      <c r="G404" s="1">
        <v>13231165</v>
      </c>
      <c r="I404" s="1">
        <v>223073</v>
      </c>
      <c r="K404" s="41">
        <f t="shared" si="43"/>
        <v>36346765</v>
      </c>
      <c r="M404" s="1">
        <v>49801003</v>
      </c>
      <c r="O404" s="41">
        <f t="shared" si="44"/>
        <v>9057930</v>
      </c>
      <c r="Q404" s="1">
        <v>31170949</v>
      </c>
      <c r="S404" s="1">
        <v>40228879</v>
      </c>
      <c r="U404" s="1">
        <f>223073+132906+4079802+699936</f>
        <v>5135717</v>
      </c>
      <c r="W404" s="1">
        <v>0</v>
      </c>
      <c r="Y404" s="1">
        <f>1964165+1018278+56172+1397792</f>
        <v>4436407</v>
      </c>
      <c r="AA404" s="58">
        <f t="shared" si="45"/>
        <v>9572124</v>
      </c>
      <c r="AC404" s="1">
        <f t="shared" si="42"/>
        <v>0</v>
      </c>
    </row>
    <row r="405" spans="1:29" ht="12" customHeight="1">
      <c r="A405" s="12" t="s">
        <v>445</v>
      </c>
      <c r="B405" s="12"/>
      <c r="C405" s="12" t="s">
        <v>44</v>
      </c>
      <c r="D405" s="12"/>
      <c r="E405" s="13">
        <v>44537</v>
      </c>
      <c r="G405" s="1">
        <v>3743897</v>
      </c>
      <c r="I405" s="1">
        <v>0</v>
      </c>
      <c r="K405" s="41">
        <f t="shared" si="43"/>
        <v>26522729</v>
      </c>
      <c r="M405" s="1">
        <v>30266626</v>
      </c>
      <c r="O405" s="41">
        <f t="shared" si="44"/>
        <v>7040919</v>
      </c>
      <c r="Q405" s="1">
        <v>23439737</v>
      </c>
      <c r="S405" s="1">
        <v>30480656</v>
      </c>
      <c r="U405" s="1">
        <f>1108299+556308</f>
        <v>1664607</v>
      </c>
      <c r="W405" s="1">
        <v>0</v>
      </c>
      <c r="Y405" s="1">
        <f>528729+360570-1913304-854632</f>
        <v>-1878637</v>
      </c>
      <c r="AA405" s="58">
        <f t="shared" si="45"/>
        <v>-214030</v>
      </c>
      <c r="AC405" s="1">
        <f t="shared" si="42"/>
        <v>0</v>
      </c>
    </row>
    <row r="406" spans="1:29" ht="12" customHeight="1">
      <c r="A406" s="12" t="s">
        <v>297</v>
      </c>
      <c r="B406" s="12"/>
      <c r="C406" s="12" t="s">
        <v>20</v>
      </c>
      <c r="D406" s="12"/>
      <c r="E406" s="13">
        <v>44545</v>
      </c>
      <c r="G406" s="1">
        <v>12319372</v>
      </c>
      <c r="I406" s="1">
        <v>0</v>
      </c>
      <c r="K406" s="41">
        <f t="shared" si="43"/>
        <v>38792831</v>
      </c>
      <c r="M406" s="1">
        <v>51112203</v>
      </c>
      <c r="O406" s="41">
        <f t="shared" si="44"/>
        <v>6140538</v>
      </c>
      <c r="Q406" s="1">
        <v>33105919</v>
      </c>
      <c r="S406" s="1">
        <v>39246457</v>
      </c>
      <c r="U406" s="1">
        <f>1034154+5108237</f>
        <v>6142391</v>
      </c>
      <c r="W406" s="1">
        <v>0</v>
      </c>
      <c r="Y406" s="1">
        <f>1998153+372137+3399341-46276</f>
        <v>5723355</v>
      </c>
      <c r="AA406" s="58">
        <f t="shared" si="45"/>
        <v>11865746</v>
      </c>
      <c r="AC406" s="1">
        <f t="shared" si="42"/>
        <v>0</v>
      </c>
    </row>
    <row r="407" spans="1:29" ht="12" customHeight="1">
      <c r="A407" s="12" t="s">
        <v>627</v>
      </c>
      <c r="B407" s="12"/>
      <c r="C407" s="12" t="s">
        <v>66</v>
      </c>
      <c r="D407" s="12"/>
      <c r="E407" s="13">
        <v>50336</v>
      </c>
      <c r="G407" s="1">
        <f>14906942+16484</f>
        <v>14923426</v>
      </c>
      <c r="I407" s="1">
        <v>0</v>
      </c>
      <c r="K407" s="41">
        <f t="shared" si="43"/>
        <v>5384498</v>
      </c>
      <c r="M407" s="1">
        <v>20307924</v>
      </c>
      <c r="O407" s="41">
        <f t="shared" si="44"/>
        <v>1657408</v>
      </c>
      <c r="Q407" s="1">
        <v>4265446</v>
      </c>
      <c r="S407" s="1">
        <v>5922854</v>
      </c>
      <c r="U407" s="1">
        <f>530634+1121373</f>
        <v>1652007</v>
      </c>
      <c r="W407" s="1">
        <v>0</v>
      </c>
      <c r="Y407" s="1">
        <f>8681634+416268+1997118+1638043</f>
        <v>12733063</v>
      </c>
      <c r="AA407" s="58">
        <f t="shared" si="45"/>
        <v>14385070</v>
      </c>
      <c r="AC407" s="1">
        <f t="shared" si="42"/>
        <v>0</v>
      </c>
    </row>
    <row r="408" spans="1:29" ht="12" customHeight="1">
      <c r="A408" s="12" t="s">
        <v>247</v>
      </c>
      <c r="B408" s="12"/>
      <c r="C408" s="12" t="s">
        <v>17</v>
      </c>
      <c r="D408" s="12"/>
      <c r="E408" s="13">
        <v>46250</v>
      </c>
      <c r="G408" s="1">
        <f>8411964+10931+11763</f>
        <v>8434658</v>
      </c>
      <c r="I408" s="1">
        <v>0</v>
      </c>
      <c r="K408" s="41">
        <f t="shared" si="43"/>
        <v>11861585</v>
      </c>
      <c r="M408" s="1">
        <v>20296243</v>
      </c>
      <c r="O408" s="41">
        <f t="shared" si="44"/>
        <v>3903439</v>
      </c>
      <c r="Q408" s="1">
        <v>7778307</v>
      </c>
      <c r="S408" s="1">
        <v>11681746</v>
      </c>
      <c r="U408" s="1">
        <f>280817+129336+3751970</f>
        <v>4162123</v>
      </c>
      <c r="W408" s="1">
        <v>0</v>
      </c>
      <c r="Y408" s="1">
        <f>2776427+39456+909665+726826</f>
        <v>4452374</v>
      </c>
      <c r="AA408" s="58">
        <f t="shared" si="45"/>
        <v>8614497</v>
      </c>
      <c r="AC408" s="1">
        <f t="shared" si="42"/>
        <v>0</v>
      </c>
    </row>
    <row r="409" spans="1:29" s="16" customFormat="1" ht="12" hidden="1" customHeight="1">
      <c r="A409" s="17" t="s">
        <v>882</v>
      </c>
      <c r="B409" s="14"/>
      <c r="C409" s="14" t="s">
        <v>22</v>
      </c>
      <c r="D409" s="14"/>
      <c r="E409" s="14">
        <v>46722</v>
      </c>
      <c r="G409" s="1"/>
      <c r="H409" s="1"/>
      <c r="I409" s="1"/>
      <c r="J409" s="1"/>
      <c r="K409" s="41">
        <f t="shared" si="43"/>
        <v>0</v>
      </c>
      <c r="L409" s="1"/>
      <c r="M409" s="1"/>
      <c r="N409" s="1"/>
      <c r="O409" s="41">
        <f t="shared" si="44"/>
        <v>0</v>
      </c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58">
        <f t="shared" si="45"/>
        <v>0</v>
      </c>
      <c r="AB409" s="1"/>
      <c r="AC409" s="1">
        <f t="shared" si="42"/>
        <v>0</v>
      </c>
    </row>
    <row r="410" spans="1:29" ht="12" customHeight="1">
      <c r="A410" s="12" t="s">
        <v>503</v>
      </c>
      <c r="B410" s="12"/>
      <c r="C410" s="12" t="s">
        <v>50</v>
      </c>
      <c r="D410" s="12"/>
      <c r="E410" s="13">
        <v>48728</v>
      </c>
      <c r="G410" s="1">
        <v>11205103</v>
      </c>
      <c r="I410" s="1">
        <v>0</v>
      </c>
      <c r="K410" s="41">
        <f t="shared" si="43"/>
        <v>24805098</v>
      </c>
      <c r="M410" s="1">
        <v>36010201</v>
      </c>
      <c r="O410" s="41">
        <f t="shared" si="44"/>
        <v>7244869</v>
      </c>
      <c r="Q410" s="1">
        <v>23001747</v>
      </c>
      <c r="S410" s="1">
        <v>30246616</v>
      </c>
      <c r="U410" s="1">
        <f>545270+1305498</f>
        <v>1850768</v>
      </c>
      <c r="W410" s="1">
        <v>0</v>
      </c>
      <c r="Y410" s="1">
        <f>1866468+634560+386+1411403</f>
        <v>3912817</v>
      </c>
      <c r="AA410" s="58">
        <f t="shared" si="45"/>
        <v>5763585</v>
      </c>
      <c r="AC410" s="1">
        <f t="shared" si="42"/>
        <v>0</v>
      </c>
    </row>
    <row r="411" spans="1:29" ht="12" customHeight="1">
      <c r="A411" s="12" t="s">
        <v>510</v>
      </c>
      <c r="B411" s="12"/>
      <c r="C411" s="12" t="s">
        <v>78</v>
      </c>
      <c r="D411" s="12"/>
      <c r="E411" s="13">
        <v>48819</v>
      </c>
      <c r="G411" s="1">
        <f>9835893+14564345</f>
        <v>24400238</v>
      </c>
      <c r="I411" s="1">
        <v>137929</v>
      </c>
      <c r="K411" s="41">
        <f t="shared" si="43"/>
        <v>11460475</v>
      </c>
      <c r="M411" s="1">
        <v>35998642</v>
      </c>
      <c r="O411" s="41">
        <f t="shared" si="44"/>
        <v>8294990</v>
      </c>
      <c r="Q411" s="1">
        <f>3165864+3988980</f>
        <v>7154844</v>
      </c>
      <c r="S411" s="1">
        <v>15449834</v>
      </c>
      <c r="U411" s="1">
        <f>11519261+11297+15374+823799+190212+137929</f>
        <v>12697872</v>
      </c>
      <c r="W411" s="1">
        <v>0</v>
      </c>
      <c r="Y411" s="1">
        <f>9997+8654485-813546</f>
        <v>7850936</v>
      </c>
      <c r="AA411" s="58">
        <f t="shared" si="45"/>
        <v>20548808</v>
      </c>
      <c r="AC411" s="1">
        <f t="shared" si="42"/>
        <v>0</v>
      </c>
    </row>
    <row r="412" spans="1:29" ht="12" customHeight="1">
      <c r="A412" s="12" t="s">
        <v>433</v>
      </c>
      <c r="B412" s="12"/>
      <c r="C412" s="17" t="s">
        <v>50</v>
      </c>
      <c r="D412" s="12"/>
      <c r="E412" s="13">
        <v>48033</v>
      </c>
      <c r="G412" s="1">
        <f>7338931+2000+54735</f>
        <v>7395666</v>
      </c>
      <c r="I412" s="1">
        <f>1568407+52637</f>
        <v>1621044</v>
      </c>
      <c r="K412" s="41">
        <f t="shared" si="43"/>
        <v>8129468</v>
      </c>
      <c r="M412" s="1">
        <v>17146178</v>
      </c>
      <c r="O412" s="41">
        <f t="shared" si="44"/>
        <v>1992538</v>
      </c>
      <c r="Q412" s="1">
        <v>7547754</v>
      </c>
      <c r="S412" s="1">
        <v>9540292</v>
      </c>
      <c r="U412" s="1">
        <f>579246+402420+1568407+52637</f>
        <v>2602710</v>
      </c>
      <c r="W412" s="1">
        <v>0</v>
      </c>
      <c r="Y412" s="1">
        <f>4352332+476011+174833</f>
        <v>5003176</v>
      </c>
      <c r="AA412" s="58">
        <f t="shared" si="45"/>
        <v>7605886</v>
      </c>
      <c r="AC412" s="1">
        <f t="shared" si="42"/>
        <v>0</v>
      </c>
    </row>
    <row r="413" spans="1:29" ht="12" customHeight="1">
      <c r="A413" s="12" t="s">
        <v>433</v>
      </c>
      <c r="B413" s="12"/>
      <c r="C413" s="12" t="s">
        <v>42</v>
      </c>
      <c r="D413" s="12"/>
      <c r="E413" s="13">
        <v>48736</v>
      </c>
      <c r="G413" s="1">
        <f>3326635+2500</f>
        <v>3329135</v>
      </c>
      <c r="I413" s="1">
        <v>0</v>
      </c>
      <c r="K413" s="41">
        <f t="shared" si="43"/>
        <v>8633799</v>
      </c>
      <c r="M413" s="1">
        <v>11962934</v>
      </c>
      <c r="O413" s="41">
        <f t="shared" si="44"/>
        <v>1386257</v>
      </c>
      <c r="Q413" s="1">
        <v>6530453</v>
      </c>
      <c r="S413" s="1">
        <v>7916710</v>
      </c>
      <c r="U413" s="1">
        <f>58116+673524</f>
        <v>731640</v>
      </c>
      <c r="W413" s="1">
        <v>0</v>
      </c>
      <c r="Y413" s="1">
        <f>2317230+470619+526735</f>
        <v>3314584</v>
      </c>
      <c r="AA413" s="58">
        <f t="shared" si="45"/>
        <v>4046224</v>
      </c>
      <c r="AC413" s="1">
        <f t="shared" si="42"/>
        <v>0</v>
      </c>
    </row>
    <row r="414" spans="1:29" ht="12" customHeight="1">
      <c r="A414" s="12" t="s">
        <v>370</v>
      </c>
      <c r="B414" s="12"/>
      <c r="C414" s="12" t="s">
        <v>32</v>
      </c>
      <c r="D414" s="12"/>
      <c r="E414" s="12">
        <v>47365</v>
      </c>
      <c r="G414" s="1">
        <v>23318965</v>
      </c>
      <c r="I414" s="1">
        <v>0</v>
      </c>
      <c r="K414" s="41">
        <f t="shared" si="43"/>
        <v>50237288</v>
      </c>
      <c r="M414" s="1">
        <v>73556253</v>
      </c>
      <c r="O414" s="41">
        <f t="shared" si="44"/>
        <v>11821865</v>
      </c>
      <c r="Q414" s="1">
        <v>34336862</v>
      </c>
      <c r="S414" s="1">
        <v>46158727</v>
      </c>
      <c r="U414" s="1">
        <f>552708+39084+14733000</f>
        <v>15324792</v>
      </c>
      <c r="W414" s="1">
        <v>0</v>
      </c>
      <c r="Y414" s="1">
        <f>10004481+225002+1055225+693319+94707</f>
        <v>12072734</v>
      </c>
      <c r="AA414" s="58">
        <f t="shared" si="45"/>
        <v>27397526</v>
      </c>
      <c r="AC414" s="1">
        <f t="shared" si="42"/>
        <v>0</v>
      </c>
    </row>
    <row r="415" spans="1:29" ht="12" customHeight="1">
      <c r="A415" s="12" t="s">
        <v>370</v>
      </c>
      <c r="B415" s="12"/>
      <c r="C415" s="12" t="s">
        <v>59</v>
      </c>
      <c r="D415" s="12"/>
      <c r="E415" s="13">
        <v>49635</v>
      </c>
      <c r="G415" s="1">
        <v>3592390</v>
      </c>
      <c r="I415" s="1">
        <v>87229</v>
      </c>
      <c r="K415" s="41">
        <f t="shared" si="43"/>
        <v>3114297</v>
      </c>
      <c r="M415" s="1">
        <v>6793916</v>
      </c>
      <c r="O415" s="41">
        <f t="shared" si="44"/>
        <v>2805479</v>
      </c>
      <c r="Q415" s="1">
        <v>2167244</v>
      </c>
      <c r="S415" s="1">
        <v>4972723</v>
      </c>
      <c r="U415" s="1">
        <f>30362+199086+87229</f>
        <v>316677</v>
      </c>
      <c r="W415" s="1">
        <v>0</v>
      </c>
      <c r="Y415" s="1">
        <f>852844+1094279+1-442608</f>
        <v>1504516</v>
      </c>
      <c r="AA415" s="58">
        <f t="shared" si="45"/>
        <v>1821193</v>
      </c>
      <c r="AC415" s="1">
        <f t="shared" si="42"/>
        <v>0</v>
      </c>
    </row>
    <row r="416" spans="1:29" ht="12" customHeight="1">
      <c r="A416" s="12" t="s">
        <v>370</v>
      </c>
      <c r="B416" s="12"/>
      <c r="C416" s="12" t="s">
        <v>62</v>
      </c>
      <c r="D416" s="12"/>
      <c r="E416" s="13">
        <v>49908</v>
      </c>
      <c r="G416" s="1">
        <f>4259950+152</f>
        <v>4260102</v>
      </c>
      <c r="I416" s="1">
        <v>422499</v>
      </c>
      <c r="K416" s="41">
        <f t="shared" si="43"/>
        <v>36690455</v>
      </c>
      <c r="M416" s="1">
        <v>41373056</v>
      </c>
      <c r="O416" s="41">
        <f t="shared" si="44"/>
        <v>4200004</v>
      </c>
      <c r="Q416" s="1">
        <f>27886938+7626356</f>
        <v>35513294</v>
      </c>
      <c r="S416" s="1">
        <v>39713298</v>
      </c>
      <c r="U416" s="1">
        <f>1242777+60728+1091979+422499+349254+13224</f>
        <v>3180461</v>
      </c>
      <c r="W416" s="1">
        <v>0</v>
      </c>
      <c r="Y416" s="1">
        <f>1558497-3081251+2051</f>
        <v>-1520703</v>
      </c>
      <c r="AA416" s="58">
        <f t="shared" si="45"/>
        <v>1659758</v>
      </c>
      <c r="AC416" s="1">
        <f t="shared" si="42"/>
        <v>0</v>
      </c>
    </row>
    <row r="417" spans="1:29" ht="12" customHeight="1">
      <c r="A417" s="12" t="s">
        <v>248</v>
      </c>
      <c r="B417" s="12"/>
      <c r="C417" s="12" t="s">
        <v>17</v>
      </c>
      <c r="D417" s="12"/>
      <c r="E417" s="13">
        <v>46268</v>
      </c>
      <c r="G417" s="1">
        <v>4085270</v>
      </c>
      <c r="I417" s="1">
        <v>27784727</v>
      </c>
      <c r="K417" s="41">
        <f t="shared" si="43"/>
        <v>6503691</v>
      </c>
      <c r="M417" s="1">
        <v>38373688</v>
      </c>
      <c r="O417" s="41">
        <f t="shared" si="44"/>
        <v>15428745</v>
      </c>
      <c r="Q417" s="1">
        <v>5575089</v>
      </c>
      <c r="S417" s="1">
        <v>21003834</v>
      </c>
      <c r="U417" s="1">
        <f>2300628+59404+162113+576896+39318</f>
        <v>3138359</v>
      </c>
      <c r="W417" s="1">
        <v>162113</v>
      </c>
      <c r="Y417" s="1">
        <f>1460148+104867+166647+12332371+5349</f>
        <v>14069382</v>
      </c>
      <c r="AA417" s="58">
        <f t="shared" si="45"/>
        <v>17369854</v>
      </c>
      <c r="AC417" s="1">
        <f t="shared" si="42"/>
        <v>0</v>
      </c>
    </row>
    <row r="418" spans="1:29" ht="12" hidden="1" customHeight="1">
      <c r="A418" s="17" t="s">
        <v>947</v>
      </c>
      <c r="B418" s="12"/>
      <c r="C418" s="12" t="s">
        <v>71</v>
      </c>
      <c r="D418" s="12"/>
      <c r="E418" s="13"/>
      <c r="K418" s="41">
        <f t="shared" ref="K418" si="50">M418-G418-I418</f>
        <v>0</v>
      </c>
      <c r="O418" s="41">
        <f t="shared" ref="O418" si="51">S418-Q418</f>
        <v>0</v>
      </c>
      <c r="W418" s="1">
        <v>0</v>
      </c>
      <c r="AA418" s="58">
        <f t="shared" ref="AA418" si="52">U418+W418+Y418</f>
        <v>0</v>
      </c>
      <c r="AC418" s="1">
        <f t="shared" ref="AC418" si="53">+G418+I418+K418-O418-Q418-Y418-W418-U418</f>
        <v>0</v>
      </c>
    </row>
    <row r="419" spans="1:29" ht="12" customHeight="1">
      <c r="A419" s="12" t="s">
        <v>649</v>
      </c>
      <c r="B419" s="12"/>
      <c r="C419" s="12" t="s">
        <v>72</v>
      </c>
      <c r="D419" s="12"/>
      <c r="E419" s="13">
        <v>50716</v>
      </c>
      <c r="G419" s="1">
        <f>3463795+41</f>
        <v>3463836</v>
      </c>
      <c r="I419" s="1">
        <v>16628</v>
      </c>
      <c r="K419" s="41">
        <f t="shared" si="43"/>
        <v>6460101</v>
      </c>
      <c r="M419" s="1">
        <v>9940565</v>
      </c>
      <c r="O419" s="41">
        <f t="shared" si="44"/>
        <v>1167700</v>
      </c>
      <c r="Q419" s="1">
        <v>5529584</v>
      </c>
      <c r="S419" s="1">
        <v>6697284</v>
      </c>
      <c r="U419" s="1">
        <f>900822+16628+339287</f>
        <v>1256737</v>
      </c>
      <c r="W419" s="1">
        <v>0</v>
      </c>
      <c r="Y419" s="1">
        <f>1305749+1740+177612+501443</f>
        <v>1986544</v>
      </c>
      <c r="AA419" s="58">
        <f t="shared" si="45"/>
        <v>3243281</v>
      </c>
      <c r="AC419" s="1">
        <f t="shared" si="42"/>
        <v>0</v>
      </c>
    </row>
    <row r="420" spans="1:29" ht="12" customHeight="1">
      <c r="A420" s="12" t="s">
        <v>593</v>
      </c>
      <c r="B420" s="12"/>
      <c r="C420" s="12" t="s">
        <v>63</v>
      </c>
      <c r="D420" s="12"/>
      <c r="E420" s="13">
        <v>44552</v>
      </c>
      <c r="G420" s="1">
        <v>7773596</v>
      </c>
      <c r="I420" s="1">
        <v>15427</v>
      </c>
      <c r="K420" s="41">
        <f t="shared" si="43"/>
        <v>9214769</v>
      </c>
      <c r="M420" s="1">
        <v>17003792</v>
      </c>
      <c r="O420" s="41">
        <f t="shared" si="44"/>
        <v>2236357</v>
      </c>
      <c r="Q420" s="1">
        <v>8139044</v>
      </c>
      <c r="S420" s="1">
        <v>10375401</v>
      </c>
      <c r="U420" s="1">
        <f>374595+35998+942567+6699+15427</f>
        <v>1375286</v>
      </c>
      <c r="W420" s="1">
        <v>0</v>
      </c>
      <c r="Y420" s="1">
        <f>2487247+708629+2057229</f>
        <v>5253105</v>
      </c>
      <c r="AA420" s="58">
        <f t="shared" si="45"/>
        <v>6628391</v>
      </c>
      <c r="AC420" s="1">
        <f t="shared" si="42"/>
        <v>0</v>
      </c>
    </row>
    <row r="421" spans="1:29" ht="12" customHeight="1">
      <c r="A421" s="12" t="s">
        <v>406</v>
      </c>
      <c r="B421" s="12"/>
      <c r="C421" s="12" t="s">
        <v>37</v>
      </c>
      <c r="D421" s="12"/>
      <c r="E421" s="13">
        <v>44560</v>
      </c>
      <c r="G421" s="1">
        <v>11843901</v>
      </c>
      <c r="I421" s="1">
        <v>2503105</v>
      </c>
      <c r="K421" s="41">
        <f t="shared" si="43"/>
        <v>8738022</v>
      </c>
      <c r="M421" s="1">
        <v>23085028</v>
      </c>
      <c r="O421" s="41">
        <f t="shared" si="44"/>
        <v>3342904</v>
      </c>
      <c r="Q421" s="1">
        <v>7239809</v>
      </c>
      <c r="S421" s="1">
        <v>10582713</v>
      </c>
      <c r="U421" s="1">
        <f>1176258+809240+1380123+480239+642743</f>
        <v>4488603</v>
      </c>
      <c r="W421" s="1">
        <v>0</v>
      </c>
      <c r="Y421" s="1">
        <f>5528485+280356+1262799+942072</f>
        <v>8013712</v>
      </c>
      <c r="AA421" s="58">
        <f t="shared" si="45"/>
        <v>12502315</v>
      </c>
      <c r="AC421" s="1">
        <f t="shared" si="42"/>
        <v>0</v>
      </c>
    </row>
    <row r="422" spans="1:29" ht="12" customHeight="1">
      <c r="A422" s="12" t="s">
        <v>764</v>
      </c>
      <c r="B422" s="12"/>
      <c r="C422" s="12" t="s">
        <v>32</v>
      </c>
      <c r="D422" s="12"/>
      <c r="E422" s="13">
        <v>44578</v>
      </c>
      <c r="G422" s="1">
        <v>3124089</v>
      </c>
      <c r="I422" s="1">
        <v>276070</v>
      </c>
      <c r="K422" s="41">
        <f t="shared" si="43"/>
        <v>17636629</v>
      </c>
      <c r="M422" s="1">
        <v>21036788</v>
      </c>
      <c r="O422" s="41">
        <f t="shared" si="44"/>
        <v>4105682</v>
      </c>
      <c r="Q422" s="1">
        <v>12453215</v>
      </c>
      <c r="S422" s="1">
        <v>16558897</v>
      </c>
      <c r="U422" s="1">
        <f>271697+16745+4467000+276070</f>
        <v>5031512</v>
      </c>
      <c r="W422" s="1">
        <v>0</v>
      </c>
      <c r="Y422" s="1">
        <f>795337+74659-1137355-286262</f>
        <v>-553621</v>
      </c>
      <c r="AA422" s="58">
        <f t="shared" si="45"/>
        <v>4477891</v>
      </c>
      <c r="AC422" s="1">
        <f t="shared" si="42"/>
        <v>0</v>
      </c>
    </row>
    <row r="423" spans="1:29" ht="12" hidden="1" customHeight="1">
      <c r="A423" s="17" t="s">
        <v>948</v>
      </c>
      <c r="B423" s="17"/>
      <c r="C423" s="17" t="s">
        <v>38</v>
      </c>
      <c r="D423" s="17"/>
      <c r="E423" s="13"/>
      <c r="K423" s="41">
        <f t="shared" ref="K423" si="54">M423-G423-I423</f>
        <v>0</v>
      </c>
      <c r="O423" s="41">
        <f t="shared" ref="O423" si="55">S423-Q423</f>
        <v>0</v>
      </c>
      <c r="AA423" s="58">
        <f t="shared" ref="AA423" si="56">Y423+W423+U423</f>
        <v>0</v>
      </c>
      <c r="AC423" s="1">
        <f t="shared" ref="AC423" si="57">+G423+I423+K423-O423-Q423-Y423-W423-U423</f>
        <v>0</v>
      </c>
    </row>
    <row r="424" spans="1:29" ht="12" customHeight="1">
      <c r="A424" s="12" t="s">
        <v>371</v>
      </c>
      <c r="B424" s="12"/>
      <c r="C424" s="12" t="s">
        <v>32</v>
      </c>
      <c r="D424" s="12"/>
      <c r="E424" s="13">
        <v>47373</v>
      </c>
      <c r="G424" s="1">
        <v>30121431</v>
      </c>
      <c r="I424" s="1">
        <v>380716</v>
      </c>
      <c r="K424" s="41">
        <f t="shared" si="43"/>
        <v>41750574</v>
      </c>
      <c r="M424" s="1">
        <v>72252721</v>
      </c>
      <c r="O424" s="41">
        <f t="shared" si="44"/>
        <v>9345419</v>
      </c>
      <c r="Q424" s="1">
        <v>30352038</v>
      </c>
      <c r="S424" s="1">
        <v>39697457</v>
      </c>
      <c r="U424" s="1">
        <f>1060742+4498+11197000+380716</f>
        <v>12642956</v>
      </c>
      <c r="W424" s="1">
        <v>0</v>
      </c>
      <c r="Y424" s="1">
        <f>16642603+2326797+1206089-263181</f>
        <v>19912308</v>
      </c>
      <c r="AA424" s="58">
        <f t="shared" ref="AA424:AA430" si="58">Y424+W424+U424</f>
        <v>32555264</v>
      </c>
      <c r="AC424" s="1">
        <f t="shared" si="42"/>
        <v>0</v>
      </c>
    </row>
    <row r="425" spans="1:29" ht="12" customHeight="1">
      <c r="A425" s="12" t="s">
        <v>504</v>
      </c>
      <c r="B425" s="12"/>
      <c r="C425" s="12" t="s">
        <v>50</v>
      </c>
      <c r="D425" s="12"/>
      <c r="E425" s="13">
        <v>44586</v>
      </c>
      <c r="G425" s="1">
        <v>2810767</v>
      </c>
      <c r="I425" s="1">
        <v>2468</v>
      </c>
      <c r="K425" s="41">
        <f t="shared" si="43"/>
        <v>15107454</v>
      </c>
      <c r="M425" s="1">
        <v>17920689</v>
      </c>
      <c r="O425" s="41">
        <f t="shared" si="44"/>
        <v>3850579</v>
      </c>
      <c r="Q425" s="1">
        <v>13885308</v>
      </c>
      <c r="S425" s="1">
        <v>17735887</v>
      </c>
      <c r="U425" s="1">
        <f>762251+971415+20000</f>
        <v>1753666</v>
      </c>
      <c r="W425" s="1">
        <v>0</v>
      </c>
      <c r="Y425" s="1">
        <f>87686+111545-1356500-411595</f>
        <v>-1568864</v>
      </c>
      <c r="AA425" s="58">
        <f t="shared" si="58"/>
        <v>184802</v>
      </c>
      <c r="AC425" s="1">
        <f t="shared" si="42"/>
        <v>0</v>
      </c>
    </row>
    <row r="426" spans="1:29" ht="12" customHeight="1">
      <c r="A426" s="12"/>
      <c r="B426" s="12"/>
      <c r="C426" s="12"/>
      <c r="D426" s="12"/>
      <c r="E426" s="13"/>
      <c r="K426" s="41"/>
      <c r="O426" s="41"/>
      <c r="AA426" s="58"/>
    </row>
    <row r="427" spans="1:29" ht="12" customHeight="1">
      <c r="A427" s="12"/>
      <c r="B427" s="12"/>
      <c r="C427" s="12"/>
      <c r="D427" s="12"/>
      <c r="E427" s="13"/>
      <c r="K427" s="41"/>
      <c r="O427" s="41"/>
      <c r="AA427" s="20" t="s">
        <v>709</v>
      </c>
    </row>
    <row r="428" spans="1:29" ht="12" customHeight="1">
      <c r="A428" s="12"/>
      <c r="B428" s="12"/>
      <c r="C428" s="12"/>
      <c r="D428" s="12"/>
      <c r="E428" s="13"/>
      <c r="K428" s="41"/>
      <c r="O428" s="41"/>
      <c r="AA428" s="58"/>
    </row>
    <row r="429" spans="1:29" ht="12" customHeight="1">
      <c r="A429" s="12" t="s">
        <v>446</v>
      </c>
      <c r="B429" s="12"/>
      <c r="C429" s="12" t="s">
        <v>44</v>
      </c>
      <c r="D429" s="12"/>
      <c r="E429" s="13">
        <v>44594</v>
      </c>
      <c r="G429" s="16">
        <v>933696</v>
      </c>
      <c r="H429" s="16"/>
      <c r="I429" s="16">
        <v>0</v>
      </c>
      <c r="J429" s="16"/>
      <c r="K429" s="59">
        <f t="shared" si="43"/>
        <v>6256255</v>
      </c>
      <c r="L429" s="16"/>
      <c r="M429" s="16">
        <v>7189951</v>
      </c>
      <c r="N429" s="16"/>
      <c r="O429" s="59">
        <f t="shared" si="44"/>
        <v>2214296</v>
      </c>
      <c r="P429" s="16"/>
      <c r="Q429" s="16">
        <v>4642741</v>
      </c>
      <c r="R429" s="16"/>
      <c r="S429" s="16">
        <v>6857037</v>
      </c>
      <c r="T429" s="16"/>
      <c r="U429" s="16">
        <f>6211+820546+68958</f>
        <v>895715</v>
      </c>
      <c r="V429" s="16"/>
      <c r="W429" s="16">
        <v>0</v>
      </c>
      <c r="X429" s="16"/>
      <c r="Y429" s="16">
        <v>-562801</v>
      </c>
      <c r="Z429" s="16"/>
      <c r="AA429" s="90">
        <f t="shared" si="58"/>
        <v>332914</v>
      </c>
      <c r="AC429" s="1">
        <f t="shared" si="42"/>
        <v>0</v>
      </c>
    </row>
    <row r="430" spans="1:29" ht="12" hidden="1" customHeight="1">
      <c r="A430" s="12" t="s">
        <v>735</v>
      </c>
      <c r="B430" s="12"/>
      <c r="C430" s="12" t="s">
        <v>60</v>
      </c>
      <c r="D430" s="12"/>
      <c r="E430" s="13">
        <v>49726</v>
      </c>
      <c r="K430" s="41">
        <f t="shared" si="43"/>
        <v>0</v>
      </c>
      <c r="O430" s="41">
        <f t="shared" si="44"/>
        <v>0</v>
      </c>
      <c r="W430" s="1">
        <v>0</v>
      </c>
      <c r="AA430" s="58">
        <f t="shared" si="58"/>
        <v>0</v>
      </c>
      <c r="AC430" s="1">
        <f t="shared" si="42"/>
        <v>0</v>
      </c>
    </row>
    <row r="431" spans="1:29" ht="12" customHeight="1">
      <c r="A431" s="12" t="s">
        <v>313</v>
      </c>
      <c r="B431" s="12"/>
      <c r="C431" s="12" t="s">
        <v>23</v>
      </c>
      <c r="D431" s="12"/>
      <c r="E431" s="13">
        <v>46763</v>
      </c>
      <c r="G431" s="41">
        <v>114933739</v>
      </c>
      <c r="H431" s="41"/>
      <c r="I431" s="41">
        <v>0</v>
      </c>
      <c r="J431" s="41"/>
      <c r="K431" s="41">
        <f t="shared" ref="K431:K436" si="59">M431-G431-I431</f>
        <v>144022988</v>
      </c>
      <c r="L431" s="41"/>
      <c r="M431" s="41">
        <v>258956727</v>
      </c>
      <c r="N431" s="41"/>
      <c r="O431" s="41">
        <f t="shared" ref="O431:O436" si="60">S431-Q431</f>
        <v>23397081</v>
      </c>
      <c r="P431" s="41"/>
      <c r="Q431" s="41">
        <v>124546846</v>
      </c>
      <c r="R431" s="41"/>
      <c r="S431" s="41">
        <v>147943927</v>
      </c>
      <c r="T431" s="41"/>
      <c r="U431" s="41">
        <f>20109475+1188+12620746</f>
        <v>32731409</v>
      </c>
      <c r="V431" s="41"/>
      <c r="W431" s="41">
        <v>0</v>
      </c>
      <c r="X431" s="41"/>
      <c r="Y431" s="41">
        <f>15413535+3016225+16896363+42955268</f>
        <v>78281391</v>
      </c>
      <c r="Z431" s="41"/>
      <c r="AA431" s="41">
        <f t="shared" ref="AA431:AA439" si="61">Y431+W431+U431</f>
        <v>111012800</v>
      </c>
      <c r="AB431" s="59"/>
      <c r="AC431" s="59">
        <f t="shared" ref="AC431:AC496" si="62">+G431+I431+K431-O431-Q431-Y431-W431-U431</f>
        <v>0</v>
      </c>
    </row>
    <row r="432" spans="1:29" ht="12" customHeight="1">
      <c r="A432" s="12" t="s">
        <v>298</v>
      </c>
      <c r="B432" s="12"/>
      <c r="C432" s="12" t="s">
        <v>20</v>
      </c>
      <c r="D432" s="12"/>
      <c r="E432" s="13">
        <v>46573</v>
      </c>
      <c r="G432" s="1">
        <v>13695591</v>
      </c>
      <c r="I432" s="1">
        <v>223918</v>
      </c>
      <c r="K432" s="41">
        <f t="shared" si="59"/>
        <v>26206456</v>
      </c>
      <c r="M432" s="1">
        <v>40125965</v>
      </c>
      <c r="O432" s="41">
        <f t="shared" si="60"/>
        <v>8410225</v>
      </c>
      <c r="Q432" s="1">
        <v>22884630</v>
      </c>
      <c r="S432" s="1">
        <v>31294855</v>
      </c>
      <c r="U432" s="1">
        <f>2910139+2459276+223918</f>
        <v>5593333</v>
      </c>
      <c r="W432" s="1">
        <v>0</v>
      </c>
      <c r="Y432" s="1">
        <f>461672+2111661+1513227+102354-951137</f>
        <v>3237777</v>
      </c>
      <c r="AA432" s="58">
        <f t="shared" si="61"/>
        <v>8831110</v>
      </c>
      <c r="AC432" s="1">
        <f t="shared" si="62"/>
        <v>0</v>
      </c>
    </row>
    <row r="433" spans="1:29" ht="12" customHeight="1">
      <c r="A433" s="12" t="s">
        <v>546</v>
      </c>
      <c r="B433" s="12"/>
      <c r="C433" s="12" t="s">
        <v>112</v>
      </c>
      <c r="D433" s="12"/>
      <c r="E433" s="12">
        <v>49478</v>
      </c>
      <c r="G433" s="1">
        <v>8093223</v>
      </c>
      <c r="I433" s="1">
        <v>0</v>
      </c>
      <c r="K433" s="41">
        <f t="shared" si="59"/>
        <v>11030844</v>
      </c>
      <c r="M433" s="1">
        <v>19124067</v>
      </c>
      <c r="O433" s="41">
        <f t="shared" si="60"/>
        <v>2262293</v>
      </c>
      <c r="Q433" s="1">
        <f>8265699+910036</f>
        <v>9175735</v>
      </c>
      <c r="S433" s="1">
        <v>11438028</v>
      </c>
      <c r="U433" s="1">
        <f>1150+201047+2752+1477513+2226710</f>
        <v>3909172</v>
      </c>
      <c r="W433" s="1">
        <v>0</v>
      </c>
      <c r="Y433" s="1">
        <f>3610812+132451+33604</f>
        <v>3776867</v>
      </c>
      <c r="AA433" s="58">
        <f t="shared" si="61"/>
        <v>7686039</v>
      </c>
      <c r="AC433" s="1">
        <f t="shared" si="62"/>
        <v>0</v>
      </c>
    </row>
    <row r="434" spans="1:29" ht="12" customHeight="1">
      <c r="A434" s="12" t="s">
        <v>299</v>
      </c>
      <c r="B434" s="12"/>
      <c r="C434" s="12" t="s">
        <v>20</v>
      </c>
      <c r="D434" s="12"/>
      <c r="E434" s="13">
        <v>46581</v>
      </c>
      <c r="G434" s="1">
        <v>38465916</v>
      </c>
      <c r="I434" s="1">
        <v>0</v>
      </c>
      <c r="K434" s="41">
        <f t="shared" si="59"/>
        <v>42894664</v>
      </c>
      <c r="M434" s="1">
        <v>81360580</v>
      </c>
      <c r="O434" s="41">
        <f t="shared" si="60"/>
        <v>9453619</v>
      </c>
      <c r="Q434" s="1">
        <f>3772382+30918464</f>
        <v>34690846</v>
      </c>
      <c r="S434" s="1">
        <v>44144465</v>
      </c>
      <c r="U434" s="1">
        <f>2411742+4844441+2587756+20698</f>
        <v>9864637</v>
      </c>
      <c r="W434" s="1">
        <v>0</v>
      </c>
      <c r="Y434" s="1">
        <f>23659361+545070+3147047</f>
        <v>27351478</v>
      </c>
      <c r="AA434" s="58">
        <f t="shared" si="61"/>
        <v>37216115</v>
      </c>
      <c r="AC434" s="1">
        <f t="shared" si="62"/>
        <v>0</v>
      </c>
    </row>
    <row r="435" spans="1:29" ht="12" customHeight="1">
      <c r="A435" s="12" t="s">
        <v>451</v>
      </c>
      <c r="B435" s="12"/>
      <c r="C435" s="12" t="s">
        <v>117</v>
      </c>
      <c r="D435" s="12"/>
      <c r="E435" s="13">
        <v>44602</v>
      </c>
      <c r="G435" s="1">
        <f>13131288+18771</f>
        <v>13150059</v>
      </c>
      <c r="I435" s="1">
        <v>201560</v>
      </c>
      <c r="K435" s="41">
        <f t="shared" si="59"/>
        <v>26477215</v>
      </c>
      <c r="M435" s="1">
        <v>39828834</v>
      </c>
      <c r="O435" s="41">
        <f t="shared" si="60"/>
        <v>6865210</v>
      </c>
      <c r="Q435" s="1">
        <f>3541108+21114114</f>
        <v>24655222</v>
      </c>
      <c r="S435" s="1">
        <v>31520432</v>
      </c>
      <c r="U435" s="1">
        <f>686262+201560+22204+925122+60366+1362957</f>
        <v>3258471</v>
      </c>
      <c r="W435" s="1">
        <v>0</v>
      </c>
      <c r="Y435" s="1">
        <f>534864+937310+3577757</f>
        <v>5049931</v>
      </c>
      <c r="AA435" s="58">
        <f t="shared" si="61"/>
        <v>8308402</v>
      </c>
      <c r="AC435" s="1">
        <f t="shared" si="62"/>
        <v>0</v>
      </c>
    </row>
    <row r="436" spans="1:29" ht="12" customHeight="1">
      <c r="A436" s="12" t="s">
        <v>641</v>
      </c>
      <c r="B436" s="12"/>
      <c r="C436" s="12" t="s">
        <v>71</v>
      </c>
      <c r="D436" s="12"/>
      <c r="E436" s="13">
        <v>44610</v>
      </c>
      <c r="G436" s="1">
        <f>5465540+142855+1383693</f>
        <v>6992088</v>
      </c>
      <c r="I436" s="1">
        <v>0</v>
      </c>
      <c r="K436" s="41">
        <f t="shared" si="59"/>
        <v>25045085</v>
      </c>
      <c r="M436" s="1">
        <v>32037173</v>
      </c>
      <c r="O436" s="41">
        <f t="shared" si="60"/>
        <v>2696819</v>
      </c>
      <c r="Q436" s="1">
        <v>24449839</v>
      </c>
      <c r="S436" s="1">
        <v>27146658</v>
      </c>
      <c r="U436" s="1">
        <f>1443720+515000</f>
        <v>1958720</v>
      </c>
      <c r="W436" s="1">
        <v>0</v>
      </c>
      <c r="Y436" s="1">
        <f>-1201318+263536+465422+3404155</f>
        <v>2931795</v>
      </c>
      <c r="AA436" s="58">
        <f t="shared" si="61"/>
        <v>4890515</v>
      </c>
      <c r="AC436" s="1">
        <f t="shared" si="62"/>
        <v>0</v>
      </c>
    </row>
    <row r="437" spans="1:29" ht="12" customHeight="1">
      <c r="A437" s="12" t="s">
        <v>583</v>
      </c>
      <c r="B437" s="12"/>
      <c r="C437" s="12" t="s">
        <v>62</v>
      </c>
      <c r="D437" s="12"/>
      <c r="E437" s="13">
        <v>49916</v>
      </c>
      <c r="G437" s="1">
        <f>6239684+289612+1003555</f>
        <v>7532851</v>
      </c>
      <c r="I437" s="1">
        <v>28109</v>
      </c>
      <c r="K437" s="41">
        <f>M437-G437-I437</f>
        <v>5255614</v>
      </c>
      <c r="M437" s="1">
        <v>12816574</v>
      </c>
      <c r="O437" s="41">
        <f>S437-Q437</f>
        <v>4928252</v>
      </c>
      <c r="Q437" s="1">
        <v>2288981</v>
      </c>
      <c r="S437" s="1">
        <v>7217233</v>
      </c>
      <c r="U437" s="1">
        <f>1723957+10118+6701+94770+1153+26956</f>
        <v>1863655</v>
      </c>
      <c r="W437" s="1">
        <v>0</v>
      </c>
      <c r="Y437" s="1">
        <f>1928610+178375+209659+1419042</f>
        <v>3735686</v>
      </c>
      <c r="AA437" s="58">
        <f t="shared" si="61"/>
        <v>5599341</v>
      </c>
      <c r="AC437" s="1">
        <f t="shared" si="62"/>
        <v>0</v>
      </c>
    </row>
    <row r="438" spans="1:29">
      <c r="A438" s="12" t="s">
        <v>650</v>
      </c>
      <c r="B438" s="12"/>
      <c r="C438" s="12" t="s">
        <v>72</v>
      </c>
      <c r="D438" s="12"/>
      <c r="E438" s="13">
        <v>50724</v>
      </c>
      <c r="G438" s="1">
        <f>7782746+440</f>
        <v>7783186</v>
      </c>
      <c r="I438" s="1">
        <v>91738</v>
      </c>
      <c r="K438" s="41">
        <f>M438-G438-I438</f>
        <v>25206665</v>
      </c>
      <c r="M438" s="1">
        <v>33081589</v>
      </c>
      <c r="O438" s="41">
        <f>S438-Q438</f>
        <v>1499140</v>
      </c>
      <c r="Q438" s="1">
        <v>23688577</v>
      </c>
      <c r="S438" s="1">
        <v>25187717</v>
      </c>
      <c r="U438" s="1">
        <f>674324+41050+50688+144363</f>
        <v>910425</v>
      </c>
      <c r="W438" s="1">
        <v>0</v>
      </c>
      <c r="Y438" s="1">
        <f>57847+56561+476435+6392604</f>
        <v>6983447</v>
      </c>
      <c r="AA438" s="58">
        <f t="shared" si="61"/>
        <v>7893872</v>
      </c>
      <c r="AC438" s="1">
        <f t="shared" si="62"/>
        <v>0</v>
      </c>
    </row>
    <row r="439" spans="1:29">
      <c r="A439" s="12" t="s">
        <v>452</v>
      </c>
      <c r="B439" s="12"/>
      <c r="C439" s="12" t="s">
        <v>117</v>
      </c>
      <c r="D439" s="12"/>
      <c r="E439" s="13">
        <v>48215</v>
      </c>
      <c r="G439" s="1">
        <f>3163938+2021471</f>
        <v>5185409</v>
      </c>
      <c r="I439" s="1">
        <v>56845</v>
      </c>
      <c r="K439" s="41">
        <f>M439-G439-I439</f>
        <v>9817752</v>
      </c>
      <c r="M439" s="1">
        <v>15060006</v>
      </c>
      <c r="O439" s="41">
        <f>S439-Q439</f>
        <v>1337233</v>
      </c>
      <c r="Q439" s="1">
        <f>9298475+5569</f>
        <v>9304044</v>
      </c>
      <c r="S439" s="1">
        <v>10641277</v>
      </c>
      <c r="U439" s="1">
        <f>23076+107732+119885+335166+56845</f>
        <v>642704</v>
      </c>
      <c r="W439" s="1">
        <v>0</v>
      </c>
      <c r="Y439" s="1">
        <f>3370556+228060+177409</f>
        <v>3776025</v>
      </c>
      <c r="AA439" s="58">
        <f t="shared" si="61"/>
        <v>4418729</v>
      </c>
      <c r="AC439" s="1">
        <f t="shared" si="62"/>
        <v>0</v>
      </c>
    </row>
    <row r="440" spans="1:29" hidden="1">
      <c r="A440" s="12" t="s">
        <v>885</v>
      </c>
      <c r="B440" s="12"/>
      <c r="C440" s="12" t="s">
        <v>542</v>
      </c>
      <c r="D440" s="12"/>
      <c r="E440" s="13">
        <v>49379</v>
      </c>
      <c r="F440" s="16"/>
      <c r="K440" s="41">
        <f t="shared" ref="K440:K500" si="63">M440-G440-I440</f>
        <v>0</v>
      </c>
      <c r="O440" s="41">
        <f t="shared" ref="O440:O500" si="64">S440-Q440</f>
        <v>0</v>
      </c>
      <c r="AA440" s="58">
        <f t="shared" ref="AA440:AA500" si="65">U440+W440+Y440</f>
        <v>0</v>
      </c>
      <c r="AC440" s="1">
        <f t="shared" si="62"/>
        <v>0</v>
      </c>
    </row>
    <row r="441" spans="1:29" hidden="1">
      <c r="A441" s="12" t="s">
        <v>884</v>
      </c>
      <c r="B441" s="12"/>
      <c r="C441" s="12" t="s">
        <v>542</v>
      </c>
      <c r="D441" s="12"/>
      <c r="E441" s="13">
        <v>49387</v>
      </c>
      <c r="K441" s="41">
        <f t="shared" si="63"/>
        <v>0</v>
      </c>
      <c r="O441" s="41">
        <f t="shared" si="64"/>
        <v>0</v>
      </c>
      <c r="AA441" s="58">
        <f t="shared" si="65"/>
        <v>0</v>
      </c>
      <c r="AC441" s="1">
        <f t="shared" si="62"/>
        <v>0</v>
      </c>
    </row>
    <row r="442" spans="1:29">
      <c r="A442" s="12" t="s">
        <v>417</v>
      </c>
      <c r="B442" s="12"/>
      <c r="C442" s="12" t="s">
        <v>41</v>
      </c>
      <c r="D442" s="12"/>
      <c r="E442" s="13">
        <v>44628</v>
      </c>
      <c r="G442" s="1">
        <v>7451348</v>
      </c>
      <c r="I442" s="1">
        <v>1018054</v>
      </c>
      <c r="K442" s="41">
        <f t="shared" si="63"/>
        <v>10556282</v>
      </c>
      <c r="M442" s="1">
        <v>19025684</v>
      </c>
      <c r="O442" s="41">
        <f t="shared" si="64"/>
        <v>6594935</v>
      </c>
      <c r="Q442" s="1">
        <v>8316352</v>
      </c>
      <c r="S442" s="1">
        <v>14911287</v>
      </c>
      <c r="U442" s="1">
        <f>2226619+29151+851358+105468</f>
        <v>3212596</v>
      </c>
      <c r="W442" s="1">
        <v>0</v>
      </c>
      <c r="Y442" s="1">
        <f>-2309125+110008+1194808+1906110</f>
        <v>901801</v>
      </c>
      <c r="AA442" s="58">
        <f t="shared" si="65"/>
        <v>4114397</v>
      </c>
      <c r="AC442" s="1">
        <f t="shared" si="62"/>
        <v>0</v>
      </c>
    </row>
    <row r="443" spans="1:29" hidden="1">
      <c r="A443" s="17" t="s">
        <v>852</v>
      </c>
      <c r="B443" s="12"/>
      <c r="C443" s="12" t="s">
        <v>41</v>
      </c>
      <c r="D443" s="12"/>
      <c r="E443" s="13">
        <v>47894</v>
      </c>
      <c r="K443" s="41">
        <f t="shared" si="63"/>
        <v>0</v>
      </c>
      <c r="O443" s="41">
        <f t="shared" si="64"/>
        <v>0</v>
      </c>
      <c r="AA443" s="58">
        <f t="shared" si="65"/>
        <v>0</v>
      </c>
      <c r="AC443" s="1">
        <f t="shared" si="62"/>
        <v>0</v>
      </c>
    </row>
    <row r="444" spans="1:29">
      <c r="A444" s="12" t="s">
        <v>552</v>
      </c>
      <c r="B444" s="12"/>
      <c r="C444" s="12" t="s">
        <v>58</v>
      </c>
      <c r="D444" s="12"/>
      <c r="E444" s="13">
        <v>49510</v>
      </c>
      <c r="G444" s="1">
        <v>4625827</v>
      </c>
      <c r="I444" s="1">
        <v>225627</v>
      </c>
      <c r="K444" s="41">
        <f t="shared" si="63"/>
        <v>2344212</v>
      </c>
      <c r="M444" s="1">
        <v>7195666</v>
      </c>
      <c r="O444" s="41">
        <f t="shared" si="64"/>
        <v>1219153</v>
      </c>
      <c r="Q444" s="1">
        <v>2029700</v>
      </c>
      <c r="S444" s="1">
        <v>3248853</v>
      </c>
      <c r="U444" s="1">
        <f>244602+3000+273600+211442</f>
        <v>732644</v>
      </c>
      <c r="W444" s="1">
        <v>0</v>
      </c>
      <c r="Y444" s="1">
        <f>2339480+325891+161408+387241+149</f>
        <v>3214169</v>
      </c>
      <c r="AA444" s="58">
        <f t="shared" si="65"/>
        <v>3946813</v>
      </c>
      <c r="AC444" s="1">
        <f t="shared" si="62"/>
        <v>0</v>
      </c>
    </row>
    <row r="445" spans="1:29" hidden="1">
      <c r="A445" s="17" t="s">
        <v>853</v>
      </c>
      <c r="B445" s="12"/>
      <c r="C445" s="12" t="s">
        <v>542</v>
      </c>
      <c r="D445" s="12"/>
      <c r="E445" s="13">
        <v>49395</v>
      </c>
      <c r="K445" s="41">
        <f t="shared" si="63"/>
        <v>0</v>
      </c>
      <c r="O445" s="41">
        <f t="shared" si="64"/>
        <v>0</v>
      </c>
      <c r="AA445" s="58">
        <f t="shared" si="65"/>
        <v>0</v>
      </c>
      <c r="AC445" s="1">
        <f t="shared" si="62"/>
        <v>0</v>
      </c>
    </row>
    <row r="446" spans="1:29" hidden="1">
      <c r="A446" s="17" t="s">
        <v>854</v>
      </c>
      <c r="B446" s="12"/>
      <c r="C446" s="12" t="s">
        <v>486</v>
      </c>
      <c r="D446" s="12"/>
      <c r="E446" s="13">
        <v>48579</v>
      </c>
      <c r="K446" s="41">
        <f t="shared" si="63"/>
        <v>0</v>
      </c>
      <c r="O446" s="41">
        <f t="shared" si="64"/>
        <v>0</v>
      </c>
      <c r="AA446" s="58">
        <f t="shared" si="65"/>
        <v>0</v>
      </c>
      <c r="AC446" s="1">
        <f t="shared" si="62"/>
        <v>0</v>
      </c>
    </row>
    <row r="447" spans="1:29">
      <c r="A447" s="12" t="s">
        <v>300</v>
      </c>
      <c r="B447" s="12"/>
      <c r="C447" s="12" t="s">
        <v>20</v>
      </c>
      <c r="D447" s="12"/>
      <c r="E447" s="12">
        <v>44636</v>
      </c>
      <c r="G447" s="1">
        <v>12742224</v>
      </c>
      <c r="I447" s="1">
        <v>0</v>
      </c>
      <c r="K447" s="41">
        <f t="shared" si="63"/>
        <v>94417333</v>
      </c>
      <c r="M447" s="1">
        <v>107159557</v>
      </c>
      <c r="O447" s="41">
        <f t="shared" si="64"/>
        <v>18653383</v>
      </c>
      <c r="Q447" s="1">
        <v>79022240</v>
      </c>
      <c r="S447" s="1">
        <v>97675623</v>
      </c>
      <c r="U447" s="1">
        <f>951613+12517517</f>
        <v>13469130</v>
      </c>
      <c r="W447" s="1">
        <v>0</v>
      </c>
      <c r="Y447" s="1">
        <f>-5612335+867337+1206022-446220</f>
        <v>-3985196</v>
      </c>
      <c r="AA447" s="58">
        <f t="shared" si="65"/>
        <v>9483934</v>
      </c>
      <c r="AC447" s="1">
        <f t="shared" si="62"/>
        <v>0</v>
      </c>
    </row>
    <row r="448" spans="1:29">
      <c r="A448" s="12" t="s">
        <v>393</v>
      </c>
      <c r="B448" s="12"/>
      <c r="C448" s="12" t="s">
        <v>34</v>
      </c>
      <c r="D448" s="12"/>
      <c r="E448" s="13">
        <v>47597</v>
      </c>
      <c r="G448" s="1">
        <v>2295153</v>
      </c>
      <c r="I448" s="1">
        <v>23745</v>
      </c>
      <c r="K448" s="41">
        <f t="shared" si="63"/>
        <v>5706521</v>
      </c>
      <c r="M448" s="1">
        <v>8025419</v>
      </c>
      <c r="O448" s="41">
        <f t="shared" si="64"/>
        <v>1287625</v>
      </c>
      <c r="Q448" s="1">
        <v>4764021</v>
      </c>
      <c r="S448" s="1">
        <v>6051646</v>
      </c>
      <c r="U448" s="1">
        <f>446506+342516+23745</f>
        <v>812767</v>
      </c>
      <c r="W448" s="1">
        <v>0</v>
      </c>
      <c r="Y448" s="1">
        <f>152051+622695+272726+113534</f>
        <v>1161006</v>
      </c>
      <c r="AA448" s="58">
        <f t="shared" si="65"/>
        <v>1973773</v>
      </c>
      <c r="AC448" s="1">
        <f t="shared" si="62"/>
        <v>0</v>
      </c>
    </row>
    <row r="449" spans="1:29" hidden="1">
      <c r="A449" s="17" t="s">
        <v>855</v>
      </c>
      <c r="B449" s="12"/>
      <c r="C449" s="12" t="s">
        <v>523</v>
      </c>
      <c r="D449" s="12"/>
      <c r="E449" s="13">
        <v>45575</v>
      </c>
      <c r="K449" s="41">
        <f t="shared" si="63"/>
        <v>0</v>
      </c>
      <c r="O449" s="41">
        <f t="shared" si="64"/>
        <v>0</v>
      </c>
      <c r="AA449" s="58">
        <f t="shared" si="65"/>
        <v>0</v>
      </c>
      <c r="AC449" s="1">
        <f t="shared" si="62"/>
        <v>0</v>
      </c>
    </row>
    <row r="450" spans="1:29">
      <c r="A450" s="12" t="s">
        <v>318</v>
      </c>
      <c r="B450" s="12"/>
      <c r="C450" s="12" t="s">
        <v>24</v>
      </c>
      <c r="D450" s="12"/>
      <c r="E450" s="13">
        <v>46813</v>
      </c>
      <c r="G450" s="1">
        <f>8026118+1770+77701</f>
        <v>8105589</v>
      </c>
      <c r="I450" s="1">
        <v>0</v>
      </c>
      <c r="K450" s="41">
        <f t="shared" si="63"/>
        <v>14780931</v>
      </c>
      <c r="M450" s="1">
        <v>22886520</v>
      </c>
      <c r="O450" s="41">
        <f t="shared" si="64"/>
        <v>13897337</v>
      </c>
      <c r="Q450" s="1">
        <v>2573619</v>
      </c>
      <c r="S450" s="1">
        <v>16470956</v>
      </c>
      <c r="U450" s="1">
        <f>251624+113878+1666618+37700+4260</f>
        <v>2074080</v>
      </c>
      <c r="W450" s="1">
        <v>0</v>
      </c>
      <c r="Y450" s="1">
        <f>3308811+358735+673938</f>
        <v>4341484</v>
      </c>
      <c r="AA450" s="58">
        <f t="shared" si="65"/>
        <v>6415564</v>
      </c>
      <c r="AC450" s="1">
        <f t="shared" si="62"/>
        <v>0</v>
      </c>
    </row>
    <row r="451" spans="1:29" hidden="1">
      <c r="A451" s="17" t="s">
        <v>856</v>
      </c>
      <c r="B451" s="17"/>
      <c r="C451" s="17" t="s">
        <v>10</v>
      </c>
      <c r="D451" s="12"/>
      <c r="E451" s="13"/>
      <c r="K451" s="41">
        <f t="shared" si="63"/>
        <v>0</v>
      </c>
      <c r="O451" s="41">
        <f t="shared" si="64"/>
        <v>0</v>
      </c>
      <c r="AA451" s="58">
        <f t="shared" si="65"/>
        <v>0</v>
      </c>
      <c r="AC451" s="1">
        <f t="shared" si="62"/>
        <v>0</v>
      </c>
    </row>
    <row r="452" spans="1:29">
      <c r="A452" s="12" t="s">
        <v>205</v>
      </c>
      <c r="B452" s="12"/>
      <c r="C452" s="12" t="s">
        <v>41</v>
      </c>
      <c r="D452" s="12"/>
      <c r="E452" s="13">
        <v>47902</v>
      </c>
      <c r="G452" s="1">
        <v>34228722</v>
      </c>
      <c r="I452" s="1">
        <v>28165</v>
      </c>
      <c r="K452" s="41">
        <f t="shared" si="63"/>
        <v>26589335</v>
      </c>
      <c r="M452" s="1">
        <v>60846222</v>
      </c>
      <c r="O452" s="41">
        <f t="shared" si="64"/>
        <v>2860637</v>
      </c>
      <c r="Q452" s="1">
        <v>25145088</v>
      </c>
      <c r="S452" s="1">
        <v>28005725</v>
      </c>
      <c r="U452" s="1">
        <f>245529+58165+627079</f>
        <v>930773</v>
      </c>
      <c r="W452" s="1">
        <v>0</v>
      </c>
      <c r="Y452" s="1">
        <f>15473076+2200190+14236458</f>
        <v>31909724</v>
      </c>
      <c r="AA452" s="58">
        <f t="shared" si="65"/>
        <v>32840497</v>
      </c>
      <c r="AC452" s="1">
        <f t="shared" si="62"/>
        <v>0</v>
      </c>
    </row>
    <row r="453" spans="1:29">
      <c r="A453" s="12" t="s">
        <v>205</v>
      </c>
      <c r="B453" s="12"/>
      <c r="C453" s="12" t="s">
        <v>62</v>
      </c>
      <c r="D453" s="12"/>
      <c r="E453" s="13">
        <v>49924</v>
      </c>
      <c r="G453" s="1">
        <v>31503508</v>
      </c>
      <c r="I453" s="1">
        <v>0</v>
      </c>
      <c r="K453" s="41">
        <f t="shared" si="63"/>
        <v>20591116</v>
      </c>
      <c r="M453" s="1">
        <v>52094624</v>
      </c>
      <c r="O453" s="41">
        <f t="shared" si="64"/>
        <v>6866359</v>
      </c>
      <c r="Q453" s="1">
        <v>19286233</v>
      </c>
      <c r="S453" s="1">
        <v>26152592</v>
      </c>
      <c r="U453" s="1">
        <f>2390211+679150</f>
        <v>3069361</v>
      </c>
      <c r="W453" s="1">
        <v>0</v>
      </c>
      <c r="Y453" s="1">
        <f>18229831+360164+4282676</f>
        <v>22872671</v>
      </c>
      <c r="AA453" s="58">
        <f t="shared" si="65"/>
        <v>25942032</v>
      </c>
      <c r="AC453" s="1">
        <f t="shared" si="62"/>
        <v>0</v>
      </c>
    </row>
    <row r="454" spans="1:29">
      <c r="A454" s="12" t="s">
        <v>651</v>
      </c>
      <c r="B454" s="12"/>
      <c r="C454" s="12" t="s">
        <v>72</v>
      </c>
      <c r="D454" s="12"/>
      <c r="E454" s="13">
        <v>45583</v>
      </c>
      <c r="G454" s="1">
        <v>2905717</v>
      </c>
      <c r="I454" s="1">
        <v>157481</v>
      </c>
      <c r="K454" s="41">
        <f t="shared" si="63"/>
        <v>28930944</v>
      </c>
      <c r="M454" s="1">
        <v>31994142</v>
      </c>
      <c r="O454" s="41">
        <f t="shared" si="64"/>
        <v>29053649</v>
      </c>
      <c r="Q454" s="1">
        <v>1114010</v>
      </c>
      <c r="S454" s="1">
        <v>30167659</v>
      </c>
      <c r="U454" s="1">
        <f>1826483+4867087-563383-407083</f>
        <v>5723104</v>
      </c>
      <c r="W454" s="1">
        <v>0</v>
      </c>
      <c r="Y454" s="1">
        <f>-4867087+563383+407083</f>
        <v>-3896621</v>
      </c>
      <c r="AA454" s="58">
        <f t="shared" si="65"/>
        <v>1826483</v>
      </c>
      <c r="AC454" s="1">
        <f t="shared" si="62"/>
        <v>0</v>
      </c>
    </row>
    <row r="455" spans="1:29">
      <c r="A455" s="12" t="s">
        <v>345</v>
      </c>
      <c r="B455" s="12"/>
      <c r="C455" s="12" t="s">
        <v>28</v>
      </c>
      <c r="D455" s="12"/>
      <c r="E455" s="13">
        <v>47076</v>
      </c>
      <c r="G455" s="1">
        <f>7479576+8848926</f>
        <v>16328502</v>
      </c>
      <c r="I455" s="1">
        <v>0</v>
      </c>
      <c r="K455" s="41">
        <f t="shared" si="63"/>
        <v>1894224</v>
      </c>
      <c r="M455" s="1">
        <v>18222726</v>
      </c>
      <c r="O455" s="41">
        <f t="shared" si="64"/>
        <v>740542</v>
      </c>
      <c r="Q455" s="1">
        <v>1541905</v>
      </c>
      <c r="S455" s="1">
        <v>2282447</v>
      </c>
      <c r="U455" s="1">
        <f>796035+12045+115078</f>
        <v>923158</v>
      </c>
      <c r="W455" s="1">
        <v>0</v>
      </c>
      <c r="Y455" s="1">
        <f>672344+354613+131471+13858693</f>
        <v>15017121</v>
      </c>
      <c r="AA455" s="58">
        <f t="shared" si="65"/>
        <v>15940279</v>
      </c>
      <c r="AC455" s="1">
        <f t="shared" si="62"/>
        <v>0</v>
      </c>
    </row>
    <row r="456" spans="1:29">
      <c r="A456" s="12" t="s">
        <v>326</v>
      </c>
      <c r="B456" s="12"/>
      <c r="C456" s="12" t="s">
        <v>25</v>
      </c>
      <c r="D456" s="12"/>
      <c r="E456" s="13">
        <v>46896</v>
      </c>
      <c r="G456" s="1">
        <f>49559133+21881+84124</f>
        <v>49665138</v>
      </c>
      <c r="I456" s="1">
        <v>22684</v>
      </c>
      <c r="K456" s="41">
        <f t="shared" si="63"/>
        <v>89748903</v>
      </c>
      <c r="M456" s="1">
        <v>139436725</v>
      </c>
      <c r="O456" s="41">
        <f t="shared" si="64"/>
        <v>51199502</v>
      </c>
      <c r="Q456" s="1">
        <v>43750770</v>
      </c>
      <c r="S456" s="1">
        <v>94950272</v>
      </c>
      <c r="U456" s="1">
        <f>5505976+22684+46661+3998200+114907+15256013+300000</f>
        <v>25244441</v>
      </c>
      <c r="W456" s="1">
        <v>2458979</v>
      </c>
      <c r="Y456" s="1">
        <f>5820541+10962492</f>
        <v>16783033</v>
      </c>
      <c r="AA456" s="58">
        <f t="shared" si="65"/>
        <v>44486453</v>
      </c>
      <c r="AC456" s="1">
        <f t="shared" si="62"/>
        <v>0</v>
      </c>
    </row>
    <row r="457" spans="1:29">
      <c r="A457" s="12" t="s">
        <v>346</v>
      </c>
      <c r="B457" s="12"/>
      <c r="C457" s="12" t="s">
        <v>28</v>
      </c>
      <c r="D457" s="12"/>
      <c r="E457" s="13">
        <v>47084</v>
      </c>
      <c r="G457" s="1">
        <v>20665613</v>
      </c>
      <c r="I457" s="1">
        <v>26007</v>
      </c>
      <c r="K457" s="41">
        <f t="shared" si="63"/>
        <v>9522258</v>
      </c>
      <c r="M457" s="1">
        <v>30213878</v>
      </c>
      <c r="O457" s="41">
        <f t="shared" si="64"/>
        <v>3110264</v>
      </c>
      <c r="Q457" s="1">
        <v>8928186</v>
      </c>
      <c r="S457" s="1">
        <v>12038450</v>
      </c>
      <c r="U457" s="1">
        <f>32010+15817026+817278</f>
        <v>16666314</v>
      </c>
      <c r="W457" s="1">
        <v>0</v>
      </c>
      <c r="Y457" s="1">
        <v>1509114</v>
      </c>
      <c r="AA457" s="58">
        <f t="shared" si="65"/>
        <v>18175428</v>
      </c>
      <c r="AC457" s="1">
        <f t="shared" si="62"/>
        <v>0</v>
      </c>
    </row>
    <row r="458" spans="1:29">
      <c r="A458" s="12" t="s">
        <v>490</v>
      </c>
      <c r="B458" s="12"/>
      <c r="C458" s="12" t="s">
        <v>48</v>
      </c>
      <c r="D458" s="12"/>
      <c r="E458" s="13">
        <v>44644</v>
      </c>
      <c r="G458" s="1">
        <f>7052304+2937875</f>
        <v>9990179</v>
      </c>
      <c r="I458" s="1">
        <f>346249+762</f>
        <v>347011</v>
      </c>
      <c r="K458" s="41">
        <f t="shared" si="63"/>
        <v>15775432</v>
      </c>
      <c r="M458" s="1">
        <v>26112622</v>
      </c>
      <c r="O458" s="41">
        <f t="shared" si="64"/>
        <v>4088032</v>
      </c>
      <c r="Q458" s="1">
        <f>12865020+99290</f>
        <v>12964310</v>
      </c>
      <c r="S458" s="1">
        <v>17052342</v>
      </c>
      <c r="U458" s="1">
        <f>790045+16451+766955+967192+65969+346249</f>
        <v>2952861</v>
      </c>
      <c r="W458" s="1">
        <v>0</v>
      </c>
      <c r="Y458" s="1">
        <f>3785161+611216+1711042</f>
        <v>6107419</v>
      </c>
      <c r="AA458" s="58">
        <f t="shared" si="65"/>
        <v>9060280</v>
      </c>
      <c r="AC458" s="1">
        <f t="shared" si="62"/>
        <v>0</v>
      </c>
    </row>
    <row r="459" spans="1:29" hidden="1">
      <c r="A459" s="17" t="s">
        <v>857</v>
      </c>
      <c r="B459" s="12"/>
      <c r="C459" s="12" t="s">
        <v>27</v>
      </c>
      <c r="D459" s="12"/>
      <c r="E459" s="13">
        <v>46995</v>
      </c>
      <c r="K459" s="41">
        <f t="shared" si="63"/>
        <v>0</v>
      </c>
      <c r="O459" s="41">
        <f t="shared" si="64"/>
        <v>0</v>
      </c>
      <c r="AA459" s="58">
        <f t="shared" si="65"/>
        <v>0</v>
      </c>
      <c r="AC459" s="1">
        <f t="shared" si="62"/>
        <v>0</v>
      </c>
    </row>
    <row r="460" spans="1:29">
      <c r="A460" s="12" t="s">
        <v>338</v>
      </c>
      <c r="B460" s="12"/>
      <c r="C460" s="12" t="s">
        <v>62</v>
      </c>
      <c r="D460" s="12"/>
      <c r="E460" s="13">
        <v>49932</v>
      </c>
      <c r="G460" s="1">
        <v>14212807</v>
      </c>
      <c r="I460" s="1">
        <v>229590</v>
      </c>
      <c r="K460" s="41">
        <f t="shared" si="63"/>
        <v>33364264</v>
      </c>
      <c r="M460" s="1">
        <v>47806661</v>
      </c>
      <c r="O460" s="41">
        <f t="shared" si="64"/>
        <v>39678068</v>
      </c>
      <c r="Q460" s="1">
        <v>2751252</v>
      </c>
      <c r="S460" s="1">
        <v>42429320</v>
      </c>
      <c r="U460" s="1">
        <f>5377341-1686225</f>
        <v>3691116</v>
      </c>
      <c r="W460" s="1">
        <v>0</v>
      </c>
      <c r="Y460" s="1">
        <f>86250+2063236+174725-637986</f>
        <v>1686225</v>
      </c>
      <c r="AA460" s="58">
        <f t="shared" si="65"/>
        <v>5377341</v>
      </c>
      <c r="AC460" s="1">
        <f t="shared" si="62"/>
        <v>0</v>
      </c>
    </row>
    <row r="461" spans="1:29">
      <c r="A461" s="12" t="s">
        <v>475</v>
      </c>
      <c r="B461" s="12"/>
      <c r="C461" s="12" t="s">
        <v>46</v>
      </c>
      <c r="D461" s="12"/>
      <c r="E461" s="13">
        <v>48421</v>
      </c>
      <c r="G461" s="1">
        <v>4515264</v>
      </c>
      <c r="I461" s="1">
        <v>119429</v>
      </c>
      <c r="K461" s="41">
        <f t="shared" si="63"/>
        <v>4873924</v>
      </c>
      <c r="M461" s="1">
        <v>9508617</v>
      </c>
      <c r="O461" s="41">
        <f t="shared" si="64"/>
        <v>1391913</v>
      </c>
      <c r="Q461" s="1">
        <v>2883418</v>
      </c>
      <c r="S461" s="1">
        <v>4275331</v>
      </c>
      <c r="U461" s="1">
        <f>1660713+119429+397340</f>
        <v>2177482</v>
      </c>
      <c r="W461" s="1">
        <v>0</v>
      </c>
      <c r="Y461" s="1">
        <f>1119537+6541+464245+1465481</f>
        <v>3055804</v>
      </c>
      <c r="AA461" s="58">
        <f t="shared" si="65"/>
        <v>5233286</v>
      </c>
      <c r="AC461" s="1">
        <f t="shared" si="62"/>
        <v>0</v>
      </c>
    </row>
    <row r="462" spans="1:29">
      <c r="A462" s="12" t="s">
        <v>547</v>
      </c>
      <c r="B462" s="12"/>
      <c r="C462" s="12" t="s">
        <v>112</v>
      </c>
      <c r="D462" s="12"/>
      <c r="E462" s="12">
        <v>49460</v>
      </c>
      <c r="G462" s="1">
        <f>3831036+324179</f>
        <v>4155215</v>
      </c>
      <c r="I462" s="1">
        <v>25818</v>
      </c>
      <c r="K462" s="41">
        <f t="shared" si="63"/>
        <v>2784292</v>
      </c>
      <c r="M462" s="1">
        <v>6965325</v>
      </c>
      <c r="O462" s="41">
        <f t="shared" si="64"/>
        <v>2757439</v>
      </c>
      <c r="Q462" s="1">
        <v>801469</v>
      </c>
      <c r="S462" s="1">
        <v>3558908</v>
      </c>
      <c r="U462" s="1">
        <f>3406417-2796869</f>
        <v>609548</v>
      </c>
      <c r="W462" s="1">
        <v>0</v>
      </c>
      <c r="Y462" s="1">
        <f>1782336+329644+684889</f>
        <v>2796869</v>
      </c>
      <c r="AA462" s="58">
        <f t="shared" si="65"/>
        <v>3406417</v>
      </c>
      <c r="AC462" s="1">
        <f t="shared" si="62"/>
        <v>0</v>
      </c>
    </row>
    <row r="463" spans="1:29">
      <c r="A463" s="17" t="s">
        <v>909</v>
      </c>
      <c r="B463" s="12"/>
      <c r="C463" s="12" t="s">
        <v>45</v>
      </c>
      <c r="D463" s="12"/>
      <c r="E463" s="13">
        <v>48348</v>
      </c>
      <c r="G463" s="1">
        <v>6277554</v>
      </c>
      <c r="I463" s="1">
        <v>91267</v>
      </c>
      <c r="K463" s="41">
        <f t="shared" si="63"/>
        <v>12366152</v>
      </c>
      <c r="M463" s="1">
        <v>18734973</v>
      </c>
      <c r="O463" s="41">
        <f t="shared" si="64"/>
        <v>3875354</v>
      </c>
      <c r="Q463" s="1">
        <v>12329025</v>
      </c>
      <c r="S463" s="1">
        <v>16204379</v>
      </c>
      <c r="U463" s="1">
        <f>315036+14032+77235</f>
        <v>406303</v>
      </c>
      <c r="W463" s="1">
        <v>247765</v>
      </c>
      <c r="Y463" s="1">
        <f>952563+225566+1522784-824387</f>
        <v>1876526</v>
      </c>
      <c r="AA463" s="58">
        <f t="shared" si="65"/>
        <v>2530594</v>
      </c>
      <c r="AC463" s="1">
        <f t="shared" si="62"/>
        <v>0</v>
      </c>
    </row>
    <row r="464" spans="1:29">
      <c r="A464" s="12" t="s">
        <v>522</v>
      </c>
      <c r="B464" s="12"/>
      <c r="C464" s="12" t="s">
        <v>53</v>
      </c>
      <c r="D464" s="12"/>
      <c r="E464" s="13">
        <v>44651</v>
      </c>
      <c r="G464" s="1">
        <v>53867775</v>
      </c>
      <c r="I464" s="1">
        <v>0</v>
      </c>
      <c r="K464" s="41">
        <f t="shared" si="63"/>
        <v>16941504</v>
      </c>
      <c r="M464" s="1">
        <v>70809279</v>
      </c>
      <c r="O464" s="41">
        <f t="shared" si="64"/>
        <v>16144396</v>
      </c>
      <c r="Q464" s="1">
        <v>855781</v>
      </c>
      <c r="S464" s="1">
        <v>17000177</v>
      </c>
      <c r="U464" s="1">
        <f>380024+13580+2177031+19528+50863</f>
        <v>2641026</v>
      </c>
      <c r="W464" s="1">
        <v>771130</v>
      </c>
      <c r="Y464" s="1">
        <f>6378939+155219+1893965+41968823</f>
        <v>50396946</v>
      </c>
      <c r="AA464" s="58">
        <f t="shared" si="65"/>
        <v>53809102</v>
      </c>
      <c r="AC464" s="1">
        <f t="shared" si="62"/>
        <v>0</v>
      </c>
    </row>
    <row r="465" spans="1:29">
      <c r="A465" s="12" t="s">
        <v>564</v>
      </c>
      <c r="B465" s="12"/>
      <c r="C465" s="12" t="s">
        <v>59</v>
      </c>
      <c r="D465" s="12"/>
      <c r="E465" s="13">
        <v>44669</v>
      </c>
      <c r="G465" s="1">
        <v>8865333</v>
      </c>
      <c r="I465" s="1">
        <v>182690</v>
      </c>
      <c r="K465" s="41">
        <f t="shared" si="63"/>
        <v>7760226</v>
      </c>
      <c r="M465" s="1">
        <v>16808249</v>
      </c>
      <c r="O465" s="41">
        <f t="shared" si="64"/>
        <v>2682986</v>
      </c>
      <c r="Q465" s="1">
        <v>6958571</v>
      </c>
      <c r="S465" s="1">
        <v>9641557</v>
      </c>
      <c r="U465" s="1">
        <f>63705+393250+40028+123030+19632</f>
        <v>639645</v>
      </c>
      <c r="W465" s="1">
        <v>111202</v>
      </c>
      <c r="Y465" s="1">
        <f>1349680+556352+2971820+1537993</f>
        <v>6415845</v>
      </c>
      <c r="AA465" s="58">
        <f t="shared" si="65"/>
        <v>7166692</v>
      </c>
      <c r="AC465" s="1">
        <f t="shared" si="62"/>
        <v>0</v>
      </c>
    </row>
    <row r="466" spans="1:29" hidden="1">
      <c r="A466" s="17" t="s">
        <v>858</v>
      </c>
      <c r="B466" s="12"/>
      <c r="C466" s="12" t="s">
        <v>57</v>
      </c>
      <c r="D466" s="12"/>
      <c r="E466" s="13">
        <v>49288</v>
      </c>
      <c r="K466" s="41">
        <f t="shared" si="63"/>
        <v>0</v>
      </c>
      <c r="O466" s="41">
        <f t="shared" si="64"/>
        <v>0</v>
      </c>
      <c r="AA466" s="58">
        <f t="shared" si="65"/>
        <v>0</v>
      </c>
      <c r="AC466" s="1">
        <f t="shared" si="62"/>
        <v>0</v>
      </c>
    </row>
    <row r="467" spans="1:29">
      <c r="A467" s="12" t="s">
        <v>372</v>
      </c>
      <c r="B467" s="12"/>
      <c r="C467" s="12" t="s">
        <v>32</v>
      </c>
      <c r="D467" s="12"/>
      <c r="E467" s="13">
        <v>44677</v>
      </c>
      <c r="G467" s="1">
        <v>23846922</v>
      </c>
      <c r="I467" s="1">
        <v>212907</v>
      </c>
      <c r="K467" s="41">
        <f t="shared" si="63"/>
        <v>75166271</v>
      </c>
      <c r="M467" s="1">
        <v>99226100</v>
      </c>
      <c r="O467" s="41">
        <f t="shared" si="64"/>
        <v>11615834</v>
      </c>
      <c r="Q467" s="1">
        <v>59333177</v>
      </c>
      <c r="S467" s="1">
        <v>70949011</v>
      </c>
      <c r="U467" s="1">
        <f>1770843+212907+14869200+160155+260389</f>
        <v>17273494</v>
      </c>
      <c r="W467" s="1">
        <v>0</v>
      </c>
      <c r="Y467" s="1">
        <f>7223096+770823+2983861+19386+6429</f>
        <v>11003595</v>
      </c>
      <c r="AA467" s="58">
        <f t="shared" si="65"/>
        <v>28277089</v>
      </c>
      <c r="AC467" s="1">
        <f t="shared" si="62"/>
        <v>0</v>
      </c>
    </row>
    <row r="468" spans="1:29">
      <c r="A468" s="12" t="s">
        <v>213</v>
      </c>
      <c r="B468" s="12"/>
      <c r="C468" s="12" t="s">
        <v>12</v>
      </c>
      <c r="D468" s="12"/>
      <c r="E468" s="13">
        <v>45880</v>
      </c>
      <c r="G468" s="1">
        <v>2961740</v>
      </c>
      <c r="I468" s="1">
        <v>599398</v>
      </c>
      <c r="K468" s="41">
        <f t="shared" si="63"/>
        <v>4722589</v>
      </c>
      <c r="M468" s="1">
        <v>8283727</v>
      </c>
      <c r="O468" s="41">
        <f t="shared" si="64"/>
        <v>1377695</v>
      </c>
      <c r="Q468" s="1">
        <v>3170557</v>
      </c>
      <c r="S468" s="1">
        <v>4548252</v>
      </c>
      <c r="U468" s="1">
        <f>356154+599398+1435149</f>
        <v>2390701</v>
      </c>
      <c r="W468" s="1">
        <v>11000</v>
      </c>
      <c r="Y468" s="1">
        <f>-701680+575775+805680+653999</f>
        <v>1333774</v>
      </c>
      <c r="AA468" s="58">
        <f t="shared" si="65"/>
        <v>3735475</v>
      </c>
      <c r="AC468" s="1">
        <f t="shared" si="62"/>
        <v>0</v>
      </c>
    </row>
    <row r="469" spans="1:29">
      <c r="A469" s="17" t="s">
        <v>765</v>
      </c>
      <c r="B469" s="17"/>
      <c r="C469" s="17" t="s">
        <v>56</v>
      </c>
      <c r="D469" s="17"/>
      <c r="E469" s="13"/>
      <c r="G469" s="1">
        <f>7900511+397004</f>
        <v>8297515</v>
      </c>
      <c r="I469" s="1">
        <v>180940</v>
      </c>
      <c r="K469" s="41">
        <f t="shared" si="63"/>
        <v>13243342</v>
      </c>
      <c r="M469" s="1">
        <v>21721797</v>
      </c>
      <c r="O469" s="41">
        <f t="shared" si="64"/>
        <v>4304385</v>
      </c>
      <c r="Q469" s="1">
        <v>10795022</v>
      </c>
      <c r="S469" s="1">
        <v>15099407</v>
      </c>
      <c r="U469" s="1">
        <f>1060786+2082585+180940</f>
        <v>3324311</v>
      </c>
      <c r="W469" s="1">
        <v>0</v>
      </c>
      <c r="Y469" s="1">
        <f>-757619+767363+2720000-2+568337</f>
        <v>3298079</v>
      </c>
      <c r="AA469" s="58">
        <f t="shared" si="65"/>
        <v>6622390</v>
      </c>
      <c r="AC469" s="1">
        <f t="shared" si="62"/>
        <v>0</v>
      </c>
    </row>
    <row r="470" spans="1:29">
      <c r="A470" s="17" t="s">
        <v>373</v>
      </c>
      <c r="B470" s="17"/>
      <c r="C470" s="17" t="s">
        <v>32</v>
      </c>
      <c r="D470" s="17"/>
      <c r="E470" s="13">
        <v>44693</v>
      </c>
      <c r="G470" s="1">
        <v>1858702</v>
      </c>
      <c r="I470" s="1">
        <v>0</v>
      </c>
      <c r="K470" s="41">
        <f t="shared" si="63"/>
        <v>7876778</v>
      </c>
      <c r="M470" s="1">
        <v>9735480</v>
      </c>
      <c r="O470" s="41">
        <f t="shared" si="64"/>
        <v>1293130</v>
      </c>
      <c r="Q470" s="1">
        <v>5580475</v>
      </c>
      <c r="S470" s="1">
        <v>6873605</v>
      </c>
      <c r="U470" s="1">
        <f>532999+2151568+103826</f>
        <v>2788393</v>
      </c>
      <c r="W470" s="1">
        <v>0</v>
      </c>
      <c r="Y470" s="1">
        <f>-164025+135344+102163</f>
        <v>73482</v>
      </c>
      <c r="AA470" s="58">
        <f t="shared" si="65"/>
        <v>2861875</v>
      </c>
      <c r="AC470" s="1">
        <f t="shared" si="62"/>
        <v>0</v>
      </c>
    </row>
    <row r="471" spans="1:29">
      <c r="A471" s="12" t="s">
        <v>594</v>
      </c>
      <c r="B471" s="12"/>
      <c r="C471" s="12" t="s">
        <v>63</v>
      </c>
      <c r="D471" s="12"/>
      <c r="E471" s="13">
        <v>50054</v>
      </c>
      <c r="G471" s="1">
        <f>16725473+11761</f>
        <v>16737234</v>
      </c>
      <c r="I471" s="1">
        <v>0</v>
      </c>
      <c r="K471" s="41">
        <f t="shared" si="63"/>
        <v>26009240</v>
      </c>
      <c r="M471" s="1">
        <v>42746474</v>
      </c>
      <c r="O471" s="41">
        <f t="shared" si="64"/>
        <v>4210382</v>
      </c>
      <c r="Q471" s="1">
        <v>23236411</v>
      </c>
      <c r="S471" s="1">
        <v>27446793</v>
      </c>
      <c r="U471" s="1">
        <f>624579+2759907</f>
        <v>3384486</v>
      </c>
      <c r="W471" s="1">
        <v>0</v>
      </c>
      <c r="Y471" s="1">
        <f>9462801+123359+598220+1730815</f>
        <v>11915195</v>
      </c>
      <c r="AA471" s="58">
        <f t="shared" si="65"/>
        <v>15299681</v>
      </c>
      <c r="AC471" s="1">
        <f t="shared" si="62"/>
        <v>0</v>
      </c>
    </row>
    <row r="472" spans="1:29">
      <c r="A472" s="12" t="s">
        <v>339</v>
      </c>
      <c r="B472" s="12"/>
      <c r="C472" s="12" t="s">
        <v>27</v>
      </c>
      <c r="D472" s="12"/>
      <c r="E472" s="13">
        <v>47001</v>
      </c>
      <c r="G472" s="1">
        <f>30666257+50470824</f>
        <v>81137081</v>
      </c>
      <c r="I472" s="1">
        <v>172006</v>
      </c>
      <c r="K472" s="41">
        <f t="shared" si="63"/>
        <v>47953790</v>
      </c>
      <c r="M472" s="1">
        <v>129262877</v>
      </c>
      <c r="O472" s="41">
        <f t="shared" si="64"/>
        <v>11670886</v>
      </c>
      <c r="Q472" s="1">
        <v>35605931</v>
      </c>
      <c r="S472" s="1">
        <v>47276817</v>
      </c>
      <c r="U472" s="1">
        <f>29100514+21495+149504+9862993+25000+172006</f>
        <v>39331512</v>
      </c>
      <c r="W472" s="1">
        <v>0</v>
      </c>
      <c r="Y472" s="1">
        <f>-3344455+621165+42770932+2606906</f>
        <v>42654548</v>
      </c>
      <c r="AA472" s="58">
        <f t="shared" si="65"/>
        <v>81986060</v>
      </c>
      <c r="AC472" s="1">
        <f t="shared" si="62"/>
        <v>0</v>
      </c>
    </row>
    <row r="473" spans="1:29">
      <c r="A473" s="12" t="s">
        <v>301</v>
      </c>
      <c r="B473" s="12"/>
      <c r="C473" s="12" t="s">
        <v>20</v>
      </c>
      <c r="D473" s="12"/>
      <c r="E473" s="13">
        <v>46599</v>
      </c>
      <c r="G473" s="1">
        <v>346389</v>
      </c>
      <c r="I473" s="1">
        <v>269783</v>
      </c>
      <c r="K473" s="41">
        <f t="shared" si="63"/>
        <v>11310000</v>
      </c>
      <c r="M473" s="1">
        <v>11926172</v>
      </c>
      <c r="O473" s="41">
        <f t="shared" si="64"/>
        <v>1641614</v>
      </c>
      <c r="Q473" s="1">
        <v>9744425</v>
      </c>
      <c r="S473" s="1">
        <v>11386039</v>
      </c>
      <c r="U473" s="1">
        <f>443839+28900+115065</f>
        <v>587804</v>
      </c>
      <c r="W473" s="1">
        <v>0</v>
      </c>
      <c r="Y473" s="1">
        <v>-47671</v>
      </c>
      <c r="AA473" s="58">
        <f t="shared" si="65"/>
        <v>540133</v>
      </c>
      <c r="AC473" s="1">
        <f t="shared" si="62"/>
        <v>0</v>
      </c>
    </row>
    <row r="474" spans="1:29" ht="13.5" customHeight="1">
      <c r="A474" s="12" t="s">
        <v>476</v>
      </c>
      <c r="B474" s="12"/>
      <c r="C474" s="12" t="s">
        <v>46</v>
      </c>
      <c r="D474" s="12"/>
      <c r="E474" s="13">
        <v>48439</v>
      </c>
      <c r="G474" s="1">
        <v>2057113</v>
      </c>
      <c r="I474" s="1">
        <v>210576</v>
      </c>
      <c r="K474" s="41">
        <f t="shared" si="63"/>
        <v>2720293</v>
      </c>
      <c r="M474" s="1">
        <v>4987982</v>
      </c>
      <c r="O474" s="41">
        <f t="shared" si="64"/>
        <v>848269</v>
      </c>
      <c r="Q474" s="1">
        <v>1780939</v>
      </c>
      <c r="S474" s="1">
        <v>2629208</v>
      </c>
      <c r="U474" s="1">
        <f>7009+882343+210576</f>
        <v>1099928</v>
      </c>
      <c r="W474" s="1">
        <v>0</v>
      </c>
      <c r="Y474" s="1">
        <f>1177304+78329+3213</f>
        <v>1258846</v>
      </c>
      <c r="AA474" s="58">
        <f t="shared" si="65"/>
        <v>2358774</v>
      </c>
      <c r="AC474" s="1">
        <f t="shared" si="62"/>
        <v>0</v>
      </c>
    </row>
    <row r="475" spans="1:29">
      <c r="A475" s="12" t="s">
        <v>895</v>
      </c>
      <c r="B475" s="12"/>
      <c r="C475" s="12" t="s">
        <v>383</v>
      </c>
      <c r="D475" s="12"/>
      <c r="E475" s="13">
        <v>47506</v>
      </c>
      <c r="G475" s="1">
        <v>1086195</v>
      </c>
      <c r="I475" s="1">
        <v>0</v>
      </c>
      <c r="K475" s="41">
        <f t="shared" si="63"/>
        <v>1553223</v>
      </c>
      <c r="M475" s="1">
        <v>2639418</v>
      </c>
      <c r="O475" s="41">
        <f t="shared" si="64"/>
        <v>626020</v>
      </c>
      <c r="Q475" s="1">
        <v>1124333</v>
      </c>
      <c r="S475" s="1">
        <v>1750353</v>
      </c>
      <c r="U475" s="1">
        <f>32909+109122</f>
        <v>142031</v>
      </c>
      <c r="W475" s="1">
        <v>0</v>
      </c>
      <c r="Y475" s="1">
        <f>600769+168207-21942</f>
        <v>747034</v>
      </c>
      <c r="AA475" s="58">
        <f t="shared" si="65"/>
        <v>889065</v>
      </c>
      <c r="AC475" s="1">
        <f>+G475+I475+K475-O475-Q475-Y475-W475-U475</f>
        <v>0</v>
      </c>
    </row>
    <row r="476" spans="1:29">
      <c r="A476" s="12" t="s">
        <v>273</v>
      </c>
      <c r="B476" s="12"/>
      <c r="C476" s="12" t="s">
        <v>19</v>
      </c>
      <c r="D476" s="12"/>
      <c r="E476" s="13">
        <v>46474</v>
      </c>
      <c r="G476" s="1">
        <v>5029204</v>
      </c>
      <c r="I476" s="1">
        <v>161752</v>
      </c>
      <c r="K476" s="41">
        <f t="shared" si="63"/>
        <v>3207520</v>
      </c>
      <c r="M476" s="1">
        <v>8398476</v>
      </c>
      <c r="O476" s="41">
        <f t="shared" si="64"/>
        <v>3852666</v>
      </c>
      <c r="Q476" s="1">
        <v>295125</v>
      </c>
      <c r="S476" s="1">
        <v>4147791</v>
      </c>
      <c r="U476" s="1">
        <f>245995+12629+20493+142938+42320+119432+617374</f>
        <v>1201181</v>
      </c>
      <c r="W476" s="1">
        <v>54777</v>
      </c>
      <c r="Y476" s="1">
        <f>2128802+855908+10017</f>
        <v>2994727</v>
      </c>
      <c r="AA476" s="58">
        <f t="shared" si="65"/>
        <v>4250685</v>
      </c>
      <c r="AC476" s="1">
        <f t="shared" si="62"/>
        <v>0</v>
      </c>
    </row>
    <row r="477" spans="1:29">
      <c r="A477" s="12" t="s">
        <v>766</v>
      </c>
      <c r="B477" s="12"/>
      <c r="C477" s="12" t="s">
        <v>77</v>
      </c>
      <c r="D477" s="12"/>
      <c r="E477" s="13">
        <v>46078</v>
      </c>
      <c r="G477" s="1">
        <v>4524052</v>
      </c>
      <c r="I477" s="1">
        <v>25894</v>
      </c>
      <c r="K477" s="41">
        <f t="shared" si="63"/>
        <v>2792013</v>
      </c>
      <c r="M477" s="1">
        <v>7341959</v>
      </c>
      <c r="O477" s="41">
        <f t="shared" si="64"/>
        <v>1385724</v>
      </c>
      <c r="Q477" s="1">
        <v>1918208</v>
      </c>
      <c r="S477" s="1">
        <v>3303932</v>
      </c>
      <c r="U477" s="1">
        <f>232301+356164+25894</f>
        <v>614359</v>
      </c>
      <c r="W477" s="1">
        <v>0</v>
      </c>
      <c r="Y477" s="1">
        <f>300776+309224+951594+1862074</f>
        <v>3423668</v>
      </c>
      <c r="AA477" s="58">
        <f t="shared" si="65"/>
        <v>4038027</v>
      </c>
      <c r="AC477" s="1">
        <f t="shared" si="62"/>
        <v>0</v>
      </c>
    </row>
    <row r="478" spans="1:29">
      <c r="A478" s="12" t="s">
        <v>642</v>
      </c>
      <c r="B478" s="12"/>
      <c r="C478" s="12" t="s">
        <v>71</v>
      </c>
      <c r="D478" s="12"/>
      <c r="E478" s="13">
        <v>45591</v>
      </c>
      <c r="G478" s="1">
        <f>11035722+2073521+1226984</f>
        <v>14336227</v>
      </c>
      <c r="I478" s="1">
        <v>96299</v>
      </c>
      <c r="K478" s="41">
        <f t="shared" si="63"/>
        <v>8929317</v>
      </c>
      <c r="M478" s="1">
        <v>23361843</v>
      </c>
      <c r="O478" s="41">
        <f t="shared" si="64"/>
        <v>2356478</v>
      </c>
      <c r="Q478" s="1">
        <v>8602444</v>
      </c>
      <c r="S478" s="1">
        <v>10958922</v>
      </c>
      <c r="U478" s="1">
        <f>9295514+245800+96299</f>
        <v>9637613</v>
      </c>
      <c r="W478" s="1">
        <v>0</v>
      </c>
      <c r="Y478" s="1">
        <f>2330294+102092+583234-250312</f>
        <v>2765308</v>
      </c>
      <c r="AA478" s="58">
        <f t="shared" si="65"/>
        <v>12402921</v>
      </c>
      <c r="AC478" s="1">
        <f t="shared" si="62"/>
        <v>0</v>
      </c>
    </row>
    <row r="479" spans="1:29">
      <c r="A479" s="12" t="s">
        <v>477</v>
      </c>
      <c r="B479" s="12"/>
      <c r="C479" s="12" t="s">
        <v>46</v>
      </c>
      <c r="D479" s="12"/>
      <c r="E479" s="13">
        <v>48447</v>
      </c>
      <c r="G479" s="1">
        <f>4370050+112</f>
        <v>4370162</v>
      </c>
      <c r="I479" s="1">
        <v>33907</v>
      </c>
      <c r="K479" s="41">
        <f t="shared" si="63"/>
        <v>7971743</v>
      </c>
      <c r="M479" s="1">
        <v>12375812</v>
      </c>
      <c r="O479" s="41">
        <f t="shared" si="64"/>
        <v>2566965</v>
      </c>
      <c r="Q479" s="1">
        <v>4984641</v>
      </c>
      <c r="S479" s="1">
        <v>7551606</v>
      </c>
      <c r="U479" s="1">
        <f>303796+2465168+33907+63120</f>
        <v>2865991</v>
      </c>
      <c r="W479" s="1">
        <v>85600</v>
      </c>
      <c r="Y479" s="1">
        <f>-598515+1290752+1103803+76575</f>
        <v>1872615</v>
      </c>
      <c r="AA479" s="58">
        <f t="shared" si="65"/>
        <v>4824206</v>
      </c>
      <c r="AC479" s="1">
        <f t="shared" si="62"/>
        <v>0</v>
      </c>
    </row>
    <row r="480" spans="1:29">
      <c r="A480" s="12" t="s">
        <v>274</v>
      </c>
      <c r="B480" s="12"/>
      <c r="C480" s="12" t="s">
        <v>19</v>
      </c>
      <c r="D480" s="12"/>
      <c r="E480" s="13">
        <v>46482</v>
      </c>
      <c r="G480" s="1">
        <v>7817428</v>
      </c>
      <c r="I480" s="1">
        <v>120824</v>
      </c>
      <c r="K480" s="41">
        <f t="shared" si="63"/>
        <v>9146372</v>
      </c>
      <c r="M480" s="1">
        <v>17084624</v>
      </c>
      <c r="O480" s="41">
        <f t="shared" si="64"/>
        <v>2807238</v>
      </c>
      <c r="Q480" s="1">
        <v>8038066</v>
      </c>
      <c r="S480" s="1">
        <v>10845304</v>
      </c>
      <c r="U480" s="1">
        <f>991303+376070+120824</f>
        <v>1488197</v>
      </c>
      <c r="W480" s="1">
        <v>80351</v>
      </c>
      <c r="Y480" s="1">
        <f>2932775-113634+1851631</f>
        <v>4670772</v>
      </c>
      <c r="AA480" s="58">
        <f t="shared" si="65"/>
        <v>6239320</v>
      </c>
      <c r="AC480" s="1">
        <f t="shared" si="62"/>
        <v>0</v>
      </c>
    </row>
    <row r="481" spans="1:29" hidden="1">
      <c r="A481" s="12" t="s">
        <v>932</v>
      </c>
      <c r="B481" s="12"/>
      <c r="C481" s="12" t="s">
        <v>383</v>
      </c>
      <c r="D481" s="12"/>
      <c r="E481" s="13">
        <v>47514</v>
      </c>
      <c r="K481" s="41">
        <f t="shared" si="63"/>
        <v>0</v>
      </c>
      <c r="O481" s="41">
        <f t="shared" si="64"/>
        <v>0</v>
      </c>
      <c r="AA481" s="58">
        <f t="shared" si="65"/>
        <v>0</v>
      </c>
      <c r="AC481" s="1">
        <f t="shared" si="62"/>
        <v>0</v>
      </c>
    </row>
    <row r="482" spans="1:29">
      <c r="A482" s="12" t="s">
        <v>435</v>
      </c>
      <c r="B482" s="12"/>
      <c r="C482" s="12" t="s">
        <v>41</v>
      </c>
      <c r="D482" s="12"/>
      <c r="E482" s="13"/>
      <c r="G482" s="1">
        <f>5801130+2264+151338</f>
        <v>5954732</v>
      </c>
      <c r="I482" s="1">
        <v>585565</v>
      </c>
      <c r="K482" s="41">
        <f t="shared" si="63"/>
        <v>26486131</v>
      </c>
      <c r="M482" s="1">
        <v>33026428</v>
      </c>
      <c r="O482" s="41">
        <f t="shared" si="64"/>
        <v>5837849</v>
      </c>
      <c r="Q482" s="1">
        <v>22700962</v>
      </c>
      <c r="S482" s="1">
        <v>28538811</v>
      </c>
      <c r="U482" s="1">
        <f>842076+202721+585565+3477911</f>
        <v>5108273</v>
      </c>
      <c r="W482" s="1">
        <v>0</v>
      </c>
      <c r="Y482" s="1">
        <f>-2074051+231635+467753+754007</f>
        <v>-620656</v>
      </c>
      <c r="AA482" s="58">
        <f t="shared" si="65"/>
        <v>4487617</v>
      </c>
      <c r="AC482" s="1">
        <f t="shared" si="62"/>
        <v>0</v>
      </c>
    </row>
    <row r="483" spans="1:29">
      <c r="A483" s="12" t="s">
        <v>435</v>
      </c>
      <c r="B483" s="12"/>
      <c r="C483" s="12" t="s">
        <v>43</v>
      </c>
      <c r="D483" s="12"/>
      <c r="E483" s="13">
        <v>48090</v>
      </c>
      <c r="G483" s="1">
        <v>822608</v>
      </c>
      <c r="I483" s="1">
        <v>17111</v>
      </c>
      <c r="K483" s="41">
        <f t="shared" si="63"/>
        <v>1997638</v>
      </c>
      <c r="M483" s="1">
        <v>2837357</v>
      </c>
      <c r="O483" s="41">
        <f t="shared" si="64"/>
        <v>2416211</v>
      </c>
      <c r="Q483" s="1">
        <v>204800</v>
      </c>
      <c r="S483" s="1">
        <v>2621011</v>
      </c>
      <c r="U483" s="1">
        <f>74940+7190+150048+150848+17111</f>
        <v>400137</v>
      </c>
      <c r="W483" s="1">
        <v>0</v>
      </c>
      <c r="Y483" s="1">
        <f>-431076+92081+155204</f>
        <v>-183791</v>
      </c>
      <c r="AA483" s="58">
        <f t="shared" si="65"/>
        <v>216346</v>
      </c>
      <c r="AC483" s="1">
        <f t="shared" si="62"/>
        <v>0</v>
      </c>
    </row>
    <row r="484" spans="1:29">
      <c r="A484" s="12" t="s">
        <v>424</v>
      </c>
      <c r="B484" s="12"/>
      <c r="C484" s="12" t="s">
        <v>420</v>
      </c>
      <c r="D484" s="12"/>
      <c r="E484" s="13">
        <v>47944</v>
      </c>
      <c r="G484" s="1">
        <v>6589408</v>
      </c>
      <c r="I484" s="1">
        <v>279156</v>
      </c>
      <c r="K484" s="41">
        <f t="shared" si="63"/>
        <v>5171983</v>
      </c>
      <c r="M484" s="1">
        <v>12040547</v>
      </c>
      <c r="O484" s="41">
        <f t="shared" si="64"/>
        <v>2982665</v>
      </c>
      <c r="Q484" s="1">
        <v>4489900</v>
      </c>
      <c r="S484" s="1">
        <v>7472565</v>
      </c>
      <c r="U484" s="1">
        <f>718571+124918+154238+177792</f>
        <v>1175519</v>
      </c>
      <c r="W484" s="1">
        <v>0</v>
      </c>
      <c r="Y484" s="1">
        <f>-758028+193600+1950+3954941</f>
        <v>3392463</v>
      </c>
      <c r="AA484" s="58">
        <f t="shared" si="65"/>
        <v>4567982</v>
      </c>
      <c r="AC484" s="1">
        <f t="shared" si="62"/>
        <v>0</v>
      </c>
    </row>
    <row r="485" spans="1:29">
      <c r="A485" s="12" t="s">
        <v>896</v>
      </c>
      <c r="B485" s="12"/>
      <c r="C485" s="12" t="s">
        <v>20</v>
      </c>
      <c r="D485" s="12"/>
      <c r="E485" s="13">
        <v>44701</v>
      </c>
      <c r="G485" s="1">
        <v>5403729</v>
      </c>
      <c r="I485" s="1">
        <v>0</v>
      </c>
      <c r="K485" s="41">
        <f t="shared" si="63"/>
        <v>30868050</v>
      </c>
      <c r="M485" s="1">
        <v>36271779</v>
      </c>
      <c r="O485" s="41">
        <f t="shared" si="64"/>
        <v>29859861</v>
      </c>
      <c r="Q485" s="1">
        <v>1562771</v>
      </c>
      <c r="S485" s="1">
        <v>31422632</v>
      </c>
      <c r="U485" s="1">
        <f>411791+3862037+4230772+12327</f>
        <v>8516927</v>
      </c>
      <c r="W485" s="1">
        <v>0</v>
      </c>
      <c r="Y485" s="1">
        <f>-3416462+595369-846687</f>
        <v>-3667780</v>
      </c>
      <c r="AA485" s="58">
        <f t="shared" si="65"/>
        <v>4849147</v>
      </c>
      <c r="AC485" s="1">
        <f t="shared" si="62"/>
        <v>0</v>
      </c>
    </row>
    <row r="486" spans="1:29">
      <c r="A486" s="12" t="s">
        <v>362</v>
      </c>
      <c r="B486" s="12"/>
      <c r="C486" s="12" t="s">
        <v>31</v>
      </c>
      <c r="D486" s="12"/>
      <c r="E486" s="13">
        <v>47308</v>
      </c>
      <c r="G486" s="1">
        <v>2106298</v>
      </c>
      <c r="I486" s="1">
        <v>367458</v>
      </c>
      <c r="K486" s="41">
        <f t="shared" si="63"/>
        <v>6820890</v>
      </c>
      <c r="M486" s="1">
        <v>9294646</v>
      </c>
      <c r="O486" s="41">
        <f t="shared" si="64"/>
        <v>2647640</v>
      </c>
      <c r="Q486" s="1">
        <v>5988018</v>
      </c>
      <c r="S486" s="1">
        <v>8635658</v>
      </c>
      <c r="U486" s="1">
        <f>1152291+313446+382731+37456+2084</f>
        <v>1888008</v>
      </c>
      <c r="W486" s="1">
        <v>0</v>
      </c>
      <c r="Y486" s="1">
        <f>-1597988+280460+84635+3873</f>
        <v>-1229020</v>
      </c>
      <c r="AA486" s="58">
        <f t="shared" si="65"/>
        <v>658988</v>
      </c>
      <c r="AC486" s="1">
        <f t="shared" si="62"/>
        <v>0</v>
      </c>
    </row>
    <row r="487" spans="1:29">
      <c r="A487" s="12" t="s">
        <v>536</v>
      </c>
      <c r="B487" s="12"/>
      <c r="C487" s="12" t="s">
        <v>56</v>
      </c>
      <c r="D487" s="12"/>
      <c r="E487" s="13">
        <v>49213</v>
      </c>
      <c r="G487" s="1">
        <v>1365704</v>
      </c>
      <c r="I487" s="1">
        <v>61881</v>
      </c>
      <c r="K487" s="41">
        <f t="shared" si="63"/>
        <v>5495729</v>
      </c>
      <c r="M487" s="1">
        <v>6923314</v>
      </c>
      <c r="O487" s="41">
        <f t="shared" si="64"/>
        <v>1784191</v>
      </c>
      <c r="Q487" s="1">
        <v>4633980</v>
      </c>
      <c r="S487" s="1">
        <v>6418171</v>
      </c>
      <c r="U487" s="1">
        <f>34905+892931+61881</f>
        <v>989717</v>
      </c>
      <c r="W487" s="1">
        <v>0</v>
      </c>
      <c r="Y487" s="1">
        <f>-1002930+72043+446313</f>
        <v>-484574</v>
      </c>
      <c r="AA487" s="58">
        <f t="shared" si="65"/>
        <v>505143</v>
      </c>
      <c r="AC487" s="1">
        <f t="shared" si="62"/>
        <v>0</v>
      </c>
    </row>
    <row r="488" spans="1:29">
      <c r="A488" s="17" t="s">
        <v>897</v>
      </c>
      <c r="B488" s="12"/>
      <c r="C488" s="12" t="s">
        <v>227</v>
      </c>
      <c r="D488" s="12"/>
      <c r="E488" s="13">
        <v>46144</v>
      </c>
      <c r="G488" s="1">
        <v>16032691</v>
      </c>
      <c r="I488" s="1">
        <v>456679</v>
      </c>
      <c r="K488" s="41">
        <f t="shared" si="63"/>
        <v>25780467</v>
      </c>
      <c r="M488" s="1">
        <v>42269837</v>
      </c>
      <c r="O488" s="41">
        <f t="shared" si="64"/>
        <v>3486760</v>
      </c>
      <c r="Q488" s="1">
        <v>24736620</v>
      </c>
      <c r="S488" s="1">
        <v>28223380</v>
      </c>
      <c r="U488" s="1">
        <f>7380743+392800+63879+200000+6815</f>
        <v>8044237</v>
      </c>
      <c r="W488" s="1">
        <v>0</v>
      </c>
      <c r="Y488" s="1">
        <f>1367920+509324+1970696+2154280</f>
        <v>6002220</v>
      </c>
      <c r="AA488" s="58">
        <f t="shared" si="65"/>
        <v>14046457</v>
      </c>
      <c r="AC488" s="1">
        <f t="shared" si="62"/>
        <v>0</v>
      </c>
    </row>
    <row r="489" spans="1:29">
      <c r="A489" s="12" t="s">
        <v>652</v>
      </c>
      <c r="B489" s="12"/>
      <c r="C489" s="12" t="s">
        <v>72</v>
      </c>
      <c r="D489" s="12"/>
      <c r="E489" s="13">
        <v>45609</v>
      </c>
      <c r="G489" s="1">
        <v>11499433</v>
      </c>
      <c r="I489" s="1">
        <v>1214621</v>
      </c>
      <c r="K489" s="41">
        <f t="shared" si="63"/>
        <v>13508896</v>
      </c>
      <c r="M489" s="1">
        <v>26222950</v>
      </c>
      <c r="O489" s="41">
        <f t="shared" si="64"/>
        <v>4266723</v>
      </c>
      <c r="Q489" s="1">
        <v>11286651</v>
      </c>
      <c r="S489" s="1">
        <v>15553374</v>
      </c>
      <c r="U489" s="1">
        <f>1790126+1214621+778542</f>
        <v>3783289</v>
      </c>
      <c r="W489" s="1">
        <v>0</v>
      </c>
      <c r="Y489" s="1">
        <f>6986752-194663+85887+8311</f>
        <v>6886287</v>
      </c>
      <c r="AA489" s="58">
        <f t="shared" si="65"/>
        <v>10669576</v>
      </c>
      <c r="AC489" s="1">
        <f t="shared" si="62"/>
        <v>0</v>
      </c>
    </row>
    <row r="490" spans="1:29">
      <c r="A490" s="12" t="s">
        <v>570</v>
      </c>
      <c r="B490" s="12"/>
      <c r="C490" s="12" t="s">
        <v>61</v>
      </c>
      <c r="D490" s="12"/>
      <c r="E490" s="13">
        <v>49817</v>
      </c>
      <c r="G490" s="1">
        <f>6482198+1500</f>
        <v>6483698</v>
      </c>
      <c r="I490" s="1">
        <v>6942</v>
      </c>
      <c r="K490" s="41">
        <f t="shared" si="63"/>
        <v>3298499</v>
      </c>
      <c r="M490" s="1">
        <f>9780139+9000</f>
        <v>9789139</v>
      </c>
      <c r="O490" s="41">
        <f t="shared" si="64"/>
        <v>533356</v>
      </c>
      <c r="Q490" s="1">
        <v>3098573</v>
      </c>
      <c r="S490" s="1">
        <v>3631929</v>
      </c>
      <c r="U490" s="1">
        <f>768779+95080+6942</f>
        <v>870801</v>
      </c>
      <c r="W490" s="1">
        <v>0</v>
      </c>
      <c r="Y490" s="1">
        <f>6157210-870801</f>
        <v>5286409</v>
      </c>
      <c r="AA490" s="58">
        <f t="shared" si="65"/>
        <v>6157210</v>
      </c>
      <c r="AC490" s="1">
        <f t="shared" si="62"/>
        <v>0</v>
      </c>
    </row>
    <row r="491" spans="1:29">
      <c r="A491" s="17" t="s">
        <v>725</v>
      </c>
      <c r="B491" s="17"/>
      <c r="C491" s="17" t="s">
        <v>114</v>
      </c>
      <c r="D491" s="17"/>
      <c r="E491" s="13"/>
      <c r="G491" s="1">
        <v>3960340</v>
      </c>
      <c r="I491" s="1">
        <v>150902</v>
      </c>
      <c r="K491" s="41">
        <f t="shared" si="63"/>
        <v>9452507</v>
      </c>
      <c r="M491" s="1">
        <v>13563749</v>
      </c>
      <c r="O491" s="41">
        <f t="shared" si="64"/>
        <v>10128974</v>
      </c>
      <c r="Q491" s="1">
        <v>744630</v>
      </c>
      <c r="S491" s="1">
        <v>10873604</v>
      </c>
      <c r="U491" s="1">
        <f>156084+11000+6218+756785+11541+3033+150902</f>
        <v>1095563</v>
      </c>
      <c r="W491" s="1">
        <v>0</v>
      </c>
      <c r="Y491" s="1">
        <f>541279+333235+720068</f>
        <v>1594582</v>
      </c>
      <c r="AA491" s="58">
        <f t="shared" si="65"/>
        <v>2690145</v>
      </c>
      <c r="AC491" s="1">
        <f t="shared" si="62"/>
        <v>0</v>
      </c>
    </row>
    <row r="492" spans="1:29">
      <c r="A492" s="12" t="s">
        <v>319</v>
      </c>
      <c r="B492" s="12"/>
      <c r="C492" s="12" t="s">
        <v>24</v>
      </c>
      <c r="D492" s="12"/>
      <c r="E492" s="13">
        <v>44743</v>
      </c>
      <c r="G492" s="1">
        <v>7427225</v>
      </c>
      <c r="I492" s="1">
        <v>0</v>
      </c>
      <c r="K492" s="41">
        <f t="shared" si="63"/>
        <v>19029109</v>
      </c>
      <c r="M492" s="1">
        <v>26456334</v>
      </c>
      <c r="O492" s="41">
        <f t="shared" si="64"/>
        <v>7057365</v>
      </c>
      <c r="Q492" s="1">
        <v>16308184</v>
      </c>
      <c r="S492" s="1">
        <v>23365549</v>
      </c>
      <c r="U492" s="1">
        <f>330547+80267+1918501+18500</f>
        <v>2347815</v>
      </c>
      <c r="W492" s="1">
        <v>0</v>
      </c>
      <c r="Y492" s="1">
        <f>-171629+398779+281697+146510+87613</f>
        <v>742970</v>
      </c>
      <c r="AA492" s="58">
        <f t="shared" si="65"/>
        <v>3090785</v>
      </c>
      <c r="AC492" s="1">
        <f t="shared" si="62"/>
        <v>0</v>
      </c>
    </row>
    <row r="493" spans="1:29">
      <c r="A493" s="12" t="s">
        <v>584</v>
      </c>
      <c r="B493" s="12"/>
      <c r="C493" s="12" t="s">
        <v>62</v>
      </c>
      <c r="D493" s="12"/>
      <c r="E493" s="13">
        <v>49940</v>
      </c>
      <c r="G493" s="1">
        <f>3804697+32595</f>
        <v>3837292</v>
      </c>
      <c r="I493" s="1">
        <v>0</v>
      </c>
      <c r="K493" s="41">
        <f t="shared" si="63"/>
        <v>4659806</v>
      </c>
      <c r="M493" s="1">
        <v>8497098</v>
      </c>
      <c r="O493" s="41">
        <f t="shared" si="64"/>
        <v>5873857</v>
      </c>
      <c r="Q493" s="1">
        <v>472146</v>
      </c>
      <c r="S493" s="1">
        <v>6346003</v>
      </c>
      <c r="U493" s="1">
        <f>2151095-1178489</f>
        <v>972606</v>
      </c>
      <c r="W493" s="1">
        <v>0</v>
      </c>
      <c r="Y493" s="1">
        <f>548201+457957+172331</f>
        <v>1178489</v>
      </c>
      <c r="AA493" s="58">
        <f t="shared" si="65"/>
        <v>2151095</v>
      </c>
      <c r="AC493" s="1">
        <f t="shared" si="62"/>
        <v>0</v>
      </c>
    </row>
    <row r="494" spans="1:29">
      <c r="A494" s="12" t="s">
        <v>529</v>
      </c>
      <c r="B494" s="12"/>
      <c r="C494" s="12" t="s">
        <v>55</v>
      </c>
      <c r="D494" s="12"/>
      <c r="E494" s="13">
        <v>49130</v>
      </c>
      <c r="G494" s="1">
        <f>8342072+20000</f>
        <v>8362072</v>
      </c>
      <c r="I494" s="1">
        <v>313150</v>
      </c>
      <c r="K494" s="41">
        <f t="shared" si="63"/>
        <v>2628504</v>
      </c>
      <c r="M494" s="1">
        <v>11303726</v>
      </c>
      <c r="O494" s="41">
        <f t="shared" si="64"/>
        <v>2172793</v>
      </c>
      <c r="Q494" s="1">
        <v>1964884</v>
      </c>
      <c r="S494" s="1">
        <v>4137677</v>
      </c>
      <c r="U494" s="1">
        <f>183283+206311+313150</f>
        <v>702744</v>
      </c>
      <c r="W494" s="1">
        <v>0</v>
      </c>
      <c r="Y494" s="1">
        <f>4934346+329550+1130665+68744</f>
        <v>6463305</v>
      </c>
      <c r="AA494" s="58">
        <f t="shared" si="65"/>
        <v>7166049</v>
      </c>
      <c r="AC494" s="1">
        <f t="shared" si="62"/>
        <v>0</v>
      </c>
    </row>
    <row r="495" spans="1:29">
      <c r="A495" s="12" t="s">
        <v>468</v>
      </c>
      <c r="B495" s="12"/>
      <c r="C495" s="12" t="s">
        <v>45</v>
      </c>
      <c r="D495" s="12"/>
      <c r="E495" s="13">
        <v>48355</v>
      </c>
      <c r="G495" s="1">
        <v>1439831</v>
      </c>
      <c r="I495" s="1">
        <v>29468</v>
      </c>
      <c r="K495" s="41">
        <f t="shared" si="63"/>
        <v>1963978</v>
      </c>
      <c r="M495" s="1">
        <v>3433277</v>
      </c>
      <c r="O495" s="41">
        <f t="shared" si="64"/>
        <v>830105</v>
      </c>
      <c r="Q495" s="1">
        <v>1715930</v>
      </c>
      <c r="S495" s="1">
        <v>2546035</v>
      </c>
      <c r="U495" s="1">
        <f>49684+5461+24007</f>
        <v>79152</v>
      </c>
      <c r="W495" s="1">
        <v>0</v>
      </c>
      <c r="Y495" s="1">
        <f>887242-79152</f>
        <v>808090</v>
      </c>
      <c r="AA495" s="58">
        <f t="shared" si="65"/>
        <v>887242</v>
      </c>
      <c r="AC495" s="1">
        <f t="shared" si="62"/>
        <v>0</v>
      </c>
    </row>
    <row r="496" spans="1:29">
      <c r="A496" s="12" t="s">
        <v>567</v>
      </c>
      <c r="B496" s="12"/>
      <c r="C496" s="12" t="s">
        <v>60</v>
      </c>
      <c r="D496" s="12"/>
      <c r="E496" s="13">
        <v>49684</v>
      </c>
      <c r="G496" s="1">
        <f>2493225+48</f>
        <v>2493273</v>
      </c>
      <c r="I496" s="1">
        <v>0</v>
      </c>
      <c r="K496" s="41">
        <f t="shared" si="63"/>
        <v>3128575</v>
      </c>
      <c r="M496" s="1">
        <v>5621848</v>
      </c>
      <c r="O496" s="41">
        <f t="shared" si="64"/>
        <v>1850791</v>
      </c>
      <c r="Q496" s="1">
        <v>371013</v>
      </c>
      <c r="S496" s="1">
        <v>2221804</v>
      </c>
      <c r="U496" s="1">
        <f>3400044-1637060</f>
        <v>1762984</v>
      </c>
      <c r="W496" s="1">
        <v>0</v>
      </c>
      <c r="Y496" s="1">
        <f>861252+340704+435104</f>
        <v>1637060</v>
      </c>
      <c r="AA496" s="58">
        <f t="shared" si="65"/>
        <v>3400044</v>
      </c>
      <c r="AC496" s="1">
        <f t="shared" si="62"/>
        <v>0</v>
      </c>
    </row>
    <row r="497" spans="1:29">
      <c r="A497" s="12" t="s">
        <v>222</v>
      </c>
      <c r="B497" s="12"/>
      <c r="C497" s="12" t="s">
        <v>15</v>
      </c>
      <c r="D497" s="12"/>
      <c r="E497" s="13">
        <v>46003</v>
      </c>
      <c r="G497" s="1">
        <v>2784624</v>
      </c>
      <c r="I497" s="1">
        <v>2126</v>
      </c>
      <c r="K497" s="41">
        <f t="shared" si="63"/>
        <v>2999709</v>
      </c>
      <c r="M497" s="1">
        <v>5786459</v>
      </c>
      <c r="O497" s="41">
        <f t="shared" si="64"/>
        <v>915122</v>
      </c>
      <c r="Q497" s="1">
        <v>2727409</v>
      </c>
      <c r="S497" s="1">
        <v>3642531</v>
      </c>
      <c r="U497" s="1">
        <f>73515+123950+2126</f>
        <v>199591</v>
      </c>
      <c r="W497" s="1">
        <v>0</v>
      </c>
      <c r="Y497" s="1">
        <f>1214210-25188+1000+754315</f>
        <v>1944337</v>
      </c>
      <c r="AA497" s="58">
        <f t="shared" si="65"/>
        <v>2143928</v>
      </c>
      <c r="AC497" s="16">
        <f t="shared" ref="AC497:AC564" si="66">+G497+I497+K497-O497-Q497-Y497-W497-U497</f>
        <v>0</v>
      </c>
    </row>
    <row r="498" spans="1:29">
      <c r="A498" s="17" t="s">
        <v>898</v>
      </c>
      <c r="B498" s="12"/>
      <c r="C498" s="12" t="s">
        <v>20</v>
      </c>
      <c r="D498" s="12"/>
      <c r="E498" s="13">
        <v>44750</v>
      </c>
      <c r="G498" s="1">
        <v>31058688</v>
      </c>
      <c r="I498" s="1">
        <v>353070</v>
      </c>
      <c r="K498" s="41">
        <f t="shared" si="63"/>
        <v>70458255</v>
      </c>
      <c r="M498" s="1">
        <v>101870013</v>
      </c>
      <c r="O498" s="41">
        <f t="shared" si="64"/>
        <v>13388494</v>
      </c>
      <c r="Q498" s="1">
        <v>60765139</v>
      </c>
      <c r="S498" s="1">
        <v>74153633</v>
      </c>
      <c r="U498" s="1">
        <f>4569802+8571011+353070</f>
        <v>13493883</v>
      </c>
      <c r="W498" s="1">
        <v>0</v>
      </c>
      <c r="Y498" s="1">
        <f>7828916+224077+1846135+4323369</f>
        <v>14222497</v>
      </c>
      <c r="AA498" s="58">
        <f t="shared" si="65"/>
        <v>27716380</v>
      </c>
      <c r="AC498" s="1">
        <f t="shared" si="66"/>
        <v>0</v>
      </c>
    </row>
    <row r="499" spans="1:29" hidden="1">
      <c r="A499" s="17" t="s">
        <v>872</v>
      </c>
      <c r="B499" s="17"/>
      <c r="C499" s="17" t="s">
        <v>10</v>
      </c>
      <c r="D499" s="12"/>
      <c r="E499" s="13"/>
      <c r="K499" s="41">
        <f t="shared" si="63"/>
        <v>0</v>
      </c>
      <c r="O499" s="41"/>
      <c r="AA499" s="58">
        <f t="shared" si="65"/>
        <v>0</v>
      </c>
      <c r="AC499" s="1">
        <f t="shared" si="66"/>
        <v>0</v>
      </c>
    </row>
    <row r="500" spans="1:29">
      <c r="A500" s="12" t="s">
        <v>447</v>
      </c>
      <c r="B500" s="12"/>
      <c r="C500" s="12" t="s">
        <v>44</v>
      </c>
      <c r="D500" s="12"/>
      <c r="E500" s="13">
        <v>44768</v>
      </c>
      <c r="G500" s="1">
        <v>13035299</v>
      </c>
      <c r="I500" s="1">
        <v>9914</v>
      </c>
      <c r="K500" s="41">
        <f t="shared" si="63"/>
        <v>12410990</v>
      </c>
      <c r="M500" s="1">
        <v>25456203</v>
      </c>
      <c r="O500" s="41">
        <f t="shared" si="64"/>
        <v>2852009</v>
      </c>
      <c r="Q500" s="1">
        <v>11671504</v>
      </c>
      <c r="S500" s="1">
        <v>14523513</v>
      </c>
      <c r="U500" s="1">
        <f>52095+430391+629444</f>
        <v>1111930</v>
      </c>
      <c r="W500" s="1">
        <v>0</v>
      </c>
      <c r="Y500" s="1">
        <f>9289904+133059+397797</f>
        <v>9820760</v>
      </c>
      <c r="AA500" s="58">
        <f t="shared" si="65"/>
        <v>10932690</v>
      </c>
      <c r="AC500" s="1">
        <f t="shared" si="66"/>
        <v>0</v>
      </c>
    </row>
    <row r="501" spans="1:29">
      <c r="A501" s="12" t="s">
        <v>548</v>
      </c>
      <c r="B501" s="12"/>
      <c r="C501" s="12" t="s">
        <v>112</v>
      </c>
      <c r="D501" s="12"/>
      <c r="E501" s="13">
        <v>44776</v>
      </c>
      <c r="G501" s="1">
        <f>5952202+7074</f>
        <v>5959276</v>
      </c>
      <c r="I501" s="1">
        <v>42922</v>
      </c>
      <c r="K501" s="41">
        <f t="shared" ref="K501:K564" si="67">M501-G501-I501</f>
        <v>6586399</v>
      </c>
      <c r="M501" s="1">
        <v>12588597</v>
      </c>
      <c r="O501" s="41">
        <f t="shared" ref="O501:O564" si="68">S501-Q501</f>
        <v>7013214</v>
      </c>
      <c r="Q501" s="1">
        <v>467902</v>
      </c>
      <c r="S501" s="1">
        <v>7481116</v>
      </c>
      <c r="U501" s="1">
        <f>5107481-3999701</f>
        <v>1107780</v>
      </c>
      <c r="W501" s="1">
        <v>0</v>
      </c>
      <c r="Y501" s="1">
        <f>3479838+377551+142312</f>
        <v>3999701</v>
      </c>
      <c r="AA501" s="58">
        <f t="shared" ref="AA501:AA564" si="69">U501+W501+Y501</f>
        <v>5107481</v>
      </c>
      <c r="AC501" s="1">
        <f t="shared" si="66"/>
        <v>0</v>
      </c>
    </row>
    <row r="502" spans="1:29">
      <c r="A502" s="17" t="s">
        <v>571</v>
      </c>
      <c r="B502" s="12"/>
      <c r="C502" s="12" t="s">
        <v>61</v>
      </c>
      <c r="D502" s="12"/>
      <c r="E502" s="13">
        <v>44784</v>
      </c>
      <c r="G502" s="1">
        <v>7214310</v>
      </c>
      <c r="I502" s="1">
        <v>1798</v>
      </c>
      <c r="K502" s="41">
        <f t="shared" si="67"/>
        <v>19060373</v>
      </c>
      <c r="M502" s="1">
        <v>26276481</v>
      </c>
      <c r="O502" s="41">
        <f t="shared" si="68"/>
        <v>5581451</v>
      </c>
      <c r="Q502" s="1">
        <v>17224170</v>
      </c>
      <c r="S502" s="1">
        <v>22805621</v>
      </c>
      <c r="U502" s="1">
        <f>83967+3357792+108029+326669</f>
        <v>3876457</v>
      </c>
      <c r="W502" s="1">
        <v>0</v>
      </c>
      <c r="Y502" s="1">
        <v>-405597</v>
      </c>
      <c r="AA502" s="58">
        <f t="shared" si="69"/>
        <v>3470860</v>
      </c>
      <c r="AC502" s="1">
        <f t="shared" si="66"/>
        <v>0</v>
      </c>
    </row>
    <row r="503" spans="1:29">
      <c r="A503" s="12" t="s">
        <v>304</v>
      </c>
      <c r="B503" s="12"/>
      <c r="C503" s="12" t="s">
        <v>20</v>
      </c>
      <c r="D503" s="12"/>
      <c r="E503" s="13">
        <v>46607</v>
      </c>
      <c r="G503" s="1">
        <v>21143875</v>
      </c>
      <c r="I503" s="1">
        <v>0</v>
      </c>
      <c r="K503" s="41">
        <f t="shared" si="67"/>
        <v>54028130</v>
      </c>
      <c r="M503" s="1">
        <v>75172005</v>
      </c>
      <c r="O503" s="41">
        <f t="shared" si="68"/>
        <v>52658224</v>
      </c>
      <c r="Q503" s="1">
        <v>3335285</v>
      </c>
      <c r="S503" s="1">
        <v>55993509</v>
      </c>
      <c r="U503" s="1">
        <f>2237540+61841+29877+6178061</f>
        <v>8507319</v>
      </c>
      <c r="W503" s="1">
        <v>0</v>
      </c>
      <c r="Y503" s="1">
        <f>-1019597+1554790+1638064+8497920</f>
        <v>10671177</v>
      </c>
      <c r="AA503" s="58">
        <f t="shared" si="69"/>
        <v>19178496</v>
      </c>
      <c r="AC503" s="1">
        <f t="shared" si="66"/>
        <v>0</v>
      </c>
    </row>
    <row r="504" spans="1:29">
      <c r="A504" s="12" t="s">
        <v>767</v>
      </c>
      <c r="B504" s="12"/>
      <c r="C504" s="12" t="s">
        <v>37</v>
      </c>
      <c r="D504" s="12"/>
      <c r="E504" s="13"/>
      <c r="G504" s="1">
        <v>3044842</v>
      </c>
      <c r="I504" s="1">
        <v>302881</v>
      </c>
      <c r="K504" s="41">
        <f t="shared" si="67"/>
        <v>1955287</v>
      </c>
      <c r="M504" s="1">
        <v>5303010</v>
      </c>
      <c r="O504" s="41">
        <f t="shared" si="68"/>
        <v>1973023</v>
      </c>
      <c r="Q504" s="1">
        <v>130244</v>
      </c>
      <c r="S504" s="1">
        <v>2103267</v>
      </c>
      <c r="U504" s="1">
        <f>3199743-484783-1643166</f>
        <v>1071794</v>
      </c>
      <c r="W504" s="1">
        <v>484783</v>
      </c>
      <c r="Y504" s="1">
        <f>1611864+17238+14064</f>
        <v>1643166</v>
      </c>
      <c r="AA504" s="58">
        <f t="shared" si="69"/>
        <v>3199743</v>
      </c>
      <c r="AC504" s="1">
        <f t="shared" si="66"/>
        <v>0</v>
      </c>
    </row>
    <row r="505" spans="1:29">
      <c r="A505" s="12" t="s">
        <v>305</v>
      </c>
      <c r="B505" s="12"/>
      <c r="C505" s="12" t="s">
        <v>20</v>
      </c>
      <c r="D505" s="12"/>
      <c r="E505" s="13">
        <v>44792</v>
      </c>
      <c r="G505" s="1">
        <v>14279872</v>
      </c>
      <c r="I505" s="1">
        <v>43301</v>
      </c>
      <c r="K505" s="41">
        <f t="shared" si="67"/>
        <v>55659467</v>
      </c>
      <c r="M505" s="1">
        <v>69982640</v>
      </c>
      <c r="O505" s="41">
        <f t="shared" si="68"/>
        <v>16090676</v>
      </c>
      <c r="Q505" s="1">
        <v>48667159</v>
      </c>
      <c r="S505" s="1">
        <v>64757835</v>
      </c>
      <c r="U505" s="1">
        <f>1213502+6138796+43301</f>
        <v>7395599</v>
      </c>
      <c r="W505" s="1">
        <v>0</v>
      </c>
      <c r="Y505" s="1">
        <f>3879377+651176+1455138-8156485</f>
        <v>-2170794</v>
      </c>
      <c r="AA505" s="58">
        <f t="shared" si="69"/>
        <v>5224805</v>
      </c>
      <c r="AC505" s="1">
        <f t="shared" si="66"/>
        <v>0</v>
      </c>
    </row>
    <row r="506" spans="1:29">
      <c r="A506" s="12" t="s">
        <v>425</v>
      </c>
      <c r="B506" s="12"/>
      <c r="C506" s="12" t="s">
        <v>420</v>
      </c>
      <c r="D506" s="12"/>
      <c r="E506" s="13">
        <v>47951</v>
      </c>
      <c r="G506" s="1">
        <f>8904216+10431</f>
        <v>8914647</v>
      </c>
      <c r="I506" s="1">
        <v>357489</v>
      </c>
      <c r="K506" s="41">
        <f t="shared" si="67"/>
        <v>4132671</v>
      </c>
      <c r="M506" s="1">
        <v>13404807</v>
      </c>
      <c r="O506" s="41">
        <f t="shared" si="68"/>
        <v>2748091</v>
      </c>
      <c r="Q506" s="1">
        <v>3523027</v>
      </c>
      <c r="S506" s="1">
        <v>6271118</v>
      </c>
      <c r="U506" s="1">
        <f>1380127+528995+240644+67581+49264</f>
        <v>2266611</v>
      </c>
      <c r="W506" s="1">
        <v>0</v>
      </c>
      <c r="Y506" s="1">
        <f>1897551+1066475+1030525+872527</f>
        <v>4867078</v>
      </c>
      <c r="AA506" s="58">
        <f t="shared" si="69"/>
        <v>7133689</v>
      </c>
      <c r="AC506" s="1">
        <f t="shared" si="66"/>
        <v>0</v>
      </c>
    </row>
    <row r="507" spans="1:29">
      <c r="A507" s="12"/>
      <c r="B507" s="12"/>
      <c r="C507" s="12"/>
      <c r="D507" s="12"/>
      <c r="E507" s="13"/>
      <c r="K507" s="41"/>
      <c r="O507" s="41"/>
      <c r="AA507" s="58"/>
    </row>
    <row r="508" spans="1:29">
      <c r="A508" s="12"/>
      <c r="B508" s="12"/>
      <c r="C508" s="12"/>
      <c r="D508" s="12"/>
      <c r="E508" s="13"/>
      <c r="K508" s="41"/>
      <c r="O508" s="41"/>
      <c r="AA508" s="20" t="s">
        <v>709</v>
      </c>
    </row>
    <row r="509" spans="1:29">
      <c r="A509" s="12"/>
      <c r="B509" s="12"/>
      <c r="C509" s="12"/>
      <c r="D509" s="12"/>
      <c r="E509" s="13"/>
      <c r="K509" s="41"/>
      <c r="O509" s="41"/>
      <c r="AA509" s="58"/>
    </row>
    <row r="510" spans="1:29">
      <c r="A510" s="12" t="s">
        <v>469</v>
      </c>
      <c r="B510" s="12"/>
      <c r="C510" s="12" t="s">
        <v>45</v>
      </c>
      <c r="D510" s="12"/>
      <c r="E510" s="13">
        <v>48363</v>
      </c>
      <c r="G510" s="16">
        <v>16403428</v>
      </c>
      <c r="H510" s="16"/>
      <c r="I510" s="16">
        <v>104300</v>
      </c>
      <c r="J510" s="16"/>
      <c r="K510" s="59">
        <f t="shared" si="67"/>
        <v>7952979</v>
      </c>
      <c r="L510" s="16"/>
      <c r="M510" s="16">
        <v>24460707</v>
      </c>
      <c r="N510" s="16"/>
      <c r="O510" s="59">
        <f t="shared" si="68"/>
        <v>7882088</v>
      </c>
      <c r="P510" s="16"/>
      <c r="Q510" s="16">
        <v>1658287</v>
      </c>
      <c r="R510" s="16"/>
      <c r="S510" s="16">
        <v>9540375</v>
      </c>
      <c r="T510" s="16"/>
      <c r="U510" s="16">
        <f>6178771+13035+580646+104300</f>
        <v>6876752</v>
      </c>
      <c r="V510" s="16"/>
      <c r="W510" s="16">
        <v>0</v>
      </c>
      <c r="X510" s="16"/>
      <c r="Y510" s="16">
        <f>1990520+204557+5848503</f>
        <v>8043580</v>
      </c>
      <c r="Z510" s="16"/>
      <c r="AA510" s="90">
        <f t="shared" si="69"/>
        <v>14920332</v>
      </c>
      <c r="AC510" s="1">
        <f t="shared" si="66"/>
        <v>0</v>
      </c>
    </row>
    <row r="511" spans="1:29">
      <c r="A511" s="12" t="s">
        <v>537</v>
      </c>
      <c r="B511" s="12"/>
      <c r="C511" s="12" t="s">
        <v>56</v>
      </c>
      <c r="D511" s="12"/>
      <c r="E511" s="13">
        <v>49221</v>
      </c>
      <c r="G511" s="1">
        <v>8512492</v>
      </c>
      <c r="I511" s="1">
        <v>39855</v>
      </c>
      <c r="K511" s="41">
        <f t="shared" si="67"/>
        <v>6970487</v>
      </c>
      <c r="M511" s="1">
        <v>15522834</v>
      </c>
      <c r="O511" s="41">
        <f t="shared" si="68"/>
        <v>2455049</v>
      </c>
      <c r="Q511" s="1">
        <v>5571492</v>
      </c>
      <c r="S511" s="1">
        <v>8026541</v>
      </c>
      <c r="U511" s="1">
        <f>37951+1306033+39855</f>
        <v>1383839</v>
      </c>
      <c r="W511" s="1">
        <v>0</v>
      </c>
      <c r="Y511" s="1">
        <f>7496293-1383839</f>
        <v>6112454</v>
      </c>
      <c r="AA511" s="58">
        <f t="shared" si="69"/>
        <v>7496293</v>
      </c>
      <c r="AC511" s="1">
        <f t="shared" si="66"/>
        <v>0</v>
      </c>
    </row>
    <row r="512" spans="1:29" s="16" customFormat="1">
      <c r="A512" s="14" t="s">
        <v>537</v>
      </c>
      <c r="B512" s="14"/>
      <c r="C512" s="14" t="s">
        <v>71</v>
      </c>
      <c r="D512" s="14"/>
      <c r="E512" s="14">
        <v>50583</v>
      </c>
      <c r="G512" s="1">
        <v>2096997</v>
      </c>
      <c r="H512" s="1"/>
      <c r="I512" s="1">
        <v>8591144</v>
      </c>
      <c r="J512" s="1"/>
      <c r="K512" s="41">
        <f t="shared" si="67"/>
        <v>-2096997</v>
      </c>
      <c r="L512" s="1"/>
      <c r="M512" s="1">
        <v>8591144</v>
      </c>
      <c r="N512" s="1"/>
      <c r="O512" s="41">
        <f t="shared" si="68"/>
        <v>2258001</v>
      </c>
      <c r="P512" s="1"/>
      <c r="Q512" s="1">
        <v>5885875</v>
      </c>
      <c r="R512" s="1"/>
      <c r="S512" s="1">
        <v>8143876</v>
      </c>
      <c r="T512" s="1"/>
      <c r="U512" s="1">
        <f>13632+192151+393340</f>
        <v>599123</v>
      </c>
      <c r="V512" s="1"/>
      <c r="W512" s="1">
        <v>0</v>
      </c>
      <c r="X512" s="1"/>
      <c r="Y512" s="1">
        <f>-856541+193600+511086</f>
        <v>-151855</v>
      </c>
      <c r="Z512" s="1"/>
      <c r="AA512" s="58">
        <f t="shared" si="69"/>
        <v>447268</v>
      </c>
      <c r="AB512" s="1"/>
      <c r="AC512" s="1">
        <f t="shared" si="66"/>
        <v>0</v>
      </c>
    </row>
    <row r="513" spans="1:29">
      <c r="A513" s="12" t="s">
        <v>249</v>
      </c>
      <c r="B513" s="12"/>
      <c r="C513" s="12" t="s">
        <v>17</v>
      </c>
      <c r="D513" s="12"/>
      <c r="E513" s="13">
        <v>46276</v>
      </c>
      <c r="G513" s="1">
        <f>6723596+1225</f>
        <v>6724821</v>
      </c>
      <c r="I513" s="1">
        <v>184918</v>
      </c>
      <c r="K513" s="41">
        <f t="shared" si="67"/>
        <v>2677992</v>
      </c>
      <c r="M513" s="1">
        <v>9587731</v>
      </c>
      <c r="O513" s="41">
        <f t="shared" si="68"/>
        <v>1150087</v>
      </c>
      <c r="Q513" s="1">
        <v>1861719</v>
      </c>
      <c r="S513" s="1">
        <v>3011806</v>
      </c>
      <c r="U513" s="1">
        <f>372493+360316+165172+694+19052</f>
        <v>917727</v>
      </c>
      <c r="W513" s="1">
        <v>83786</v>
      </c>
      <c r="Y513" s="1">
        <f>4693970+2360+878082</f>
        <v>5574412</v>
      </c>
      <c r="AA513" s="58">
        <f t="shared" si="69"/>
        <v>6575925</v>
      </c>
      <c r="AC513" s="1">
        <f t="shared" si="66"/>
        <v>0</v>
      </c>
    </row>
    <row r="514" spans="1:29">
      <c r="A514" s="12" t="s">
        <v>249</v>
      </c>
      <c r="B514" s="12"/>
      <c r="C514" s="12" t="s">
        <v>58</v>
      </c>
      <c r="D514" s="12"/>
      <c r="E514" s="13">
        <v>49528</v>
      </c>
      <c r="G514" s="1">
        <v>7864995</v>
      </c>
      <c r="I514" s="1">
        <v>0</v>
      </c>
      <c r="K514" s="41">
        <f t="shared" si="67"/>
        <v>2233917</v>
      </c>
      <c r="M514" s="1">
        <v>10098912</v>
      </c>
      <c r="O514" s="41">
        <f t="shared" si="68"/>
        <v>1347276</v>
      </c>
      <c r="Q514" s="1">
        <v>1854764</v>
      </c>
      <c r="S514" s="1">
        <v>3202040</v>
      </c>
      <c r="U514" s="1">
        <f>432034+262372</f>
        <v>694406</v>
      </c>
      <c r="W514" s="1">
        <v>0</v>
      </c>
      <c r="Y514" s="1">
        <f>6896872-694406</f>
        <v>6202466</v>
      </c>
      <c r="AA514" s="58">
        <f t="shared" si="69"/>
        <v>6896872</v>
      </c>
      <c r="AC514" s="1">
        <f t="shared" si="66"/>
        <v>0</v>
      </c>
    </row>
    <row r="515" spans="1:29">
      <c r="A515" s="12" t="s">
        <v>269</v>
      </c>
      <c r="B515" s="12"/>
      <c r="C515" s="12" t="s">
        <v>114</v>
      </c>
      <c r="D515" s="12"/>
      <c r="E515" s="13">
        <v>46441</v>
      </c>
      <c r="G515" s="1">
        <v>1705140</v>
      </c>
      <c r="I515" s="1">
        <v>24797</v>
      </c>
      <c r="K515" s="41">
        <f>M515-G515-I515</f>
        <v>1916363</v>
      </c>
      <c r="M515" s="1">
        <v>3646300</v>
      </c>
      <c r="O515" s="41">
        <f>S515-Q515</f>
        <v>2611573</v>
      </c>
      <c r="Q515" s="1">
        <v>297655</v>
      </c>
      <c r="S515" s="1">
        <v>2909228</v>
      </c>
      <c r="U515" s="1">
        <f>737072-176564</f>
        <v>560508</v>
      </c>
      <c r="W515" s="1">
        <v>0</v>
      </c>
      <c r="Y515" s="1">
        <f>-78981+19014+236531</f>
        <v>176564</v>
      </c>
      <c r="AA515" s="58">
        <f>U515+W515+Y515</f>
        <v>737072</v>
      </c>
      <c r="AC515" s="1">
        <f t="shared" si="66"/>
        <v>0</v>
      </c>
    </row>
    <row r="516" spans="1:29">
      <c r="A516" s="12" t="s">
        <v>269</v>
      </c>
      <c r="B516" s="12"/>
      <c r="C516" s="12" t="s">
        <v>484</v>
      </c>
      <c r="D516" s="12"/>
      <c r="E516" s="13">
        <v>46441</v>
      </c>
      <c r="G516" s="1">
        <f>2346829+219</f>
        <v>2347048</v>
      </c>
      <c r="I516" s="1">
        <v>67465</v>
      </c>
      <c r="K516" s="41">
        <f t="shared" si="67"/>
        <v>2769456</v>
      </c>
      <c r="M516" s="1">
        <v>5183969</v>
      </c>
      <c r="O516" s="41">
        <f t="shared" si="68"/>
        <v>926436</v>
      </c>
      <c r="Q516" s="1">
        <v>2432883</v>
      </c>
      <c r="S516" s="1">
        <v>3359319</v>
      </c>
      <c r="U516" s="1">
        <f>30846+441+67024+231860</f>
        <v>330171</v>
      </c>
      <c r="W516" s="1">
        <v>0</v>
      </c>
      <c r="Y516" s="1">
        <f>1116982-51663+417029+12131</f>
        <v>1494479</v>
      </c>
      <c r="AA516" s="58">
        <f t="shared" si="69"/>
        <v>1824650</v>
      </c>
      <c r="AC516" s="1">
        <f t="shared" si="66"/>
        <v>0</v>
      </c>
    </row>
    <row r="517" spans="1:29" hidden="1">
      <c r="A517" s="12" t="s">
        <v>873</v>
      </c>
      <c r="B517" s="12"/>
      <c r="C517" s="12" t="s">
        <v>524</v>
      </c>
      <c r="D517" s="12"/>
      <c r="E517" s="13"/>
      <c r="K517" s="41">
        <f t="shared" si="67"/>
        <v>0</v>
      </c>
      <c r="O517" s="41"/>
      <c r="AA517" s="58">
        <f t="shared" si="69"/>
        <v>0</v>
      </c>
      <c r="AC517" s="1">
        <f t="shared" si="66"/>
        <v>0</v>
      </c>
    </row>
    <row r="518" spans="1:29">
      <c r="A518" s="12" t="s">
        <v>615</v>
      </c>
      <c r="B518" s="12"/>
      <c r="C518" s="12" t="s">
        <v>64</v>
      </c>
      <c r="D518" s="12"/>
      <c r="E518" s="13">
        <v>50237</v>
      </c>
      <c r="G518" s="1">
        <v>17515518</v>
      </c>
      <c r="I518" s="1">
        <f>292455+90420</f>
        <v>382875</v>
      </c>
      <c r="K518" s="41">
        <f t="shared" si="67"/>
        <v>3205229</v>
      </c>
      <c r="M518" s="1">
        <v>21103622</v>
      </c>
      <c r="O518" s="41">
        <f t="shared" si="68"/>
        <v>1473412</v>
      </c>
      <c r="Q518" s="1">
        <v>3122454</v>
      </c>
      <c r="S518" s="1">
        <v>4595866</v>
      </c>
      <c r="U518" s="1">
        <f>15973877+96245</f>
        <v>16070122</v>
      </c>
      <c r="W518" s="1">
        <v>0</v>
      </c>
      <c r="Y518" s="1">
        <v>437634</v>
      </c>
      <c r="AA518" s="58">
        <f t="shared" si="69"/>
        <v>16507756</v>
      </c>
      <c r="AC518" s="1">
        <f t="shared" si="66"/>
        <v>0</v>
      </c>
    </row>
    <row r="519" spans="1:29">
      <c r="A519" s="12" t="s">
        <v>434</v>
      </c>
      <c r="B519" s="12"/>
      <c r="C519" s="12" t="s">
        <v>42</v>
      </c>
      <c r="D519" s="12"/>
      <c r="E519" s="13">
        <v>48041</v>
      </c>
      <c r="G519" s="1">
        <f>7525871+1000000+696</f>
        <v>8526567</v>
      </c>
      <c r="I519" s="1">
        <v>4054</v>
      </c>
      <c r="K519" s="41">
        <f t="shared" si="67"/>
        <v>19700185</v>
      </c>
      <c r="M519" s="1">
        <v>28230806</v>
      </c>
      <c r="O519" s="41">
        <f t="shared" si="68"/>
        <v>7400492</v>
      </c>
      <c r="Q519" s="1">
        <v>14577321</v>
      </c>
      <c r="S519" s="1">
        <v>21977813</v>
      </c>
      <c r="U519" s="1">
        <f>445632+4054+43434+3185097+84020</f>
        <v>3762237</v>
      </c>
      <c r="W519" s="1">
        <v>0</v>
      </c>
      <c r="Y519" s="1">
        <f>2716938+242484+2720518-3189184</f>
        <v>2490756</v>
      </c>
      <c r="AA519" s="58">
        <f t="shared" si="69"/>
        <v>6252993</v>
      </c>
      <c r="AC519" s="1">
        <f t="shared" si="66"/>
        <v>0</v>
      </c>
    </row>
    <row r="520" spans="1:29">
      <c r="A520" s="12" t="s">
        <v>374</v>
      </c>
      <c r="B520" s="12"/>
      <c r="C520" s="12" t="s">
        <v>32</v>
      </c>
      <c r="D520" s="12"/>
      <c r="E520" s="13">
        <v>47381</v>
      </c>
      <c r="G520" s="1">
        <v>3415691</v>
      </c>
      <c r="I520" s="1">
        <v>0</v>
      </c>
      <c r="K520" s="41">
        <f t="shared" si="67"/>
        <v>15031071</v>
      </c>
      <c r="M520" s="1">
        <v>18446762</v>
      </c>
      <c r="O520" s="41">
        <f t="shared" si="68"/>
        <v>5243087</v>
      </c>
      <c r="Q520" s="1">
        <v>10178648</v>
      </c>
      <c r="S520" s="1">
        <v>15421735</v>
      </c>
      <c r="U520" s="1">
        <f>114293+3713000</f>
        <v>3827293</v>
      </c>
      <c r="W520" s="1">
        <v>0</v>
      </c>
      <c r="Y520" s="1">
        <f>-3407301+321629+2256287+27119</f>
        <v>-802266</v>
      </c>
      <c r="AA520" s="58">
        <f t="shared" si="69"/>
        <v>3025027</v>
      </c>
      <c r="AC520" s="1">
        <f t="shared" si="66"/>
        <v>0</v>
      </c>
    </row>
    <row r="521" spans="1:29">
      <c r="A521" s="12" t="s">
        <v>340</v>
      </c>
      <c r="B521" s="12"/>
      <c r="C521" s="12" t="s">
        <v>27</v>
      </c>
      <c r="D521" s="12"/>
      <c r="E521" s="12">
        <v>44800</v>
      </c>
      <c r="G521" s="1">
        <v>49079785</v>
      </c>
      <c r="I521" s="1">
        <v>0</v>
      </c>
      <c r="K521" s="41">
        <f t="shared" si="67"/>
        <v>131740466</v>
      </c>
      <c r="M521" s="1">
        <v>180820251</v>
      </c>
      <c r="O521" s="41">
        <f t="shared" si="68"/>
        <v>23859002</v>
      </c>
      <c r="Q521" s="1">
        <v>76641814</v>
      </c>
      <c r="S521" s="1">
        <v>100500816</v>
      </c>
      <c r="U521" s="1">
        <f>4293140+49130537+8506596</f>
        <v>61930273</v>
      </c>
      <c r="W521" s="1">
        <v>0</v>
      </c>
      <c r="Y521" s="1">
        <f>11527828+2913891+3947443</f>
        <v>18389162</v>
      </c>
      <c r="AA521" s="58">
        <f t="shared" si="69"/>
        <v>80319435</v>
      </c>
      <c r="AC521" s="1">
        <f t="shared" si="66"/>
        <v>0</v>
      </c>
    </row>
    <row r="522" spans="1:29" hidden="1">
      <c r="A522" s="17" t="s">
        <v>875</v>
      </c>
      <c r="B522" s="12"/>
      <c r="C522" s="12" t="s">
        <v>10</v>
      </c>
      <c r="D522" s="12"/>
      <c r="E522" s="13">
        <v>45807</v>
      </c>
      <c r="K522" s="41">
        <f t="shared" si="67"/>
        <v>0</v>
      </c>
      <c r="O522" s="41">
        <f t="shared" si="68"/>
        <v>0</v>
      </c>
      <c r="AA522" s="58">
        <f t="shared" si="69"/>
        <v>0</v>
      </c>
      <c r="AC522" s="1">
        <f t="shared" si="66"/>
        <v>0</v>
      </c>
    </row>
    <row r="523" spans="1:29" hidden="1">
      <c r="A523" s="17" t="s">
        <v>874</v>
      </c>
      <c r="B523" s="12"/>
      <c r="C523" s="12" t="s">
        <v>69</v>
      </c>
      <c r="D523" s="12"/>
      <c r="E523" s="13">
        <v>50427</v>
      </c>
      <c r="K523" s="41">
        <f t="shared" si="67"/>
        <v>0</v>
      </c>
      <c r="O523" s="41">
        <f t="shared" si="68"/>
        <v>0</v>
      </c>
      <c r="AA523" s="58">
        <f t="shared" si="69"/>
        <v>0</v>
      </c>
      <c r="AC523" s="1">
        <f t="shared" si="66"/>
        <v>0</v>
      </c>
    </row>
    <row r="524" spans="1:29">
      <c r="A524" s="17" t="s">
        <v>761</v>
      </c>
      <c r="B524" s="17"/>
      <c r="C524" s="17" t="s">
        <v>17</v>
      </c>
      <c r="D524" s="17"/>
      <c r="E524" s="13"/>
      <c r="G524" s="1">
        <v>37037219</v>
      </c>
      <c r="I524" s="1">
        <f>1322558+1654447+20670</f>
        <v>2997675</v>
      </c>
      <c r="K524" s="41">
        <f t="shared" si="67"/>
        <v>36497037</v>
      </c>
      <c r="M524" s="1">
        <v>76531931</v>
      </c>
      <c r="O524" s="41">
        <f t="shared" si="68"/>
        <v>15952881</v>
      </c>
      <c r="Q524" s="1">
        <v>27691968</v>
      </c>
      <c r="S524" s="1">
        <v>43644849</v>
      </c>
      <c r="U524" s="1">
        <f>1064173+6847909+1276445+46113</f>
        <v>9234640</v>
      </c>
      <c r="W524" s="1">
        <v>0</v>
      </c>
      <c r="Y524" s="1">
        <f>14144691+1893747+6206119+1407885</f>
        <v>23652442</v>
      </c>
      <c r="AA524" s="58">
        <f t="shared" si="69"/>
        <v>32887082</v>
      </c>
      <c r="AC524" s="1">
        <f t="shared" si="66"/>
        <v>0</v>
      </c>
    </row>
    <row r="525" spans="1:29">
      <c r="A525" s="17" t="s">
        <v>453</v>
      </c>
      <c r="B525" s="12"/>
      <c r="C525" s="12" t="s">
        <v>117</v>
      </c>
      <c r="D525" s="12"/>
      <c r="E525" s="13">
        <v>48223</v>
      </c>
      <c r="G525" s="1">
        <v>2999245</v>
      </c>
      <c r="I525" s="1">
        <v>0</v>
      </c>
      <c r="K525" s="41">
        <f t="shared" si="67"/>
        <v>24769001</v>
      </c>
      <c r="M525" s="1">
        <v>27768246</v>
      </c>
      <c r="O525" s="41">
        <f t="shared" si="68"/>
        <v>7469905</v>
      </c>
      <c r="Q525" s="1">
        <v>23336362</v>
      </c>
      <c r="S525" s="1">
        <v>30806267</v>
      </c>
      <c r="U525" s="1">
        <f>433995+1394941</f>
        <v>1828936</v>
      </c>
      <c r="W525" s="1">
        <v>0</v>
      </c>
      <c r="Y525" s="1">
        <f>-4824817-202179+1395882-1235843</f>
        <v>-4866957</v>
      </c>
      <c r="AA525" s="58">
        <f t="shared" si="69"/>
        <v>-3038021</v>
      </c>
      <c r="AC525" s="1">
        <f t="shared" si="66"/>
        <v>0</v>
      </c>
    </row>
    <row r="526" spans="1:29">
      <c r="A526" s="12" t="s">
        <v>453</v>
      </c>
      <c r="B526" s="12"/>
      <c r="C526" s="12" t="s">
        <v>45</v>
      </c>
      <c r="D526" s="12"/>
      <c r="E526" s="13">
        <v>48371</v>
      </c>
      <c r="G526" s="1">
        <v>2850681</v>
      </c>
      <c r="I526" s="1">
        <v>0</v>
      </c>
      <c r="K526" s="41">
        <f t="shared" si="67"/>
        <v>3955710</v>
      </c>
      <c r="M526" s="1">
        <v>6806391</v>
      </c>
      <c r="O526" s="41">
        <f t="shared" si="68"/>
        <v>4161357</v>
      </c>
      <c r="Q526" s="1">
        <v>246119</v>
      </c>
      <c r="S526" s="1">
        <v>4407476</v>
      </c>
      <c r="U526" s="1">
        <f>43856+6203+352+1099661</f>
        <v>1150072</v>
      </c>
      <c r="W526" s="1">
        <v>0</v>
      </c>
      <c r="Y526" s="1">
        <f>1159170-49595+139268</f>
        <v>1248843</v>
      </c>
      <c r="AA526" s="58">
        <f t="shared" si="69"/>
        <v>2398915</v>
      </c>
      <c r="AC526" s="1">
        <f t="shared" si="66"/>
        <v>0</v>
      </c>
    </row>
    <row r="527" spans="1:29">
      <c r="A527" s="12" t="s">
        <v>453</v>
      </c>
      <c r="B527" s="12"/>
      <c r="C527" s="12" t="s">
        <v>63</v>
      </c>
      <c r="D527" s="12"/>
      <c r="E527" s="13">
        <v>50062</v>
      </c>
      <c r="G527" s="1">
        <v>1979482</v>
      </c>
      <c r="I527" s="1">
        <v>0</v>
      </c>
      <c r="K527" s="41">
        <f t="shared" si="67"/>
        <v>13440865</v>
      </c>
      <c r="M527" s="1">
        <v>15420347</v>
      </c>
      <c r="O527" s="41">
        <f t="shared" si="68"/>
        <v>4055974</v>
      </c>
      <c r="Q527" s="1">
        <v>11526064</v>
      </c>
      <c r="S527" s="1">
        <v>15582038</v>
      </c>
      <c r="U527" s="1">
        <f>145998+1244616</f>
        <v>1390614</v>
      </c>
      <c r="W527" s="1">
        <v>0</v>
      </c>
      <c r="Y527" s="1">
        <f>-1979697+11952+15508+399932</f>
        <v>-1552305</v>
      </c>
      <c r="AA527" s="58">
        <f t="shared" si="69"/>
        <v>-161691</v>
      </c>
      <c r="AC527" s="1">
        <f t="shared" si="66"/>
        <v>0</v>
      </c>
    </row>
    <row r="528" spans="1:29">
      <c r="A528" s="12" t="s">
        <v>770</v>
      </c>
      <c r="B528" s="12"/>
      <c r="C528" s="12" t="s">
        <v>32</v>
      </c>
      <c r="D528" s="12"/>
      <c r="E528" s="13">
        <v>44719</v>
      </c>
      <c r="G528" s="1">
        <f>5278987+98164</f>
        <v>5377151</v>
      </c>
      <c r="I528" s="1">
        <v>0</v>
      </c>
      <c r="K528" s="41">
        <f t="shared" si="67"/>
        <v>10365381</v>
      </c>
      <c r="M528" s="1">
        <v>15742532</v>
      </c>
      <c r="O528" s="41">
        <f t="shared" si="68"/>
        <v>1481739</v>
      </c>
      <c r="Q528" s="1">
        <v>8276697</v>
      </c>
      <c r="S528" s="1">
        <v>9758436</v>
      </c>
      <c r="U528" s="1">
        <f>70992+5947+1548000</f>
        <v>1624939</v>
      </c>
      <c r="W528" s="1">
        <v>0</v>
      </c>
      <c r="Y528" s="1">
        <f>5984096-1624939</f>
        <v>4359157</v>
      </c>
      <c r="AA528" s="58">
        <f t="shared" si="69"/>
        <v>5984096</v>
      </c>
      <c r="AC528" s="1">
        <f t="shared" si="66"/>
        <v>0</v>
      </c>
    </row>
    <row r="529" spans="1:29">
      <c r="A529" s="12" t="s">
        <v>771</v>
      </c>
      <c r="B529" s="12"/>
      <c r="C529" s="12" t="s">
        <v>15</v>
      </c>
      <c r="D529" s="12"/>
      <c r="E529" s="13">
        <v>45997</v>
      </c>
      <c r="G529" s="1">
        <f>3837729+204914</f>
        <v>4042643</v>
      </c>
      <c r="I529" s="1">
        <v>129400</v>
      </c>
      <c r="K529" s="41">
        <f t="shared" si="67"/>
        <v>7649577</v>
      </c>
      <c r="M529" s="1">
        <v>11821620</v>
      </c>
      <c r="O529" s="41">
        <f t="shared" si="68"/>
        <v>1990603</v>
      </c>
      <c r="Q529" s="1">
        <v>7047296</v>
      </c>
      <c r="S529" s="1">
        <v>9037899</v>
      </c>
      <c r="U529" s="1">
        <f>363621+435738+52426+11000</f>
        <v>862785</v>
      </c>
      <c r="W529" s="1">
        <v>0</v>
      </c>
      <c r="Y529" s="1">
        <f>1137488+47429+661087+74932</f>
        <v>1920936</v>
      </c>
      <c r="AA529" s="58">
        <f t="shared" si="69"/>
        <v>2783721</v>
      </c>
      <c r="AC529" s="1">
        <f t="shared" si="66"/>
        <v>0</v>
      </c>
    </row>
    <row r="530" spans="1:29" hidden="1">
      <c r="A530" s="17" t="s">
        <v>876</v>
      </c>
      <c r="B530" s="12"/>
      <c r="C530" s="12" t="s">
        <v>486</v>
      </c>
      <c r="D530" s="12"/>
      <c r="E530" s="13">
        <v>48587</v>
      </c>
      <c r="K530" s="41">
        <f t="shared" si="67"/>
        <v>0</v>
      </c>
      <c r="O530" s="41">
        <f t="shared" si="68"/>
        <v>0</v>
      </c>
      <c r="AA530" s="58">
        <f t="shared" si="69"/>
        <v>0</v>
      </c>
      <c r="AC530" s="1">
        <f t="shared" si="66"/>
        <v>0</v>
      </c>
    </row>
    <row r="531" spans="1:29" hidden="1">
      <c r="A531" s="17" t="s">
        <v>877</v>
      </c>
      <c r="B531" s="12"/>
      <c r="C531" s="12" t="s">
        <v>14</v>
      </c>
      <c r="D531" s="12"/>
      <c r="E531" s="13">
        <v>44727</v>
      </c>
      <c r="K531" s="41">
        <f t="shared" si="67"/>
        <v>0</v>
      </c>
      <c r="O531" s="41">
        <f t="shared" si="68"/>
        <v>0</v>
      </c>
      <c r="AA531" s="58">
        <f t="shared" si="69"/>
        <v>0</v>
      </c>
      <c r="AC531" s="1">
        <f t="shared" si="66"/>
        <v>0</v>
      </c>
    </row>
    <row r="532" spans="1:29">
      <c r="A532" s="12" t="s">
        <v>412</v>
      </c>
      <c r="B532" s="12"/>
      <c r="C532" s="12" t="s">
        <v>39</v>
      </c>
      <c r="D532" s="12"/>
      <c r="E532" s="13">
        <v>44826</v>
      </c>
      <c r="G532" s="1">
        <v>11486645</v>
      </c>
      <c r="I532" s="1">
        <f>148504+1922004</f>
        <v>2070508</v>
      </c>
      <c r="K532" s="41">
        <f t="shared" si="67"/>
        <v>6336583</v>
      </c>
      <c r="M532" s="1">
        <v>19893736</v>
      </c>
      <c r="O532" s="41">
        <f t="shared" si="68"/>
        <v>2395661</v>
      </c>
      <c r="Q532" s="1">
        <v>5628267</v>
      </c>
      <c r="S532" s="1">
        <v>8023928</v>
      </c>
      <c r="U532" s="1">
        <f>1856341+575769+85496</f>
        <v>2517606</v>
      </c>
      <c r="W532" s="1">
        <f>259332+800670+159593</f>
        <v>1219595</v>
      </c>
      <c r="Y532" s="1">
        <f>204280+2303467+3596284+2028576</f>
        <v>8132607</v>
      </c>
      <c r="AA532" s="58">
        <f t="shared" si="69"/>
        <v>11869808</v>
      </c>
      <c r="AC532" s="1">
        <f t="shared" si="66"/>
        <v>0</v>
      </c>
    </row>
    <row r="533" spans="1:29">
      <c r="A533" s="12" t="s">
        <v>595</v>
      </c>
      <c r="B533" s="12"/>
      <c r="C533" s="12" t="s">
        <v>63</v>
      </c>
      <c r="D533" s="12"/>
      <c r="E533" s="13">
        <v>44834</v>
      </c>
      <c r="G533" s="1">
        <v>14599053</v>
      </c>
      <c r="I533" s="1">
        <v>540027</v>
      </c>
      <c r="K533" s="41">
        <f t="shared" si="67"/>
        <v>30911909</v>
      </c>
      <c r="M533" s="1">
        <v>46050989</v>
      </c>
      <c r="O533" s="41">
        <f t="shared" si="68"/>
        <v>33136815</v>
      </c>
      <c r="Q533" s="1">
        <v>947728</v>
      </c>
      <c r="S533" s="1">
        <v>34084543</v>
      </c>
      <c r="U533" s="1">
        <f>11966446-6759698</f>
        <v>5206748</v>
      </c>
      <c r="W533" s="1">
        <v>0</v>
      </c>
      <c r="Y533" s="1">
        <f>6860332-102558+1924</f>
        <v>6759698</v>
      </c>
      <c r="AA533" s="58">
        <f t="shared" si="69"/>
        <v>11966446</v>
      </c>
      <c r="AC533" s="1">
        <f t="shared" si="66"/>
        <v>0</v>
      </c>
    </row>
    <row r="534" spans="1:29" hidden="1">
      <c r="A534" s="12" t="s">
        <v>878</v>
      </c>
      <c r="B534" s="12"/>
      <c r="C534" s="12" t="s">
        <v>65</v>
      </c>
      <c r="D534" s="12"/>
      <c r="E534" s="13">
        <v>50294</v>
      </c>
      <c r="K534" s="41">
        <f t="shared" si="67"/>
        <v>0</v>
      </c>
      <c r="O534" s="41">
        <f t="shared" si="68"/>
        <v>0</v>
      </c>
      <c r="AA534" s="58">
        <f t="shared" si="69"/>
        <v>0</v>
      </c>
      <c r="AC534" s="1">
        <f t="shared" si="66"/>
        <v>0</v>
      </c>
    </row>
    <row r="535" spans="1:29">
      <c r="A535" s="12" t="s">
        <v>538</v>
      </c>
      <c r="B535" s="12"/>
      <c r="C535" s="12" t="s">
        <v>56</v>
      </c>
      <c r="D535" s="12"/>
      <c r="E535" s="12">
        <v>49239</v>
      </c>
      <c r="G535" s="1">
        <v>1397099</v>
      </c>
      <c r="I535" s="1">
        <v>0</v>
      </c>
      <c r="K535" s="41">
        <f t="shared" si="67"/>
        <v>14258969</v>
      </c>
      <c r="M535" s="1">
        <v>15656068</v>
      </c>
      <c r="O535" s="41">
        <f t="shared" si="68"/>
        <v>2796807</v>
      </c>
      <c r="Q535" s="1">
        <v>11284552</v>
      </c>
      <c r="S535" s="1">
        <v>14081359</v>
      </c>
      <c r="U535" s="1">
        <f>229477+2798737</f>
        <v>3028214</v>
      </c>
      <c r="W535" s="1">
        <v>0</v>
      </c>
      <c r="Y535" s="1">
        <f>-2009810+166389+161446+228470</f>
        <v>-1453505</v>
      </c>
      <c r="AA535" s="58">
        <f t="shared" si="69"/>
        <v>1574709</v>
      </c>
      <c r="AC535" s="1">
        <f t="shared" si="66"/>
        <v>0</v>
      </c>
    </row>
    <row r="536" spans="1:29">
      <c r="A536" s="12" t="s">
        <v>306</v>
      </c>
      <c r="B536" s="12"/>
      <c r="C536" s="12" t="s">
        <v>20</v>
      </c>
      <c r="D536" s="12"/>
      <c r="E536" s="13">
        <v>44842</v>
      </c>
      <c r="G536" s="1">
        <v>5763483</v>
      </c>
      <c r="I536" s="1">
        <v>220427</v>
      </c>
      <c r="K536" s="41">
        <f t="shared" si="67"/>
        <v>52255956</v>
      </c>
      <c r="M536" s="1">
        <v>58239866</v>
      </c>
      <c r="O536" s="41">
        <f t="shared" si="68"/>
        <v>11931566</v>
      </c>
      <c r="Q536" s="1">
        <v>46861938</v>
      </c>
      <c r="S536" s="1">
        <v>58793504</v>
      </c>
      <c r="U536" s="1">
        <f>5242292+3708256+236961</f>
        <v>9187509</v>
      </c>
      <c r="W536" s="1">
        <v>0</v>
      </c>
      <c r="Y536" s="1">
        <f>-14736261+450749+3865618+678747</f>
        <v>-9741147</v>
      </c>
      <c r="AA536" s="58">
        <f t="shared" si="69"/>
        <v>-553638</v>
      </c>
      <c r="AC536" s="1">
        <f t="shared" si="66"/>
        <v>0</v>
      </c>
    </row>
    <row r="537" spans="1:29">
      <c r="A537" s="12" t="s">
        <v>470</v>
      </c>
      <c r="B537" s="12"/>
      <c r="C537" s="12" t="s">
        <v>45</v>
      </c>
      <c r="D537" s="12"/>
      <c r="E537" s="13">
        <v>44859</v>
      </c>
      <c r="G537" s="1">
        <v>8395765</v>
      </c>
      <c r="I537" s="1">
        <v>8124</v>
      </c>
      <c r="K537" s="41">
        <f t="shared" si="67"/>
        <v>7036640</v>
      </c>
      <c r="M537" s="1">
        <v>15440529</v>
      </c>
      <c r="O537" s="41">
        <f t="shared" si="68"/>
        <v>2849358</v>
      </c>
      <c r="Q537" s="1">
        <v>6203171</v>
      </c>
      <c r="S537" s="1">
        <v>9052529</v>
      </c>
      <c r="U537" s="1">
        <f>1144495+8124</f>
        <v>1152619</v>
      </c>
      <c r="W537" s="1">
        <v>0</v>
      </c>
      <c r="Y537" s="1">
        <f>6388000-1152619</f>
        <v>5235381</v>
      </c>
      <c r="AA537" s="58">
        <f t="shared" si="69"/>
        <v>6388000</v>
      </c>
      <c r="AC537" s="1">
        <f t="shared" si="66"/>
        <v>0</v>
      </c>
    </row>
    <row r="538" spans="1:29">
      <c r="A538" s="12" t="s">
        <v>645</v>
      </c>
      <c r="B538" s="12"/>
      <c r="C538" s="12" t="s">
        <v>643</v>
      </c>
      <c r="D538" s="12"/>
      <c r="E538" s="13">
        <v>50658</v>
      </c>
      <c r="G538" s="1">
        <v>1231163</v>
      </c>
      <c r="I538" s="1">
        <v>15473</v>
      </c>
      <c r="K538" s="41">
        <f t="shared" si="67"/>
        <v>1864017</v>
      </c>
      <c r="M538" s="1">
        <v>3110653</v>
      </c>
      <c r="O538" s="41">
        <f t="shared" si="68"/>
        <v>476209</v>
      </c>
      <c r="Q538" s="1">
        <v>1454353</v>
      </c>
      <c r="S538" s="1">
        <v>1930562</v>
      </c>
      <c r="U538" s="1">
        <f>84632+5898+1730+112229+15473</f>
        <v>219962</v>
      </c>
      <c r="W538" s="1">
        <v>0</v>
      </c>
      <c r="Y538" s="1">
        <f>501516+130218+288257+40138</f>
        <v>960129</v>
      </c>
      <c r="AA538" s="58">
        <f t="shared" si="69"/>
        <v>1180091</v>
      </c>
      <c r="AC538" s="1">
        <f t="shared" si="66"/>
        <v>0</v>
      </c>
    </row>
    <row r="539" spans="1:29">
      <c r="A539" s="12" t="s">
        <v>347</v>
      </c>
      <c r="B539" s="12"/>
      <c r="C539" s="12" t="s">
        <v>28</v>
      </c>
      <c r="D539" s="12"/>
      <c r="E539" s="13">
        <v>47092</v>
      </c>
      <c r="G539" s="1">
        <f>10097879+1944514</f>
        <v>12042393</v>
      </c>
      <c r="I539" s="1">
        <v>39569</v>
      </c>
      <c r="K539" s="41">
        <f t="shared" si="67"/>
        <v>7669222</v>
      </c>
      <c r="M539" s="1">
        <v>19751184</v>
      </c>
      <c r="O539" s="41">
        <f t="shared" si="68"/>
        <v>1593398</v>
      </c>
      <c r="Q539" s="1">
        <v>6493995</v>
      </c>
      <c r="S539" s="1">
        <v>8087393</v>
      </c>
      <c r="U539" s="1">
        <f>417059+39569+597087</f>
        <v>1053715</v>
      </c>
      <c r="W539" s="1">
        <v>0</v>
      </c>
      <c r="Y539" s="1">
        <f>8607716+168867+1684427+149066</f>
        <v>10610076</v>
      </c>
      <c r="AA539" s="58">
        <f t="shared" si="69"/>
        <v>11663791</v>
      </c>
      <c r="AC539" s="1">
        <f t="shared" si="66"/>
        <v>0</v>
      </c>
    </row>
    <row r="540" spans="1:29">
      <c r="A540" s="12" t="s">
        <v>760</v>
      </c>
      <c r="B540" s="12"/>
      <c r="C540" s="12" t="s">
        <v>49</v>
      </c>
      <c r="D540" s="12"/>
      <c r="E540" s="13">
        <v>48652</v>
      </c>
      <c r="G540" s="1">
        <f>1413045+7463267+34357614</f>
        <v>43233926</v>
      </c>
      <c r="I540" s="1">
        <v>5702</v>
      </c>
      <c r="K540" s="41">
        <f t="shared" si="67"/>
        <v>51151831</v>
      </c>
      <c r="M540" s="1">
        <v>94391459</v>
      </c>
      <c r="O540" s="41">
        <f t="shared" si="68"/>
        <v>4231526</v>
      </c>
      <c r="Q540" s="1">
        <v>49753631</v>
      </c>
      <c r="S540" s="1">
        <v>53985157</v>
      </c>
      <c r="U540" s="1">
        <f>3981919+5702+286367</f>
        <v>4273988</v>
      </c>
      <c r="W540" s="1">
        <v>0</v>
      </c>
      <c r="Y540" s="1">
        <f>40406302-4273988</f>
        <v>36132314</v>
      </c>
      <c r="AA540" s="58">
        <f t="shared" si="69"/>
        <v>40406302</v>
      </c>
      <c r="AC540" s="1">
        <f t="shared" si="66"/>
        <v>0</v>
      </c>
    </row>
    <row r="541" spans="1:29">
      <c r="A541" s="12" t="s">
        <v>375</v>
      </c>
      <c r="B541" s="12"/>
      <c r="C541" s="12" t="s">
        <v>32</v>
      </c>
      <c r="D541" s="12"/>
      <c r="E541" s="13">
        <v>44867</v>
      </c>
      <c r="G541" s="1">
        <f>48202623+1060741</f>
        <v>49263364</v>
      </c>
      <c r="I541" s="1">
        <v>468958</v>
      </c>
      <c r="K541" s="41">
        <f t="shared" si="67"/>
        <v>58089920</v>
      </c>
      <c r="M541" s="1">
        <v>107822242</v>
      </c>
      <c r="O541" s="41">
        <f t="shared" si="68"/>
        <v>9637527</v>
      </c>
      <c r="Q541" s="1">
        <v>35533327</v>
      </c>
      <c r="S541" s="1">
        <v>45170854</v>
      </c>
      <c r="U541" s="1">
        <f>702155+57463+22247000+1060741+468958</f>
        <v>24536317</v>
      </c>
      <c r="W541" s="1">
        <v>0</v>
      </c>
      <c r="Y541" s="1">
        <f>32164401+605046+5295091+50533</f>
        <v>38115071</v>
      </c>
      <c r="AA541" s="58">
        <f t="shared" si="69"/>
        <v>62651388</v>
      </c>
      <c r="AC541" s="1">
        <f t="shared" si="66"/>
        <v>0</v>
      </c>
    </row>
    <row r="542" spans="1:29">
      <c r="A542" s="12" t="s">
        <v>454</v>
      </c>
      <c r="B542" s="12"/>
      <c r="C542" s="12" t="s">
        <v>117</v>
      </c>
      <c r="D542" s="12"/>
      <c r="E542" s="13">
        <v>44875</v>
      </c>
      <c r="G542" s="1">
        <v>67529395</v>
      </c>
      <c r="I542" s="1">
        <v>79049</v>
      </c>
      <c r="K542" s="41">
        <f t="shared" si="67"/>
        <v>59010089</v>
      </c>
      <c r="M542" s="1">
        <v>126618533</v>
      </c>
      <c r="O542" s="41">
        <f t="shared" si="68"/>
        <v>73918500</v>
      </c>
      <c r="Q542" s="1">
        <v>2140060</v>
      </c>
      <c r="S542" s="1">
        <v>76058560</v>
      </c>
      <c r="U542" s="1">
        <f>34785047+40847+2574899+79049</f>
        <v>37479842</v>
      </c>
      <c r="W542" s="1">
        <v>0</v>
      </c>
      <c r="Y542" s="1">
        <f>-3723495-625521+1001212+16427935</f>
        <v>13080131</v>
      </c>
      <c r="AA542" s="58">
        <f t="shared" si="69"/>
        <v>50559973</v>
      </c>
      <c r="AC542" s="1">
        <f t="shared" si="66"/>
        <v>0</v>
      </c>
    </row>
    <row r="543" spans="1:29">
      <c r="A543" s="12" t="s">
        <v>426</v>
      </c>
      <c r="B543" s="12"/>
      <c r="C543" s="12" t="s">
        <v>420</v>
      </c>
      <c r="D543" s="12"/>
      <c r="E543" s="13">
        <v>47969</v>
      </c>
      <c r="G543" s="1">
        <v>4777799</v>
      </c>
      <c r="I543" s="1">
        <v>300387</v>
      </c>
      <c r="K543" s="41">
        <f t="shared" si="67"/>
        <v>1256938</v>
      </c>
      <c r="M543" s="1">
        <v>6335124</v>
      </c>
      <c r="O543" s="41">
        <f t="shared" si="68"/>
        <v>964734</v>
      </c>
      <c r="Q543" s="1">
        <v>1095375</v>
      </c>
      <c r="S543" s="1">
        <v>2060109</v>
      </c>
      <c r="U543" s="1">
        <f>38986+101682+226854+30592+42941</f>
        <v>441055</v>
      </c>
      <c r="W543" s="1">
        <v>0</v>
      </c>
      <c r="Y543" s="1">
        <f>2754414+372610+302546+404390</f>
        <v>3833960</v>
      </c>
      <c r="AA543" s="58">
        <f t="shared" si="69"/>
        <v>4275015</v>
      </c>
      <c r="AC543" s="1">
        <f t="shared" si="66"/>
        <v>0</v>
      </c>
    </row>
    <row r="544" spans="1:29">
      <c r="A544" s="17" t="s">
        <v>236</v>
      </c>
      <c r="B544" s="12"/>
      <c r="C544" s="12" t="s">
        <v>227</v>
      </c>
      <c r="D544" s="12"/>
      <c r="E544" s="12">
        <v>46151</v>
      </c>
      <c r="G544" s="1">
        <f>59313657+46580</f>
        <v>59360237</v>
      </c>
      <c r="I544" s="1">
        <v>223328</v>
      </c>
      <c r="K544" s="41">
        <f t="shared" si="67"/>
        <v>23335313</v>
      </c>
      <c r="M544" s="1">
        <v>82918878</v>
      </c>
      <c r="O544" s="41">
        <f t="shared" si="68"/>
        <v>5538652</v>
      </c>
      <c r="Q544" s="1">
        <v>20979944</v>
      </c>
      <c r="S544" s="1">
        <v>26518596</v>
      </c>
      <c r="U544" s="1">
        <f>56400282-24411329</f>
        <v>31988953</v>
      </c>
      <c r="W544" s="1">
        <v>0</v>
      </c>
      <c r="Y544" s="1">
        <f>13598950+720153+10092226</f>
        <v>24411329</v>
      </c>
      <c r="AA544" s="58">
        <f t="shared" si="69"/>
        <v>56400282</v>
      </c>
      <c r="AC544" s="1">
        <f>+G544+I544+K544-O544-Q544-Y544-W544-U544</f>
        <v>0</v>
      </c>
    </row>
    <row r="545" spans="1:29">
      <c r="A545" s="12" t="s">
        <v>596</v>
      </c>
      <c r="B545" s="12"/>
      <c r="C545" s="12" t="s">
        <v>63</v>
      </c>
      <c r="D545" s="12"/>
      <c r="E545" s="13">
        <v>44883</v>
      </c>
      <c r="G545" s="1">
        <v>5962948</v>
      </c>
      <c r="I545" s="1">
        <v>72479</v>
      </c>
      <c r="K545" s="41">
        <f t="shared" si="67"/>
        <v>19042352</v>
      </c>
      <c r="M545" s="1">
        <v>25077779</v>
      </c>
      <c r="O545" s="41">
        <f t="shared" si="68"/>
        <v>19255685</v>
      </c>
      <c r="Q545" s="1">
        <v>620428</v>
      </c>
      <c r="S545" s="1">
        <v>19876113</v>
      </c>
      <c r="U545" s="1">
        <f>775592+501147+1957883+72474</f>
        <v>3307096</v>
      </c>
      <c r="W545" s="1">
        <v>0</v>
      </c>
      <c r="Y545" s="1">
        <f>-208491+280232+1822829</f>
        <v>1894570</v>
      </c>
      <c r="AA545" s="58">
        <f t="shared" si="69"/>
        <v>5201666</v>
      </c>
      <c r="AC545" s="1">
        <f t="shared" si="66"/>
        <v>0</v>
      </c>
    </row>
    <row r="546" spans="1:29">
      <c r="A546" s="12" t="s">
        <v>527</v>
      </c>
      <c r="B546" s="12"/>
      <c r="C546" s="12" t="s">
        <v>54</v>
      </c>
      <c r="D546" s="12"/>
      <c r="E546" s="13">
        <v>49098</v>
      </c>
      <c r="G546" s="1">
        <f>16242449+675154</f>
        <v>16917603</v>
      </c>
      <c r="I546" s="1">
        <v>19908</v>
      </c>
      <c r="K546" s="41">
        <f t="shared" si="67"/>
        <v>12015731</v>
      </c>
      <c r="M546" s="1">
        <v>28953242</v>
      </c>
      <c r="O546" s="41">
        <f t="shared" si="68"/>
        <v>15238883</v>
      </c>
      <c r="Q546" s="1">
        <v>1121747</v>
      </c>
      <c r="S546" s="1">
        <v>16360630</v>
      </c>
      <c r="U546" s="1">
        <f>12592612-5999846</f>
        <v>6592766</v>
      </c>
      <c r="W546" s="1">
        <v>0</v>
      </c>
      <c r="Y546" s="1">
        <f>4461034+556711+982101</f>
        <v>5999846</v>
      </c>
      <c r="AA546" s="58">
        <f t="shared" si="69"/>
        <v>12592612</v>
      </c>
      <c r="AC546" s="1">
        <f t="shared" si="66"/>
        <v>0</v>
      </c>
    </row>
    <row r="547" spans="1:29">
      <c r="A547" s="12" t="s">
        <v>250</v>
      </c>
      <c r="B547" s="12"/>
      <c r="C547" s="12" t="s">
        <v>17</v>
      </c>
      <c r="D547" s="12"/>
      <c r="E547" s="13">
        <v>46243</v>
      </c>
      <c r="G547" s="1">
        <f>6522431+4500</f>
        <v>6526931</v>
      </c>
      <c r="I547" s="1">
        <v>80264</v>
      </c>
      <c r="K547" s="41">
        <f t="shared" si="67"/>
        <v>11011412</v>
      </c>
      <c r="M547" s="1">
        <v>17618607</v>
      </c>
      <c r="O547" s="41">
        <f t="shared" si="68"/>
        <v>3975689</v>
      </c>
      <c r="Q547" s="1">
        <v>7508802</v>
      </c>
      <c r="S547" s="1">
        <v>11484491</v>
      </c>
      <c r="U547" s="1">
        <f>812155+2589470+80264</f>
        <v>3481889</v>
      </c>
      <c r="W547" s="1">
        <v>0</v>
      </c>
      <c r="Y547" s="1">
        <f>6134116-3481889</f>
        <v>2652227</v>
      </c>
      <c r="AA547" s="58">
        <f t="shared" si="69"/>
        <v>6134116</v>
      </c>
      <c r="AC547" s="1">
        <f t="shared" si="66"/>
        <v>0</v>
      </c>
    </row>
    <row r="548" spans="1:29">
      <c r="A548" s="12" t="s">
        <v>910</v>
      </c>
      <c r="B548" s="12"/>
      <c r="C548" s="12" t="s">
        <v>32</v>
      </c>
      <c r="D548" s="12"/>
      <c r="E548" s="13">
        <v>47399</v>
      </c>
      <c r="G548" s="1">
        <v>9524157</v>
      </c>
      <c r="I548" s="1">
        <v>182210</v>
      </c>
      <c r="K548" s="41">
        <f t="shared" si="67"/>
        <v>15140316</v>
      </c>
      <c r="M548" s="1">
        <v>24846683</v>
      </c>
      <c r="O548" s="41">
        <f t="shared" si="68"/>
        <v>2958093</v>
      </c>
      <c r="Q548" s="1">
        <v>10678297</v>
      </c>
      <c r="S548" s="1">
        <v>13636390</v>
      </c>
      <c r="U548" s="1">
        <f>821873+744+4143000+182210</f>
        <v>5147827</v>
      </c>
      <c r="W548" s="1">
        <v>0</v>
      </c>
      <c r="Y548" s="1">
        <f>4875604+402254+7359+777249</f>
        <v>6062466</v>
      </c>
      <c r="AA548" s="58">
        <f t="shared" si="69"/>
        <v>11210293</v>
      </c>
      <c r="AC548" s="1">
        <f t="shared" si="66"/>
        <v>0</v>
      </c>
    </row>
    <row r="549" spans="1:29">
      <c r="A549" s="12" t="s">
        <v>568</v>
      </c>
      <c r="B549" s="12"/>
      <c r="C549" s="12" t="s">
        <v>60</v>
      </c>
      <c r="D549" s="12"/>
      <c r="E549" s="13">
        <v>44891</v>
      </c>
      <c r="G549" s="1">
        <f>5051636+392+192825</f>
        <v>5244853</v>
      </c>
      <c r="I549" s="1">
        <v>367603</v>
      </c>
      <c r="K549" s="41">
        <f t="shared" si="67"/>
        <v>11647101</v>
      </c>
      <c r="M549" s="1">
        <v>17259557</v>
      </c>
      <c r="O549" s="41">
        <f t="shared" si="68"/>
        <v>11565269</v>
      </c>
      <c r="Q549" s="1">
        <v>1340208</v>
      </c>
      <c r="S549" s="1">
        <v>12905477</v>
      </c>
      <c r="U549" s="1">
        <f>4354080-1163436</f>
        <v>3190644</v>
      </c>
      <c r="W549" s="1">
        <v>0</v>
      </c>
      <c r="Y549" s="1">
        <f>683398+32320+447718</f>
        <v>1163436</v>
      </c>
      <c r="AA549" s="58">
        <f t="shared" si="69"/>
        <v>4354080</v>
      </c>
      <c r="AC549" s="1">
        <f t="shared" si="66"/>
        <v>0</v>
      </c>
    </row>
    <row r="550" spans="1:29">
      <c r="A550" s="12" t="s">
        <v>491</v>
      </c>
      <c r="B550" s="12"/>
      <c r="C550" s="12" t="s">
        <v>48</v>
      </c>
      <c r="D550" s="12"/>
      <c r="E550" s="13">
        <v>45617</v>
      </c>
      <c r="G550" s="1">
        <v>3565280</v>
      </c>
      <c r="I550" s="1">
        <v>7422</v>
      </c>
      <c r="K550" s="41">
        <f t="shared" si="67"/>
        <v>12579538</v>
      </c>
      <c r="M550" s="1">
        <v>16152240</v>
      </c>
      <c r="O550" s="41">
        <f t="shared" si="68"/>
        <v>2271178</v>
      </c>
      <c r="Q550" s="1">
        <f>11348801+2102</f>
        <v>11350903</v>
      </c>
      <c r="S550" s="1">
        <v>13622081</v>
      </c>
      <c r="U550" s="1">
        <f>74838+60853+17380+1090767+1002546</f>
        <v>2246384</v>
      </c>
      <c r="W550" s="1">
        <v>0</v>
      </c>
      <c r="Y550" s="1">
        <f>-556674+457674+382775</f>
        <v>283775</v>
      </c>
      <c r="AA550" s="58">
        <f t="shared" si="69"/>
        <v>2530159</v>
      </c>
      <c r="AC550" s="1">
        <f t="shared" si="66"/>
        <v>0</v>
      </c>
    </row>
    <row r="551" spans="1:29">
      <c r="A551" s="12" t="s">
        <v>455</v>
      </c>
      <c r="B551" s="12"/>
      <c r="C551" s="12" t="s">
        <v>117</v>
      </c>
      <c r="D551" s="12"/>
      <c r="E551" s="13">
        <v>44909</v>
      </c>
      <c r="G551" s="1">
        <f>190592186+1510624</f>
        <v>192102810</v>
      </c>
      <c r="I551" s="1">
        <v>3700671</v>
      </c>
      <c r="K551" s="41">
        <f t="shared" si="67"/>
        <v>210178278</v>
      </c>
      <c r="M551" s="1">
        <v>405981759</v>
      </c>
      <c r="O551" s="41">
        <f t="shared" si="68"/>
        <v>49787419</v>
      </c>
      <c r="Q551" s="1">
        <v>203147439</v>
      </c>
      <c r="S551" s="1">
        <v>252934858</v>
      </c>
      <c r="U551" s="1">
        <f>82533262+684398+5080334+3700671+503291</f>
        <v>92501956</v>
      </c>
      <c r="W551" s="1">
        <v>0</v>
      </c>
      <c r="Y551" s="1">
        <f>-25259943+10188786+4797338+70492242+326522</f>
        <v>60544945</v>
      </c>
      <c r="AA551" s="58">
        <f t="shared" si="69"/>
        <v>153046901</v>
      </c>
      <c r="AC551" s="1">
        <f t="shared" si="66"/>
        <v>0</v>
      </c>
    </row>
    <row r="552" spans="1:29" hidden="1">
      <c r="A552" s="12" t="s">
        <v>952</v>
      </c>
      <c r="B552" s="12"/>
      <c r="C552" s="12" t="s">
        <v>117</v>
      </c>
      <c r="D552" s="12"/>
      <c r="E552" s="13"/>
      <c r="K552" s="41">
        <f t="shared" si="67"/>
        <v>0</v>
      </c>
      <c r="O552" s="41">
        <f t="shared" si="68"/>
        <v>0</v>
      </c>
      <c r="AA552" s="58">
        <f t="shared" si="69"/>
        <v>0</v>
      </c>
      <c r="AC552" s="1">
        <f t="shared" si="66"/>
        <v>0</v>
      </c>
    </row>
    <row r="553" spans="1:29">
      <c r="A553" s="12" t="s">
        <v>902</v>
      </c>
      <c r="B553" s="12"/>
      <c r="C553" s="12" t="s">
        <v>39</v>
      </c>
      <c r="D553" s="12"/>
      <c r="E553" s="13">
        <v>44917</v>
      </c>
      <c r="G553" s="1">
        <f>2198106+892023</f>
        <v>3090129</v>
      </c>
      <c r="I553" s="1">
        <v>27259</v>
      </c>
      <c r="K553" s="41">
        <f t="shared" si="67"/>
        <v>1794916</v>
      </c>
      <c r="M553" s="1">
        <v>4912304</v>
      </c>
      <c r="O553" s="41">
        <f t="shared" si="68"/>
        <v>966856</v>
      </c>
      <c r="Q553" s="1">
        <v>1571593</v>
      </c>
      <c r="S553" s="1">
        <v>2538449</v>
      </c>
      <c r="U553" s="1">
        <f>146724+12372+182280+27259</f>
        <v>368635</v>
      </c>
      <c r="W553" s="1">
        <v>0</v>
      </c>
      <c r="Y553" s="1">
        <f>1885513-78452+122510+75649</f>
        <v>2005220</v>
      </c>
      <c r="AA553" s="58">
        <f t="shared" si="69"/>
        <v>2373855</v>
      </c>
      <c r="AC553" s="1">
        <f t="shared" si="66"/>
        <v>0</v>
      </c>
    </row>
    <row r="554" spans="1:29">
      <c r="A554" s="12" t="s">
        <v>242</v>
      </c>
      <c r="B554" s="12"/>
      <c r="C554" s="12" t="s">
        <v>240</v>
      </c>
      <c r="D554" s="12"/>
      <c r="E554" s="13">
        <v>46201</v>
      </c>
      <c r="G554" s="1">
        <v>1481555</v>
      </c>
      <c r="I554" s="1">
        <v>2500</v>
      </c>
      <c r="K554" s="41">
        <f t="shared" si="67"/>
        <v>2907872</v>
      </c>
      <c r="M554" s="1">
        <v>4391927</v>
      </c>
      <c r="O554" s="41">
        <f t="shared" si="68"/>
        <v>2891760</v>
      </c>
      <c r="Q554" s="1">
        <v>104582</v>
      </c>
      <c r="S554" s="1">
        <v>2996342</v>
      </c>
      <c r="U554" s="1">
        <f>1395585-716611</f>
        <v>678974</v>
      </c>
      <c r="W554" s="1">
        <v>0</v>
      </c>
      <c r="Y554" s="1">
        <f>570162+137606+8843</f>
        <v>716611</v>
      </c>
      <c r="AA554" s="58">
        <f t="shared" si="69"/>
        <v>1395585</v>
      </c>
      <c r="AC554" s="1">
        <f t="shared" si="66"/>
        <v>0</v>
      </c>
    </row>
    <row r="555" spans="1:29">
      <c r="A555" s="12" t="s">
        <v>541</v>
      </c>
      <c r="B555" s="12"/>
      <c r="C555" s="12" t="s">
        <v>57</v>
      </c>
      <c r="D555" s="12"/>
      <c r="E555" s="13">
        <v>91397</v>
      </c>
      <c r="G555" s="1">
        <v>4394587</v>
      </c>
      <c r="I555" s="1">
        <v>239149</v>
      </c>
      <c r="K555" s="41">
        <f t="shared" si="67"/>
        <v>5104130</v>
      </c>
      <c r="M555" s="1">
        <v>9737866</v>
      </c>
      <c r="O555" s="41">
        <f t="shared" si="68"/>
        <v>1219542</v>
      </c>
      <c r="Q555" s="1">
        <v>4683900</v>
      </c>
      <c r="S555" s="1">
        <v>5903442</v>
      </c>
      <c r="U555" s="1">
        <f>3834424-1603454-29331-230697-281223</f>
        <v>1689719</v>
      </c>
      <c r="W555" s="1">
        <v>29331</v>
      </c>
      <c r="Y555" s="1">
        <f>1603454+230697+281223</f>
        <v>2115374</v>
      </c>
      <c r="AA555" s="58">
        <f t="shared" si="69"/>
        <v>3834424</v>
      </c>
      <c r="AC555" s="1">
        <f t="shared" si="66"/>
        <v>0</v>
      </c>
    </row>
    <row r="556" spans="1:29">
      <c r="A556" s="12" t="s">
        <v>216</v>
      </c>
      <c r="B556" s="12"/>
      <c r="C556" s="12" t="s">
        <v>13</v>
      </c>
      <c r="D556" s="12"/>
      <c r="E556" s="13">
        <v>45922</v>
      </c>
      <c r="G556" s="1">
        <f>1814769+462</f>
        <v>1815231</v>
      </c>
      <c r="I556" s="1">
        <v>0</v>
      </c>
      <c r="K556" s="41">
        <f t="shared" si="67"/>
        <v>1843906</v>
      </c>
      <c r="M556" s="1">
        <v>3659137</v>
      </c>
      <c r="O556" s="41">
        <f t="shared" si="68"/>
        <v>1427388</v>
      </c>
      <c r="Q556" s="1">
        <v>1587623</v>
      </c>
      <c r="S556" s="1">
        <v>3015011</v>
      </c>
      <c r="U556" s="1">
        <f>210031+101575+3489</f>
        <v>315095</v>
      </c>
      <c r="W556" s="1">
        <v>0</v>
      </c>
      <c r="Y556" s="1">
        <f>-459303-53781+289295+552820</f>
        <v>329031</v>
      </c>
      <c r="AA556" s="58">
        <f t="shared" si="69"/>
        <v>644126</v>
      </c>
      <c r="AC556" s="1">
        <f t="shared" si="66"/>
        <v>0</v>
      </c>
    </row>
    <row r="557" spans="1:29">
      <c r="A557" s="12" t="s">
        <v>514</v>
      </c>
      <c r="B557" s="12"/>
      <c r="C557" s="12" t="s">
        <v>51</v>
      </c>
      <c r="D557" s="12"/>
      <c r="E557" s="13">
        <v>48876</v>
      </c>
      <c r="G557" s="1">
        <v>7245925</v>
      </c>
      <c r="I557" s="1">
        <v>10042</v>
      </c>
      <c r="K557" s="41">
        <f t="shared" si="67"/>
        <v>13712427</v>
      </c>
      <c r="M557" s="1">
        <v>20968394</v>
      </c>
      <c r="O557" s="41">
        <f t="shared" si="68"/>
        <v>3616715</v>
      </c>
      <c r="Q557" s="1">
        <v>13226960</v>
      </c>
      <c r="S557" s="1">
        <v>16843675</v>
      </c>
      <c r="U557" s="1">
        <f>414220+103877</f>
        <v>518097</v>
      </c>
      <c r="W557" s="1">
        <v>0</v>
      </c>
      <c r="Y557" s="1">
        <f>4124719-518097</f>
        <v>3606622</v>
      </c>
      <c r="AA557" s="58">
        <f t="shared" si="69"/>
        <v>4124719</v>
      </c>
      <c r="AC557" s="1">
        <f t="shared" si="66"/>
        <v>0</v>
      </c>
    </row>
    <row r="558" spans="1:29" hidden="1">
      <c r="A558" s="17" t="s">
        <v>859</v>
      </c>
      <c r="B558" s="12"/>
      <c r="C558" s="12" t="s">
        <v>21</v>
      </c>
      <c r="D558" s="12"/>
      <c r="E558" s="13">
        <v>46680</v>
      </c>
      <c r="K558" s="41">
        <f t="shared" si="67"/>
        <v>0</v>
      </c>
      <c r="O558" s="41">
        <f t="shared" si="68"/>
        <v>0</v>
      </c>
      <c r="AA558" s="58">
        <f t="shared" si="69"/>
        <v>0</v>
      </c>
      <c r="AC558" s="1">
        <f t="shared" si="66"/>
        <v>0</v>
      </c>
    </row>
    <row r="559" spans="1:29" hidden="1">
      <c r="A559" s="17" t="s">
        <v>933</v>
      </c>
      <c r="B559" s="12"/>
      <c r="C559" s="12" t="s">
        <v>71</v>
      </c>
      <c r="D559" s="12"/>
      <c r="E559" s="13">
        <v>50591</v>
      </c>
      <c r="K559" s="41">
        <f t="shared" si="67"/>
        <v>0</v>
      </c>
      <c r="O559" s="41">
        <f t="shared" si="68"/>
        <v>0</v>
      </c>
      <c r="AA559" s="58">
        <f t="shared" si="69"/>
        <v>0</v>
      </c>
      <c r="AC559" s="1">
        <f t="shared" si="66"/>
        <v>0</v>
      </c>
    </row>
    <row r="560" spans="1:29">
      <c r="A560" s="12" t="s">
        <v>505</v>
      </c>
      <c r="B560" s="12"/>
      <c r="C560" s="12" t="s">
        <v>50</v>
      </c>
      <c r="D560" s="12"/>
      <c r="E560" s="13">
        <v>48694</v>
      </c>
      <c r="G560" s="1">
        <f>20572234+130655</f>
        <v>20702889</v>
      </c>
      <c r="I560" s="1">
        <v>81076</v>
      </c>
      <c r="K560" s="41">
        <f t="shared" si="67"/>
        <v>17232053</v>
      </c>
      <c r="M560" s="1">
        <v>38016018</v>
      </c>
      <c r="O560" s="41">
        <f t="shared" si="68"/>
        <v>7291914</v>
      </c>
      <c r="Q560" s="1">
        <v>13794499</v>
      </c>
      <c r="S560" s="1">
        <v>21086413</v>
      </c>
      <c r="U560" s="1">
        <f>3865039+24868+787346+81076</f>
        <v>4758329</v>
      </c>
      <c r="W560" s="1">
        <v>0</v>
      </c>
      <c r="Y560" s="1">
        <f>8184551+521468+2426392+1038865</f>
        <v>12171276</v>
      </c>
      <c r="AA560" s="58">
        <f t="shared" si="69"/>
        <v>16929605</v>
      </c>
      <c r="AC560" s="1">
        <f t="shared" si="66"/>
        <v>0</v>
      </c>
    </row>
    <row r="561" spans="1:29">
      <c r="A561" s="12" t="s">
        <v>492</v>
      </c>
      <c r="B561" s="12"/>
      <c r="C561" s="12" t="s">
        <v>48</v>
      </c>
      <c r="D561" s="12"/>
      <c r="E561" s="13">
        <v>44925</v>
      </c>
      <c r="G561" s="1">
        <v>13491115</v>
      </c>
      <c r="I561" s="1">
        <v>0</v>
      </c>
      <c r="K561" s="41">
        <f t="shared" si="67"/>
        <v>19802859</v>
      </c>
      <c r="M561" s="1">
        <v>33293974</v>
      </c>
      <c r="O561" s="41">
        <f t="shared" si="68"/>
        <v>5156098</v>
      </c>
      <c r="Q561" s="1">
        <v>14853298</v>
      </c>
      <c r="S561" s="1">
        <v>20009396</v>
      </c>
      <c r="U561" s="1">
        <f>1062873+161476+26270+1585007</f>
        <v>2835626</v>
      </c>
      <c r="W561" s="1">
        <v>0</v>
      </c>
      <c r="Y561" s="1">
        <f>9739140+108084+408627+193101</f>
        <v>10448952</v>
      </c>
      <c r="AA561" s="58">
        <f t="shared" si="69"/>
        <v>13284578</v>
      </c>
      <c r="AC561" s="1">
        <f t="shared" si="66"/>
        <v>0</v>
      </c>
    </row>
    <row r="562" spans="1:29">
      <c r="A562" s="12" t="s">
        <v>624</v>
      </c>
      <c r="B562" s="12"/>
      <c r="C562" s="12" t="s">
        <v>65</v>
      </c>
      <c r="D562" s="12"/>
      <c r="E562" s="13">
        <v>50302</v>
      </c>
      <c r="G562" s="1">
        <v>3415189</v>
      </c>
      <c r="I562" s="1">
        <v>0</v>
      </c>
      <c r="K562" s="41">
        <f t="shared" si="67"/>
        <v>5842213</v>
      </c>
      <c r="M562" s="1">
        <v>9257402</v>
      </c>
      <c r="O562" s="41">
        <f t="shared" si="68"/>
        <v>6229647</v>
      </c>
      <c r="Q562" s="1">
        <v>672166</v>
      </c>
      <c r="S562" s="1">
        <v>6901813</v>
      </c>
      <c r="U562" s="1">
        <f>2355589-1061661</f>
        <v>1293928</v>
      </c>
      <c r="W562" s="1">
        <v>0</v>
      </c>
      <c r="Y562" s="1">
        <f>1255795-194149+15</f>
        <v>1061661</v>
      </c>
      <c r="AA562" s="58">
        <f t="shared" si="69"/>
        <v>2355589</v>
      </c>
      <c r="AC562" s="1">
        <f t="shared" si="66"/>
        <v>0</v>
      </c>
    </row>
    <row r="563" spans="1:29">
      <c r="A563" s="12" t="s">
        <v>585</v>
      </c>
      <c r="B563" s="12"/>
      <c r="C563" s="12" t="s">
        <v>62</v>
      </c>
      <c r="D563" s="12"/>
      <c r="E563" s="13">
        <v>49957</v>
      </c>
      <c r="G563" s="1">
        <v>11419247</v>
      </c>
      <c r="I563" s="1">
        <v>0</v>
      </c>
      <c r="K563" s="41">
        <f t="shared" si="67"/>
        <v>7263447</v>
      </c>
      <c r="M563" s="1">
        <v>18682694</v>
      </c>
      <c r="O563" s="41">
        <f t="shared" si="68"/>
        <v>1279181</v>
      </c>
      <c r="Q563" s="1">
        <v>7071631</v>
      </c>
      <c r="S563" s="1">
        <v>8350812</v>
      </c>
      <c r="U563" s="1">
        <f>9387268+152680</f>
        <v>9539948</v>
      </c>
      <c r="W563" s="1">
        <v>0</v>
      </c>
      <c r="Y563" s="1">
        <f>10331882-9539948</f>
        <v>791934</v>
      </c>
      <c r="AA563" s="58">
        <f t="shared" si="69"/>
        <v>10331882</v>
      </c>
      <c r="AC563" s="1">
        <f t="shared" si="66"/>
        <v>0</v>
      </c>
    </row>
    <row r="564" spans="1:29" hidden="1">
      <c r="A564" s="17" t="s">
        <v>865</v>
      </c>
      <c r="B564" s="12"/>
      <c r="C564" s="12" t="s">
        <v>57</v>
      </c>
      <c r="D564" s="12"/>
      <c r="E564" s="13">
        <v>49296</v>
      </c>
      <c r="K564" s="41">
        <f t="shared" si="67"/>
        <v>0</v>
      </c>
      <c r="O564" s="41">
        <f t="shared" si="68"/>
        <v>0</v>
      </c>
      <c r="AA564" s="58">
        <f t="shared" si="69"/>
        <v>0</v>
      </c>
      <c r="AC564" s="1">
        <f t="shared" si="66"/>
        <v>0</v>
      </c>
    </row>
    <row r="565" spans="1:29">
      <c r="A565" s="12" t="s">
        <v>597</v>
      </c>
      <c r="B565" s="12"/>
      <c r="C565" s="12" t="s">
        <v>63</v>
      </c>
      <c r="D565" s="12"/>
      <c r="E565" s="13">
        <v>50070</v>
      </c>
      <c r="G565" s="41">
        <f>37304597+125</f>
        <v>37304722</v>
      </c>
      <c r="H565" s="41"/>
      <c r="I565" s="41">
        <v>0</v>
      </c>
      <c r="J565" s="41"/>
      <c r="K565" s="41">
        <f t="shared" ref="K565:K631" si="70">M565-G565-I565</f>
        <v>28464538</v>
      </c>
      <c r="L565" s="41"/>
      <c r="M565" s="41">
        <v>65769260</v>
      </c>
      <c r="N565" s="41"/>
      <c r="O565" s="41">
        <f t="shared" ref="O565:O631" si="71">S565-Q565</f>
        <v>6205000</v>
      </c>
      <c r="P565" s="41"/>
      <c r="Q565" s="41">
        <v>25300489</v>
      </c>
      <c r="R565" s="41"/>
      <c r="S565" s="41">
        <v>31505489</v>
      </c>
      <c r="T565" s="41"/>
      <c r="U565" s="41">
        <f>779980+35867</f>
        <v>815847</v>
      </c>
      <c r="V565" s="41"/>
      <c r="W565" s="41">
        <v>0</v>
      </c>
      <c r="X565" s="41"/>
      <c r="Y565" s="41">
        <f>28058765+974572+1555580+2859007</f>
        <v>33447924</v>
      </c>
      <c r="Z565" s="41"/>
      <c r="AA565" s="41">
        <f t="shared" ref="AA565:AA631" si="72">U565+W565+Y565</f>
        <v>34263771</v>
      </c>
      <c r="AB565" s="59"/>
      <c r="AC565" s="59">
        <f t="shared" ref="AC565:AC631" si="73">+G565+I565+K565-O565-Q565-Y565-W565-U565</f>
        <v>0</v>
      </c>
    </row>
    <row r="566" spans="1:29" hidden="1">
      <c r="A566" s="12" t="s">
        <v>931</v>
      </c>
      <c r="B566" s="12"/>
      <c r="C566" s="12" t="s">
        <v>15</v>
      </c>
      <c r="D566" s="12"/>
      <c r="E566" s="13">
        <v>46011</v>
      </c>
      <c r="K566" s="41">
        <f t="shared" si="70"/>
        <v>0</v>
      </c>
      <c r="O566" s="41">
        <f t="shared" si="71"/>
        <v>0</v>
      </c>
      <c r="AA566" s="58">
        <f t="shared" si="72"/>
        <v>0</v>
      </c>
      <c r="AC566" s="1">
        <f t="shared" si="73"/>
        <v>0</v>
      </c>
    </row>
    <row r="567" spans="1:29">
      <c r="A567" s="12" t="s">
        <v>553</v>
      </c>
      <c r="B567" s="12"/>
      <c r="C567" s="12" t="s">
        <v>58</v>
      </c>
      <c r="D567" s="12"/>
      <c r="E567" s="13">
        <v>49536</v>
      </c>
      <c r="G567" s="1">
        <v>11687903</v>
      </c>
      <c r="I567" s="1">
        <v>421356</v>
      </c>
      <c r="K567" s="41">
        <f t="shared" si="70"/>
        <v>3807639</v>
      </c>
      <c r="M567" s="1">
        <v>15916898</v>
      </c>
      <c r="O567" s="41">
        <f t="shared" si="71"/>
        <v>1892392</v>
      </c>
      <c r="Q567" s="1">
        <v>2596246</v>
      </c>
      <c r="S567" s="1">
        <v>4488638</v>
      </c>
      <c r="U567" s="1">
        <f>1701331+619624+390729+26621+4006</f>
        <v>2742311</v>
      </c>
      <c r="W567" s="1">
        <v>0</v>
      </c>
      <c r="Y567" s="1">
        <f>7514033+345890+421353+404673</f>
        <v>8685949</v>
      </c>
      <c r="AA567" s="58">
        <f t="shared" si="72"/>
        <v>11428260</v>
      </c>
      <c r="AC567" s="1">
        <f t="shared" si="73"/>
        <v>0</v>
      </c>
    </row>
    <row r="568" spans="1:29">
      <c r="A568" s="12" t="s">
        <v>270</v>
      </c>
      <c r="B568" s="12"/>
      <c r="C568" s="12" t="s">
        <v>114</v>
      </c>
      <c r="D568" s="12"/>
      <c r="E568" s="13">
        <v>46458</v>
      </c>
      <c r="G568" s="1">
        <v>5028931</v>
      </c>
      <c r="I568" s="1">
        <v>62146</v>
      </c>
      <c r="K568" s="41">
        <f t="shared" si="70"/>
        <v>3028524</v>
      </c>
      <c r="M568" s="1">
        <v>8119601</v>
      </c>
      <c r="O568" s="41">
        <f t="shared" si="71"/>
        <v>3972943</v>
      </c>
      <c r="Q568" s="1">
        <v>253715</v>
      </c>
      <c r="S568" s="1">
        <v>4226658</v>
      </c>
      <c r="U568" s="1">
        <f>70844+11851+984+83962+235957+62146</f>
        <v>465744</v>
      </c>
      <c r="W568" s="1">
        <f>11000+97257</f>
        <v>108257</v>
      </c>
      <c r="Y568" s="1">
        <f>2479261-10261+849942</f>
        <v>3318942</v>
      </c>
      <c r="AA568" s="58">
        <f t="shared" si="72"/>
        <v>3892943</v>
      </c>
      <c r="AC568" s="1">
        <f t="shared" si="73"/>
        <v>0</v>
      </c>
    </row>
    <row r="569" spans="1:29">
      <c r="A569" s="12" t="s">
        <v>341</v>
      </c>
      <c r="B569" s="12"/>
      <c r="C569" s="12" t="s">
        <v>27</v>
      </c>
      <c r="D569" s="12"/>
      <c r="E569" s="13">
        <v>44933</v>
      </c>
      <c r="G569" s="1">
        <v>51461242</v>
      </c>
      <c r="I569" s="1">
        <v>285453</v>
      </c>
      <c r="K569" s="41">
        <f t="shared" si="70"/>
        <v>61626365</v>
      </c>
      <c r="M569" s="1">
        <v>113373060</v>
      </c>
      <c r="O569" s="41">
        <f t="shared" si="71"/>
        <v>12960190</v>
      </c>
      <c r="Q569" s="1">
        <v>43025061</v>
      </c>
      <c r="S569" s="1">
        <v>55985251</v>
      </c>
      <c r="U569" s="1">
        <f>1865551+123790+24988550+285453</f>
        <v>27263344</v>
      </c>
      <c r="W569" s="1">
        <v>879851</v>
      </c>
      <c r="Y569" s="1">
        <f>25447451+2718235+2233865-1154937</f>
        <v>29244614</v>
      </c>
      <c r="AA569" s="58">
        <f t="shared" si="72"/>
        <v>57387809</v>
      </c>
      <c r="AC569" s="1">
        <f t="shared" si="73"/>
        <v>0</v>
      </c>
    </row>
    <row r="570" spans="1:29" hidden="1">
      <c r="A570" s="17" t="s">
        <v>866</v>
      </c>
      <c r="B570" s="12"/>
      <c r="C570" s="12" t="s">
        <v>653</v>
      </c>
      <c r="D570" s="12"/>
      <c r="E570" s="13">
        <v>45625</v>
      </c>
      <c r="K570" s="41">
        <f t="shared" si="70"/>
        <v>0</v>
      </c>
      <c r="O570" s="41">
        <f t="shared" si="71"/>
        <v>0</v>
      </c>
      <c r="AA570" s="58">
        <f t="shared" si="72"/>
        <v>0</v>
      </c>
      <c r="AC570" s="1">
        <f t="shared" si="73"/>
        <v>0</v>
      </c>
    </row>
    <row r="571" spans="1:29" hidden="1">
      <c r="A571" s="17" t="s">
        <v>867</v>
      </c>
      <c r="B571" s="12"/>
      <c r="C571" s="12" t="s">
        <v>383</v>
      </c>
      <c r="D571" s="12"/>
      <c r="E571" s="13">
        <v>47522</v>
      </c>
      <c r="K571" s="41">
        <f t="shared" si="70"/>
        <v>0</v>
      </c>
      <c r="O571" s="41">
        <f t="shared" si="71"/>
        <v>0</v>
      </c>
      <c r="AA571" s="58">
        <f t="shared" si="72"/>
        <v>0</v>
      </c>
      <c r="AC571" s="1">
        <f t="shared" si="73"/>
        <v>0</v>
      </c>
    </row>
    <row r="572" spans="1:29">
      <c r="A572" s="12" t="s">
        <v>243</v>
      </c>
      <c r="B572" s="12"/>
      <c r="C572" s="12" t="s">
        <v>240</v>
      </c>
      <c r="D572" s="12"/>
      <c r="E572" s="13">
        <v>44941</v>
      </c>
      <c r="G572" s="1">
        <v>5628022</v>
      </c>
      <c r="I572" s="1">
        <v>593611</v>
      </c>
      <c r="K572" s="41">
        <f t="shared" si="70"/>
        <v>9673033</v>
      </c>
      <c r="M572" s="1">
        <v>15894666</v>
      </c>
      <c r="O572" s="41">
        <f t="shared" si="71"/>
        <v>9219057</v>
      </c>
      <c r="Q572" s="1">
        <v>991300</v>
      </c>
      <c r="S572" s="1">
        <v>10210357</v>
      </c>
      <c r="U572" s="1">
        <f>5684309-877294</f>
        <v>4807015</v>
      </c>
      <c r="W572" s="1">
        <v>0</v>
      </c>
      <c r="Y572" s="1">
        <f>710493+220687-53886</f>
        <v>877294</v>
      </c>
      <c r="AA572" s="58">
        <f t="shared" si="72"/>
        <v>5684309</v>
      </c>
      <c r="AC572" s="1">
        <f t="shared" si="73"/>
        <v>0</v>
      </c>
    </row>
    <row r="573" spans="1:29" hidden="1">
      <c r="A573" s="17" t="s">
        <v>868</v>
      </c>
      <c r="B573" s="12"/>
      <c r="C573" s="12" t="s">
        <v>59</v>
      </c>
      <c r="D573" s="12"/>
      <c r="E573" s="13">
        <v>49643</v>
      </c>
      <c r="K573" s="41">
        <f t="shared" si="70"/>
        <v>0</v>
      </c>
      <c r="O573" s="41">
        <f t="shared" si="71"/>
        <v>0</v>
      </c>
      <c r="AA573" s="58">
        <f t="shared" si="72"/>
        <v>0</v>
      </c>
      <c r="AC573" s="1">
        <f t="shared" si="73"/>
        <v>0</v>
      </c>
    </row>
    <row r="574" spans="1:29">
      <c r="A574" s="12" t="s">
        <v>506</v>
      </c>
      <c r="B574" s="12"/>
      <c r="C574" s="12" t="s">
        <v>50</v>
      </c>
      <c r="D574" s="12"/>
      <c r="E574" s="13">
        <v>48744</v>
      </c>
      <c r="G574" s="1">
        <v>6210280</v>
      </c>
      <c r="I574" s="1">
        <v>613</v>
      </c>
      <c r="K574" s="41">
        <f t="shared" si="70"/>
        <v>6810294</v>
      </c>
      <c r="M574" s="1">
        <v>13021187</v>
      </c>
      <c r="O574" s="41">
        <f t="shared" si="71"/>
        <v>7940985</v>
      </c>
      <c r="Q574" s="1">
        <v>465455</v>
      </c>
      <c r="S574" s="1">
        <v>8406440</v>
      </c>
      <c r="U574" s="1">
        <f>4614747-4222612</f>
        <v>392135</v>
      </c>
      <c r="W574" s="1">
        <v>0</v>
      </c>
      <c r="Y574" s="1">
        <f>3985306+75860+161446</f>
        <v>4222612</v>
      </c>
      <c r="AA574" s="58">
        <f t="shared" si="72"/>
        <v>4614747</v>
      </c>
      <c r="AC574" s="1">
        <f t="shared" si="73"/>
        <v>0</v>
      </c>
    </row>
    <row r="575" spans="1:29">
      <c r="A575" s="12" t="s">
        <v>382</v>
      </c>
      <c r="B575" s="12"/>
      <c r="C575" s="12" t="s">
        <v>33</v>
      </c>
      <c r="D575" s="12"/>
      <c r="E575" s="13">
        <v>47464</v>
      </c>
      <c r="G575" s="1">
        <v>7497258</v>
      </c>
      <c r="I575" s="1">
        <v>666147</v>
      </c>
      <c r="K575" s="41">
        <f t="shared" si="70"/>
        <v>6748611</v>
      </c>
      <c r="M575" s="1">
        <v>14912016</v>
      </c>
      <c r="O575" s="41">
        <f t="shared" si="71"/>
        <v>1091966</v>
      </c>
      <c r="Q575" s="1">
        <v>6343053</v>
      </c>
      <c r="S575" s="1">
        <v>7435019</v>
      </c>
      <c r="U575" s="1">
        <f>364000+520313+139360+6474+140656</f>
        <v>1170803</v>
      </c>
      <c r="W575" s="1">
        <v>234779</v>
      </c>
      <c r="Y575" s="1">
        <f>5116667+144608+555469+254671</f>
        <v>6071415</v>
      </c>
      <c r="AA575" s="58">
        <f t="shared" si="72"/>
        <v>7476997</v>
      </c>
      <c r="AC575" s="1">
        <f t="shared" si="73"/>
        <v>0</v>
      </c>
    </row>
    <row r="576" spans="1:29">
      <c r="A576" s="12" t="s">
        <v>629</v>
      </c>
      <c r="B576" s="12"/>
      <c r="C576" s="12" t="s">
        <v>67</v>
      </c>
      <c r="D576" s="12"/>
      <c r="E576" s="13">
        <v>44966</v>
      </c>
      <c r="G576" s="1">
        <v>8764170</v>
      </c>
      <c r="I576" s="1">
        <v>59390</v>
      </c>
      <c r="K576" s="41">
        <f t="shared" si="70"/>
        <v>33490121</v>
      </c>
      <c r="M576" s="1">
        <v>42313681</v>
      </c>
      <c r="O576" s="41">
        <f t="shared" si="71"/>
        <v>2688130</v>
      </c>
      <c r="Q576" s="1">
        <v>31864045</v>
      </c>
      <c r="S576" s="1">
        <v>34552175</v>
      </c>
      <c r="U576" s="1">
        <f>6397+483350+1264495+78094</f>
        <v>1832336</v>
      </c>
      <c r="W576" s="1">
        <v>52993</v>
      </c>
      <c r="Y576" s="1">
        <f>5100759+482778+774705-510134+28069</f>
        <v>5876177</v>
      </c>
      <c r="AA576" s="58">
        <f t="shared" si="72"/>
        <v>7761506</v>
      </c>
      <c r="AC576" s="1">
        <f t="shared" si="73"/>
        <v>0</v>
      </c>
    </row>
    <row r="577" spans="1:29">
      <c r="A577" s="12" t="s">
        <v>507</v>
      </c>
      <c r="B577" s="12"/>
      <c r="C577" s="12" t="s">
        <v>50</v>
      </c>
      <c r="D577" s="12"/>
      <c r="E577" s="13">
        <v>44958</v>
      </c>
      <c r="G577" s="1">
        <v>61536965</v>
      </c>
      <c r="I577" s="1">
        <v>0</v>
      </c>
      <c r="K577" s="41">
        <f t="shared" si="70"/>
        <v>23416620</v>
      </c>
      <c r="M577" s="1">
        <v>84953585</v>
      </c>
      <c r="O577" s="41">
        <f t="shared" si="71"/>
        <v>7222308</v>
      </c>
      <c r="Q577" s="1">
        <v>21138825</v>
      </c>
      <c r="S577" s="1">
        <v>28361133</v>
      </c>
      <c r="U577" s="1">
        <f>18817738+1015379</f>
        <v>19833117</v>
      </c>
      <c r="W577" s="1">
        <v>0</v>
      </c>
      <c r="Y577" s="1">
        <f>56592452-19833117</f>
        <v>36759335</v>
      </c>
      <c r="AA577" s="58">
        <f t="shared" si="72"/>
        <v>56592452</v>
      </c>
      <c r="AC577" s="1">
        <f t="shared" si="73"/>
        <v>0</v>
      </c>
    </row>
    <row r="578" spans="1:29" hidden="1">
      <c r="A578" s="17" t="s">
        <v>870</v>
      </c>
      <c r="B578" s="12"/>
      <c r="C578" s="12" t="s">
        <v>33</v>
      </c>
      <c r="D578" s="12"/>
      <c r="E578" s="13">
        <v>47472</v>
      </c>
      <c r="K578" s="41">
        <f t="shared" si="70"/>
        <v>0</v>
      </c>
      <c r="O578" s="41">
        <f t="shared" si="71"/>
        <v>0</v>
      </c>
      <c r="AA578" s="58">
        <f t="shared" si="72"/>
        <v>0</v>
      </c>
      <c r="AC578" s="1">
        <f t="shared" si="73"/>
        <v>0</v>
      </c>
    </row>
    <row r="579" spans="1:29">
      <c r="A579" s="12" t="s">
        <v>320</v>
      </c>
      <c r="B579" s="12"/>
      <c r="C579" s="12" t="s">
        <v>24</v>
      </c>
      <c r="D579" s="12"/>
      <c r="E579" s="13">
        <v>46821</v>
      </c>
      <c r="G579" s="1">
        <f>14407516+11754</f>
        <v>14419270</v>
      </c>
      <c r="I579" s="1">
        <v>0</v>
      </c>
      <c r="K579" s="41">
        <f t="shared" si="70"/>
        <v>16483983</v>
      </c>
      <c r="M579" s="1">
        <v>30903253</v>
      </c>
      <c r="O579" s="41">
        <f t="shared" si="71"/>
        <v>15718846</v>
      </c>
      <c r="Q579" s="1">
        <v>1289031</v>
      </c>
      <c r="S579" s="1">
        <v>17007877</v>
      </c>
      <c r="U579" s="1">
        <f>13895376-8282006</f>
        <v>5613370</v>
      </c>
      <c r="W579" s="1">
        <v>0</v>
      </c>
      <c r="Y579" s="1">
        <f>7285623+496367+500016</f>
        <v>8282006</v>
      </c>
      <c r="AA579" s="58">
        <f t="shared" si="72"/>
        <v>13895376</v>
      </c>
      <c r="AC579" s="1">
        <f t="shared" si="73"/>
        <v>0</v>
      </c>
    </row>
    <row r="580" spans="1:29" hidden="1">
      <c r="A580" s="17" t="s">
        <v>871</v>
      </c>
      <c r="B580" s="17"/>
      <c r="C580" s="17" t="s">
        <v>21</v>
      </c>
      <c r="D580" s="12"/>
      <c r="E580" s="13"/>
      <c r="K580" s="41">
        <f t="shared" si="70"/>
        <v>0</v>
      </c>
      <c r="O580" s="41">
        <f t="shared" si="71"/>
        <v>0</v>
      </c>
      <c r="AA580" s="58">
        <f t="shared" si="72"/>
        <v>0</v>
      </c>
      <c r="AC580" s="1">
        <f t="shared" si="73"/>
        <v>0</v>
      </c>
    </row>
    <row r="581" spans="1:29">
      <c r="A581" s="12" t="s">
        <v>630</v>
      </c>
      <c r="B581" s="12"/>
      <c r="C581" s="12" t="s">
        <v>68</v>
      </c>
      <c r="D581" s="12"/>
      <c r="E581" s="13">
        <v>50393</v>
      </c>
      <c r="G581" s="1">
        <v>15941800</v>
      </c>
      <c r="I581" s="1">
        <v>1326862</v>
      </c>
      <c r="K581" s="41">
        <f t="shared" si="70"/>
        <v>7501164</v>
      </c>
      <c r="M581" s="1">
        <v>24769826</v>
      </c>
      <c r="O581" s="41">
        <f t="shared" si="71"/>
        <v>3800804</v>
      </c>
      <c r="Q581" s="1">
        <v>6691545</v>
      </c>
      <c r="S581" s="1">
        <v>10492349</v>
      </c>
      <c r="U581" s="1">
        <f>692422+546694+33379+1051108+1978</f>
        <v>2325581</v>
      </c>
      <c r="W581" s="1">
        <v>0</v>
      </c>
      <c r="Y581" s="1">
        <f>9390876+1050082+1976218-465280</f>
        <v>11951896</v>
      </c>
      <c r="AA581" s="58">
        <f t="shared" si="72"/>
        <v>14277477</v>
      </c>
      <c r="AC581" s="1">
        <f t="shared" si="73"/>
        <v>0</v>
      </c>
    </row>
    <row r="582" spans="1:29">
      <c r="A582" s="12" t="s">
        <v>483</v>
      </c>
      <c r="B582" s="12"/>
      <c r="C582" s="12" t="s">
        <v>47</v>
      </c>
      <c r="D582" s="12"/>
      <c r="E582" s="13">
        <v>44974</v>
      </c>
      <c r="G582" s="1">
        <v>122763454</v>
      </c>
      <c r="I582" s="1">
        <v>0</v>
      </c>
      <c r="K582" s="41">
        <f t="shared" si="70"/>
        <v>41502535</v>
      </c>
      <c r="M582" s="1">
        <v>164265989</v>
      </c>
      <c r="O582" s="41">
        <f t="shared" si="71"/>
        <v>6090266</v>
      </c>
      <c r="Q582" s="1">
        <v>38302738</v>
      </c>
      <c r="S582" s="1">
        <v>44393004</v>
      </c>
      <c r="U582" s="1">
        <f>11825307+2435008</f>
        <v>14260315</v>
      </c>
      <c r="W582" s="1">
        <v>0</v>
      </c>
      <c r="Y582" s="1">
        <f>119872985-14260315</f>
        <v>105612670</v>
      </c>
      <c r="AA582" s="58">
        <f t="shared" si="72"/>
        <v>119872985</v>
      </c>
      <c r="AC582" s="1">
        <f t="shared" si="73"/>
        <v>0</v>
      </c>
    </row>
    <row r="583" spans="1:29">
      <c r="A583" s="12" t="s">
        <v>616</v>
      </c>
      <c r="B583" s="12"/>
      <c r="C583" s="12" t="s">
        <v>64</v>
      </c>
      <c r="D583" s="12"/>
      <c r="E583" s="13">
        <v>44990</v>
      </c>
      <c r="G583" s="1">
        <f>30776675+22464493+456595</f>
        <v>53697763</v>
      </c>
      <c r="I583" s="1">
        <v>323647</v>
      </c>
      <c r="K583" s="41">
        <f t="shared" si="70"/>
        <v>21828037</v>
      </c>
      <c r="M583" s="1">
        <v>75849447</v>
      </c>
      <c r="O583" s="41">
        <f t="shared" si="71"/>
        <v>30392683</v>
      </c>
      <c r="Q583" s="1">
        <v>4643973</v>
      </c>
      <c r="S583" s="1">
        <v>35036656</v>
      </c>
      <c r="U583" s="1">
        <f>6183410+160321+259493+323647</f>
        <v>6926871</v>
      </c>
      <c r="W583" s="1">
        <v>0</v>
      </c>
      <c r="Y583" s="1">
        <f>12028646+3935282+2081165+15840827</f>
        <v>33885920</v>
      </c>
      <c r="AA583" s="58">
        <f t="shared" si="72"/>
        <v>40812791</v>
      </c>
      <c r="AC583" s="1">
        <f t="shared" si="73"/>
        <v>0</v>
      </c>
    </row>
    <row r="584" spans="1:29">
      <c r="A584" s="12" t="s">
        <v>638</v>
      </c>
      <c r="B584" s="12"/>
      <c r="C584" s="12" t="s">
        <v>70</v>
      </c>
      <c r="D584" s="12"/>
      <c r="E584" s="13">
        <v>50500</v>
      </c>
      <c r="G584" s="1">
        <f>4504006+1182</f>
        <v>4505188</v>
      </c>
      <c r="I584" s="1">
        <v>317269</v>
      </c>
      <c r="K584" s="41">
        <f t="shared" si="70"/>
        <v>6757692</v>
      </c>
      <c r="M584" s="1">
        <v>11580149</v>
      </c>
      <c r="O584" s="41">
        <f t="shared" si="71"/>
        <v>2397251</v>
      </c>
      <c r="Q584" s="1">
        <v>6182466</v>
      </c>
      <c r="S584" s="1">
        <v>8579717</v>
      </c>
      <c r="U584" s="1">
        <f>3000432-1751849</f>
        <v>1248583</v>
      </c>
      <c r="W584" s="1">
        <v>0</v>
      </c>
      <c r="Y584" s="1">
        <f>454474+443687+853688</f>
        <v>1751849</v>
      </c>
      <c r="AA584" s="58">
        <f t="shared" si="72"/>
        <v>3000432</v>
      </c>
      <c r="AC584" s="1">
        <f t="shared" si="73"/>
        <v>0</v>
      </c>
    </row>
    <row r="585" spans="1:29">
      <c r="A585" s="12" t="s">
        <v>307</v>
      </c>
      <c r="B585" s="12"/>
      <c r="C585" s="12" t="s">
        <v>20</v>
      </c>
      <c r="D585" s="12"/>
      <c r="E585" s="13">
        <v>45005</v>
      </c>
      <c r="G585" s="1">
        <v>7514108</v>
      </c>
      <c r="I585" s="1">
        <v>152466</v>
      </c>
      <c r="K585" s="41">
        <f t="shared" si="70"/>
        <v>33234912</v>
      </c>
      <c r="M585" s="1">
        <v>40901486</v>
      </c>
      <c r="O585" s="41">
        <f t="shared" si="71"/>
        <v>4690310</v>
      </c>
      <c r="Q585" s="1">
        <v>32114995</v>
      </c>
      <c r="S585" s="1">
        <v>36805305</v>
      </c>
      <c r="U585" s="1">
        <f>2992166+195804+152466</f>
        <v>3340436</v>
      </c>
      <c r="W585" s="1">
        <v>0</v>
      </c>
      <c r="Y585" s="1">
        <f>-1688587-442257+2470309+416280</f>
        <v>755745</v>
      </c>
      <c r="AA585" s="58">
        <f t="shared" si="72"/>
        <v>4096181</v>
      </c>
      <c r="AC585" s="1">
        <f t="shared" si="73"/>
        <v>0</v>
      </c>
    </row>
    <row r="586" spans="1:29">
      <c r="A586" s="12" t="s">
        <v>328</v>
      </c>
      <c r="B586" s="12"/>
      <c r="C586" s="12" t="s">
        <v>26</v>
      </c>
      <c r="D586" s="12"/>
      <c r="E586" s="13">
        <v>45013</v>
      </c>
      <c r="G586" s="1">
        <f>3019413+1194228</f>
        <v>4213641</v>
      </c>
      <c r="I586" s="1">
        <f>42756+276781</f>
        <v>319537</v>
      </c>
      <c r="K586" s="41">
        <f t="shared" si="70"/>
        <v>8393766</v>
      </c>
      <c r="M586" s="1">
        <v>12926944</v>
      </c>
      <c r="O586" s="41">
        <f t="shared" si="71"/>
        <v>3800986</v>
      </c>
      <c r="Q586" s="1">
        <v>5695129</v>
      </c>
      <c r="S586" s="1">
        <v>9496115</v>
      </c>
      <c r="U586" s="1">
        <f>3226735+2269022+42756</f>
        <v>5538513</v>
      </c>
      <c r="W586" s="1">
        <v>0</v>
      </c>
      <c r="Y586" s="1">
        <f>-1204077+810923+1165737-2880267</f>
        <v>-2107684</v>
      </c>
      <c r="AA586" s="58">
        <f t="shared" si="72"/>
        <v>3430829</v>
      </c>
      <c r="AC586" s="1">
        <f t="shared" si="73"/>
        <v>0</v>
      </c>
    </row>
    <row r="587" spans="1:29">
      <c r="A587" s="12" t="s">
        <v>456</v>
      </c>
      <c r="B587" s="12"/>
      <c r="C587" s="12" t="s">
        <v>117</v>
      </c>
      <c r="D587" s="12"/>
      <c r="E587" s="13">
        <v>48231</v>
      </c>
      <c r="G587" s="1">
        <f>39791291+3467</f>
        <v>39794758</v>
      </c>
      <c r="I587" s="1">
        <v>0</v>
      </c>
      <c r="K587" s="41">
        <f t="shared" si="70"/>
        <v>42725444</v>
      </c>
      <c r="M587" s="1">
        <v>82520202</v>
      </c>
      <c r="O587" s="41">
        <f t="shared" si="71"/>
        <v>48849240</v>
      </c>
      <c r="Q587" s="1">
        <v>4909981</v>
      </c>
      <c r="S587" s="1">
        <v>53759221</v>
      </c>
      <c r="U587" s="1">
        <f>2475614+205814+154833+1941099+49789</f>
        <v>4827149</v>
      </c>
      <c r="W587" s="1">
        <v>1800000</v>
      </c>
      <c r="Y587" s="1">
        <f>21788230+85565+260037</f>
        <v>22133832</v>
      </c>
      <c r="AA587" s="58">
        <f t="shared" si="72"/>
        <v>28760981</v>
      </c>
      <c r="AC587" s="1">
        <f t="shared" si="73"/>
        <v>0</v>
      </c>
    </row>
    <row r="588" spans="1:29">
      <c r="A588" s="12" t="s">
        <v>565</v>
      </c>
      <c r="B588" s="12"/>
      <c r="C588" s="12" t="s">
        <v>59</v>
      </c>
      <c r="D588" s="12"/>
      <c r="E588" s="13">
        <v>49650</v>
      </c>
      <c r="G588" s="1">
        <f>6301353+2638268</f>
        <v>8939621</v>
      </c>
      <c r="I588" s="1">
        <v>168692</v>
      </c>
      <c r="K588" s="41">
        <f t="shared" si="70"/>
        <v>10935757</v>
      </c>
      <c r="M588" s="1">
        <v>20044070</v>
      </c>
      <c r="O588" s="41">
        <f t="shared" si="71"/>
        <v>2180781</v>
      </c>
      <c r="Q588" s="1">
        <v>10130511</v>
      </c>
      <c r="S588" s="1">
        <v>12311292</v>
      </c>
      <c r="U588" s="1">
        <f>2022082+141304+167725+967</f>
        <v>2332078</v>
      </c>
      <c r="W588" s="1">
        <v>252906</v>
      </c>
      <c r="Y588" s="1">
        <f>1150381+279468+529845+3188100</f>
        <v>5147794</v>
      </c>
      <c r="AA588" s="58">
        <f t="shared" si="72"/>
        <v>7732778</v>
      </c>
      <c r="AC588" s="1">
        <f t="shared" si="73"/>
        <v>0</v>
      </c>
    </row>
    <row r="589" spans="1:29">
      <c r="A589" s="12" t="s">
        <v>539</v>
      </c>
      <c r="B589" s="12"/>
      <c r="C589" s="12" t="s">
        <v>56</v>
      </c>
      <c r="D589" s="12"/>
      <c r="E589" s="13">
        <v>49247</v>
      </c>
      <c r="G589" s="1">
        <f>3546410+5925</f>
        <v>3552335</v>
      </c>
      <c r="I589" s="1">
        <v>0</v>
      </c>
      <c r="K589" s="41">
        <f t="shared" si="70"/>
        <v>4224724</v>
      </c>
      <c r="M589" s="1">
        <v>7777059</v>
      </c>
      <c r="O589" s="41">
        <f t="shared" si="71"/>
        <v>4402324</v>
      </c>
      <c r="Q589" s="1">
        <v>220281</v>
      </c>
      <c r="S589" s="1">
        <v>4622605</v>
      </c>
      <c r="U589" s="1">
        <f>612798+47570+766091+562037</f>
        <v>1988496</v>
      </c>
      <c r="W589" s="1">
        <v>0</v>
      </c>
      <c r="Y589" s="1">
        <f>-403000+683978+884980</f>
        <v>1165958</v>
      </c>
      <c r="AA589" s="58">
        <f t="shared" si="72"/>
        <v>3154454</v>
      </c>
      <c r="AC589" s="1">
        <f t="shared" si="73"/>
        <v>0</v>
      </c>
    </row>
    <row r="590" spans="1:29" ht="12" customHeight="1">
      <c r="A590" s="12" t="s">
        <v>348</v>
      </c>
      <c r="B590" s="12"/>
      <c r="C590" s="12" t="s">
        <v>28</v>
      </c>
      <c r="D590" s="12"/>
      <c r="E590" s="13">
        <v>45641</v>
      </c>
      <c r="G590" s="1">
        <f>16216854+205343</f>
        <v>16422197</v>
      </c>
      <c r="I590" s="1">
        <v>19607</v>
      </c>
      <c r="K590" s="41">
        <f t="shared" si="70"/>
        <v>6994672</v>
      </c>
      <c r="M590" s="1">
        <v>23436476</v>
      </c>
      <c r="O590" s="41">
        <f t="shared" si="71"/>
        <v>9244352</v>
      </c>
      <c r="Q590" s="1">
        <v>343809</v>
      </c>
      <c r="S590" s="1">
        <v>9588161</v>
      </c>
      <c r="U590" s="1">
        <f>13848315-8376484</f>
        <v>5471831</v>
      </c>
      <c r="W590" s="1">
        <v>0</v>
      </c>
      <c r="Y590" s="1">
        <f>2680319+587690+5108475</f>
        <v>8376484</v>
      </c>
      <c r="AA590" s="58">
        <f t="shared" si="72"/>
        <v>13848315</v>
      </c>
      <c r="AC590" s="1">
        <f t="shared" si="73"/>
        <v>0</v>
      </c>
    </row>
    <row r="591" spans="1:29" ht="12" customHeight="1">
      <c r="A591" s="12" t="s">
        <v>530</v>
      </c>
      <c r="B591" s="12"/>
      <c r="C591" s="12" t="s">
        <v>55</v>
      </c>
      <c r="D591" s="12"/>
      <c r="E591" s="13">
        <v>49148</v>
      </c>
      <c r="G591" s="1">
        <v>3172365</v>
      </c>
      <c r="I591" s="1">
        <v>57076</v>
      </c>
      <c r="K591" s="41">
        <f t="shared" si="70"/>
        <v>5941800</v>
      </c>
      <c r="M591" s="1">
        <v>9171241</v>
      </c>
      <c r="O591" s="41">
        <f t="shared" si="71"/>
        <v>2572223</v>
      </c>
      <c r="Q591" s="1">
        <v>4341832</v>
      </c>
      <c r="S591" s="1">
        <v>6914055</v>
      </c>
      <c r="U591" s="1">
        <f>469961+444382+57076</f>
        <v>971419</v>
      </c>
      <c r="W591" s="1">
        <v>0</v>
      </c>
      <c r="Y591" s="1">
        <f>152021-111787+781672+463861</f>
        <v>1285767</v>
      </c>
      <c r="AA591" s="58">
        <f t="shared" si="72"/>
        <v>2257186</v>
      </c>
      <c r="AC591" s="1">
        <f t="shared" si="73"/>
        <v>0</v>
      </c>
    </row>
    <row r="592" spans="1:29" hidden="1">
      <c r="A592" s="17" t="s">
        <v>881</v>
      </c>
      <c r="B592" s="12"/>
      <c r="C592" s="12" t="s">
        <v>69</v>
      </c>
      <c r="D592" s="12"/>
      <c r="E592" s="13">
        <v>50468</v>
      </c>
      <c r="K592" s="41">
        <f t="shared" si="70"/>
        <v>0</v>
      </c>
      <c r="O592" s="41">
        <f t="shared" si="71"/>
        <v>0</v>
      </c>
      <c r="AA592" s="58">
        <f t="shared" si="72"/>
        <v>0</v>
      </c>
      <c r="AC592" s="1">
        <f t="shared" si="73"/>
        <v>0</v>
      </c>
    </row>
    <row r="593" spans="1:29" hidden="1">
      <c r="A593" s="17" t="s">
        <v>746</v>
      </c>
      <c r="B593" s="12"/>
      <c r="C593" s="12" t="s">
        <v>523</v>
      </c>
      <c r="D593" s="12"/>
      <c r="E593" s="13">
        <v>49031</v>
      </c>
      <c r="K593" s="41">
        <f t="shared" si="70"/>
        <v>0</v>
      </c>
      <c r="O593" s="41">
        <f t="shared" si="71"/>
        <v>0</v>
      </c>
      <c r="AA593" s="58">
        <f t="shared" si="72"/>
        <v>0</v>
      </c>
      <c r="AC593" s="1">
        <f t="shared" si="73"/>
        <v>0</v>
      </c>
    </row>
    <row r="594" spans="1:29" hidden="1">
      <c r="A594" s="17" t="s">
        <v>789</v>
      </c>
      <c r="B594" s="12"/>
      <c r="C594" s="12" t="s">
        <v>14</v>
      </c>
      <c r="D594" s="12"/>
      <c r="E594" s="13">
        <v>45971</v>
      </c>
      <c r="K594" s="41">
        <f t="shared" si="70"/>
        <v>0</v>
      </c>
      <c r="O594" s="41">
        <f t="shared" si="71"/>
        <v>0</v>
      </c>
      <c r="AA594" s="58">
        <f t="shared" si="72"/>
        <v>0</v>
      </c>
      <c r="AC594" s="1">
        <f t="shared" si="73"/>
        <v>0</v>
      </c>
    </row>
    <row r="595" spans="1:29">
      <c r="A595" s="17"/>
      <c r="B595" s="12"/>
      <c r="C595" s="12"/>
      <c r="D595" s="12"/>
      <c r="E595" s="13"/>
      <c r="K595" s="41"/>
      <c r="O595" s="41"/>
      <c r="AA595" s="58"/>
    </row>
    <row r="596" spans="1:29">
      <c r="A596" s="17"/>
      <c r="B596" s="12"/>
      <c r="C596" s="12"/>
      <c r="D596" s="12"/>
      <c r="E596" s="13"/>
      <c r="K596" s="41"/>
      <c r="O596" s="41"/>
      <c r="AA596" s="20" t="s">
        <v>709</v>
      </c>
    </row>
    <row r="597" spans="1:29">
      <c r="A597" s="17"/>
      <c r="B597" s="12"/>
      <c r="C597" s="12"/>
      <c r="D597" s="12"/>
      <c r="E597" s="13"/>
      <c r="K597" s="41"/>
      <c r="O597" s="41"/>
      <c r="AA597" s="58"/>
    </row>
    <row r="598" spans="1:29">
      <c r="A598" s="12" t="s">
        <v>617</v>
      </c>
      <c r="B598" s="12"/>
      <c r="C598" s="12" t="s">
        <v>64</v>
      </c>
      <c r="D598" s="12"/>
      <c r="E598" s="13">
        <v>50252</v>
      </c>
      <c r="G598" s="16">
        <f>2201774+6425</f>
        <v>2208199</v>
      </c>
      <c r="H598" s="16"/>
      <c r="I598" s="16">
        <v>0</v>
      </c>
      <c r="J598" s="16"/>
      <c r="K598" s="59">
        <f t="shared" si="70"/>
        <v>3166624</v>
      </c>
      <c r="L598" s="16"/>
      <c r="M598" s="16">
        <v>5374823</v>
      </c>
      <c r="N598" s="16"/>
      <c r="O598" s="59">
        <f t="shared" si="71"/>
        <v>3719063</v>
      </c>
      <c r="P598" s="16"/>
      <c r="Q598" s="16">
        <v>478326</v>
      </c>
      <c r="R598" s="16"/>
      <c r="S598" s="16">
        <v>4197389</v>
      </c>
      <c r="T598" s="16"/>
      <c r="U598" s="16">
        <f>1177434-725333</f>
        <v>452101</v>
      </c>
      <c r="V598" s="16"/>
      <c r="W598" s="16">
        <v>0</v>
      </c>
      <c r="X598" s="16"/>
      <c r="Y598" s="16">
        <f>533262+175220+16851</f>
        <v>725333</v>
      </c>
      <c r="Z598" s="16"/>
      <c r="AA598" s="90">
        <f t="shared" si="72"/>
        <v>1177434</v>
      </c>
      <c r="AC598" s="1">
        <f t="shared" si="73"/>
        <v>0</v>
      </c>
    </row>
    <row r="599" spans="1:29">
      <c r="A599" s="12" t="s">
        <v>448</v>
      </c>
      <c r="B599" s="12"/>
      <c r="C599" s="12" t="s">
        <v>44</v>
      </c>
      <c r="D599" s="12"/>
      <c r="E599" s="13">
        <v>45658</v>
      </c>
      <c r="G599" s="1">
        <v>5818237</v>
      </c>
      <c r="I599" s="1">
        <v>0</v>
      </c>
      <c r="K599" s="41">
        <f t="shared" si="70"/>
        <v>4625066</v>
      </c>
      <c r="M599" s="1">
        <v>10443303</v>
      </c>
      <c r="O599" s="41">
        <f t="shared" si="71"/>
        <v>1791859</v>
      </c>
      <c r="Q599" s="1">
        <v>3462159</v>
      </c>
      <c r="S599" s="1">
        <v>5254018</v>
      </c>
      <c r="U599" s="1">
        <f>145752+34406+206107</f>
        <v>386265</v>
      </c>
      <c r="W599" s="1">
        <v>0</v>
      </c>
      <c r="Y599" s="1">
        <f>5189285-386265</f>
        <v>4803020</v>
      </c>
      <c r="AA599" s="58">
        <f t="shared" si="72"/>
        <v>5189285</v>
      </c>
      <c r="AC599" s="1">
        <f t="shared" si="73"/>
        <v>0</v>
      </c>
    </row>
    <row r="600" spans="1:29">
      <c r="A600" s="12" t="s">
        <v>409</v>
      </c>
      <c r="B600" s="12"/>
      <c r="C600" s="12" t="s">
        <v>38</v>
      </c>
      <c r="D600" s="12"/>
      <c r="E600" s="13">
        <v>45021</v>
      </c>
      <c r="G600" s="1">
        <f>9769714+286906</f>
        <v>10056620</v>
      </c>
      <c r="I600" s="1">
        <v>74339</v>
      </c>
      <c r="K600" s="41">
        <f t="shared" si="70"/>
        <v>3942911</v>
      </c>
      <c r="M600" s="1">
        <v>14073870</v>
      </c>
      <c r="O600" s="41">
        <f t="shared" si="71"/>
        <v>2373836</v>
      </c>
      <c r="Q600" s="1">
        <v>3256357</v>
      </c>
      <c r="S600" s="1">
        <v>5630193</v>
      </c>
      <c r="U600" s="1">
        <f>339646+56688+17651+181561</f>
        <v>595546</v>
      </c>
      <c r="W600" s="1">
        <v>0</v>
      </c>
      <c r="Y600" s="1">
        <f>5844063+783612-16438+1083395+153499</f>
        <v>7848131</v>
      </c>
      <c r="AA600" s="58">
        <f t="shared" si="72"/>
        <v>8443677</v>
      </c>
      <c r="AC600" s="1">
        <f t="shared" si="73"/>
        <v>0</v>
      </c>
    </row>
    <row r="601" spans="1:29">
      <c r="A601" s="12" t="s">
        <v>271</v>
      </c>
      <c r="B601" s="12"/>
      <c r="C601" s="12" t="s">
        <v>114</v>
      </c>
      <c r="D601" s="12"/>
      <c r="E601" s="13">
        <v>45039</v>
      </c>
      <c r="G601" s="1">
        <v>3460495</v>
      </c>
      <c r="I601" s="1">
        <v>741956</v>
      </c>
      <c r="K601" s="41">
        <f t="shared" si="70"/>
        <v>1809041</v>
      </c>
      <c r="M601" s="1">
        <v>6011492</v>
      </c>
      <c r="O601" s="41">
        <f t="shared" si="71"/>
        <v>2208810</v>
      </c>
      <c r="Q601" s="1">
        <v>361647</v>
      </c>
      <c r="S601" s="1">
        <v>2570457</v>
      </c>
      <c r="U601" s="1">
        <f>3441035-2520755</f>
        <v>920280</v>
      </c>
      <c r="W601" s="1">
        <v>0</v>
      </c>
      <c r="Y601" s="1">
        <f>1057390+622516+840849</f>
        <v>2520755</v>
      </c>
      <c r="AA601" s="58">
        <f t="shared" si="72"/>
        <v>3441035</v>
      </c>
      <c r="AC601" s="1">
        <f t="shared" si="73"/>
        <v>0</v>
      </c>
    </row>
    <row r="602" spans="1:29">
      <c r="A602" s="12" t="s">
        <v>471</v>
      </c>
      <c r="B602" s="12"/>
      <c r="C602" s="12" t="s">
        <v>45</v>
      </c>
      <c r="D602" s="12"/>
      <c r="E602" s="13">
        <v>48389</v>
      </c>
      <c r="G602" s="1">
        <v>6608278</v>
      </c>
      <c r="I602" s="1">
        <v>0</v>
      </c>
      <c r="K602" s="41">
        <f t="shared" si="70"/>
        <v>5846249</v>
      </c>
      <c r="M602" s="1">
        <v>12454527</v>
      </c>
      <c r="O602" s="41">
        <f t="shared" si="71"/>
        <v>7743274</v>
      </c>
      <c r="Q602" s="1">
        <v>821966</v>
      </c>
      <c r="S602" s="1">
        <v>8565240</v>
      </c>
      <c r="U602" s="1">
        <f>96242+25253+42742+38822+596228</f>
        <v>799287</v>
      </c>
      <c r="W602" s="1">
        <v>0</v>
      </c>
      <c r="Y602" s="1">
        <f>1812642+787008+490350</f>
        <v>3090000</v>
      </c>
      <c r="AA602" s="58">
        <f t="shared" si="72"/>
        <v>3889287</v>
      </c>
      <c r="AC602" s="1">
        <f t="shared" si="73"/>
        <v>0</v>
      </c>
    </row>
    <row r="603" spans="1:29">
      <c r="A603" s="17" t="s">
        <v>880</v>
      </c>
      <c r="B603" s="17"/>
      <c r="C603" s="17" t="s">
        <v>50</v>
      </c>
      <c r="D603" s="12"/>
      <c r="E603" s="13"/>
      <c r="G603" s="1">
        <v>19583210</v>
      </c>
      <c r="I603" s="1">
        <v>0</v>
      </c>
      <c r="K603" s="41">
        <f t="shared" si="70"/>
        <v>18404235</v>
      </c>
      <c r="M603" s="1">
        <v>37987445</v>
      </c>
      <c r="O603" s="41">
        <f t="shared" si="71"/>
        <v>22349681</v>
      </c>
      <c r="Q603" s="1">
        <v>946921</v>
      </c>
      <c r="S603" s="1">
        <v>23296602</v>
      </c>
      <c r="U603" s="1">
        <f>1093919+27065+233621+982157</f>
        <v>2336762</v>
      </c>
      <c r="W603" s="1">
        <v>0</v>
      </c>
      <c r="Y603" s="1">
        <f>11802694+628733-77346</f>
        <v>12354081</v>
      </c>
      <c r="AA603" s="58">
        <f t="shared" si="72"/>
        <v>14690843</v>
      </c>
      <c r="AC603" s="1">
        <f t="shared" si="73"/>
        <v>0</v>
      </c>
    </row>
    <row r="604" spans="1:29">
      <c r="A604" s="12" t="s">
        <v>257</v>
      </c>
      <c r="B604" s="12"/>
      <c r="C604" s="12" t="s">
        <v>115</v>
      </c>
      <c r="D604" s="12"/>
      <c r="E604" s="13">
        <v>46359</v>
      </c>
      <c r="G604" s="1">
        <v>18164523</v>
      </c>
      <c r="I604" s="1">
        <v>0</v>
      </c>
      <c r="K604" s="41">
        <f t="shared" si="70"/>
        <v>47027425</v>
      </c>
      <c r="M604" s="1">
        <v>65191948</v>
      </c>
      <c r="O604" s="41">
        <f t="shared" si="71"/>
        <v>12382681</v>
      </c>
      <c r="Q604" s="1">
        <v>41543384</v>
      </c>
      <c r="S604" s="1">
        <v>53926065</v>
      </c>
      <c r="U604" s="1">
        <f>5464545+29501+2082300</f>
        <v>7576346</v>
      </c>
      <c r="W604" s="1">
        <v>0</v>
      </c>
      <c r="Y604" s="1">
        <f>-3140395+811264+3401310+2617358</f>
        <v>3689537</v>
      </c>
      <c r="AA604" s="58">
        <f t="shared" si="72"/>
        <v>11265883</v>
      </c>
      <c r="AC604" s="1">
        <f t="shared" si="73"/>
        <v>0</v>
      </c>
    </row>
    <row r="605" spans="1:29">
      <c r="A605" s="12" t="s">
        <v>356</v>
      </c>
      <c r="B605" s="12"/>
      <c r="C605" s="12" t="s">
        <v>30</v>
      </c>
      <c r="D605" s="12"/>
      <c r="E605" s="13">
        <v>47225</v>
      </c>
      <c r="G605" s="1">
        <v>6374654</v>
      </c>
      <c r="I605" s="1">
        <v>538900</v>
      </c>
      <c r="K605" s="41">
        <f t="shared" si="70"/>
        <v>19839525</v>
      </c>
      <c r="M605" s="1">
        <v>26753079</v>
      </c>
      <c r="O605" s="41">
        <f t="shared" si="71"/>
        <v>2773284</v>
      </c>
      <c r="Q605" s="1">
        <v>17978893</v>
      </c>
      <c r="S605" s="1">
        <v>20752177</v>
      </c>
      <c r="U605" s="1">
        <f>755705+1689275+538900</f>
        <v>2983880</v>
      </c>
      <c r="W605" s="1">
        <v>0</v>
      </c>
      <c r="Y605" s="1">
        <f>1653481+268934+1053366+41241</f>
        <v>3017022</v>
      </c>
      <c r="AA605" s="58">
        <f t="shared" si="72"/>
        <v>6000902</v>
      </c>
      <c r="AC605" s="1">
        <f t="shared" si="73"/>
        <v>0</v>
      </c>
    </row>
    <row r="606" spans="1:29">
      <c r="A606" s="12" t="s">
        <v>402</v>
      </c>
      <c r="B606" s="12"/>
      <c r="C606" s="12" t="s">
        <v>36</v>
      </c>
      <c r="D606" s="12"/>
      <c r="E606" s="13">
        <v>47696</v>
      </c>
      <c r="G606" s="1">
        <v>12692980</v>
      </c>
      <c r="I606" s="1">
        <v>0</v>
      </c>
      <c r="K606" s="41">
        <f t="shared" si="70"/>
        <v>10611021</v>
      </c>
      <c r="M606" s="1">
        <v>23304001</v>
      </c>
      <c r="O606" s="41">
        <f t="shared" si="71"/>
        <v>3379225</v>
      </c>
      <c r="Q606" s="1">
        <v>9558784</v>
      </c>
      <c r="S606" s="1">
        <v>12938009</v>
      </c>
      <c r="U606" s="1">
        <f>632549+703921+250000</f>
        <v>1586470</v>
      </c>
      <c r="W606" s="1">
        <v>0</v>
      </c>
      <c r="Y606" s="1">
        <f>10365992-1586470</f>
        <v>8779522</v>
      </c>
      <c r="AA606" s="58">
        <f t="shared" si="72"/>
        <v>10365992</v>
      </c>
      <c r="AC606" s="1">
        <f t="shared" si="73"/>
        <v>0</v>
      </c>
    </row>
    <row r="607" spans="1:29">
      <c r="A607" s="12" t="s">
        <v>244</v>
      </c>
      <c r="B607" s="12"/>
      <c r="C607" s="12" t="s">
        <v>240</v>
      </c>
      <c r="D607" s="12"/>
      <c r="E607" s="13">
        <v>46219</v>
      </c>
      <c r="G607" s="1">
        <f>2042046+900000</f>
        <v>2942046</v>
      </c>
      <c r="I607" s="1">
        <v>47429</v>
      </c>
      <c r="K607" s="41">
        <f t="shared" si="70"/>
        <v>2906588</v>
      </c>
      <c r="M607" s="1">
        <v>5896063</v>
      </c>
      <c r="O607" s="41">
        <f t="shared" si="71"/>
        <v>3624651</v>
      </c>
      <c r="Q607" s="1">
        <v>122815</v>
      </c>
      <c r="S607" s="1">
        <v>3747466</v>
      </c>
      <c r="U607" s="1">
        <f>50235+16905+2057+329743+47429</f>
        <v>446369</v>
      </c>
      <c r="W607" s="1">
        <f>315152+175700</f>
        <v>490852</v>
      </c>
      <c r="Y607" s="1">
        <f>882731+220318+108327</f>
        <v>1211376</v>
      </c>
      <c r="AA607" s="58">
        <f t="shared" si="72"/>
        <v>2148597</v>
      </c>
      <c r="AC607" s="1">
        <f t="shared" si="73"/>
        <v>0</v>
      </c>
    </row>
    <row r="608" spans="1:29">
      <c r="A608" s="12" t="s">
        <v>515</v>
      </c>
      <c r="B608" s="12"/>
      <c r="C608" s="12" t="s">
        <v>51</v>
      </c>
      <c r="D608" s="12"/>
      <c r="E608" s="13">
        <v>48884</v>
      </c>
      <c r="G608" s="1">
        <v>4899029</v>
      </c>
      <c r="I608" s="1">
        <v>0</v>
      </c>
      <c r="K608" s="41">
        <f t="shared" si="70"/>
        <v>7733334</v>
      </c>
      <c r="M608" s="1">
        <v>12632363</v>
      </c>
      <c r="O608" s="41">
        <f t="shared" si="71"/>
        <v>1768514</v>
      </c>
      <c r="Q608" s="1">
        <v>7348893</v>
      </c>
      <c r="S608" s="1">
        <v>9117407</v>
      </c>
      <c r="U608" s="1">
        <f>438362+45692</f>
        <v>484054</v>
      </c>
      <c r="W608" s="1">
        <v>0</v>
      </c>
      <c r="Y608" s="1">
        <f>3514956-484054</f>
        <v>3030902</v>
      </c>
      <c r="AA608" s="58">
        <f t="shared" si="72"/>
        <v>3514956</v>
      </c>
      <c r="AC608" s="1">
        <f t="shared" si="73"/>
        <v>0</v>
      </c>
    </row>
    <row r="609" spans="1:29">
      <c r="A609" s="12" t="s">
        <v>225</v>
      </c>
      <c r="B609" s="12"/>
      <c r="C609" s="12" t="s">
        <v>77</v>
      </c>
      <c r="D609" s="12"/>
      <c r="E609" s="13">
        <v>46060</v>
      </c>
      <c r="G609" s="1">
        <f>5171218+5000</f>
        <v>5176218</v>
      </c>
      <c r="I609" s="1">
        <v>1084762</v>
      </c>
      <c r="K609" s="41">
        <f t="shared" si="70"/>
        <v>5890361</v>
      </c>
      <c r="M609" s="1">
        <v>12151341</v>
      </c>
      <c r="O609" s="41">
        <f t="shared" si="71"/>
        <v>3199801</v>
      </c>
      <c r="Q609" s="1">
        <v>4620920</v>
      </c>
      <c r="S609" s="1">
        <v>7820721</v>
      </c>
      <c r="U609" s="1">
        <f>369834+976489+1032540+52222</f>
        <v>2431085</v>
      </c>
      <c r="W609" s="1">
        <v>0</v>
      </c>
      <c r="Y609" s="1">
        <f>-2009853+1152322+1747550+1009516</f>
        <v>1899535</v>
      </c>
      <c r="AA609" s="58">
        <f t="shared" si="72"/>
        <v>4330620</v>
      </c>
      <c r="AC609" s="1">
        <f t="shared" si="73"/>
        <v>0</v>
      </c>
    </row>
    <row r="610" spans="1:29">
      <c r="A610" s="12" t="s">
        <v>531</v>
      </c>
      <c r="B610" s="12"/>
      <c r="C610" s="12" t="s">
        <v>55</v>
      </c>
      <c r="D610" s="12"/>
      <c r="E610" s="13">
        <v>49155</v>
      </c>
      <c r="G610" s="1">
        <v>5703522</v>
      </c>
      <c r="I610" s="1">
        <v>0</v>
      </c>
      <c r="K610" s="41">
        <f t="shared" si="70"/>
        <v>2264227</v>
      </c>
      <c r="M610" s="1">
        <v>7967749</v>
      </c>
      <c r="O610" s="41">
        <f t="shared" si="71"/>
        <v>1007510</v>
      </c>
      <c r="Q610" s="1">
        <v>1896431</v>
      </c>
      <c r="S610" s="1">
        <v>2903941</v>
      </c>
      <c r="U610" s="1">
        <f>308036+104718</f>
        <v>412754</v>
      </c>
      <c r="W610" s="1">
        <v>0</v>
      </c>
      <c r="Y610" s="1">
        <f>5063808-412754</f>
        <v>4651054</v>
      </c>
      <c r="AA610" s="58">
        <f t="shared" si="72"/>
        <v>5063808</v>
      </c>
      <c r="AC610" s="1">
        <f t="shared" si="73"/>
        <v>0</v>
      </c>
    </row>
    <row r="611" spans="1:29">
      <c r="A611" s="12" t="s">
        <v>407</v>
      </c>
      <c r="B611" s="12"/>
      <c r="C611" s="12" t="s">
        <v>37</v>
      </c>
      <c r="D611" s="12"/>
      <c r="E611" s="13">
        <v>47746</v>
      </c>
      <c r="G611" s="1">
        <f>1896854+6106</f>
        <v>1902960</v>
      </c>
      <c r="I611" s="1">
        <v>5378</v>
      </c>
      <c r="K611" s="41">
        <f t="shared" si="70"/>
        <v>2984489</v>
      </c>
      <c r="M611" s="1">
        <v>4892827</v>
      </c>
      <c r="O611" s="41">
        <f t="shared" si="71"/>
        <v>3249982</v>
      </c>
      <c r="Q611" s="1">
        <v>229500</v>
      </c>
      <c r="S611" s="1">
        <v>3479482</v>
      </c>
      <c r="U611" s="1">
        <f>1413345-477301-46276-278902-231198</f>
        <v>379668</v>
      </c>
      <c r="W611" s="1">
        <v>200000</v>
      </c>
      <c r="Y611" s="1">
        <f>277301+46276+278902+231198</f>
        <v>833677</v>
      </c>
      <c r="AA611" s="58">
        <f t="shared" si="72"/>
        <v>1413345</v>
      </c>
      <c r="AC611" s="1">
        <f t="shared" si="73"/>
        <v>0</v>
      </c>
    </row>
    <row r="612" spans="1:29" s="16" customFormat="1">
      <c r="A612" s="14" t="s">
        <v>407</v>
      </c>
      <c r="B612" s="14"/>
      <c r="C612" s="14" t="s">
        <v>45</v>
      </c>
      <c r="D612" s="14"/>
      <c r="E612" s="14">
        <v>48397</v>
      </c>
      <c r="G612" s="1">
        <v>21422631</v>
      </c>
      <c r="H612" s="1"/>
      <c r="I612" s="1">
        <v>260485</v>
      </c>
      <c r="J612" s="1"/>
      <c r="K612" s="41">
        <f t="shared" si="70"/>
        <v>6325964</v>
      </c>
      <c r="L612" s="1"/>
      <c r="M612" s="1">
        <v>28009080</v>
      </c>
      <c r="N612" s="1"/>
      <c r="O612" s="41">
        <f t="shared" si="71"/>
        <v>4857653</v>
      </c>
      <c r="P612" s="1"/>
      <c r="Q612" s="1">
        <v>6020367</v>
      </c>
      <c r="R612" s="1"/>
      <c r="S612" s="1">
        <v>10878020</v>
      </c>
      <c r="T612" s="1"/>
      <c r="U612" s="1">
        <f>329461+173279+19893+67313</f>
        <v>589946</v>
      </c>
      <c r="V612" s="1"/>
      <c r="W612" s="1">
        <v>0</v>
      </c>
      <c r="X612" s="1"/>
      <c r="Y612" s="1">
        <f>899452+162758+454423+15024481</f>
        <v>16541114</v>
      </c>
      <c r="Z612" s="1"/>
      <c r="AA612" s="58">
        <f t="shared" si="72"/>
        <v>17131060</v>
      </c>
      <c r="AB612" s="1"/>
      <c r="AC612" s="1">
        <f t="shared" si="73"/>
        <v>0</v>
      </c>
    </row>
    <row r="613" spans="1:29">
      <c r="A613" s="12" t="s">
        <v>342</v>
      </c>
      <c r="B613" s="12"/>
      <c r="C613" s="12" t="s">
        <v>27</v>
      </c>
      <c r="D613" s="12"/>
      <c r="E613" s="13">
        <v>45047</v>
      </c>
      <c r="G613" s="1">
        <v>46924855</v>
      </c>
      <c r="I613" s="1">
        <v>570390</v>
      </c>
      <c r="K613" s="41">
        <f t="shared" si="70"/>
        <v>126975908</v>
      </c>
      <c r="M613" s="1">
        <v>174471153</v>
      </c>
      <c r="O613" s="41">
        <f t="shared" si="71"/>
        <v>21757778</v>
      </c>
      <c r="Q613" s="1">
        <v>91359026</v>
      </c>
      <c r="S613" s="1">
        <v>113116804</v>
      </c>
      <c r="U613" s="1">
        <f>33955865+13187340+536933+358244+57366</f>
        <v>48095748</v>
      </c>
      <c r="W613" s="1">
        <v>0</v>
      </c>
      <c r="Y613" s="1">
        <f>-8480367+7876475+13069634+792859</f>
        <v>13258601</v>
      </c>
      <c r="AA613" s="58">
        <f t="shared" si="72"/>
        <v>61354349</v>
      </c>
      <c r="AC613" s="1">
        <f t="shared" si="73"/>
        <v>0</v>
      </c>
    </row>
    <row r="614" spans="1:29">
      <c r="A614" s="12" t="s">
        <v>528</v>
      </c>
      <c r="B614" s="12"/>
      <c r="C614" s="12" t="s">
        <v>54</v>
      </c>
      <c r="D614" s="12"/>
      <c r="E614" s="13">
        <v>49106</v>
      </c>
      <c r="G614" s="1">
        <v>4083957</v>
      </c>
      <c r="I614" s="1">
        <v>408547</v>
      </c>
      <c r="K614" s="41">
        <f t="shared" si="70"/>
        <v>5860280</v>
      </c>
      <c r="M614" s="1">
        <v>10352784</v>
      </c>
      <c r="O614" s="41">
        <f t="shared" si="71"/>
        <v>1975768</v>
      </c>
      <c r="Q614" s="1">
        <v>4543874</v>
      </c>
      <c r="S614" s="1">
        <v>6519642</v>
      </c>
      <c r="U614" s="1">
        <f>375634+589550+281263+127284</f>
        <v>1373731</v>
      </c>
      <c r="W614" s="1">
        <v>0</v>
      </c>
      <c r="Y614" s="1">
        <f>475440+514582+523214+946175</f>
        <v>2459411</v>
      </c>
      <c r="AA614" s="58">
        <f t="shared" si="72"/>
        <v>3833142</v>
      </c>
      <c r="AC614" s="1">
        <f t="shared" si="73"/>
        <v>0</v>
      </c>
    </row>
    <row r="615" spans="1:29">
      <c r="A615" s="12" t="s">
        <v>308</v>
      </c>
      <c r="B615" s="12"/>
      <c r="C615" s="12" t="s">
        <v>20</v>
      </c>
      <c r="D615" s="12"/>
      <c r="E615" s="13">
        <v>45062</v>
      </c>
      <c r="G615" s="1">
        <v>27688297</v>
      </c>
      <c r="I615" s="1">
        <v>0</v>
      </c>
      <c r="K615" s="41">
        <f t="shared" si="70"/>
        <v>46057531</v>
      </c>
      <c r="M615" s="1">
        <v>73745828</v>
      </c>
      <c r="O615" s="41">
        <f t="shared" si="71"/>
        <v>45649914</v>
      </c>
      <c r="Q615" s="1">
        <v>2573064</v>
      </c>
      <c r="S615" s="1">
        <v>48222978</v>
      </c>
      <c r="U615" s="1">
        <f>2789940+5372806+3929243</f>
        <v>12091989</v>
      </c>
      <c r="W615" s="1">
        <v>0</v>
      </c>
      <c r="Y615" s="1">
        <f>13180434+325863-75436</f>
        <v>13430861</v>
      </c>
      <c r="AA615" s="58">
        <f t="shared" si="72"/>
        <v>25522850</v>
      </c>
      <c r="AC615" s="1">
        <f t="shared" si="73"/>
        <v>0</v>
      </c>
    </row>
    <row r="616" spans="1:29">
      <c r="A616" s="12" t="s">
        <v>566</v>
      </c>
      <c r="B616" s="12"/>
      <c r="C616" s="12" t="s">
        <v>59</v>
      </c>
      <c r="D616" s="12"/>
      <c r="E616" s="13">
        <v>49668</v>
      </c>
      <c r="G616" s="1">
        <v>4352652</v>
      </c>
      <c r="I616" s="1">
        <f>16294+76255+333077</f>
        <v>425626</v>
      </c>
      <c r="K616" s="41">
        <f t="shared" si="70"/>
        <v>3998412</v>
      </c>
      <c r="M616" s="1">
        <v>8776690</v>
      </c>
      <c r="O616" s="41">
        <f t="shared" si="71"/>
        <v>2117797</v>
      </c>
      <c r="Q616" s="1">
        <v>3150679</v>
      </c>
      <c r="S616" s="1">
        <v>5268476</v>
      </c>
      <c r="U616" s="1">
        <f>274412+317319+16294</f>
        <v>608025</v>
      </c>
      <c r="W616" s="1">
        <v>210958</v>
      </c>
      <c r="Y616" s="1">
        <f>709205+492389+586242+901395</f>
        <v>2689231</v>
      </c>
      <c r="AA616" s="58">
        <f t="shared" si="72"/>
        <v>3508214</v>
      </c>
      <c r="AC616" s="1">
        <f t="shared" si="73"/>
        <v>0</v>
      </c>
    </row>
    <row r="617" spans="1:29">
      <c r="A617" s="12" t="s">
        <v>343</v>
      </c>
      <c r="B617" s="12"/>
      <c r="C617" s="12" t="s">
        <v>27</v>
      </c>
      <c r="D617" s="12"/>
      <c r="E617" s="12">
        <v>45070</v>
      </c>
      <c r="G617" s="1">
        <v>53751510</v>
      </c>
      <c r="I617" s="1">
        <v>158536</v>
      </c>
      <c r="K617" s="41">
        <f t="shared" si="70"/>
        <v>54252644</v>
      </c>
      <c r="M617" s="1">
        <v>108162690</v>
      </c>
      <c r="O617" s="41">
        <f t="shared" si="71"/>
        <v>3098057</v>
      </c>
      <c r="Q617" s="1">
        <v>49307441</v>
      </c>
      <c r="S617" s="1">
        <v>52405498</v>
      </c>
      <c r="U617" s="1">
        <f>3498886+60566+3501979+158536</f>
        <v>7219967</v>
      </c>
      <c r="W617" s="1">
        <v>339359</v>
      </c>
      <c r="Y617" s="1">
        <f>13058112+1147617+708282+33283855</f>
        <v>48197866</v>
      </c>
      <c r="AA617" s="58">
        <f t="shared" si="72"/>
        <v>55757192</v>
      </c>
      <c r="AC617" s="1">
        <f t="shared" si="73"/>
        <v>0</v>
      </c>
    </row>
    <row r="618" spans="1:29" hidden="1">
      <c r="A618" s="17" t="s">
        <v>744</v>
      </c>
      <c r="B618" s="12"/>
      <c r="C618" s="12" t="s">
        <v>41</v>
      </c>
      <c r="D618" s="12"/>
      <c r="E618" s="13">
        <v>45088</v>
      </c>
      <c r="K618" s="41">
        <f t="shared" si="70"/>
        <v>0</v>
      </c>
      <c r="O618" s="41">
        <f t="shared" si="71"/>
        <v>0</v>
      </c>
      <c r="AA618" s="58">
        <f t="shared" si="72"/>
        <v>0</v>
      </c>
      <c r="AC618" s="1">
        <f t="shared" si="73"/>
        <v>0</v>
      </c>
    </row>
    <row r="619" spans="1:29">
      <c r="A619" s="12" t="s">
        <v>408</v>
      </c>
      <c r="B619" s="12"/>
      <c r="C619" s="12" t="s">
        <v>37</v>
      </c>
      <c r="D619" s="12"/>
      <c r="E619" s="13">
        <v>45096</v>
      </c>
      <c r="G619" s="1">
        <v>3528755</v>
      </c>
      <c r="I619" s="1">
        <v>0</v>
      </c>
      <c r="K619" s="41">
        <f t="shared" si="70"/>
        <v>6780567</v>
      </c>
      <c r="M619" s="1">
        <v>10309322</v>
      </c>
      <c r="O619" s="41">
        <f t="shared" si="71"/>
        <v>7471398</v>
      </c>
      <c r="Q619" s="1">
        <v>506761</v>
      </c>
      <c r="S619" s="1">
        <v>7978159</v>
      </c>
      <c r="U619" s="1">
        <f>753431+105723+52903+772320+779</f>
        <v>1685156</v>
      </c>
      <c r="W619" s="1">
        <v>0</v>
      </c>
      <c r="Y619" s="1">
        <f>-383670-193988+1208348+15317</f>
        <v>646007</v>
      </c>
      <c r="AA619" s="58">
        <f t="shared" si="72"/>
        <v>2331163</v>
      </c>
      <c r="AC619" s="1">
        <f t="shared" si="73"/>
        <v>0</v>
      </c>
    </row>
    <row r="620" spans="1:29">
      <c r="A620" s="12" t="s">
        <v>258</v>
      </c>
      <c r="B620" s="12"/>
      <c r="C620" s="12" t="s">
        <v>115</v>
      </c>
      <c r="D620" s="12"/>
      <c r="E620" s="12">
        <v>46367</v>
      </c>
      <c r="G620" s="1">
        <v>2847743</v>
      </c>
      <c r="I620" s="1">
        <v>201287</v>
      </c>
      <c r="K620" s="41">
        <f t="shared" si="70"/>
        <v>4150453</v>
      </c>
      <c r="M620" s="1">
        <v>7199483</v>
      </c>
      <c r="O620" s="41">
        <f t="shared" si="71"/>
        <v>1201710</v>
      </c>
      <c r="Q620" s="1">
        <v>3604747</v>
      </c>
      <c r="S620" s="1">
        <v>4806457</v>
      </c>
      <c r="U620" s="1">
        <f>107689+426100+201287</f>
        <v>735076</v>
      </c>
      <c r="W620" s="1">
        <v>0</v>
      </c>
      <c r="Y620" s="1">
        <f>2393026-735076</f>
        <v>1657950</v>
      </c>
      <c r="AA620" s="58">
        <f t="shared" si="72"/>
        <v>2393026</v>
      </c>
      <c r="AC620" s="1">
        <f t="shared" si="73"/>
        <v>0</v>
      </c>
    </row>
    <row r="621" spans="1:29">
      <c r="A621" s="12" t="s">
        <v>418</v>
      </c>
      <c r="B621" s="12"/>
      <c r="C621" s="12" t="s">
        <v>41</v>
      </c>
      <c r="D621" s="12"/>
      <c r="E621" s="13">
        <v>45104</v>
      </c>
      <c r="G621" s="1">
        <v>20569969</v>
      </c>
      <c r="I621" s="1">
        <v>0</v>
      </c>
      <c r="K621" s="41">
        <f t="shared" si="70"/>
        <v>61743339</v>
      </c>
      <c r="M621" s="1">
        <v>82313308</v>
      </c>
      <c r="O621" s="41">
        <f t="shared" si="71"/>
        <v>14206463</v>
      </c>
      <c r="Q621" s="1">
        <v>55933975</v>
      </c>
      <c r="S621" s="1">
        <v>70140438</v>
      </c>
      <c r="U621" s="1">
        <f>678013+3895568</f>
        <v>4573581</v>
      </c>
      <c r="W621" s="1">
        <v>0</v>
      </c>
      <c r="Y621" s="1">
        <f>12172870-4573581</f>
        <v>7599289</v>
      </c>
      <c r="AA621" s="58">
        <f t="shared" si="72"/>
        <v>12172870</v>
      </c>
      <c r="AC621" s="1">
        <f t="shared" si="73"/>
        <v>0</v>
      </c>
    </row>
    <row r="622" spans="1:29">
      <c r="A622" s="12" t="s">
        <v>262</v>
      </c>
      <c r="B622" s="12"/>
      <c r="C622" s="12" t="s">
        <v>18</v>
      </c>
      <c r="D622" s="12"/>
      <c r="E622" s="13">
        <v>45112</v>
      </c>
      <c r="G622" s="1">
        <v>8169779</v>
      </c>
      <c r="I622" s="1">
        <v>57982</v>
      </c>
      <c r="K622" s="41">
        <f t="shared" si="70"/>
        <v>19420871</v>
      </c>
      <c r="M622" s="1">
        <v>27648632</v>
      </c>
      <c r="O622" s="41">
        <f t="shared" si="71"/>
        <v>3404589</v>
      </c>
      <c r="Q622" s="1">
        <v>16429779</v>
      </c>
      <c r="S622" s="1">
        <v>19834368</v>
      </c>
      <c r="U622" s="1">
        <f>565755+15600+922649+57982+400335</f>
        <v>1962321</v>
      </c>
      <c r="W622" s="1">
        <v>0</v>
      </c>
      <c r="Y622" s="1">
        <f>3059054+760718+1903056+129115</f>
        <v>5851943</v>
      </c>
      <c r="AA622" s="58">
        <f t="shared" si="72"/>
        <v>7814264</v>
      </c>
      <c r="AC622" s="1">
        <f t="shared" si="73"/>
        <v>0</v>
      </c>
    </row>
    <row r="623" spans="1:29">
      <c r="A623" s="12" t="s">
        <v>540</v>
      </c>
      <c r="B623" s="12"/>
      <c r="C623" s="12" t="s">
        <v>56</v>
      </c>
      <c r="D623" s="12"/>
      <c r="E623" s="13">
        <v>45666</v>
      </c>
      <c r="G623" s="1">
        <v>1930245</v>
      </c>
      <c r="I623" s="1">
        <v>9046</v>
      </c>
      <c r="K623" s="41">
        <f t="shared" si="70"/>
        <v>1961437</v>
      </c>
      <c r="M623" s="1">
        <v>3900728</v>
      </c>
      <c r="O623" s="41">
        <f t="shared" si="71"/>
        <v>2389581</v>
      </c>
      <c r="Q623" s="1">
        <v>237427</v>
      </c>
      <c r="S623" s="1">
        <v>2627008</v>
      </c>
      <c r="U623" s="1">
        <f>13539+9046+19655+58267+286053</f>
        <v>386560</v>
      </c>
      <c r="W623" s="1">
        <v>0</v>
      </c>
      <c r="Y623" s="1">
        <f>497744+81131+308285</f>
        <v>887160</v>
      </c>
      <c r="AA623" s="58">
        <f t="shared" si="72"/>
        <v>1273720</v>
      </c>
      <c r="AC623" s="1">
        <f t="shared" si="73"/>
        <v>0</v>
      </c>
    </row>
    <row r="624" spans="1:29">
      <c r="A624" s="12" t="s">
        <v>376</v>
      </c>
      <c r="B624" s="12"/>
      <c r="C624" s="12" t="s">
        <v>32</v>
      </c>
      <c r="D624" s="12"/>
      <c r="E624" s="13">
        <v>44081</v>
      </c>
      <c r="G624" s="1">
        <v>4735050</v>
      </c>
      <c r="I624" s="1">
        <v>0</v>
      </c>
      <c r="K624" s="41">
        <f t="shared" si="70"/>
        <v>26531541</v>
      </c>
      <c r="M624" s="1">
        <v>31266591</v>
      </c>
      <c r="O624" s="41">
        <f t="shared" si="71"/>
        <v>5396435</v>
      </c>
      <c r="Q624" s="1">
        <v>17558203</v>
      </c>
      <c r="S624" s="1">
        <v>22954638</v>
      </c>
      <c r="U624" s="1">
        <f>327853+8750000</f>
        <v>9077853</v>
      </c>
      <c r="W624" s="1">
        <v>0</v>
      </c>
      <c r="Y624" s="1">
        <f>-1649181+368884+514397</f>
        <v>-765900</v>
      </c>
      <c r="AA624" s="58">
        <f t="shared" si="72"/>
        <v>8311953</v>
      </c>
      <c r="AC624" s="1">
        <f t="shared" si="73"/>
        <v>0</v>
      </c>
    </row>
    <row r="625" spans="1:29">
      <c r="A625" s="12" t="s">
        <v>639</v>
      </c>
      <c r="B625" s="12"/>
      <c r="C625" s="12" t="s">
        <v>70</v>
      </c>
      <c r="D625" s="12"/>
      <c r="E625" s="13">
        <v>50518</v>
      </c>
      <c r="G625" s="1">
        <f>8049908+551</f>
        <v>8050459</v>
      </c>
      <c r="I625" s="1">
        <v>89171</v>
      </c>
      <c r="K625" s="41">
        <f t="shared" si="70"/>
        <v>5065078</v>
      </c>
      <c r="M625" s="1">
        <v>13204708</v>
      </c>
      <c r="O625" s="41">
        <f t="shared" si="71"/>
        <v>762328</v>
      </c>
      <c r="Q625" s="1">
        <v>4910249</v>
      </c>
      <c r="S625" s="1">
        <v>5672577</v>
      </c>
      <c r="U625" s="1">
        <f>152326+400+56287+7409+81362</f>
        <v>297784</v>
      </c>
      <c r="W625" s="1">
        <v>31496</v>
      </c>
      <c r="Y625" s="1">
        <f>5986553+121428+384101+710769</f>
        <v>7202851</v>
      </c>
      <c r="AA625" s="58">
        <f t="shared" si="72"/>
        <v>7532131</v>
      </c>
      <c r="AC625" s="1">
        <f t="shared" si="73"/>
        <v>0</v>
      </c>
    </row>
    <row r="626" spans="1:29">
      <c r="A626" s="12" t="s">
        <v>558</v>
      </c>
      <c r="B626" s="12"/>
      <c r="C626" s="12" t="s">
        <v>79</v>
      </c>
      <c r="D626" s="12"/>
      <c r="E626" s="13">
        <v>49577</v>
      </c>
      <c r="G626" s="1">
        <v>1907692</v>
      </c>
      <c r="I626" s="1">
        <v>38522</v>
      </c>
      <c r="K626" s="41">
        <f t="shared" si="70"/>
        <v>4264121</v>
      </c>
      <c r="M626" s="1">
        <v>6210335</v>
      </c>
      <c r="O626" s="41">
        <f t="shared" si="71"/>
        <v>4323011</v>
      </c>
      <c r="Q626" s="1">
        <v>185048</v>
      </c>
      <c r="S626" s="1">
        <v>4508059</v>
      </c>
      <c r="U626" s="1">
        <f>1702276-231704-105927-340743</f>
        <v>1023902</v>
      </c>
      <c r="W626" s="1">
        <v>0</v>
      </c>
      <c r="Y626" s="1">
        <f>231704+105927+340743</f>
        <v>678374</v>
      </c>
      <c r="AA626" s="58">
        <f t="shared" si="72"/>
        <v>1702276</v>
      </c>
      <c r="AC626" s="1">
        <f t="shared" si="73"/>
        <v>0</v>
      </c>
    </row>
    <row r="627" spans="1:29">
      <c r="A627" s="12" t="s">
        <v>598</v>
      </c>
      <c r="B627" s="12"/>
      <c r="C627" s="12" t="s">
        <v>63</v>
      </c>
      <c r="D627" s="12"/>
      <c r="E627" s="13">
        <v>49973</v>
      </c>
      <c r="G627" s="1">
        <v>9511976</v>
      </c>
      <c r="I627" s="1">
        <v>54230</v>
      </c>
      <c r="K627" s="41">
        <f t="shared" si="70"/>
        <v>17213916</v>
      </c>
      <c r="M627" s="1">
        <v>26780122</v>
      </c>
      <c r="O627" s="41">
        <f t="shared" si="71"/>
        <v>2911460</v>
      </c>
      <c r="Q627" s="1">
        <v>15044941</v>
      </c>
      <c r="S627" s="1">
        <v>17956401</v>
      </c>
      <c r="U627" s="1">
        <f>389294+54230</f>
        <v>443524</v>
      </c>
      <c r="W627" s="1">
        <v>0</v>
      </c>
      <c r="Y627" s="1">
        <f>8823721-443524</f>
        <v>8380197</v>
      </c>
      <c r="AA627" s="58">
        <f t="shared" si="72"/>
        <v>8823721</v>
      </c>
      <c r="AC627" s="1">
        <f t="shared" si="73"/>
        <v>0</v>
      </c>
    </row>
    <row r="628" spans="1:29">
      <c r="A628" s="12" t="s">
        <v>745</v>
      </c>
      <c r="B628" s="12"/>
      <c r="C628" s="12" t="s">
        <v>71</v>
      </c>
      <c r="D628" s="12"/>
      <c r="E628" s="13">
        <v>45138</v>
      </c>
      <c r="G628" s="1">
        <v>19662699</v>
      </c>
      <c r="I628" s="1">
        <v>0</v>
      </c>
      <c r="K628" s="41">
        <f t="shared" si="70"/>
        <v>26047740</v>
      </c>
      <c r="M628" s="1">
        <v>45710439</v>
      </c>
      <c r="O628" s="41">
        <f t="shared" si="71"/>
        <v>5508771</v>
      </c>
      <c r="Q628" s="1">
        <v>23456246</v>
      </c>
      <c r="S628" s="1">
        <v>28965017</v>
      </c>
      <c r="U628" s="1">
        <f>639494+1500000</f>
        <v>2139494</v>
      </c>
      <c r="W628" s="1">
        <v>0</v>
      </c>
      <c r="Y628" s="1">
        <f>11697860+221373+2312939+373756</f>
        <v>14605928</v>
      </c>
      <c r="AA628" s="58">
        <f t="shared" si="72"/>
        <v>16745422</v>
      </c>
      <c r="AC628" s="1">
        <f t="shared" si="73"/>
        <v>0</v>
      </c>
    </row>
    <row r="629" spans="1:29">
      <c r="A629" s="12" t="s">
        <v>344</v>
      </c>
      <c r="B629" s="12"/>
      <c r="C629" s="12" t="s">
        <v>27</v>
      </c>
      <c r="D629" s="12"/>
      <c r="E629" s="13">
        <v>46524</v>
      </c>
      <c r="G629" s="1">
        <v>60099693</v>
      </c>
      <c r="I629" s="1">
        <v>0</v>
      </c>
      <c r="K629" s="41">
        <f t="shared" si="70"/>
        <v>80202835</v>
      </c>
      <c r="M629" s="1">
        <v>140302528</v>
      </c>
      <c r="O629" s="41">
        <f t="shared" si="71"/>
        <v>18288686</v>
      </c>
      <c r="Q629" s="1">
        <v>53354017</v>
      </c>
      <c r="S629" s="1">
        <v>71642703</v>
      </c>
      <c r="U629" s="1">
        <f>68659825-48019866</f>
        <v>20639959</v>
      </c>
      <c r="W629" s="1">
        <v>0</v>
      </c>
      <c r="Y629" s="1">
        <v>48019866</v>
      </c>
      <c r="AA629" s="58">
        <f t="shared" si="72"/>
        <v>68659825</v>
      </c>
      <c r="AC629" s="1">
        <f t="shared" si="73"/>
        <v>0</v>
      </c>
    </row>
    <row r="630" spans="1:29">
      <c r="A630" s="12" t="s">
        <v>279</v>
      </c>
      <c r="B630" s="12"/>
      <c r="C630" s="12" t="s">
        <v>113</v>
      </c>
      <c r="D630" s="12"/>
      <c r="E630" s="13">
        <v>45146</v>
      </c>
      <c r="G630" s="1">
        <v>1956384</v>
      </c>
      <c r="I630" s="1">
        <v>51618</v>
      </c>
      <c r="K630" s="41">
        <f t="shared" si="70"/>
        <v>4078858</v>
      </c>
      <c r="M630" s="1">
        <v>6086860</v>
      </c>
      <c r="O630" s="41">
        <f t="shared" si="71"/>
        <v>3785241</v>
      </c>
      <c r="Q630" s="1">
        <v>267208</v>
      </c>
      <c r="S630" s="1">
        <v>4052449</v>
      </c>
      <c r="U630" s="1">
        <f>2034411-152638+59880-256096</f>
        <v>1685557</v>
      </c>
      <c r="W630" s="1">
        <v>0</v>
      </c>
      <c r="Y630" s="1">
        <f>152638-59880+256096</f>
        <v>348854</v>
      </c>
      <c r="AA630" s="58">
        <f t="shared" si="72"/>
        <v>2034411</v>
      </c>
      <c r="AC630" s="1">
        <f t="shared" si="73"/>
        <v>0</v>
      </c>
    </row>
    <row r="631" spans="1:29">
      <c r="A631" s="12" t="s">
        <v>377</v>
      </c>
      <c r="B631" s="12"/>
      <c r="C631" s="12" t="s">
        <v>32</v>
      </c>
      <c r="D631" s="12"/>
      <c r="E631" s="13">
        <v>45153</v>
      </c>
      <c r="G631" s="1">
        <v>13366775</v>
      </c>
      <c r="I631" s="1">
        <v>0</v>
      </c>
      <c r="K631" s="41">
        <f t="shared" si="70"/>
        <v>12826424</v>
      </c>
      <c r="M631" s="1">
        <v>26193199</v>
      </c>
      <c r="O631" s="41">
        <f t="shared" si="71"/>
        <v>3175092</v>
      </c>
      <c r="Q631" s="1">
        <v>6491032</v>
      </c>
      <c r="S631" s="1">
        <v>9666124</v>
      </c>
      <c r="U631" s="1">
        <f>949928+5700+4032000</f>
        <v>4987628</v>
      </c>
      <c r="W631" s="1">
        <v>0</v>
      </c>
      <c r="Y631" s="1">
        <f>9693173+106130+1336851+403293</f>
        <v>11539447</v>
      </c>
      <c r="AA631" s="58">
        <f t="shared" si="72"/>
        <v>16527075</v>
      </c>
      <c r="AC631" s="1">
        <f t="shared" si="73"/>
        <v>0</v>
      </c>
    </row>
    <row r="632" spans="1:29">
      <c r="A632" s="12" t="s">
        <v>359</v>
      </c>
      <c r="B632" s="12"/>
      <c r="C632" s="12" t="s">
        <v>116</v>
      </c>
      <c r="D632" s="12"/>
      <c r="E632" s="13">
        <v>45674</v>
      </c>
      <c r="G632" s="1">
        <v>2992476</v>
      </c>
      <c r="I632" s="1">
        <v>0</v>
      </c>
      <c r="K632" s="41">
        <f t="shared" ref="K632:K635" si="74">M632-G632-I632</f>
        <v>3535203</v>
      </c>
      <c r="M632" s="1">
        <v>6527679</v>
      </c>
      <c r="O632" s="41">
        <f t="shared" ref="O632:O635" si="75">S632-Q632</f>
        <v>1255483</v>
      </c>
      <c r="Q632" s="1">
        <v>2714712</v>
      </c>
      <c r="S632" s="1">
        <v>3970195</v>
      </c>
      <c r="U632" s="1">
        <f>582500+2462+297755</f>
        <v>882717</v>
      </c>
      <c r="W632" s="1">
        <v>0</v>
      </c>
      <c r="Y632" s="1">
        <f>1437640+55032+141228+40867</f>
        <v>1674767</v>
      </c>
      <c r="AA632" s="58">
        <f t="shared" ref="AA632:AA635" si="76">U632+W632+Y632</f>
        <v>2557484</v>
      </c>
      <c r="AC632" s="1">
        <f t="shared" ref="AC632:AC635" si="77">+G632+I632+K632-O632-Q632-Y632-W632-U632</f>
        <v>0</v>
      </c>
    </row>
    <row r="633" spans="1:29">
      <c r="A633" s="12" t="s">
        <v>472</v>
      </c>
      <c r="B633" s="12"/>
      <c r="C633" s="12" t="s">
        <v>45</v>
      </c>
      <c r="D633" s="12"/>
      <c r="E633" s="13">
        <v>45161</v>
      </c>
      <c r="G633" s="1">
        <f>29398975+1631785</f>
        <v>31030760</v>
      </c>
      <c r="I633" s="1">
        <v>760420</v>
      </c>
      <c r="K633" s="41">
        <f t="shared" si="74"/>
        <v>39055324</v>
      </c>
      <c r="M633" s="1">
        <v>70846504</v>
      </c>
      <c r="O633" s="41">
        <f t="shared" si="75"/>
        <v>17370766</v>
      </c>
      <c r="Q633" s="1">
        <v>32115202</v>
      </c>
      <c r="S633" s="1">
        <v>49485968</v>
      </c>
      <c r="U633" s="1">
        <f>379988+33907244+120820</f>
        <v>34408052</v>
      </c>
      <c r="W633" s="1">
        <v>0</v>
      </c>
      <c r="Y633" s="1">
        <v>-13047516</v>
      </c>
      <c r="AA633" s="58">
        <f t="shared" si="76"/>
        <v>21360536</v>
      </c>
      <c r="AC633" s="1">
        <f>+G633+I633+K633-O633-Q633-Y633-W633-U633</f>
        <v>0</v>
      </c>
    </row>
    <row r="634" spans="1:29">
      <c r="A634" s="12" t="s">
        <v>554</v>
      </c>
      <c r="B634" s="12"/>
      <c r="C634" s="12" t="s">
        <v>58</v>
      </c>
      <c r="D634" s="12"/>
      <c r="E634" s="13">
        <v>49544</v>
      </c>
      <c r="G634" s="1">
        <v>5996810</v>
      </c>
      <c r="I634" s="1">
        <v>764682</v>
      </c>
      <c r="K634" s="41">
        <f t="shared" si="74"/>
        <v>4730195</v>
      </c>
      <c r="M634" s="1">
        <v>11491687</v>
      </c>
      <c r="O634" s="41">
        <f t="shared" si="75"/>
        <v>1695167</v>
      </c>
      <c r="Q634" s="1">
        <v>3888222</v>
      </c>
      <c r="S634" s="1">
        <v>5583389</v>
      </c>
      <c r="U634" s="1">
        <f>5908298-4144093</f>
        <v>1764205</v>
      </c>
      <c r="W634" s="1">
        <v>0</v>
      </c>
      <c r="Y634" s="1">
        <f>2926243+502659+399763+315428</f>
        <v>4144093</v>
      </c>
      <c r="AA634" s="58">
        <f t="shared" si="76"/>
        <v>5908298</v>
      </c>
      <c r="AC634" s="1">
        <f>+G634+I634+K634-O634-Q634-Y634-W634-U634</f>
        <v>0</v>
      </c>
    </row>
    <row r="635" spans="1:29">
      <c r="A635" s="12" t="s">
        <v>516</v>
      </c>
      <c r="B635" s="12"/>
      <c r="C635" s="12" t="s">
        <v>51</v>
      </c>
      <c r="D635" s="12"/>
      <c r="E635" s="13">
        <v>45179</v>
      </c>
      <c r="G635" s="1">
        <f>23703709+451679</f>
        <v>24155388</v>
      </c>
      <c r="I635" s="1">
        <v>5357</v>
      </c>
      <c r="K635" s="41">
        <f t="shared" si="74"/>
        <v>18929334</v>
      </c>
      <c r="M635" s="1">
        <v>43090079</v>
      </c>
      <c r="O635" s="41">
        <f t="shared" si="75"/>
        <v>8359631</v>
      </c>
      <c r="Q635" s="1">
        <v>17832909</v>
      </c>
      <c r="S635" s="1">
        <v>26192540</v>
      </c>
      <c r="U635" s="1">
        <f>9192164+5357+70148</f>
        <v>9267669</v>
      </c>
      <c r="W635" s="1">
        <v>0</v>
      </c>
      <c r="Y635" s="1">
        <f>1655851+1177511+2242508+2554000</f>
        <v>7629870</v>
      </c>
      <c r="AA635" s="58">
        <f t="shared" si="76"/>
        <v>16897539</v>
      </c>
      <c r="AC635" s="1">
        <f t="shared" si="77"/>
        <v>0</v>
      </c>
    </row>
    <row r="636" spans="1:29">
      <c r="A636" s="12"/>
      <c r="B636" s="12"/>
      <c r="C636" s="12"/>
      <c r="D636" s="12"/>
    </row>
  </sheetData>
  <mergeCells count="3">
    <mergeCell ref="G6:K6"/>
    <mergeCell ref="O6:Q6"/>
    <mergeCell ref="U6:Y6"/>
  </mergeCells>
  <pageMargins left="0.9" right="0.75" top="0.5" bottom="0.5" header="0.25" footer="0.25"/>
  <pageSetup scale="77" firstPageNumber="134" pageOrder="overThenDown" orientation="portrait" useFirstPageNumber="1" r:id="rId1"/>
  <headerFooter scaleWithDoc="0" alignWithMargins="0">
    <oddFooter>&amp;C&amp;"Times New Roman,Regular"&amp;11&amp;P</oddFooter>
  </headerFooter>
  <rowBreaks count="6" manualBreakCount="6">
    <brk id="173" max="26" man="1"/>
    <brk id="258" max="26" man="1"/>
    <brk id="343" max="26" man="1"/>
    <brk id="428" max="26" man="1"/>
    <brk id="509" max="26" man="1"/>
    <brk id="597" max="26" man="1"/>
  </rowBreaks>
  <colBreaks count="1" manualBreakCount="1">
    <brk id="14" max="636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X639"/>
  <sheetViews>
    <sheetView zoomScaleNormal="100" zoomScaleSheetLayoutView="10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G10" sqref="G10"/>
    </sheetView>
  </sheetViews>
  <sheetFormatPr defaultColWidth="9.140625" defaultRowHeight="12"/>
  <cols>
    <col min="1" max="1" width="32" style="1" customWidth="1"/>
    <col min="2" max="2" width="1.7109375" style="1" customWidth="1"/>
    <col min="3" max="3" width="10.140625" style="1" bestFit="1" customWidth="1"/>
    <col min="4" max="4" width="1.7109375" style="1" hidden="1" customWidth="1"/>
    <col min="5" max="5" width="11.7109375" style="3" hidden="1" customWidth="1"/>
    <col min="6" max="6" width="1.7109375" style="1" customWidth="1"/>
    <col min="7" max="7" width="10" style="20" bestFit="1" customWidth="1"/>
    <col min="8" max="8" width="1.7109375" style="20" customWidth="1"/>
    <col min="9" max="9" width="9.140625" style="20" bestFit="1" customWidth="1"/>
    <col min="10" max="10" width="1.7109375" style="20" customWidth="1"/>
    <col min="11" max="11" width="10.140625" style="20" bestFit="1" customWidth="1"/>
    <col min="12" max="12" width="1.7109375" style="20" customWidth="1"/>
    <col min="13" max="13" width="10" style="20" customWidth="1"/>
    <col min="14" max="14" width="1.7109375" style="20" customWidth="1"/>
    <col min="15" max="15" width="9.85546875" style="20" customWidth="1"/>
    <col min="16" max="16" width="1.7109375" style="20" customWidth="1"/>
    <col min="17" max="17" width="9.140625" style="20" customWidth="1"/>
    <col min="18" max="18" width="1.7109375" style="20" customWidth="1"/>
    <col min="19" max="19" width="9.140625" style="20" bestFit="1" customWidth="1"/>
    <col min="20" max="20" width="1.7109375" style="20" customWidth="1"/>
    <col min="21" max="21" width="10.5703125" style="20" bestFit="1" customWidth="1"/>
    <col min="22" max="22" width="1.7109375" style="20" customWidth="1"/>
    <col min="23" max="23" width="9.140625" style="20" bestFit="1" customWidth="1"/>
    <col min="24" max="24" width="1.7109375" style="20" customWidth="1"/>
    <col min="25" max="25" width="10" style="20" bestFit="1" customWidth="1"/>
    <col min="26" max="26" width="1.7109375" style="20" customWidth="1"/>
    <col min="27" max="27" width="10" style="20" bestFit="1" customWidth="1"/>
    <col min="28" max="28" width="1.7109375" style="20" hidden="1" customWidth="1"/>
    <col min="29" max="29" width="11.7109375" style="20" hidden="1" customWidth="1"/>
    <col min="30" max="30" width="1.7109375" style="20" customWidth="1"/>
    <col min="31" max="31" width="10" style="20" bestFit="1" customWidth="1"/>
    <col min="32" max="32" width="1.7109375" style="20" hidden="1" customWidth="1"/>
    <col min="33" max="33" width="11.7109375" style="20" hidden="1" customWidth="1"/>
    <col min="34" max="34" width="1.7109375" style="20" customWidth="1"/>
    <col min="35" max="35" width="11.28515625" style="20" customWidth="1"/>
    <col min="36" max="36" width="1.7109375" style="20" customWidth="1"/>
    <col min="37" max="37" width="11.28515625" style="20" bestFit="1" customWidth="1"/>
    <col min="38" max="38" width="1.7109375" style="20" hidden="1" customWidth="1"/>
    <col min="39" max="39" width="10" style="20" hidden="1" customWidth="1"/>
    <col min="40" max="40" width="1.7109375" style="20" customWidth="1"/>
    <col min="41" max="41" width="13.5703125" style="20" customWidth="1"/>
    <col min="42" max="43" width="9.140625" style="1"/>
    <col min="44" max="44" width="9.28515625" style="1" bestFit="1" customWidth="1"/>
    <col min="45" max="165" width="9.140625" style="1"/>
    <col min="166" max="166" width="1" style="1" customWidth="1"/>
    <col min="167" max="176" width="9.140625" style="1"/>
    <col min="177" max="177" width="5.85546875" style="1" customWidth="1"/>
    <col min="178" max="186" width="9.140625" style="1"/>
    <col min="187" max="187" width="5.85546875" style="1" customWidth="1"/>
    <col min="188" max="197" width="9.140625" style="1"/>
    <col min="198" max="198" width="0.42578125" style="1" customWidth="1"/>
    <col min="199" max="207" width="9.140625" style="1"/>
    <col min="208" max="208" width="3.28515625" style="1" customWidth="1"/>
    <col min="209" max="217" width="9.140625" style="1"/>
    <col min="218" max="218" width="8" style="1" customWidth="1"/>
    <col min="219" max="223" width="9.140625" style="1"/>
    <col min="224" max="227" width="6.42578125" style="1" customWidth="1"/>
    <col min="228" max="16384" width="9.140625" style="1"/>
  </cols>
  <sheetData>
    <row r="1" spans="1:41" s="2" customFormat="1">
      <c r="A1" s="35" t="s">
        <v>199</v>
      </c>
      <c r="B1" s="35"/>
      <c r="C1" s="35"/>
      <c r="D1" s="35"/>
      <c r="E1" s="36"/>
      <c r="F1" s="37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</row>
    <row r="2" spans="1:41" s="2" customFormat="1">
      <c r="A2" s="35" t="s">
        <v>919</v>
      </c>
      <c r="B2" s="35"/>
      <c r="C2" s="35"/>
      <c r="D2" s="35"/>
      <c r="E2" s="36"/>
      <c r="F2" s="37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</row>
    <row r="3" spans="1:41" s="2" customFormat="1">
      <c r="B3" s="35"/>
      <c r="C3" s="35"/>
      <c r="D3" s="35"/>
      <c r="E3" s="36"/>
      <c r="F3" s="37"/>
      <c r="G3" s="38"/>
      <c r="H3" s="38"/>
      <c r="I3" s="38"/>
      <c r="J3" s="38"/>
      <c r="K3" s="38"/>
      <c r="L3" s="38"/>
      <c r="M3" s="40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</row>
    <row r="4" spans="1:41">
      <c r="A4" s="35" t="s">
        <v>171</v>
      </c>
      <c r="B4" s="35"/>
      <c r="C4" s="35"/>
      <c r="D4" s="35"/>
      <c r="E4" s="36"/>
      <c r="F4" s="9"/>
      <c r="G4" s="41"/>
      <c r="H4" s="41"/>
      <c r="I4" s="41"/>
      <c r="J4" s="41"/>
      <c r="K4" s="41"/>
      <c r="L4" s="41"/>
      <c r="M4" s="42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O4" s="103" t="s">
        <v>3</v>
      </c>
    </row>
    <row r="5" spans="1:41">
      <c r="A5" s="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03" t="s">
        <v>711</v>
      </c>
    </row>
    <row r="6" spans="1:41" s="103" customFormat="1">
      <c r="A6" s="2"/>
      <c r="B6" s="102"/>
      <c r="C6" s="102"/>
      <c r="D6" s="102"/>
      <c r="E6" s="26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5" t="s">
        <v>190</v>
      </c>
      <c r="AB6" s="105"/>
      <c r="AC6" s="105"/>
      <c r="AD6" s="105"/>
      <c r="AE6" s="105"/>
      <c r="AF6" s="105"/>
      <c r="AG6" s="105"/>
      <c r="AH6" s="105"/>
      <c r="AI6" s="105"/>
      <c r="AJ6" s="102"/>
      <c r="AK6" s="102"/>
      <c r="AM6" s="103" t="s">
        <v>3</v>
      </c>
      <c r="AO6" s="103" t="s">
        <v>750</v>
      </c>
    </row>
    <row r="7" spans="1:41" s="103" customFormat="1">
      <c r="A7" s="77" t="s">
        <v>688</v>
      </c>
      <c r="B7" s="102"/>
      <c r="C7" s="102"/>
      <c r="D7" s="102"/>
      <c r="E7" s="26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 t="s">
        <v>174</v>
      </c>
      <c r="R7" s="102"/>
      <c r="S7" s="102" t="s">
        <v>176</v>
      </c>
      <c r="T7" s="102"/>
      <c r="U7" s="102" t="s">
        <v>111</v>
      </c>
      <c r="V7" s="102"/>
      <c r="W7" s="102"/>
      <c r="X7" s="102"/>
      <c r="Y7" s="102"/>
      <c r="Z7" s="102"/>
      <c r="AI7" s="103" t="s">
        <v>129</v>
      </c>
      <c r="AM7" s="103" t="s">
        <v>82</v>
      </c>
      <c r="AO7" s="103" t="s">
        <v>715</v>
      </c>
    </row>
    <row r="8" spans="1:41" s="103" customFormat="1">
      <c r="A8" s="77" t="s">
        <v>717</v>
      </c>
      <c r="B8" s="102"/>
      <c r="C8" s="102"/>
      <c r="D8" s="102"/>
      <c r="E8" s="26"/>
      <c r="F8" s="102"/>
      <c r="G8" s="102" t="s">
        <v>107</v>
      </c>
      <c r="H8" s="102"/>
      <c r="I8" s="102" t="s">
        <v>669</v>
      </c>
      <c r="J8" s="102"/>
      <c r="K8" s="102" t="s">
        <v>1</v>
      </c>
      <c r="L8" s="102"/>
      <c r="M8" s="102" t="s">
        <v>706</v>
      </c>
      <c r="N8" s="102"/>
      <c r="O8" s="102" t="s">
        <v>172</v>
      </c>
      <c r="P8" s="102"/>
      <c r="Q8" s="102" t="s">
        <v>175</v>
      </c>
      <c r="R8" s="102"/>
      <c r="S8" s="102" t="s">
        <v>177</v>
      </c>
      <c r="T8" s="102"/>
      <c r="U8" s="102" t="s">
        <v>179</v>
      </c>
      <c r="V8" s="102"/>
      <c r="W8" s="102" t="s">
        <v>129</v>
      </c>
      <c r="X8" s="102"/>
      <c r="Y8" s="102" t="s">
        <v>3</v>
      </c>
      <c r="Z8" s="102"/>
      <c r="AA8" s="102"/>
      <c r="AE8" s="103" t="s">
        <v>714</v>
      </c>
      <c r="AG8" s="103" t="s">
        <v>194</v>
      </c>
      <c r="AI8" s="103" t="s">
        <v>195</v>
      </c>
      <c r="AK8" s="103" t="s">
        <v>694</v>
      </c>
      <c r="AM8" s="103" t="s">
        <v>195</v>
      </c>
      <c r="AO8" s="103" t="s">
        <v>694</v>
      </c>
    </row>
    <row r="9" spans="1:41" s="103" customFormat="1">
      <c r="A9" s="101" t="s">
        <v>202</v>
      </c>
      <c r="C9" s="101" t="s">
        <v>4</v>
      </c>
      <c r="E9" s="11" t="s">
        <v>201</v>
      </c>
      <c r="F9" s="102"/>
      <c r="G9" s="101" t="s">
        <v>729</v>
      </c>
      <c r="H9" s="102"/>
      <c r="I9" s="101" t="s">
        <v>5</v>
      </c>
      <c r="J9" s="101"/>
      <c r="K9" s="101" t="s">
        <v>7</v>
      </c>
      <c r="L9" s="102"/>
      <c r="M9" s="101" t="s">
        <v>92</v>
      </c>
      <c r="N9" s="102"/>
      <c r="O9" s="101" t="s">
        <v>173</v>
      </c>
      <c r="P9" s="102"/>
      <c r="Q9" s="101" t="s">
        <v>162</v>
      </c>
      <c r="R9" s="102"/>
      <c r="S9" s="101" t="s">
        <v>178</v>
      </c>
      <c r="T9" s="102"/>
      <c r="U9" s="101" t="s">
        <v>180</v>
      </c>
      <c r="V9" s="102"/>
      <c r="W9" s="101" t="s">
        <v>8</v>
      </c>
      <c r="X9" s="102"/>
      <c r="Y9" s="101" t="s">
        <v>9</v>
      </c>
      <c r="Z9" s="102"/>
      <c r="AA9" s="101" t="s">
        <v>191</v>
      </c>
      <c r="AC9" s="101" t="s">
        <v>192</v>
      </c>
      <c r="AE9" s="101" t="s">
        <v>716</v>
      </c>
      <c r="AG9" s="101" t="s">
        <v>193</v>
      </c>
      <c r="AI9" s="101" t="s">
        <v>196</v>
      </c>
      <c r="AK9" s="101" t="s">
        <v>692</v>
      </c>
      <c r="AM9" s="101" t="s">
        <v>196</v>
      </c>
      <c r="AO9" s="101" t="s">
        <v>692</v>
      </c>
    </row>
    <row r="10" spans="1:41">
      <c r="A10" s="12"/>
      <c r="B10" s="12"/>
      <c r="C10" s="12"/>
      <c r="D10" s="12"/>
      <c r="E10" s="1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4"/>
      <c r="X10" s="44"/>
      <c r="Y10" s="43"/>
      <c r="Z10" s="43"/>
      <c r="AA10" s="43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</row>
    <row r="11" spans="1:41" s="16" customFormat="1">
      <c r="A11" s="14" t="s">
        <v>920</v>
      </c>
      <c r="B11" s="14"/>
      <c r="C11" s="14" t="s">
        <v>203</v>
      </c>
      <c r="D11" s="14"/>
      <c r="E11" s="13">
        <v>61903</v>
      </c>
      <c r="F11" s="46"/>
      <c r="G11" s="47">
        <v>8554668</v>
      </c>
      <c r="H11" s="47"/>
      <c r="I11" s="47">
        <v>0</v>
      </c>
      <c r="J11" s="47"/>
      <c r="K11" s="47">
        <v>38531361</v>
      </c>
      <c r="L11" s="47"/>
      <c r="M11" s="47">
        <v>108540</v>
      </c>
      <c r="N11" s="47"/>
      <c r="O11" s="47">
        <v>1114752</v>
      </c>
      <c r="P11" s="47"/>
      <c r="Q11" s="47">
        <v>300394</v>
      </c>
      <c r="R11" s="47"/>
      <c r="S11" s="47">
        <v>0</v>
      </c>
      <c r="T11" s="47"/>
      <c r="U11" s="47">
        <v>0</v>
      </c>
      <c r="V11" s="47"/>
      <c r="W11" s="47">
        <f>736575+400525</f>
        <v>1137100</v>
      </c>
      <c r="X11" s="47"/>
      <c r="Y11" s="47">
        <f>SUM(G11:W11)</f>
        <v>49746815</v>
      </c>
      <c r="Z11" s="47"/>
      <c r="AA11" s="47">
        <v>111465</v>
      </c>
      <c r="AB11" s="47"/>
      <c r="AC11" s="47"/>
      <c r="AD11" s="47"/>
      <c r="AE11" s="47">
        <v>0</v>
      </c>
      <c r="AF11" s="47"/>
      <c r="AG11" s="47">
        <v>0</v>
      </c>
      <c r="AH11" s="47"/>
      <c r="AI11" s="47">
        <v>146371</v>
      </c>
      <c r="AJ11" s="47"/>
      <c r="AK11" s="47">
        <v>0</v>
      </c>
      <c r="AL11" s="47"/>
      <c r="AM11" s="48">
        <f>SUM(AA11:AI11)</f>
        <v>257836</v>
      </c>
      <c r="AN11" s="47"/>
      <c r="AO11" s="48">
        <f t="shared" ref="AO11:AO43" si="0">Y11+AM11</f>
        <v>50004651</v>
      </c>
    </row>
    <row r="12" spans="1:41">
      <c r="A12" s="12" t="s">
        <v>549</v>
      </c>
      <c r="B12" s="12"/>
      <c r="C12" s="12" t="s">
        <v>58</v>
      </c>
      <c r="D12" s="12"/>
      <c r="E12" s="13">
        <v>49494</v>
      </c>
      <c r="F12" s="45"/>
      <c r="G12" s="45">
        <v>3741606</v>
      </c>
      <c r="H12" s="45"/>
      <c r="I12" s="45">
        <v>0</v>
      </c>
      <c r="J12" s="45"/>
      <c r="K12" s="45">
        <v>8393157</v>
      </c>
      <c r="L12" s="45"/>
      <c r="M12" s="45">
        <v>24000</v>
      </c>
      <c r="N12" s="45"/>
      <c r="O12" s="45">
        <v>475481</v>
      </c>
      <c r="P12" s="45"/>
      <c r="Q12" s="45">
        <v>174093</v>
      </c>
      <c r="R12" s="45"/>
      <c r="S12" s="45">
        <v>0</v>
      </c>
      <c r="T12" s="45"/>
      <c r="U12" s="45">
        <v>98679</v>
      </c>
      <c r="V12" s="45"/>
      <c r="W12" s="45">
        <f>238314+49633</f>
        <v>287947</v>
      </c>
      <c r="X12" s="45"/>
      <c r="Y12" s="49">
        <f>SUM(G12:W12)</f>
        <v>13194963</v>
      </c>
      <c r="Z12" s="45"/>
      <c r="AA12" s="45">
        <v>128128</v>
      </c>
      <c r="AB12" s="45"/>
      <c r="AC12" s="45"/>
      <c r="AD12" s="45"/>
      <c r="AE12" s="45">
        <v>0</v>
      </c>
      <c r="AF12" s="45"/>
      <c r="AG12" s="45">
        <v>0</v>
      </c>
      <c r="AH12" s="45"/>
      <c r="AI12" s="45">
        <v>1625</v>
      </c>
      <c r="AJ12" s="45"/>
      <c r="AK12" s="45">
        <v>0</v>
      </c>
      <c r="AL12" s="45"/>
      <c r="AM12" s="49">
        <f>SUM(AA12:AI12)</f>
        <v>129753</v>
      </c>
      <c r="AN12" s="45"/>
      <c r="AO12" s="49">
        <f t="shared" si="0"/>
        <v>13324716</v>
      </c>
    </row>
    <row r="13" spans="1:41">
      <c r="A13" s="12" t="s">
        <v>586</v>
      </c>
      <c r="B13" s="12"/>
      <c r="C13" s="12" t="s">
        <v>63</v>
      </c>
      <c r="D13" s="12"/>
      <c r="E13" s="13">
        <v>43489</v>
      </c>
      <c r="F13" s="45"/>
      <c r="G13" s="45">
        <v>103771726</v>
      </c>
      <c r="H13" s="45"/>
      <c r="I13" s="45">
        <v>0</v>
      </c>
      <c r="J13" s="45"/>
      <c r="K13" s="45">
        <v>274006216</v>
      </c>
      <c r="L13" s="45"/>
      <c r="M13" s="45">
        <v>508655</v>
      </c>
      <c r="N13" s="45"/>
      <c r="O13" s="45">
        <v>5064041</v>
      </c>
      <c r="P13" s="45"/>
      <c r="Q13" s="45">
        <v>1118881</v>
      </c>
      <c r="R13" s="45"/>
      <c r="S13" s="45">
        <v>1000558</v>
      </c>
      <c r="T13" s="45"/>
      <c r="U13" s="45">
        <v>933425</v>
      </c>
      <c r="V13" s="45"/>
      <c r="W13" s="45">
        <f>367172+2715001+984424+3883602+3871834</f>
        <v>11822033</v>
      </c>
      <c r="X13" s="45"/>
      <c r="Y13" s="49">
        <f t="shared" ref="Y13:Y31" si="1">SUM(G13:W13)</f>
        <v>398225535</v>
      </c>
      <c r="Z13" s="45"/>
      <c r="AA13" s="45">
        <v>1583487</v>
      </c>
      <c r="AB13" s="45"/>
      <c r="AC13" s="45"/>
      <c r="AD13" s="45"/>
      <c r="AE13" s="45">
        <v>0</v>
      </c>
      <c r="AF13" s="45"/>
      <c r="AG13" s="45">
        <v>0</v>
      </c>
      <c r="AH13" s="45"/>
      <c r="AI13" s="45">
        <v>0</v>
      </c>
      <c r="AJ13" s="45"/>
      <c r="AK13" s="45">
        <v>0</v>
      </c>
      <c r="AL13" s="45"/>
      <c r="AM13" s="49">
        <f t="shared" ref="AM13:AM77" si="2">SUM(AA13:AI13)</f>
        <v>1583487</v>
      </c>
      <c r="AN13" s="45"/>
      <c r="AO13" s="49">
        <f t="shared" si="0"/>
        <v>399809022</v>
      </c>
    </row>
    <row r="14" spans="1:41" hidden="1">
      <c r="A14" s="12" t="s">
        <v>738</v>
      </c>
      <c r="B14" s="12"/>
      <c r="C14" s="12" t="s">
        <v>13</v>
      </c>
      <c r="D14" s="12"/>
      <c r="E14" s="13">
        <v>45906</v>
      </c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9">
        <f t="shared" si="1"/>
        <v>0</v>
      </c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>
        <v>0</v>
      </c>
      <c r="AL14" s="45"/>
      <c r="AM14" s="49">
        <f t="shared" si="2"/>
        <v>0</v>
      </c>
      <c r="AN14" s="45"/>
      <c r="AO14" s="49">
        <f t="shared" si="0"/>
        <v>0</v>
      </c>
    </row>
    <row r="15" spans="1:41">
      <c r="A15" s="12" t="s">
        <v>572</v>
      </c>
      <c r="B15" s="12"/>
      <c r="C15" s="12" t="s">
        <v>62</v>
      </c>
      <c r="D15" s="12"/>
      <c r="E15" s="13">
        <v>43497</v>
      </c>
      <c r="F15" s="45"/>
      <c r="G15" s="45">
        <v>7448531</v>
      </c>
      <c r="H15" s="45"/>
      <c r="I15" s="45">
        <v>0</v>
      </c>
      <c r="J15" s="45"/>
      <c r="K15" s="45">
        <v>24818917</v>
      </c>
      <c r="L15" s="45"/>
      <c r="M15" s="45">
        <v>62149</v>
      </c>
      <c r="N15" s="45"/>
      <c r="O15" s="45">
        <v>898780</v>
      </c>
      <c r="P15" s="45"/>
      <c r="Q15" s="45">
        <v>349123</v>
      </c>
      <c r="R15" s="45"/>
      <c r="S15" s="45">
        <v>0</v>
      </c>
      <c r="T15" s="45"/>
      <c r="U15" s="45">
        <v>150370</v>
      </c>
      <c r="V15" s="45"/>
      <c r="W15" s="45">
        <f>157131+267557+23573</f>
        <v>448261</v>
      </c>
      <c r="X15" s="45"/>
      <c r="Y15" s="49">
        <f t="shared" si="1"/>
        <v>34176131</v>
      </c>
      <c r="Z15" s="45"/>
      <c r="AA15" s="45">
        <v>0</v>
      </c>
      <c r="AB15" s="45"/>
      <c r="AC15" s="45"/>
      <c r="AD15" s="45"/>
      <c r="AE15" s="45">
        <v>255000</v>
      </c>
      <c r="AF15" s="45"/>
      <c r="AG15" s="45">
        <v>0</v>
      </c>
      <c r="AH15" s="45"/>
      <c r="AI15" s="45">
        <v>0</v>
      </c>
      <c r="AJ15" s="45"/>
      <c r="AK15" s="45">
        <v>0</v>
      </c>
      <c r="AL15" s="45"/>
      <c r="AM15" s="49">
        <f t="shared" si="2"/>
        <v>255000</v>
      </c>
      <c r="AN15" s="45"/>
      <c r="AO15" s="49">
        <f t="shared" si="0"/>
        <v>34431131</v>
      </c>
    </row>
    <row r="16" spans="1:41">
      <c r="A16" s="12" t="s">
        <v>321</v>
      </c>
      <c r="B16" s="12"/>
      <c r="C16" s="12" t="s">
        <v>25</v>
      </c>
      <c r="D16" s="12"/>
      <c r="E16" s="13">
        <v>46847</v>
      </c>
      <c r="F16" s="45"/>
      <c r="G16" s="45">
        <v>2893406</v>
      </c>
      <c r="H16" s="45"/>
      <c r="I16" s="45">
        <v>0</v>
      </c>
      <c r="J16" s="45"/>
      <c r="K16" s="45">
        <v>11248810</v>
      </c>
      <c r="L16" s="45"/>
      <c r="M16" s="45">
        <v>35083</v>
      </c>
      <c r="N16" s="45"/>
      <c r="O16" s="45">
        <v>640183</v>
      </c>
      <c r="P16" s="45"/>
      <c r="Q16" s="45">
        <v>169093</v>
      </c>
      <c r="R16" s="45"/>
      <c r="S16" s="45">
        <v>0</v>
      </c>
      <c r="T16" s="45"/>
      <c r="U16" s="45">
        <v>14642</v>
      </c>
      <c r="V16" s="45"/>
      <c r="W16" s="45">
        <f>474126+410027+920</f>
        <v>885073</v>
      </c>
      <c r="X16" s="45"/>
      <c r="Y16" s="49">
        <f t="shared" si="1"/>
        <v>15886290</v>
      </c>
      <c r="Z16" s="45"/>
      <c r="AA16" s="45">
        <v>0</v>
      </c>
      <c r="AB16" s="45"/>
      <c r="AC16" s="45"/>
      <c r="AD16" s="45"/>
      <c r="AE16" s="45">
        <v>0</v>
      </c>
      <c r="AF16" s="45"/>
      <c r="AG16" s="45">
        <v>0</v>
      </c>
      <c r="AH16" s="45"/>
      <c r="AI16" s="45">
        <v>100</v>
      </c>
      <c r="AJ16" s="45"/>
      <c r="AK16" s="45">
        <v>0</v>
      </c>
      <c r="AL16" s="45"/>
      <c r="AM16" s="49">
        <f t="shared" si="2"/>
        <v>100</v>
      </c>
      <c r="AN16" s="45"/>
      <c r="AO16" s="49">
        <f t="shared" si="0"/>
        <v>15886390</v>
      </c>
    </row>
    <row r="17" spans="1:41">
      <c r="A17" s="12" t="s">
        <v>685</v>
      </c>
      <c r="B17" s="12"/>
      <c r="C17" s="12" t="s">
        <v>44</v>
      </c>
      <c r="D17" s="12"/>
      <c r="E17" s="13">
        <v>45195</v>
      </c>
      <c r="F17" s="43"/>
      <c r="G17" s="45">
        <v>17147136</v>
      </c>
      <c r="H17" s="45"/>
      <c r="I17" s="45">
        <v>0</v>
      </c>
      <c r="J17" s="45"/>
      <c r="K17" s="45">
        <v>22251809</v>
      </c>
      <c r="L17" s="45"/>
      <c r="M17" s="45">
        <v>57045</v>
      </c>
      <c r="N17" s="45"/>
      <c r="O17" s="45">
        <v>361685</v>
      </c>
      <c r="P17" s="45"/>
      <c r="Q17" s="45">
        <v>535269</v>
      </c>
      <c r="R17" s="45"/>
      <c r="S17" s="45">
        <v>0</v>
      </c>
      <c r="T17" s="45"/>
      <c r="U17" s="45">
        <v>41512</v>
      </c>
      <c r="V17" s="45"/>
      <c r="W17" s="45">
        <f>349769+1121226+20420</f>
        <v>1491415</v>
      </c>
      <c r="X17" s="45"/>
      <c r="Y17" s="49">
        <f t="shared" si="1"/>
        <v>41885871</v>
      </c>
      <c r="Z17" s="45"/>
      <c r="AA17" s="45">
        <v>21975</v>
      </c>
      <c r="AB17" s="45"/>
      <c r="AC17" s="45"/>
      <c r="AD17" s="45"/>
      <c r="AE17" s="45">
        <v>0</v>
      </c>
      <c r="AF17" s="45"/>
      <c r="AG17" s="45">
        <v>0</v>
      </c>
      <c r="AH17" s="45"/>
      <c r="AI17" s="45">
        <v>0</v>
      </c>
      <c r="AJ17" s="45"/>
      <c r="AK17" s="45">
        <v>0</v>
      </c>
      <c r="AL17" s="45"/>
      <c r="AM17" s="49">
        <f t="shared" si="2"/>
        <v>21975</v>
      </c>
      <c r="AN17" s="45"/>
      <c r="AO17" s="49">
        <f t="shared" si="0"/>
        <v>41907846</v>
      </c>
    </row>
    <row r="18" spans="1:41" hidden="1">
      <c r="A18" s="12" t="s">
        <v>921</v>
      </c>
      <c r="B18" s="12"/>
      <c r="C18" s="12" t="s">
        <v>61</v>
      </c>
      <c r="D18" s="12"/>
      <c r="E18" s="13">
        <v>49759</v>
      </c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9">
        <f t="shared" si="1"/>
        <v>0</v>
      </c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9">
        <f t="shared" si="2"/>
        <v>0</v>
      </c>
      <c r="AN18" s="45"/>
      <c r="AO18" s="49">
        <f t="shared" si="0"/>
        <v>0</v>
      </c>
    </row>
    <row r="19" spans="1:41" hidden="1">
      <c r="A19" s="12" t="s">
        <v>860</v>
      </c>
      <c r="B19" s="12"/>
      <c r="C19" s="12" t="s">
        <v>718</v>
      </c>
      <c r="D19" s="12"/>
      <c r="E19" s="13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9">
        <f t="shared" si="1"/>
        <v>0</v>
      </c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9">
        <f t="shared" si="2"/>
        <v>0</v>
      </c>
      <c r="AN19" s="45"/>
      <c r="AO19" s="49">
        <f t="shared" si="0"/>
        <v>0</v>
      </c>
    </row>
    <row r="20" spans="1:41">
      <c r="A20" s="12" t="s">
        <v>449</v>
      </c>
      <c r="B20" s="12"/>
      <c r="C20" s="12" t="s">
        <v>117</v>
      </c>
      <c r="D20" s="12"/>
      <c r="E20" s="13">
        <v>48207</v>
      </c>
      <c r="F20" s="45"/>
      <c r="G20" s="45">
        <v>23287170</v>
      </c>
      <c r="H20" s="45"/>
      <c r="I20" s="45">
        <v>0</v>
      </c>
      <c r="J20" s="45"/>
      <c r="K20" s="45">
        <f>12708171+2235694</f>
        <v>14943865</v>
      </c>
      <c r="L20" s="45"/>
      <c r="M20" s="45">
        <v>45084</v>
      </c>
      <c r="N20" s="45"/>
      <c r="O20" s="45">
        <v>415644</v>
      </c>
      <c r="P20" s="45"/>
      <c r="Q20" s="45">
        <v>476086</v>
      </c>
      <c r="R20" s="45"/>
      <c r="S20" s="45">
        <v>746781</v>
      </c>
      <c r="T20" s="45"/>
      <c r="U20" s="45">
        <v>0</v>
      </c>
      <c r="V20" s="45"/>
      <c r="W20" s="45">
        <f>325234+214300+841716</f>
        <v>1381250</v>
      </c>
      <c r="X20" s="45"/>
      <c r="Y20" s="49">
        <f t="shared" si="1"/>
        <v>41295880</v>
      </c>
      <c r="Z20" s="45"/>
      <c r="AA20" s="45">
        <v>742581</v>
      </c>
      <c r="AB20" s="45"/>
      <c r="AC20" s="45"/>
      <c r="AD20" s="45"/>
      <c r="AE20" s="45">
        <v>0</v>
      </c>
      <c r="AF20" s="45"/>
      <c r="AG20" s="45">
        <v>0</v>
      </c>
      <c r="AH20" s="45"/>
      <c r="AI20" s="45">
        <v>3161</v>
      </c>
      <c r="AJ20" s="45"/>
      <c r="AK20" s="45">
        <v>0</v>
      </c>
      <c r="AL20" s="45"/>
      <c r="AM20" s="49">
        <f t="shared" si="2"/>
        <v>745742</v>
      </c>
      <c r="AN20" s="45"/>
      <c r="AO20" s="49">
        <f t="shared" si="0"/>
        <v>42041622</v>
      </c>
    </row>
    <row r="21" spans="1:41">
      <c r="A21" s="12" t="s">
        <v>378</v>
      </c>
      <c r="B21" s="12"/>
      <c r="C21" s="12" t="s">
        <v>33</v>
      </c>
      <c r="D21" s="12"/>
      <c r="E21" s="13">
        <v>47415</v>
      </c>
      <c r="F21" s="45"/>
      <c r="G21" s="45">
        <v>1972525</v>
      </c>
      <c r="H21" s="45"/>
      <c r="I21" s="45">
        <v>644248</v>
      </c>
      <c r="J21" s="45"/>
      <c r="K21" s="45">
        <v>2840672</v>
      </c>
      <c r="L21" s="45"/>
      <c r="M21" s="45">
        <v>7692</v>
      </c>
      <c r="N21" s="45"/>
      <c r="O21" s="45">
        <v>645010</v>
      </c>
      <c r="P21" s="45"/>
      <c r="Q21" s="45">
        <v>72260</v>
      </c>
      <c r="R21" s="45"/>
      <c r="S21" s="45">
        <v>0</v>
      </c>
      <c r="T21" s="45"/>
      <c r="U21" s="45">
        <v>14652</v>
      </c>
      <c r="V21" s="45"/>
      <c r="W21" s="45">
        <f>6248+163705</f>
        <v>169953</v>
      </c>
      <c r="X21" s="45"/>
      <c r="Y21" s="49">
        <f t="shared" si="1"/>
        <v>6367012</v>
      </c>
      <c r="Z21" s="45"/>
      <c r="AA21" s="45">
        <v>0</v>
      </c>
      <c r="AB21" s="45"/>
      <c r="AC21" s="45"/>
      <c r="AD21" s="45"/>
      <c r="AE21" s="45">
        <v>0</v>
      </c>
      <c r="AF21" s="45"/>
      <c r="AG21" s="45">
        <v>0</v>
      </c>
      <c r="AH21" s="45"/>
      <c r="AI21" s="45">
        <v>0</v>
      </c>
      <c r="AJ21" s="45"/>
      <c r="AK21" s="45">
        <v>0</v>
      </c>
      <c r="AL21" s="45"/>
      <c r="AM21" s="49">
        <f t="shared" si="2"/>
        <v>0</v>
      </c>
      <c r="AN21" s="45"/>
      <c r="AO21" s="49">
        <f t="shared" si="0"/>
        <v>6367012</v>
      </c>
    </row>
    <row r="22" spans="1:41" hidden="1">
      <c r="A22" s="12" t="s">
        <v>823</v>
      </c>
      <c r="B22" s="12"/>
      <c r="C22" s="12" t="s">
        <v>21</v>
      </c>
      <c r="D22" s="12"/>
      <c r="E22" s="13">
        <v>46631</v>
      </c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9">
        <f t="shared" si="1"/>
        <v>0</v>
      </c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>
        <v>0</v>
      </c>
      <c r="AL22" s="45"/>
      <c r="AM22" s="49">
        <f t="shared" si="2"/>
        <v>0</v>
      </c>
      <c r="AN22" s="45"/>
      <c r="AO22" s="49">
        <f t="shared" si="0"/>
        <v>0</v>
      </c>
    </row>
    <row r="23" spans="1:41">
      <c r="A23" s="12" t="s">
        <v>922</v>
      </c>
      <c r="B23" s="12"/>
      <c r="C23" s="12" t="s">
        <v>28</v>
      </c>
      <c r="D23" s="12"/>
      <c r="E23" s="13">
        <v>47043</v>
      </c>
      <c r="F23" s="45"/>
      <c r="G23" s="45">
        <v>6542812</v>
      </c>
      <c r="H23" s="45"/>
      <c r="I23" s="45">
        <v>0</v>
      </c>
      <c r="J23" s="45"/>
      <c r="K23" s="45">
        <v>7516784</v>
      </c>
      <c r="L23" s="45"/>
      <c r="M23" s="45">
        <v>72603</v>
      </c>
      <c r="N23" s="45"/>
      <c r="O23" s="45">
        <v>348333</v>
      </c>
      <c r="P23" s="45"/>
      <c r="Q23" s="45">
        <v>229265</v>
      </c>
      <c r="R23" s="45"/>
      <c r="S23" s="45">
        <v>257388</v>
      </c>
      <c r="T23" s="45"/>
      <c r="U23" s="45">
        <v>10067</v>
      </c>
      <c r="V23" s="45"/>
      <c r="W23" s="45">
        <f>104058+273120+3913</f>
        <v>381091</v>
      </c>
      <c r="X23" s="45"/>
      <c r="Y23" s="49">
        <f t="shared" si="1"/>
        <v>15358343</v>
      </c>
      <c r="Z23" s="45"/>
      <c r="AA23" s="45">
        <v>0</v>
      </c>
      <c r="AB23" s="45"/>
      <c r="AC23" s="45"/>
      <c r="AD23" s="45"/>
      <c r="AE23" s="45">
        <v>0</v>
      </c>
      <c r="AF23" s="45"/>
      <c r="AG23" s="45">
        <v>0</v>
      </c>
      <c r="AH23" s="45"/>
      <c r="AI23" s="45">
        <v>100</v>
      </c>
      <c r="AJ23" s="45"/>
      <c r="AK23" s="45">
        <v>0</v>
      </c>
      <c r="AL23" s="45"/>
      <c r="AM23" s="49">
        <f t="shared" si="2"/>
        <v>100</v>
      </c>
      <c r="AN23" s="45"/>
      <c r="AO23" s="49">
        <f t="shared" si="0"/>
        <v>15358443</v>
      </c>
    </row>
    <row r="24" spans="1:41">
      <c r="A24" s="12" t="s">
        <v>379</v>
      </c>
      <c r="B24" s="12"/>
      <c r="C24" s="12" t="s">
        <v>33</v>
      </c>
      <c r="D24" s="12"/>
      <c r="E24" s="13">
        <v>47423</v>
      </c>
      <c r="F24" s="45"/>
      <c r="G24" s="45">
        <v>1212739</v>
      </c>
      <c r="H24" s="45"/>
      <c r="I24" s="45">
        <v>897920</v>
      </c>
      <c r="J24" s="45"/>
      <c r="K24" s="45">
        <v>3906674</v>
      </c>
      <c r="L24" s="45"/>
      <c r="M24" s="45">
        <v>23708</v>
      </c>
      <c r="N24" s="45"/>
      <c r="O24" s="45">
        <v>217018</v>
      </c>
      <c r="P24" s="45"/>
      <c r="Q24" s="45">
        <v>79485</v>
      </c>
      <c r="R24" s="45"/>
      <c r="S24" s="45">
        <v>0</v>
      </c>
      <c r="T24" s="45"/>
      <c r="U24" s="45">
        <v>23865</v>
      </c>
      <c r="V24" s="45"/>
      <c r="W24" s="45">
        <f>187183+66223</f>
        <v>253406</v>
      </c>
      <c r="X24" s="45"/>
      <c r="Y24" s="49">
        <f t="shared" si="1"/>
        <v>6614815</v>
      </c>
      <c r="Z24" s="45"/>
      <c r="AA24" s="45">
        <v>95889</v>
      </c>
      <c r="AB24" s="45"/>
      <c r="AC24" s="45"/>
      <c r="AD24" s="45"/>
      <c r="AE24" s="45">
        <v>570000</v>
      </c>
      <c r="AF24" s="45"/>
      <c r="AG24" s="45">
        <v>0</v>
      </c>
      <c r="AH24" s="45"/>
      <c r="AI24" s="45">
        <v>0</v>
      </c>
      <c r="AJ24" s="45"/>
      <c r="AK24" s="45">
        <v>0</v>
      </c>
      <c r="AL24" s="45"/>
      <c r="AM24" s="49">
        <f t="shared" si="2"/>
        <v>665889</v>
      </c>
      <c r="AN24" s="45"/>
      <c r="AO24" s="49">
        <f t="shared" si="0"/>
        <v>7280704</v>
      </c>
    </row>
    <row r="25" spans="1:41">
      <c r="A25" s="12" t="s">
        <v>206</v>
      </c>
      <c r="B25" s="12"/>
      <c r="C25" s="12" t="s">
        <v>11</v>
      </c>
      <c r="D25" s="12"/>
      <c r="E25" s="13">
        <v>43505</v>
      </c>
      <c r="F25" s="45"/>
      <c r="G25" s="45">
        <v>14184821</v>
      </c>
      <c r="H25" s="45"/>
      <c r="I25" s="45">
        <v>0</v>
      </c>
      <c r="J25" s="45"/>
      <c r="K25" s="45">
        <v>18730973</v>
      </c>
      <c r="L25" s="45"/>
      <c r="M25" s="45">
        <v>150124</v>
      </c>
      <c r="N25" s="45"/>
      <c r="O25" s="45">
        <v>997331</v>
      </c>
      <c r="P25" s="45"/>
      <c r="Q25" s="45">
        <v>418089</v>
      </c>
      <c r="R25" s="45"/>
      <c r="S25" s="45">
        <v>252742</v>
      </c>
      <c r="T25" s="45"/>
      <c r="U25" s="45">
        <v>45027</v>
      </c>
      <c r="V25" s="45"/>
      <c r="W25" s="45">
        <f>124607+588816+19354</f>
        <v>732777</v>
      </c>
      <c r="X25" s="45"/>
      <c r="Y25" s="49">
        <f t="shared" si="1"/>
        <v>35511884</v>
      </c>
      <c r="Z25" s="45"/>
      <c r="AA25" s="45">
        <v>0</v>
      </c>
      <c r="AB25" s="45"/>
      <c r="AC25" s="45"/>
      <c r="AD25" s="45"/>
      <c r="AE25" s="45">
        <v>0</v>
      </c>
      <c r="AF25" s="45"/>
      <c r="AG25" s="45">
        <v>0</v>
      </c>
      <c r="AH25" s="45"/>
      <c r="AI25" s="45">
        <v>0</v>
      </c>
      <c r="AJ25" s="45"/>
      <c r="AK25" s="45">
        <v>0</v>
      </c>
      <c r="AL25" s="45"/>
      <c r="AM25" s="49">
        <f t="shared" si="2"/>
        <v>0</v>
      </c>
      <c r="AN25" s="45"/>
      <c r="AO25" s="49">
        <f t="shared" si="0"/>
        <v>35511884</v>
      </c>
    </row>
    <row r="26" spans="1:41">
      <c r="A26" s="12" t="s">
        <v>672</v>
      </c>
      <c r="B26" s="12"/>
      <c r="C26" s="12" t="s">
        <v>12</v>
      </c>
      <c r="D26" s="12"/>
      <c r="E26" s="13">
        <v>43513</v>
      </c>
      <c r="F26" s="45"/>
      <c r="G26" s="45">
        <v>13772606</v>
      </c>
      <c r="H26" s="45"/>
      <c r="I26" s="45">
        <v>0</v>
      </c>
      <c r="J26" s="45"/>
      <c r="K26" s="45">
        <v>40037067</v>
      </c>
      <c r="L26" s="45"/>
      <c r="M26" s="45">
        <v>175581</v>
      </c>
      <c r="N26" s="45"/>
      <c r="O26" s="45">
        <v>432371</v>
      </c>
      <c r="P26" s="45"/>
      <c r="Q26" s="45">
        <v>85809</v>
      </c>
      <c r="R26" s="45"/>
      <c r="S26" s="45">
        <v>0</v>
      </c>
      <c r="T26" s="45"/>
      <c r="U26" s="45">
        <v>0</v>
      </c>
      <c r="V26" s="45"/>
      <c r="W26" s="45">
        <f>952783+289580</f>
        <v>1242363</v>
      </c>
      <c r="X26" s="45"/>
      <c r="Y26" s="49">
        <f t="shared" si="1"/>
        <v>55745797</v>
      </c>
      <c r="Z26" s="45"/>
      <c r="AA26" s="45">
        <v>35385</v>
      </c>
      <c r="AB26" s="45"/>
      <c r="AC26" s="45"/>
      <c r="AD26" s="45"/>
      <c r="AE26" s="45">
        <v>0</v>
      </c>
      <c r="AF26" s="45"/>
      <c r="AG26" s="45">
        <v>0</v>
      </c>
      <c r="AH26" s="45"/>
      <c r="AI26" s="45">
        <f>679+6688</f>
        <v>7367</v>
      </c>
      <c r="AJ26" s="45"/>
      <c r="AK26" s="45">
        <v>0</v>
      </c>
      <c r="AL26" s="45"/>
      <c r="AM26" s="49">
        <f t="shared" si="2"/>
        <v>42752</v>
      </c>
      <c r="AN26" s="45"/>
      <c r="AO26" s="49">
        <f t="shared" si="0"/>
        <v>55788549</v>
      </c>
    </row>
    <row r="27" spans="1:41">
      <c r="A27" s="12" t="s">
        <v>214</v>
      </c>
      <c r="B27" s="12"/>
      <c r="C27" s="12" t="s">
        <v>13</v>
      </c>
      <c r="D27" s="12"/>
      <c r="E27" s="13">
        <v>43521</v>
      </c>
      <c r="F27" s="45"/>
      <c r="G27" s="45">
        <v>15311157</v>
      </c>
      <c r="H27" s="45"/>
      <c r="I27" s="45">
        <v>3378878</v>
      </c>
      <c r="J27" s="45"/>
      <c r="K27" s="45">
        <v>13603267</v>
      </c>
      <c r="L27" s="45"/>
      <c r="M27" s="45">
        <v>188266</v>
      </c>
      <c r="N27" s="45"/>
      <c r="O27" s="45">
        <v>2787291</v>
      </c>
      <c r="P27" s="45"/>
      <c r="Q27" s="45">
        <v>101584</v>
      </c>
      <c r="R27" s="45"/>
      <c r="S27" s="45">
        <v>165468</v>
      </c>
      <c r="T27" s="45"/>
      <c r="U27" s="45">
        <v>21335</v>
      </c>
      <c r="V27" s="45"/>
      <c r="W27" s="45">
        <f>87181+248732+4637</f>
        <v>340550</v>
      </c>
      <c r="X27" s="45"/>
      <c r="Y27" s="49">
        <f t="shared" si="1"/>
        <v>35897796</v>
      </c>
      <c r="Z27" s="45"/>
      <c r="AA27" s="45">
        <v>138097</v>
      </c>
      <c r="AB27" s="45"/>
      <c r="AC27" s="45"/>
      <c r="AD27" s="45"/>
      <c r="AE27" s="45">
        <v>0</v>
      </c>
      <c r="AF27" s="45"/>
      <c r="AG27" s="45">
        <v>0</v>
      </c>
      <c r="AH27" s="45"/>
      <c r="AI27" s="45">
        <v>3554</v>
      </c>
      <c r="AJ27" s="45"/>
      <c r="AK27" s="45">
        <v>0</v>
      </c>
      <c r="AL27" s="45"/>
      <c r="AM27" s="49">
        <f t="shared" si="2"/>
        <v>141651</v>
      </c>
      <c r="AN27" s="45"/>
      <c r="AO27" s="49">
        <f t="shared" si="0"/>
        <v>36039447</v>
      </c>
    </row>
    <row r="28" spans="1:41">
      <c r="A28" s="12" t="s">
        <v>532</v>
      </c>
      <c r="B28" s="12"/>
      <c r="C28" s="12" t="s">
        <v>56</v>
      </c>
      <c r="D28" s="12"/>
      <c r="E28" s="13">
        <v>49171</v>
      </c>
      <c r="F28" s="45"/>
      <c r="G28" s="45">
        <v>22308457</v>
      </c>
      <c r="H28" s="45"/>
      <c r="I28" s="45">
        <v>0</v>
      </c>
      <c r="J28" s="45"/>
      <c r="K28" s="45">
        <v>10446424</v>
      </c>
      <c r="L28" s="45"/>
      <c r="M28" s="45">
        <v>231163</v>
      </c>
      <c r="N28" s="45"/>
      <c r="O28" s="45">
        <v>473689</v>
      </c>
      <c r="P28" s="45"/>
      <c r="Q28" s="45">
        <v>306414</v>
      </c>
      <c r="R28" s="45"/>
      <c r="S28" s="45">
        <v>0</v>
      </c>
      <c r="T28" s="45"/>
      <c r="U28" s="45">
        <v>86269</v>
      </c>
      <c r="V28" s="45"/>
      <c r="W28" s="45">
        <f>604653+18423+92404</f>
        <v>715480</v>
      </c>
      <c r="X28" s="45"/>
      <c r="Y28" s="49">
        <f t="shared" si="1"/>
        <v>34567896</v>
      </c>
      <c r="Z28" s="45"/>
      <c r="AA28" s="45">
        <v>0</v>
      </c>
      <c r="AB28" s="45"/>
      <c r="AC28" s="45"/>
      <c r="AD28" s="45"/>
      <c r="AE28" s="45">
        <v>0</v>
      </c>
      <c r="AF28" s="45"/>
      <c r="AG28" s="45">
        <v>0</v>
      </c>
      <c r="AH28" s="45"/>
      <c r="AI28" s="45">
        <v>0</v>
      </c>
      <c r="AJ28" s="45"/>
      <c r="AK28" s="45">
        <v>0</v>
      </c>
      <c r="AL28" s="45"/>
      <c r="AM28" s="49">
        <f t="shared" si="2"/>
        <v>0</v>
      </c>
      <c r="AN28" s="45"/>
      <c r="AO28" s="49">
        <f t="shared" si="0"/>
        <v>34567896</v>
      </c>
    </row>
    <row r="29" spans="1:41">
      <c r="A29" s="12" t="s">
        <v>461</v>
      </c>
      <c r="B29" s="12"/>
      <c r="C29" s="12" t="s">
        <v>45</v>
      </c>
      <c r="D29" s="12"/>
      <c r="E29" s="13">
        <v>48298</v>
      </c>
      <c r="F29" s="45"/>
      <c r="G29" s="45">
        <v>17208374</v>
      </c>
      <c r="H29" s="45"/>
      <c r="I29" s="45">
        <v>0</v>
      </c>
      <c r="J29" s="45"/>
      <c r="K29" s="45">
        <f>23255+23683691+5176241</f>
        <v>28883187</v>
      </c>
      <c r="L29" s="45"/>
      <c r="M29" s="45">
        <v>99280</v>
      </c>
      <c r="N29" s="45"/>
      <c r="O29" s="45">
        <v>1181377</v>
      </c>
      <c r="P29" s="45"/>
      <c r="Q29" s="45">
        <v>587519</v>
      </c>
      <c r="R29" s="45"/>
      <c r="S29" s="45">
        <v>0</v>
      </c>
      <c r="T29" s="45"/>
      <c r="U29" s="45">
        <v>0</v>
      </c>
      <c r="V29" s="45"/>
      <c r="W29" s="45">
        <f>170847+122782+852417</f>
        <v>1146046</v>
      </c>
      <c r="X29" s="45"/>
      <c r="Y29" s="49">
        <f t="shared" si="1"/>
        <v>49105783</v>
      </c>
      <c r="Z29" s="45"/>
      <c r="AA29" s="45">
        <v>251934</v>
      </c>
      <c r="AB29" s="45"/>
      <c r="AC29" s="45"/>
      <c r="AD29" s="45"/>
      <c r="AE29" s="45">
        <v>0</v>
      </c>
      <c r="AF29" s="45"/>
      <c r="AG29" s="45">
        <v>0</v>
      </c>
      <c r="AH29" s="45"/>
      <c r="AI29" s="45">
        <v>1858</v>
      </c>
      <c r="AJ29" s="45"/>
      <c r="AK29" s="45">
        <v>0</v>
      </c>
      <c r="AL29" s="45"/>
      <c r="AM29" s="49">
        <f t="shared" si="2"/>
        <v>253792</v>
      </c>
      <c r="AN29" s="45"/>
      <c r="AO29" s="49">
        <f t="shared" si="0"/>
        <v>49359575</v>
      </c>
    </row>
    <row r="30" spans="1:41">
      <c r="A30" s="12" t="s">
        <v>436</v>
      </c>
      <c r="B30" s="12"/>
      <c r="C30" s="12" t="s">
        <v>44</v>
      </c>
      <c r="D30" s="12"/>
      <c r="E30" s="13">
        <v>48124</v>
      </c>
      <c r="F30" s="45"/>
      <c r="G30" s="45">
        <v>29380946</v>
      </c>
      <c r="H30" s="45"/>
      <c r="I30" s="45">
        <v>0</v>
      </c>
      <c r="J30" s="45"/>
      <c r="K30" s="45">
        <v>12836967</v>
      </c>
      <c r="L30" s="45"/>
      <c r="M30" s="45">
        <v>314202</v>
      </c>
      <c r="N30" s="45"/>
      <c r="O30" s="45">
        <v>813347</v>
      </c>
      <c r="P30" s="45"/>
      <c r="Q30" s="45">
        <v>380392</v>
      </c>
      <c r="R30" s="45"/>
      <c r="S30" s="45">
        <v>0</v>
      </c>
      <c r="T30" s="45"/>
      <c r="U30" s="45">
        <v>0</v>
      </c>
      <c r="V30" s="45"/>
      <c r="W30" s="45">
        <f>1053176+366952</f>
        <v>1420128</v>
      </c>
      <c r="X30" s="45"/>
      <c r="Y30" s="49">
        <f t="shared" si="1"/>
        <v>45145982</v>
      </c>
      <c r="Z30" s="45"/>
      <c r="AA30" s="45">
        <v>221850</v>
      </c>
      <c r="AB30" s="45"/>
      <c r="AC30" s="45"/>
      <c r="AD30" s="45"/>
      <c r="AE30" s="45">
        <v>15000000</v>
      </c>
      <c r="AF30" s="45"/>
      <c r="AG30" s="45">
        <v>0</v>
      </c>
      <c r="AH30" s="45"/>
      <c r="AI30" s="45">
        <v>28668</v>
      </c>
      <c r="AJ30" s="45"/>
      <c r="AK30" s="45">
        <v>0</v>
      </c>
      <c r="AL30" s="45"/>
      <c r="AM30" s="49">
        <f t="shared" si="2"/>
        <v>15250518</v>
      </c>
      <c r="AN30" s="45"/>
      <c r="AO30" s="49">
        <f t="shared" si="0"/>
        <v>60396500</v>
      </c>
    </row>
    <row r="31" spans="1:41">
      <c r="A31" s="12" t="s">
        <v>437</v>
      </c>
      <c r="B31" s="12"/>
      <c r="C31" s="12" t="s">
        <v>44</v>
      </c>
      <c r="D31" s="12"/>
      <c r="E31" s="13">
        <v>48116</v>
      </c>
      <c r="F31" s="45"/>
      <c r="G31" s="45">
        <v>21267121</v>
      </c>
      <c r="H31" s="45"/>
      <c r="I31" s="45">
        <v>0</v>
      </c>
      <c r="J31" s="45"/>
      <c r="K31" s="45">
        <v>9525629</v>
      </c>
      <c r="L31" s="45"/>
      <c r="M31" s="45">
        <v>132196</v>
      </c>
      <c r="N31" s="45"/>
      <c r="O31" s="45">
        <v>796721</v>
      </c>
      <c r="P31" s="45"/>
      <c r="Q31" s="45">
        <v>253894</v>
      </c>
      <c r="R31" s="45"/>
      <c r="S31" s="45">
        <v>0</v>
      </c>
      <c r="T31" s="45"/>
      <c r="U31" s="45">
        <v>0</v>
      </c>
      <c r="V31" s="45"/>
      <c r="W31" s="45">
        <f>640060+739650</f>
        <v>1379710</v>
      </c>
      <c r="X31" s="45"/>
      <c r="Y31" s="49">
        <f t="shared" si="1"/>
        <v>33355271</v>
      </c>
      <c r="Z31" s="45"/>
      <c r="AA31" s="45">
        <v>0</v>
      </c>
      <c r="AB31" s="45"/>
      <c r="AC31" s="45"/>
      <c r="AD31" s="45"/>
      <c r="AE31" s="45">
        <v>0</v>
      </c>
      <c r="AF31" s="45"/>
      <c r="AG31" s="45">
        <v>0</v>
      </c>
      <c r="AH31" s="45"/>
      <c r="AI31" s="45">
        <v>0</v>
      </c>
      <c r="AJ31" s="45"/>
      <c r="AK31" s="45">
        <v>0</v>
      </c>
      <c r="AL31" s="45"/>
      <c r="AM31" s="49">
        <f t="shared" si="2"/>
        <v>0</v>
      </c>
      <c r="AN31" s="45"/>
      <c r="AO31" s="49">
        <f t="shared" si="0"/>
        <v>33355271</v>
      </c>
    </row>
    <row r="32" spans="1:41" ht="12.75" customHeight="1">
      <c r="A32" s="12" t="s">
        <v>310</v>
      </c>
      <c r="B32" s="12"/>
      <c r="C32" s="12" t="s">
        <v>22</v>
      </c>
      <c r="D32" s="12"/>
      <c r="E32" s="13">
        <v>46706</v>
      </c>
      <c r="F32" s="45"/>
      <c r="G32" s="45">
        <v>2271298</v>
      </c>
      <c r="H32" s="45"/>
      <c r="I32" s="45">
        <v>712542</v>
      </c>
      <c r="J32" s="45"/>
      <c r="K32" s="45">
        <f>3342619+629645</f>
        <v>3972264</v>
      </c>
      <c r="L32" s="45"/>
      <c r="M32" s="45">
        <v>6443</v>
      </c>
      <c r="N32" s="45"/>
      <c r="O32" s="45">
        <v>1130902</v>
      </c>
      <c r="P32" s="45"/>
      <c r="Q32" s="45">
        <v>92215</v>
      </c>
      <c r="R32" s="45"/>
      <c r="S32" s="45">
        <v>115890</v>
      </c>
      <c r="T32" s="45"/>
      <c r="U32" s="20">
        <v>19096</v>
      </c>
      <c r="V32" s="45"/>
      <c r="W32" s="45">
        <f>68497+394+810+33998+219507</f>
        <v>323206</v>
      </c>
      <c r="X32" s="45"/>
      <c r="Y32" s="49">
        <f>SUM(G32:W32)</f>
        <v>8643856</v>
      </c>
      <c r="Z32" s="45"/>
      <c r="AA32" s="45">
        <v>106118</v>
      </c>
      <c r="AB32" s="45"/>
      <c r="AC32" s="45"/>
      <c r="AD32" s="45"/>
      <c r="AE32" s="45">
        <v>0</v>
      </c>
      <c r="AF32" s="45"/>
      <c r="AG32" s="45">
        <v>0</v>
      </c>
      <c r="AH32" s="45"/>
      <c r="AI32" s="45">
        <v>4324</v>
      </c>
      <c r="AJ32" s="45"/>
      <c r="AK32" s="45">
        <v>0</v>
      </c>
      <c r="AL32" s="45"/>
      <c r="AM32" s="49">
        <f t="shared" si="2"/>
        <v>110442</v>
      </c>
      <c r="AN32" s="45"/>
      <c r="AO32" s="49">
        <f t="shared" si="0"/>
        <v>8754298</v>
      </c>
    </row>
    <row r="33" spans="1:41">
      <c r="A33" s="12" t="s">
        <v>587</v>
      </c>
      <c r="B33" s="12"/>
      <c r="C33" s="12" t="s">
        <v>63</v>
      </c>
      <c r="D33" s="12"/>
      <c r="E33" s="13">
        <v>43539</v>
      </c>
      <c r="F33" s="45"/>
      <c r="G33" s="45">
        <v>12731858</v>
      </c>
      <c r="H33" s="45"/>
      <c r="I33" s="45">
        <v>0</v>
      </c>
      <c r="J33" s="45"/>
      <c r="K33" s="45">
        <f>90184+39683036+9026116</f>
        <v>48799336</v>
      </c>
      <c r="L33" s="45"/>
      <c r="M33" s="45">
        <v>416807</v>
      </c>
      <c r="N33" s="45"/>
      <c r="O33" s="45">
        <v>395523</v>
      </c>
      <c r="P33" s="45"/>
      <c r="Q33" s="45">
        <v>302313</v>
      </c>
      <c r="R33" s="45"/>
      <c r="S33" s="45">
        <v>0</v>
      </c>
      <c r="T33" s="45"/>
      <c r="U33" s="45">
        <v>2394857</v>
      </c>
      <c r="V33" s="45"/>
      <c r="W33" s="45">
        <f>502759+109627+894334-215597</f>
        <v>1291123</v>
      </c>
      <c r="X33" s="45"/>
      <c r="Y33" s="49">
        <f t="shared" ref="Y33:Y49" si="3">SUM(G33:X33)</f>
        <v>66331817</v>
      </c>
      <c r="Z33" s="45"/>
      <c r="AA33" s="45">
        <v>21638</v>
      </c>
      <c r="AB33" s="45"/>
      <c r="AC33" s="45"/>
      <c r="AD33" s="45"/>
      <c r="AE33" s="45">
        <v>435000</v>
      </c>
      <c r="AF33" s="45"/>
      <c r="AG33" s="45">
        <v>0</v>
      </c>
      <c r="AH33" s="45"/>
      <c r="AI33" s="45">
        <v>0</v>
      </c>
      <c r="AJ33" s="45"/>
      <c r="AK33" s="45">
        <v>0</v>
      </c>
      <c r="AL33" s="45"/>
      <c r="AM33" s="49">
        <f t="shared" si="2"/>
        <v>456638</v>
      </c>
      <c r="AN33" s="45"/>
      <c r="AO33" s="49">
        <f t="shared" si="0"/>
        <v>66788455</v>
      </c>
    </row>
    <row r="34" spans="1:41">
      <c r="A34" s="12" t="s">
        <v>719</v>
      </c>
      <c r="B34" s="12"/>
      <c r="C34" s="12" t="s">
        <v>15</v>
      </c>
      <c r="D34" s="12"/>
      <c r="E34" s="13"/>
      <c r="F34" s="45"/>
      <c r="G34" s="45">
        <v>2354409</v>
      </c>
      <c r="H34" s="45"/>
      <c r="I34" s="45">
        <v>0</v>
      </c>
      <c r="J34" s="45"/>
      <c r="K34" s="45">
        <v>8090156</v>
      </c>
      <c r="L34" s="45"/>
      <c r="M34" s="45">
        <v>51193</v>
      </c>
      <c r="N34" s="45"/>
      <c r="O34" s="45">
        <v>531071</v>
      </c>
      <c r="P34" s="45"/>
      <c r="Q34" s="45">
        <v>149469</v>
      </c>
      <c r="R34" s="45"/>
      <c r="S34" s="45">
        <v>0</v>
      </c>
      <c r="T34" s="45"/>
      <c r="U34" s="45">
        <v>28637</v>
      </c>
      <c r="V34" s="45"/>
      <c r="W34" s="45">
        <f>133813+157810</f>
        <v>291623</v>
      </c>
      <c r="X34" s="45"/>
      <c r="Y34" s="49">
        <f t="shared" si="3"/>
        <v>11496558</v>
      </c>
      <c r="Z34" s="45"/>
      <c r="AA34" s="45">
        <v>2277244</v>
      </c>
      <c r="AB34" s="45"/>
      <c r="AC34" s="45"/>
      <c r="AD34" s="45"/>
      <c r="AE34" s="45">
        <v>714719</v>
      </c>
      <c r="AF34" s="45"/>
      <c r="AG34" s="45">
        <v>0</v>
      </c>
      <c r="AH34" s="45"/>
      <c r="AI34" s="45">
        <v>0</v>
      </c>
      <c r="AJ34" s="45"/>
      <c r="AK34" s="45">
        <v>0</v>
      </c>
      <c r="AL34" s="45"/>
      <c r="AM34" s="49">
        <f t="shared" si="2"/>
        <v>2991963</v>
      </c>
      <c r="AN34" s="45"/>
      <c r="AO34" s="49">
        <f t="shared" si="0"/>
        <v>14488521</v>
      </c>
    </row>
    <row r="35" spans="1:41">
      <c r="A35" s="12" t="s">
        <v>251</v>
      </c>
      <c r="B35" s="12"/>
      <c r="C35" s="12" t="s">
        <v>115</v>
      </c>
      <c r="D35" s="12"/>
      <c r="E35" s="13">
        <v>46300</v>
      </c>
      <c r="F35" s="45"/>
      <c r="G35" s="45">
        <v>6628559</v>
      </c>
      <c r="H35" s="45"/>
      <c r="I35" s="45">
        <v>0</v>
      </c>
      <c r="J35" s="45"/>
      <c r="K35" s="45">
        <v>10747009</v>
      </c>
      <c r="L35" s="45"/>
      <c r="M35" s="45">
        <v>4566</v>
      </c>
      <c r="N35" s="45"/>
      <c r="O35" s="45">
        <v>1025833</v>
      </c>
      <c r="P35" s="45"/>
      <c r="Q35" s="45">
        <v>0</v>
      </c>
      <c r="R35" s="45"/>
      <c r="S35" s="45">
        <v>662197</v>
      </c>
      <c r="T35" s="45"/>
      <c r="U35" s="45">
        <v>0</v>
      </c>
      <c r="V35" s="45"/>
      <c r="W35" s="45">
        <v>207184</v>
      </c>
      <c r="X35" s="45"/>
      <c r="Y35" s="49">
        <f t="shared" si="3"/>
        <v>19275348</v>
      </c>
      <c r="Z35" s="45"/>
      <c r="AA35" s="45">
        <v>150500</v>
      </c>
      <c r="AB35" s="45"/>
      <c r="AC35" s="45"/>
      <c r="AD35" s="45"/>
      <c r="AE35" s="45">
        <v>0</v>
      </c>
      <c r="AF35" s="45"/>
      <c r="AG35" s="45">
        <v>0</v>
      </c>
      <c r="AH35" s="45"/>
      <c r="AI35" s="45">
        <v>0</v>
      </c>
      <c r="AJ35" s="45"/>
      <c r="AK35" s="45">
        <v>0</v>
      </c>
      <c r="AL35" s="45"/>
      <c r="AM35" s="49">
        <f t="shared" si="2"/>
        <v>150500</v>
      </c>
      <c r="AN35" s="45"/>
      <c r="AO35" s="49">
        <f t="shared" si="0"/>
        <v>19425848</v>
      </c>
    </row>
    <row r="36" spans="1:41" s="50" customFormat="1" hidden="1">
      <c r="A36" s="12" t="s">
        <v>824</v>
      </c>
      <c r="C36" s="50" t="s">
        <v>10</v>
      </c>
      <c r="E36" s="51">
        <v>45765</v>
      </c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9">
        <f t="shared" si="3"/>
        <v>0</v>
      </c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9">
        <f t="shared" si="2"/>
        <v>0</v>
      </c>
      <c r="AN36" s="45"/>
      <c r="AO36" s="49">
        <f t="shared" si="0"/>
        <v>0</v>
      </c>
    </row>
    <row r="37" spans="1:41">
      <c r="A37" s="12" t="s">
        <v>280</v>
      </c>
      <c r="B37" s="12"/>
      <c r="C37" s="12" t="s">
        <v>20</v>
      </c>
      <c r="D37" s="12"/>
      <c r="E37" s="13">
        <v>43547</v>
      </c>
      <c r="F37" s="45"/>
      <c r="G37" s="45">
        <v>19980410</v>
      </c>
      <c r="H37" s="45"/>
      <c r="I37" s="45">
        <v>0</v>
      </c>
      <c r="J37" s="45"/>
      <c r="K37" s="45">
        <v>9692491</v>
      </c>
      <c r="L37" s="45"/>
      <c r="M37" s="45">
        <v>73351</v>
      </c>
      <c r="N37" s="45"/>
      <c r="O37" s="45">
        <v>1021586</v>
      </c>
      <c r="P37" s="45"/>
      <c r="Q37" s="45">
        <v>338276</v>
      </c>
      <c r="R37" s="45"/>
      <c r="S37" s="45">
        <v>0</v>
      </c>
      <c r="T37" s="45"/>
      <c r="U37" s="45">
        <v>0</v>
      </c>
      <c r="V37" s="45"/>
      <c r="W37" s="45">
        <f>710304+753054</f>
        <v>1463358</v>
      </c>
      <c r="X37" s="45"/>
      <c r="Y37" s="49">
        <f t="shared" si="3"/>
        <v>32569472</v>
      </c>
      <c r="Z37" s="45"/>
      <c r="AA37" s="45">
        <v>63896</v>
      </c>
      <c r="AB37" s="45"/>
      <c r="AC37" s="45"/>
      <c r="AD37" s="45"/>
      <c r="AE37" s="45">
        <v>0</v>
      </c>
      <c r="AF37" s="45"/>
      <c r="AG37" s="45">
        <v>0</v>
      </c>
      <c r="AH37" s="45"/>
      <c r="AI37" s="45">
        <v>0</v>
      </c>
      <c r="AJ37" s="45"/>
      <c r="AK37" s="45">
        <v>0</v>
      </c>
      <c r="AL37" s="45"/>
      <c r="AM37" s="49">
        <f>SUM(AA37:AI37)</f>
        <v>63896</v>
      </c>
      <c r="AN37" s="45"/>
      <c r="AO37" s="49">
        <f t="shared" si="0"/>
        <v>32633368</v>
      </c>
    </row>
    <row r="38" spans="1:41">
      <c r="A38" s="12" t="s">
        <v>281</v>
      </c>
      <c r="B38" s="12"/>
      <c r="C38" s="12" t="s">
        <v>20</v>
      </c>
      <c r="D38" s="12"/>
      <c r="E38" s="13">
        <v>43554</v>
      </c>
      <c r="F38" s="45"/>
      <c r="G38" s="45">
        <v>23720129</v>
      </c>
      <c r="H38" s="45"/>
      <c r="I38" s="45">
        <v>0</v>
      </c>
      <c r="J38" s="45"/>
      <c r="K38" s="45">
        <v>8868241</v>
      </c>
      <c r="L38" s="45"/>
      <c r="M38" s="45">
        <v>241202</v>
      </c>
      <c r="N38" s="45"/>
      <c r="O38" s="45">
        <v>2576047</v>
      </c>
      <c r="P38" s="45"/>
      <c r="Q38" s="45">
        <v>41805</v>
      </c>
      <c r="R38" s="45"/>
      <c r="S38" s="45">
        <v>0</v>
      </c>
      <c r="T38" s="45"/>
      <c r="U38" s="45">
        <v>21348</v>
      </c>
      <c r="V38" s="45"/>
      <c r="W38" s="45">
        <f>364114+874731+280495</f>
        <v>1519340</v>
      </c>
      <c r="X38" s="45"/>
      <c r="Y38" s="49">
        <f t="shared" si="3"/>
        <v>36988112</v>
      </c>
      <c r="Z38" s="45"/>
      <c r="AA38" s="45">
        <v>240000</v>
      </c>
      <c r="AB38" s="45"/>
      <c r="AC38" s="45"/>
      <c r="AD38" s="45"/>
      <c r="AE38" s="45">
        <v>5650000</v>
      </c>
      <c r="AF38" s="45"/>
      <c r="AG38" s="45">
        <v>0</v>
      </c>
      <c r="AH38" s="45"/>
      <c r="AI38" s="45">
        <v>0</v>
      </c>
      <c r="AJ38" s="45"/>
      <c r="AK38" s="45">
        <v>0</v>
      </c>
      <c r="AL38" s="45"/>
      <c r="AM38" s="49">
        <f t="shared" si="2"/>
        <v>5890000</v>
      </c>
      <c r="AN38" s="45"/>
      <c r="AO38" s="49">
        <f t="shared" si="0"/>
        <v>42878112</v>
      </c>
    </row>
    <row r="39" spans="1:41">
      <c r="A39" s="12" t="s">
        <v>263</v>
      </c>
      <c r="B39" s="12"/>
      <c r="C39" s="12" t="s">
        <v>114</v>
      </c>
      <c r="D39" s="12"/>
      <c r="E39" s="13">
        <v>46425</v>
      </c>
      <c r="F39" s="45"/>
      <c r="G39" s="45">
        <v>5761142</v>
      </c>
      <c r="H39" s="45"/>
      <c r="I39" s="45">
        <v>0</v>
      </c>
      <c r="J39" s="45"/>
      <c r="K39" s="45">
        <v>13298413</v>
      </c>
      <c r="L39" s="45"/>
      <c r="M39" s="45">
        <v>3719</v>
      </c>
      <c r="N39" s="45"/>
      <c r="O39" s="45">
        <v>1557588</v>
      </c>
      <c r="P39" s="45"/>
      <c r="Q39" s="45">
        <v>261952</v>
      </c>
      <c r="R39" s="45"/>
      <c r="S39" s="45">
        <v>0</v>
      </c>
      <c r="T39" s="45"/>
      <c r="U39" s="45">
        <v>0</v>
      </c>
      <c r="V39" s="45"/>
      <c r="W39" s="45">
        <f>11850+281193+2301</f>
        <v>295344</v>
      </c>
      <c r="X39" s="45"/>
      <c r="Y39" s="49">
        <f t="shared" si="3"/>
        <v>21178158</v>
      </c>
      <c r="Z39" s="45"/>
      <c r="AA39" s="45">
        <v>227971</v>
      </c>
      <c r="AB39" s="45"/>
      <c r="AC39" s="45"/>
      <c r="AD39" s="45"/>
      <c r="AE39" s="45">
        <v>889000</v>
      </c>
      <c r="AF39" s="45"/>
      <c r="AG39" s="45">
        <v>0</v>
      </c>
      <c r="AH39" s="45"/>
      <c r="AI39" s="45">
        <v>2904</v>
      </c>
      <c r="AJ39" s="45"/>
      <c r="AK39" s="45">
        <v>0</v>
      </c>
      <c r="AL39" s="45"/>
      <c r="AM39" s="49">
        <f t="shared" si="2"/>
        <v>1119875</v>
      </c>
      <c r="AN39" s="45"/>
      <c r="AO39" s="49">
        <f t="shared" si="0"/>
        <v>22298033</v>
      </c>
    </row>
    <row r="40" spans="1:41">
      <c r="A40" s="12" t="s">
        <v>357</v>
      </c>
      <c r="B40" s="12"/>
      <c r="C40" s="12" t="s">
        <v>116</v>
      </c>
      <c r="D40" s="12"/>
      <c r="E40" s="13">
        <v>47241</v>
      </c>
      <c r="F40" s="45"/>
      <c r="G40" s="45">
        <v>56859688</v>
      </c>
      <c r="H40" s="45"/>
      <c r="I40" s="45">
        <v>0</v>
      </c>
      <c r="J40" s="45"/>
      <c r="K40" s="45">
        <v>27094704</v>
      </c>
      <c r="L40" s="45"/>
      <c r="M40" s="45">
        <v>1226841</v>
      </c>
      <c r="N40" s="45"/>
      <c r="O40" s="45">
        <v>1368036</v>
      </c>
      <c r="P40" s="45"/>
      <c r="Q40" s="45">
        <v>633534</v>
      </c>
      <c r="R40" s="45"/>
      <c r="S40" s="45">
        <v>0</v>
      </c>
      <c r="T40" s="45"/>
      <c r="U40" s="45">
        <v>128580</v>
      </c>
      <c r="V40" s="45"/>
      <c r="W40" s="45">
        <f>1061422+2329845+11385</f>
        <v>3402652</v>
      </c>
      <c r="X40" s="45"/>
      <c r="Y40" s="49">
        <f t="shared" si="3"/>
        <v>90714035</v>
      </c>
      <c r="Z40" s="45"/>
      <c r="AA40" s="45">
        <v>31038</v>
      </c>
      <c r="AB40" s="45"/>
      <c r="AC40" s="45"/>
      <c r="AD40" s="45"/>
      <c r="AE40" s="45">
        <v>0</v>
      </c>
      <c r="AF40" s="45"/>
      <c r="AG40" s="45">
        <v>0</v>
      </c>
      <c r="AH40" s="45"/>
      <c r="AI40" s="45">
        <v>0</v>
      </c>
      <c r="AJ40" s="45"/>
      <c r="AK40" s="45">
        <v>0</v>
      </c>
      <c r="AL40" s="45"/>
      <c r="AM40" s="49">
        <f t="shared" si="2"/>
        <v>31038</v>
      </c>
      <c r="AN40" s="45"/>
      <c r="AO40" s="49">
        <f t="shared" si="0"/>
        <v>90745073</v>
      </c>
    </row>
    <row r="41" spans="1:41">
      <c r="A41" s="12" t="s">
        <v>282</v>
      </c>
      <c r="B41" s="12"/>
      <c r="C41" s="12" t="s">
        <v>20</v>
      </c>
      <c r="D41" s="12"/>
      <c r="E41" s="13">
        <v>43562</v>
      </c>
      <c r="F41" s="45"/>
      <c r="G41" s="45">
        <v>26973653</v>
      </c>
      <c r="H41" s="45"/>
      <c r="I41" s="45">
        <v>0</v>
      </c>
      <c r="J41" s="45"/>
      <c r="K41" s="45">
        <v>22845958</v>
      </c>
      <c r="L41" s="45"/>
      <c r="M41" s="45">
        <v>27574</v>
      </c>
      <c r="N41" s="45"/>
      <c r="O41" s="45">
        <v>1610786</v>
      </c>
      <c r="P41" s="45"/>
      <c r="Q41" s="45">
        <v>215149</v>
      </c>
      <c r="R41" s="45"/>
      <c r="S41" s="45">
        <v>0</v>
      </c>
      <c r="T41" s="45"/>
      <c r="U41" s="45">
        <v>33137</v>
      </c>
      <c r="V41" s="45"/>
      <c r="W41" s="45">
        <f>433459+31425+633791</f>
        <v>1098675</v>
      </c>
      <c r="X41" s="45"/>
      <c r="Y41" s="49">
        <f t="shared" si="3"/>
        <v>52804932</v>
      </c>
      <c r="Z41" s="45"/>
      <c r="AA41" s="45">
        <v>395712</v>
      </c>
      <c r="AB41" s="45"/>
      <c r="AC41" s="45"/>
      <c r="AD41" s="45"/>
      <c r="AE41" s="45">
        <v>0</v>
      </c>
      <c r="AF41" s="45"/>
      <c r="AG41" s="45">
        <v>0</v>
      </c>
      <c r="AH41" s="45"/>
      <c r="AI41" s="45">
        <v>0</v>
      </c>
      <c r="AJ41" s="45"/>
      <c r="AK41" s="45">
        <v>0</v>
      </c>
      <c r="AL41" s="45"/>
      <c r="AM41" s="49">
        <f t="shared" si="2"/>
        <v>395712</v>
      </c>
      <c r="AN41" s="45"/>
      <c r="AO41" s="49">
        <f t="shared" si="0"/>
        <v>53200644</v>
      </c>
    </row>
    <row r="42" spans="1:41">
      <c r="A42" s="12" t="s">
        <v>219</v>
      </c>
      <c r="B42" s="12"/>
      <c r="C42" s="12" t="s">
        <v>15</v>
      </c>
      <c r="D42" s="12"/>
      <c r="E42" s="13">
        <v>43570</v>
      </c>
      <c r="F42" s="45"/>
      <c r="G42" s="45">
        <v>2527695</v>
      </c>
      <c r="H42" s="45"/>
      <c r="I42" s="45">
        <v>0</v>
      </c>
      <c r="J42" s="45"/>
      <c r="K42" s="45">
        <v>12694805</v>
      </c>
      <c r="L42" s="45"/>
      <c r="M42" s="45">
        <v>34116</v>
      </c>
      <c r="N42" s="45"/>
      <c r="O42" s="45">
        <v>800914</v>
      </c>
      <c r="P42" s="45"/>
      <c r="Q42" s="45">
        <v>138260</v>
      </c>
      <c r="R42" s="45"/>
      <c r="S42" s="45">
        <v>0</v>
      </c>
      <c r="T42" s="45"/>
      <c r="U42" s="45">
        <v>13000</v>
      </c>
      <c r="V42" s="45"/>
      <c r="W42" s="45">
        <f>52606+327223+750</f>
        <v>380579</v>
      </c>
      <c r="X42" s="45"/>
      <c r="Y42" s="49">
        <f t="shared" si="3"/>
        <v>16589369</v>
      </c>
      <c r="Z42" s="45"/>
      <c r="AA42" s="45">
        <v>626705</v>
      </c>
      <c r="AB42" s="45"/>
      <c r="AC42" s="45"/>
      <c r="AD42" s="45"/>
      <c r="AE42" s="45">
        <v>0</v>
      </c>
      <c r="AF42" s="45"/>
      <c r="AG42" s="45">
        <v>0</v>
      </c>
      <c r="AH42" s="45"/>
      <c r="AI42" s="45">
        <v>120895</v>
      </c>
      <c r="AJ42" s="45"/>
      <c r="AK42" s="45">
        <v>0</v>
      </c>
      <c r="AL42" s="45"/>
      <c r="AM42" s="49">
        <f t="shared" si="2"/>
        <v>747600</v>
      </c>
      <c r="AN42" s="45"/>
      <c r="AO42" s="49">
        <f t="shared" si="0"/>
        <v>17336969</v>
      </c>
    </row>
    <row r="43" spans="1:41">
      <c r="A43" s="17" t="s">
        <v>951</v>
      </c>
      <c r="B43" s="12"/>
      <c r="C43" s="12" t="s">
        <v>116</v>
      </c>
      <c r="D43" s="12"/>
      <c r="E43" s="13">
        <v>47274</v>
      </c>
      <c r="F43" s="45"/>
      <c r="G43" s="45">
        <v>17796116</v>
      </c>
      <c r="H43" s="45"/>
      <c r="I43" s="45">
        <v>0</v>
      </c>
      <c r="J43" s="45"/>
      <c r="K43" s="45">
        <v>10445355</v>
      </c>
      <c r="L43" s="45"/>
      <c r="M43" s="45">
        <v>1840</v>
      </c>
      <c r="N43" s="45"/>
      <c r="O43" s="45">
        <v>479451</v>
      </c>
      <c r="P43" s="45"/>
      <c r="Q43" s="45">
        <v>426634</v>
      </c>
      <c r="R43" s="45"/>
      <c r="S43" s="45">
        <v>0</v>
      </c>
      <c r="T43" s="45"/>
      <c r="U43" s="45">
        <v>86269</v>
      </c>
      <c r="V43" s="45"/>
      <c r="W43" s="45">
        <f>545245+27158+292397</f>
        <v>864800</v>
      </c>
      <c r="X43" s="45"/>
      <c r="Y43" s="49">
        <f t="shared" ref="Y43" si="4">SUM(G43:W43)</f>
        <v>30100465</v>
      </c>
      <c r="Z43" s="45"/>
      <c r="AA43" s="45">
        <v>38800</v>
      </c>
      <c r="AB43" s="45"/>
      <c r="AC43" s="45"/>
      <c r="AD43" s="45"/>
      <c r="AE43" s="45">
        <v>0</v>
      </c>
      <c r="AF43" s="45"/>
      <c r="AG43" s="45"/>
      <c r="AH43" s="45"/>
      <c r="AI43" s="45">
        <f>31428+12000</f>
        <v>43428</v>
      </c>
      <c r="AJ43" s="45"/>
      <c r="AK43" s="45">
        <v>0</v>
      </c>
      <c r="AL43" s="45"/>
      <c r="AM43" s="49">
        <f t="shared" ref="AM43" si="5">AI43+AE43+AA43</f>
        <v>82228</v>
      </c>
      <c r="AN43" s="45"/>
      <c r="AO43" s="49">
        <f t="shared" si="0"/>
        <v>30182693</v>
      </c>
    </row>
    <row r="44" spans="1:41">
      <c r="A44" s="12" t="s">
        <v>403</v>
      </c>
      <c r="B44" s="12"/>
      <c r="C44" s="12" t="s">
        <v>37</v>
      </c>
      <c r="D44" s="12"/>
      <c r="E44" s="13">
        <v>43596</v>
      </c>
      <c r="F44" s="45"/>
      <c r="G44" s="45">
        <v>7349847</v>
      </c>
      <c r="H44" s="45"/>
      <c r="I44" s="45">
        <v>1560972</v>
      </c>
      <c r="J44" s="45"/>
      <c r="K44" s="45">
        <f>11616073+2239899</f>
        <v>13855972</v>
      </c>
      <c r="L44" s="45"/>
      <c r="M44" s="45">
        <v>78480</v>
      </c>
      <c r="N44" s="45"/>
      <c r="O44" s="45">
        <v>304731</v>
      </c>
      <c r="P44" s="45"/>
      <c r="Q44" s="45">
        <v>171057</v>
      </c>
      <c r="R44" s="45"/>
      <c r="S44" s="45">
        <v>0</v>
      </c>
      <c r="T44" s="45"/>
      <c r="U44" s="45">
        <v>25342</v>
      </c>
      <c r="V44" s="45"/>
      <c r="W44" s="45">
        <f>413584+94920+2569+343773</f>
        <v>854846</v>
      </c>
      <c r="X44" s="45"/>
      <c r="Y44" s="49">
        <f t="shared" si="3"/>
        <v>24201247</v>
      </c>
      <c r="Z44" s="45"/>
      <c r="AA44" s="45">
        <v>708853</v>
      </c>
      <c r="AB44" s="45"/>
      <c r="AC44" s="45"/>
      <c r="AD44" s="45"/>
      <c r="AE44" s="45">
        <f>15210000+23811865</f>
        <v>39021865</v>
      </c>
      <c r="AF44" s="45"/>
      <c r="AG44" s="45">
        <v>0</v>
      </c>
      <c r="AH44" s="45"/>
      <c r="AI44" s="45">
        <v>17660</v>
      </c>
      <c r="AJ44" s="45"/>
      <c r="AK44" s="45">
        <v>0</v>
      </c>
      <c r="AL44" s="45"/>
      <c r="AM44" s="49">
        <f t="shared" si="2"/>
        <v>39748378</v>
      </c>
      <c r="AN44" s="45"/>
      <c r="AO44" s="49">
        <f t="shared" ref="AO44:AO75" si="6">Y44+AM44</f>
        <v>63949625</v>
      </c>
    </row>
    <row r="45" spans="1:41">
      <c r="A45" s="12" t="s">
        <v>636</v>
      </c>
      <c r="B45" s="12"/>
      <c r="C45" s="12" t="s">
        <v>70</v>
      </c>
      <c r="D45" s="12"/>
      <c r="E45" s="13">
        <v>43604</v>
      </c>
      <c r="F45" s="45"/>
      <c r="G45" s="45">
        <v>3148651</v>
      </c>
      <c r="H45" s="45"/>
      <c r="I45" s="45">
        <v>0</v>
      </c>
      <c r="J45" s="45"/>
      <c r="K45" s="45">
        <v>7535807</v>
      </c>
      <c r="L45" s="45"/>
      <c r="M45" s="45">
        <v>61593</v>
      </c>
      <c r="N45" s="45"/>
      <c r="O45" s="45">
        <v>378711</v>
      </c>
      <c r="P45" s="45"/>
      <c r="Q45" s="45">
        <v>107290</v>
      </c>
      <c r="R45" s="45"/>
      <c r="S45" s="45">
        <v>0</v>
      </c>
      <c r="T45" s="45"/>
      <c r="U45" s="45">
        <v>1500</v>
      </c>
      <c r="V45" s="45"/>
      <c r="W45" s="45">
        <v>14597</v>
      </c>
      <c r="X45" s="45"/>
      <c r="Y45" s="49">
        <f t="shared" si="3"/>
        <v>11248149</v>
      </c>
      <c r="Z45" s="45"/>
      <c r="AA45" s="45">
        <v>41448</v>
      </c>
      <c r="AB45" s="45"/>
      <c r="AC45" s="45"/>
      <c r="AD45" s="45"/>
      <c r="AE45" s="45">
        <v>0</v>
      </c>
      <c r="AF45" s="45"/>
      <c r="AG45" s="45">
        <v>0</v>
      </c>
      <c r="AH45" s="45"/>
      <c r="AI45" s="45">
        <v>0</v>
      </c>
      <c r="AJ45" s="45"/>
      <c r="AK45" s="45">
        <v>0</v>
      </c>
      <c r="AL45" s="45"/>
      <c r="AM45" s="49">
        <f t="shared" si="2"/>
        <v>41448</v>
      </c>
      <c r="AN45" s="45"/>
      <c r="AO45" s="49">
        <f t="shared" si="6"/>
        <v>11289597</v>
      </c>
    </row>
    <row r="46" spans="1:41">
      <c r="A46" s="12" t="s">
        <v>519</v>
      </c>
      <c r="B46" s="12"/>
      <c r="C46" s="12" t="s">
        <v>53</v>
      </c>
      <c r="D46" s="12"/>
      <c r="E46" s="13">
        <v>48926</v>
      </c>
      <c r="F46" s="45"/>
      <c r="G46" s="45">
        <v>8411821</v>
      </c>
      <c r="H46" s="45"/>
      <c r="I46" s="45">
        <v>0</v>
      </c>
      <c r="J46" s="45"/>
      <c r="K46" s="45">
        <f>9951975+1497429</f>
        <v>11449404</v>
      </c>
      <c r="L46" s="45"/>
      <c r="M46" s="45">
        <v>158800</v>
      </c>
      <c r="N46" s="45"/>
      <c r="O46" s="45">
        <v>507557</v>
      </c>
      <c r="P46" s="45"/>
      <c r="Q46" s="45">
        <v>249717</v>
      </c>
      <c r="R46" s="45"/>
      <c r="S46" s="45">
        <v>0</v>
      </c>
      <c r="T46" s="45"/>
      <c r="U46" s="45">
        <v>24579</v>
      </c>
      <c r="V46" s="45"/>
      <c r="W46" s="45">
        <f>10269+300+8571+103085+643232</f>
        <v>765457</v>
      </c>
      <c r="X46" s="45"/>
      <c r="Y46" s="49">
        <f t="shared" si="3"/>
        <v>21567335</v>
      </c>
      <c r="Z46" s="45"/>
      <c r="AA46" s="45">
        <v>0</v>
      </c>
      <c r="AB46" s="45"/>
      <c r="AC46" s="45"/>
      <c r="AD46" s="45"/>
      <c r="AE46" s="45">
        <v>0</v>
      </c>
      <c r="AF46" s="45"/>
      <c r="AG46" s="45">
        <v>0</v>
      </c>
      <c r="AH46" s="45"/>
      <c r="AI46" s="45">
        <v>4473</v>
      </c>
      <c r="AJ46" s="45"/>
      <c r="AK46" s="45">
        <v>0</v>
      </c>
      <c r="AL46" s="45"/>
      <c r="AM46" s="49">
        <f t="shared" si="2"/>
        <v>4473</v>
      </c>
      <c r="AN46" s="45"/>
      <c r="AO46" s="49">
        <f t="shared" si="6"/>
        <v>21571808</v>
      </c>
    </row>
    <row r="47" spans="1:41">
      <c r="A47" s="12" t="s">
        <v>283</v>
      </c>
      <c r="B47" s="12"/>
      <c r="C47" s="12" t="s">
        <v>20</v>
      </c>
      <c r="D47" s="12"/>
      <c r="E47" s="13">
        <v>43612</v>
      </c>
      <c r="F47" s="45"/>
      <c r="G47" s="45">
        <v>52524445</v>
      </c>
      <c r="H47" s="45"/>
      <c r="I47" s="45">
        <v>0</v>
      </c>
      <c r="J47" s="45"/>
      <c r="K47" s="45">
        <v>32323880</v>
      </c>
      <c r="L47" s="45"/>
      <c r="M47" s="45">
        <v>307078</v>
      </c>
      <c r="N47" s="45"/>
      <c r="O47" s="45">
        <v>4003556</v>
      </c>
      <c r="P47" s="45"/>
      <c r="Q47" s="45">
        <v>526446</v>
      </c>
      <c r="R47" s="45"/>
      <c r="S47" s="45">
        <v>0</v>
      </c>
      <c r="T47" s="45"/>
      <c r="U47" s="45">
        <v>234725</v>
      </c>
      <c r="V47" s="45"/>
      <c r="W47" s="45">
        <f>1248683+1317925+122822</f>
        <v>2689430</v>
      </c>
      <c r="X47" s="45"/>
      <c r="Y47" s="49">
        <f t="shared" si="3"/>
        <v>92609560</v>
      </c>
      <c r="Z47" s="45"/>
      <c r="AA47" s="45">
        <v>572338</v>
      </c>
      <c r="AB47" s="45"/>
      <c r="AC47" s="45"/>
      <c r="AD47" s="45"/>
      <c r="AE47" s="45">
        <f>26000000</f>
        <v>26000000</v>
      </c>
      <c r="AF47" s="45"/>
      <c r="AG47" s="45">
        <v>0</v>
      </c>
      <c r="AH47" s="45"/>
      <c r="AI47" s="45">
        <v>127260</v>
      </c>
      <c r="AJ47" s="45"/>
      <c r="AK47" s="45">
        <v>0</v>
      </c>
      <c r="AL47" s="45"/>
      <c r="AM47" s="49">
        <f t="shared" si="2"/>
        <v>26699598</v>
      </c>
      <c r="AN47" s="45"/>
      <c r="AO47" s="49">
        <f t="shared" si="6"/>
        <v>119309158</v>
      </c>
    </row>
    <row r="48" spans="1:41">
      <c r="A48" s="12" t="s">
        <v>351</v>
      </c>
      <c r="B48" s="12"/>
      <c r="C48" s="12" t="s">
        <v>30</v>
      </c>
      <c r="D48" s="12"/>
      <c r="E48" s="13">
        <v>47167</v>
      </c>
      <c r="F48" s="45"/>
      <c r="G48" s="45">
        <v>4059441</v>
      </c>
      <c r="H48" s="45"/>
      <c r="I48" s="45">
        <v>1544686</v>
      </c>
      <c r="J48" s="45"/>
      <c r="K48" s="45">
        <v>5581373</v>
      </c>
      <c r="L48" s="45"/>
      <c r="M48" s="45">
        <v>13083</v>
      </c>
      <c r="N48" s="45"/>
      <c r="O48" s="45">
        <v>220598</v>
      </c>
      <c r="P48" s="45"/>
      <c r="Q48" s="45">
        <v>183351</v>
      </c>
      <c r="R48" s="45"/>
      <c r="S48" s="45">
        <v>0</v>
      </c>
      <c r="T48" s="45"/>
      <c r="U48" s="45">
        <v>29313</v>
      </c>
      <c r="V48" s="45"/>
      <c r="W48" s="45">
        <f>153133+2634+19758</f>
        <v>175525</v>
      </c>
      <c r="X48" s="45"/>
      <c r="Y48" s="49">
        <f t="shared" si="3"/>
        <v>11807370</v>
      </c>
      <c r="Z48" s="45"/>
      <c r="AA48" s="45">
        <v>116600</v>
      </c>
      <c r="AB48" s="45"/>
      <c r="AC48" s="45"/>
      <c r="AD48" s="45"/>
      <c r="AE48" s="45">
        <v>0</v>
      </c>
      <c r="AF48" s="45"/>
      <c r="AG48" s="45">
        <v>0</v>
      </c>
      <c r="AH48" s="45"/>
      <c r="AI48" s="45">
        <v>0</v>
      </c>
      <c r="AJ48" s="45"/>
      <c r="AK48" s="45">
        <v>0</v>
      </c>
      <c r="AL48" s="45"/>
      <c r="AM48" s="49">
        <f t="shared" si="2"/>
        <v>116600</v>
      </c>
      <c r="AN48" s="45"/>
      <c r="AO48" s="49">
        <f t="shared" si="6"/>
        <v>11923970</v>
      </c>
    </row>
    <row r="49" spans="1:41">
      <c r="A49" s="12" t="s">
        <v>314</v>
      </c>
      <c r="B49" s="12"/>
      <c r="C49" s="12" t="s">
        <v>24</v>
      </c>
      <c r="D49" s="12"/>
      <c r="E49" s="13">
        <v>46789</v>
      </c>
      <c r="F49" s="45"/>
      <c r="G49" s="45">
        <v>6126567</v>
      </c>
      <c r="H49" s="45"/>
      <c r="I49" s="45">
        <v>0</v>
      </c>
      <c r="J49" s="45"/>
      <c r="K49" s="45">
        <f>20905+7935219+1427027</f>
        <v>9383151</v>
      </c>
      <c r="L49" s="45"/>
      <c r="M49" s="45">
        <v>69342</v>
      </c>
      <c r="N49" s="45"/>
      <c r="O49" s="45">
        <v>457577</v>
      </c>
      <c r="P49" s="45"/>
      <c r="Q49" s="45">
        <v>396481</v>
      </c>
      <c r="R49" s="45"/>
      <c r="S49" s="45">
        <v>0</v>
      </c>
      <c r="T49" s="45"/>
      <c r="U49" s="45">
        <v>27617</v>
      </c>
      <c r="V49" s="45"/>
      <c r="W49" s="45">
        <f>32465+46728+181+383541</f>
        <v>462915</v>
      </c>
      <c r="X49" s="45"/>
      <c r="Y49" s="49">
        <f t="shared" si="3"/>
        <v>16923650</v>
      </c>
      <c r="Z49" s="45"/>
      <c r="AA49" s="45">
        <v>0</v>
      </c>
      <c r="AB49" s="45"/>
      <c r="AC49" s="45"/>
      <c r="AD49" s="45"/>
      <c r="AE49" s="45">
        <v>0</v>
      </c>
      <c r="AF49" s="45"/>
      <c r="AG49" s="45">
        <v>0</v>
      </c>
      <c r="AH49" s="45"/>
      <c r="AI49" s="45">
        <v>0</v>
      </c>
      <c r="AJ49" s="45"/>
      <c r="AK49" s="45">
        <v>0</v>
      </c>
      <c r="AL49" s="45"/>
      <c r="AM49" s="49">
        <f t="shared" si="2"/>
        <v>0</v>
      </c>
      <c r="AN49" s="45"/>
      <c r="AO49" s="49">
        <f t="shared" si="6"/>
        <v>16923650</v>
      </c>
    </row>
    <row r="50" spans="1:41">
      <c r="A50" s="12" t="s">
        <v>322</v>
      </c>
      <c r="B50" s="12"/>
      <c r="C50" s="12" t="s">
        <v>25</v>
      </c>
      <c r="D50" s="12"/>
      <c r="E50" s="13">
        <v>46854</v>
      </c>
      <c r="F50" s="45"/>
      <c r="G50" s="45">
        <v>3103893</v>
      </c>
      <c r="H50" s="45"/>
      <c r="I50" s="45">
        <v>931362</v>
      </c>
      <c r="J50" s="45"/>
      <c r="K50" s="45">
        <v>5247823</v>
      </c>
      <c r="L50" s="45"/>
      <c r="M50" s="45">
        <v>10957</v>
      </c>
      <c r="N50" s="45"/>
      <c r="O50" s="45">
        <v>645406</v>
      </c>
      <c r="P50" s="45"/>
      <c r="Q50" s="45">
        <v>102503</v>
      </c>
      <c r="R50" s="45"/>
      <c r="S50" s="45">
        <v>0</v>
      </c>
      <c r="T50" s="45"/>
      <c r="U50" s="45">
        <v>2615</v>
      </c>
      <c r="V50" s="45"/>
      <c r="W50" s="45">
        <f>151696+78262</f>
        <v>229958</v>
      </c>
      <c r="X50" s="45"/>
      <c r="Y50" s="49">
        <f t="shared" ref="Y50:Y79" si="7">SUM(G50:W50)</f>
        <v>10274517</v>
      </c>
      <c r="Z50" s="45"/>
      <c r="AA50" s="45">
        <v>133126</v>
      </c>
      <c r="AB50" s="45"/>
      <c r="AC50" s="45"/>
      <c r="AD50" s="45"/>
      <c r="AE50" s="45">
        <v>0</v>
      </c>
      <c r="AF50" s="45"/>
      <c r="AG50" s="45">
        <v>0</v>
      </c>
      <c r="AH50" s="45"/>
      <c r="AI50" s="45">
        <v>174603</v>
      </c>
      <c r="AJ50" s="45"/>
      <c r="AK50" s="45">
        <v>0</v>
      </c>
      <c r="AL50" s="45"/>
      <c r="AM50" s="49">
        <f t="shared" si="2"/>
        <v>307729</v>
      </c>
      <c r="AN50" s="45"/>
      <c r="AO50" s="49">
        <f t="shared" si="6"/>
        <v>10582246</v>
      </c>
    </row>
    <row r="51" spans="1:41">
      <c r="A51" s="12" t="s">
        <v>487</v>
      </c>
      <c r="B51" s="12"/>
      <c r="C51" s="12" t="s">
        <v>48</v>
      </c>
      <c r="D51" s="12"/>
      <c r="E51" s="13">
        <v>48611</v>
      </c>
      <c r="F51" s="45"/>
      <c r="G51" s="45">
        <v>3483972</v>
      </c>
      <c r="H51" s="45"/>
      <c r="I51" s="45">
        <v>0</v>
      </c>
      <c r="J51" s="45"/>
      <c r="K51" s="45">
        <v>3937348</v>
      </c>
      <c r="L51" s="45"/>
      <c r="M51" s="45">
        <v>4254</v>
      </c>
      <c r="N51" s="45"/>
      <c r="O51" s="45">
        <v>486596</v>
      </c>
      <c r="P51" s="45"/>
      <c r="Q51" s="45">
        <v>107053</v>
      </c>
      <c r="R51" s="45"/>
      <c r="S51" s="45">
        <v>0</v>
      </c>
      <c r="T51" s="45"/>
      <c r="U51" s="45">
        <v>0</v>
      </c>
      <c r="V51" s="45"/>
      <c r="W51" s="45">
        <f>276156+187277</f>
        <v>463433</v>
      </c>
      <c r="X51" s="45"/>
      <c r="Y51" s="49">
        <f t="shared" si="7"/>
        <v>8482656</v>
      </c>
      <c r="Z51" s="45"/>
      <c r="AA51" s="45">
        <v>0</v>
      </c>
      <c r="AB51" s="45"/>
      <c r="AC51" s="45"/>
      <c r="AD51" s="45"/>
      <c r="AE51" s="45">
        <v>118000</v>
      </c>
      <c r="AF51" s="45"/>
      <c r="AG51" s="45">
        <v>0</v>
      </c>
      <c r="AH51" s="45"/>
      <c r="AI51" s="45">
        <v>1000</v>
      </c>
      <c r="AJ51" s="45"/>
      <c r="AK51" s="45">
        <v>0</v>
      </c>
      <c r="AL51" s="45"/>
      <c r="AM51" s="49">
        <f t="shared" si="2"/>
        <v>119000</v>
      </c>
      <c r="AN51" s="45"/>
      <c r="AO51" s="49">
        <f t="shared" si="6"/>
        <v>8601656</v>
      </c>
    </row>
    <row r="52" spans="1:41">
      <c r="A52" s="12" t="s">
        <v>252</v>
      </c>
      <c r="B52" s="12"/>
      <c r="C52" s="12" t="s">
        <v>115</v>
      </c>
      <c r="D52" s="12"/>
      <c r="E52" s="13">
        <v>46318</v>
      </c>
      <c r="F52" s="45"/>
      <c r="G52" s="45">
        <v>3651980</v>
      </c>
      <c r="H52" s="45"/>
      <c r="I52" s="45">
        <v>0</v>
      </c>
      <c r="J52" s="45"/>
      <c r="K52" s="45">
        <v>11824727</v>
      </c>
      <c r="L52" s="45"/>
      <c r="M52" s="45">
        <v>11802</v>
      </c>
      <c r="N52" s="45"/>
      <c r="O52" s="45">
        <v>1487186</v>
      </c>
      <c r="P52" s="45"/>
      <c r="Q52" s="45">
        <v>207917</v>
      </c>
      <c r="R52" s="45"/>
      <c r="S52" s="45">
        <v>0</v>
      </c>
      <c r="T52" s="45"/>
      <c r="U52" s="45">
        <v>41637</v>
      </c>
      <c r="V52" s="45"/>
      <c r="W52" s="45">
        <f>160044+307085+6808</f>
        <v>473937</v>
      </c>
      <c r="X52" s="45"/>
      <c r="Y52" s="49">
        <f t="shared" si="7"/>
        <v>17699186</v>
      </c>
      <c r="Z52" s="45"/>
      <c r="AA52" s="45">
        <v>333000</v>
      </c>
      <c r="AB52" s="45"/>
      <c r="AC52" s="45"/>
      <c r="AD52" s="45"/>
      <c r="AE52" s="45">
        <v>0</v>
      </c>
      <c r="AF52" s="45"/>
      <c r="AG52" s="45"/>
      <c r="AH52" s="45"/>
      <c r="AI52" s="45">
        <f>118579+56325</f>
        <v>174904</v>
      </c>
      <c r="AJ52" s="45"/>
      <c r="AK52" s="45">
        <v>0</v>
      </c>
      <c r="AL52" s="45"/>
      <c r="AM52" s="49">
        <f t="shared" si="2"/>
        <v>507904</v>
      </c>
      <c r="AN52" s="45"/>
      <c r="AO52" s="49">
        <f t="shared" si="6"/>
        <v>18207090</v>
      </c>
    </row>
    <row r="53" spans="1:41" hidden="1">
      <c r="A53" s="12" t="s">
        <v>825</v>
      </c>
      <c r="B53" s="12"/>
      <c r="C53" s="12" t="s">
        <v>60</v>
      </c>
      <c r="D53" s="12"/>
      <c r="E53" s="13">
        <v>49692</v>
      </c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9">
        <f t="shared" si="7"/>
        <v>0</v>
      </c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>
        <v>0</v>
      </c>
      <c r="AL53" s="45"/>
      <c r="AM53" s="49">
        <f t="shared" si="2"/>
        <v>0</v>
      </c>
      <c r="AN53" s="45"/>
      <c r="AO53" s="49">
        <f t="shared" si="6"/>
        <v>0</v>
      </c>
    </row>
    <row r="54" spans="1:41">
      <c r="A54" s="12" t="s">
        <v>329</v>
      </c>
      <c r="B54" s="12"/>
      <c r="C54" s="12" t="s">
        <v>27</v>
      </c>
      <c r="D54" s="12"/>
      <c r="E54" s="13">
        <v>43620</v>
      </c>
      <c r="F54" s="45"/>
      <c r="G54" s="45">
        <v>20175462</v>
      </c>
      <c r="H54" s="45"/>
      <c r="I54" s="45">
        <v>4471282</v>
      </c>
      <c r="J54" s="45"/>
      <c r="K54" s="45">
        <f>1433326+7105366+793341</f>
        <v>9332033</v>
      </c>
      <c r="L54" s="45"/>
      <c r="M54" s="45">
        <v>217454</v>
      </c>
      <c r="N54" s="45"/>
      <c r="O54" s="45">
        <v>126172</v>
      </c>
      <c r="P54" s="45"/>
      <c r="Q54" s="45">
        <v>270086</v>
      </c>
      <c r="R54" s="45"/>
      <c r="S54" s="45">
        <v>0</v>
      </c>
      <c r="T54" s="45"/>
      <c r="U54" s="45">
        <v>0</v>
      </c>
      <c r="V54" s="45"/>
      <c r="W54" s="45">
        <f>521256+358516</f>
        <v>879772</v>
      </c>
      <c r="X54" s="45"/>
      <c r="Y54" s="49">
        <f t="shared" si="7"/>
        <v>35472261</v>
      </c>
      <c r="Z54" s="45"/>
      <c r="AA54" s="45">
        <v>163810</v>
      </c>
      <c r="AB54" s="45"/>
      <c r="AC54" s="45"/>
      <c r="AD54" s="45"/>
      <c r="AE54" s="45">
        <v>0</v>
      </c>
      <c r="AF54" s="45"/>
      <c r="AG54" s="45"/>
      <c r="AH54" s="45"/>
      <c r="AI54" s="45">
        <v>20662</v>
      </c>
      <c r="AJ54" s="45"/>
      <c r="AK54" s="45">
        <v>0</v>
      </c>
      <c r="AL54" s="45"/>
      <c r="AM54" s="49">
        <f t="shared" si="2"/>
        <v>184472</v>
      </c>
      <c r="AN54" s="45"/>
      <c r="AO54" s="49">
        <f t="shared" si="6"/>
        <v>35656733</v>
      </c>
    </row>
    <row r="55" spans="1:41">
      <c r="A55" s="12" t="s">
        <v>311</v>
      </c>
      <c r="B55" s="12"/>
      <c r="C55" s="12" t="s">
        <v>23</v>
      </c>
      <c r="D55" s="12"/>
      <c r="E55" s="13">
        <v>46748</v>
      </c>
      <c r="F55" s="45"/>
      <c r="G55" s="45">
        <v>15748370</v>
      </c>
      <c r="H55" s="45"/>
      <c r="I55" s="45">
        <v>4378961</v>
      </c>
      <c r="J55" s="45"/>
      <c r="K55" s="45">
        <v>9748448</v>
      </c>
      <c r="L55" s="45"/>
      <c r="M55" s="45">
        <v>97564</v>
      </c>
      <c r="N55" s="45"/>
      <c r="O55" s="45">
        <v>272375</v>
      </c>
      <c r="P55" s="45"/>
      <c r="Q55" s="45">
        <v>209311</v>
      </c>
      <c r="R55" s="45"/>
      <c r="S55" s="45">
        <v>0</v>
      </c>
      <c r="T55" s="45"/>
      <c r="U55" s="45">
        <v>25960</v>
      </c>
      <c r="V55" s="45"/>
      <c r="W55" s="45">
        <f>793442+395079</f>
        <v>1188521</v>
      </c>
      <c r="X55" s="45"/>
      <c r="Y55" s="49">
        <f t="shared" si="7"/>
        <v>31669510</v>
      </c>
      <c r="Z55" s="45"/>
      <c r="AA55" s="45">
        <v>137625</v>
      </c>
      <c r="AB55" s="45"/>
      <c r="AC55" s="45"/>
      <c r="AD55" s="45"/>
      <c r="AE55" s="45">
        <v>21050626</v>
      </c>
      <c r="AF55" s="45"/>
      <c r="AG55" s="45">
        <v>0</v>
      </c>
      <c r="AH55" s="45"/>
      <c r="AI55" s="45">
        <v>0</v>
      </c>
      <c r="AJ55" s="45"/>
      <c r="AK55" s="45">
        <v>0</v>
      </c>
      <c r="AL55" s="45"/>
      <c r="AM55" s="49">
        <f t="shared" si="2"/>
        <v>21188251</v>
      </c>
      <c r="AN55" s="45"/>
      <c r="AO55" s="49">
        <f t="shared" si="6"/>
        <v>52857761</v>
      </c>
    </row>
    <row r="56" spans="1:41">
      <c r="A56" s="12" t="s">
        <v>478</v>
      </c>
      <c r="B56" s="12"/>
      <c r="C56" s="12" t="s">
        <v>47</v>
      </c>
      <c r="D56" s="12"/>
      <c r="E56" s="13">
        <v>48462</v>
      </c>
      <c r="F56" s="45"/>
      <c r="G56" s="45">
        <v>4131687</v>
      </c>
      <c r="H56" s="45"/>
      <c r="I56" s="45">
        <v>0</v>
      </c>
      <c r="J56" s="45"/>
      <c r="K56" s="45">
        <v>10220234</v>
      </c>
      <c r="L56" s="45"/>
      <c r="M56" s="45">
        <v>34538</v>
      </c>
      <c r="N56" s="45"/>
      <c r="O56" s="45">
        <v>275794</v>
      </c>
      <c r="P56" s="45"/>
      <c r="Q56" s="45">
        <v>256850</v>
      </c>
      <c r="R56" s="45"/>
      <c r="S56" s="45">
        <v>0</v>
      </c>
      <c r="T56" s="45"/>
      <c r="U56" s="45">
        <v>0</v>
      </c>
      <c r="V56" s="45"/>
      <c r="W56" s="45">
        <f>104085+202310</f>
        <v>306395</v>
      </c>
      <c r="X56" s="45"/>
      <c r="Y56" s="49">
        <f t="shared" si="7"/>
        <v>15225498</v>
      </c>
      <c r="Z56" s="45"/>
      <c r="AA56" s="45">
        <v>199424</v>
      </c>
      <c r="AB56" s="45"/>
      <c r="AC56" s="45"/>
      <c r="AD56" s="45"/>
      <c r="AE56" s="45">
        <v>0</v>
      </c>
      <c r="AF56" s="45"/>
      <c r="AG56" s="45"/>
      <c r="AH56" s="45"/>
      <c r="AI56" s="45">
        <f>11131+101648</f>
        <v>112779</v>
      </c>
      <c r="AJ56" s="45"/>
      <c r="AK56" s="45">
        <v>393998</v>
      </c>
      <c r="AL56" s="45"/>
      <c r="AM56" s="49">
        <f>SUM(AA56:AK56)</f>
        <v>706201</v>
      </c>
      <c r="AN56" s="45"/>
      <c r="AO56" s="49">
        <f t="shared" si="6"/>
        <v>15931699</v>
      </c>
    </row>
    <row r="57" spans="1:41">
      <c r="A57" s="12" t="s">
        <v>259</v>
      </c>
      <c r="B57" s="12"/>
      <c r="C57" s="12" t="s">
        <v>18</v>
      </c>
      <c r="D57" s="12"/>
      <c r="E57" s="13">
        <v>46383</v>
      </c>
      <c r="F57" s="45"/>
      <c r="G57" s="45">
        <v>3117442</v>
      </c>
      <c r="H57" s="45"/>
      <c r="I57" s="45">
        <v>0</v>
      </c>
      <c r="J57" s="45"/>
      <c r="K57" s="45">
        <v>11417563</v>
      </c>
      <c r="L57" s="45"/>
      <c r="M57" s="45">
        <v>53282</v>
      </c>
      <c r="N57" s="45"/>
      <c r="O57" s="45">
        <v>1194359</v>
      </c>
      <c r="P57" s="45"/>
      <c r="Q57" s="45">
        <v>111925</v>
      </c>
      <c r="R57" s="45"/>
      <c r="S57" s="45">
        <v>0</v>
      </c>
      <c r="T57" s="45"/>
      <c r="U57" s="45">
        <v>0</v>
      </c>
      <c r="V57" s="45"/>
      <c r="W57" s="45">
        <f>332225+139287</f>
        <v>471512</v>
      </c>
      <c r="X57" s="45"/>
      <c r="Y57" s="49">
        <f t="shared" si="7"/>
        <v>16366083</v>
      </c>
      <c r="Z57" s="45"/>
      <c r="AA57" s="45">
        <v>2016</v>
      </c>
      <c r="AB57" s="45"/>
      <c r="AC57" s="45"/>
      <c r="AD57" s="45"/>
      <c r="AE57" s="45">
        <v>0</v>
      </c>
      <c r="AF57" s="45"/>
      <c r="AG57" s="45"/>
      <c r="AH57" s="45"/>
      <c r="AI57" s="45">
        <v>0</v>
      </c>
      <c r="AJ57" s="45"/>
      <c r="AK57" s="45">
        <v>0</v>
      </c>
      <c r="AL57" s="45"/>
      <c r="AM57" s="49">
        <f t="shared" si="2"/>
        <v>2016</v>
      </c>
      <c r="AN57" s="45"/>
      <c r="AO57" s="49">
        <f t="shared" si="6"/>
        <v>16368099</v>
      </c>
    </row>
    <row r="58" spans="1:41">
      <c r="A58" s="12" t="s">
        <v>323</v>
      </c>
      <c r="B58" s="12"/>
      <c r="C58" s="12" t="s">
        <v>25</v>
      </c>
      <c r="D58" s="12"/>
      <c r="E58" s="13">
        <v>46862</v>
      </c>
      <c r="F58" s="45"/>
      <c r="G58" s="45">
        <v>5933140</v>
      </c>
      <c r="H58" s="45"/>
      <c r="I58" s="45">
        <v>3261404</v>
      </c>
      <c r="J58" s="45"/>
      <c r="K58" s="45">
        <v>5216889</v>
      </c>
      <c r="L58" s="45"/>
      <c r="M58" s="45">
        <v>179941</v>
      </c>
      <c r="N58" s="45"/>
      <c r="O58" s="45">
        <v>928639</v>
      </c>
      <c r="P58" s="45"/>
      <c r="Q58" s="45">
        <v>92431</v>
      </c>
      <c r="R58" s="45"/>
      <c r="S58" s="45">
        <v>0</v>
      </c>
      <c r="T58" s="45"/>
      <c r="U58" s="45">
        <v>21390</v>
      </c>
      <c r="V58" s="45"/>
      <c r="W58" s="45">
        <f>51290+1520+327608</f>
        <v>380418</v>
      </c>
      <c r="X58" s="45"/>
      <c r="Y58" s="49">
        <f t="shared" si="7"/>
        <v>16014252</v>
      </c>
      <c r="Z58" s="45"/>
      <c r="AA58" s="45">
        <v>65000</v>
      </c>
      <c r="AB58" s="45"/>
      <c r="AC58" s="45"/>
      <c r="AD58" s="45"/>
      <c r="AE58" s="45">
        <f>26500000+201694</f>
        <v>26701694</v>
      </c>
      <c r="AF58" s="45"/>
      <c r="AG58" s="45"/>
      <c r="AH58" s="45"/>
      <c r="AI58" s="45">
        <v>0</v>
      </c>
      <c r="AJ58" s="45"/>
      <c r="AK58" s="45">
        <v>0</v>
      </c>
      <c r="AL58" s="45"/>
      <c r="AM58" s="49">
        <f t="shared" si="2"/>
        <v>26766694</v>
      </c>
      <c r="AN58" s="45"/>
      <c r="AO58" s="49">
        <f t="shared" si="6"/>
        <v>42780946</v>
      </c>
    </row>
    <row r="59" spans="1:41">
      <c r="A59" s="12" t="s">
        <v>599</v>
      </c>
      <c r="B59" s="12"/>
      <c r="C59" s="12" t="s">
        <v>64</v>
      </c>
      <c r="D59" s="12"/>
      <c r="E59" s="13">
        <v>50096</v>
      </c>
      <c r="F59" s="45"/>
      <c r="G59" s="45">
        <v>1240218</v>
      </c>
      <c r="H59" s="45"/>
      <c r="I59" s="45">
        <v>0</v>
      </c>
      <c r="J59" s="45"/>
      <c r="K59" s="45">
        <f>1618883+972795</f>
        <v>2591678</v>
      </c>
      <c r="L59" s="45"/>
      <c r="M59" s="45">
        <v>1665</v>
      </c>
      <c r="N59" s="45"/>
      <c r="O59" s="45">
        <v>208758</v>
      </c>
      <c r="P59" s="45"/>
      <c r="Q59" s="45">
        <v>38277</v>
      </c>
      <c r="R59" s="45"/>
      <c r="S59" s="45">
        <v>0</v>
      </c>
      <c r="T59" s="45"/>
      <c r="U59" s="45">
        <v>0</v>
      </c>
      <c r="V59" s="45"/>
      <c r="W59" s="45">
        <f>52763+5113+32400</f>
        <v>90276</v>
      </c>
      <c r="X59" s="45"/>
      <c r="Y59" s="49">
        <f t="shared" si="7"/>
        <v>4170872</v>
      </c>
      <c r="Z59" s="45"/>
      <c r="AA59" s="45">
        <v>0</v>
      </c>
      <c r="AB59" s="45"/>
      <c r="AC59" s="45"/>
      <c r="AD59" s="45"/>
      <c r="AE59" s="45">
        <v>0</v>
      </c>
      <c r="AF59" s="45"/>
      <c r="AG59" s="45"/>
      <c r="AH59" s="45"/>
      <c r="AI59" s="45">
        <v>291574</v>
      </c>
      <c r="AJ59" s="45"/>
      <c r="AK59" s="45">
        <v>0</v>
      </c>
      <c r="AL59" s="45"/>
      <c r="AM59" s="49">
        <f t="shared" si="2"/>
        <v>291574</v>
      </c>
      <c r="AN59" s="45"/>
      <c r="AO59" s="49">
        <f t="shared" si="6"/>
        <v>4462446</v>
      </c>
    </row>
    <row r="60" spans="1:41">
      <c r="A60" s="12" t="s">
        <v>559</v>
      </c>
      <c r="B60" s="12"/>
      <c r="C60" s="12" t="s">
        <v>59</v>
      </c>
      <c r="D60" s="12"/>
      <c r="E60" s="13">
        <v>49593</v>
      </c>
      <c r="F60" s="45"/>
      <c r="G60" s="45">
        <v>1204749</v>
      </c>
      <c r="H60" s="45"/>
      <c r="I60" s="45">
        <v>0</v>
      </c>
      <c r="J60" s="45"/>
      <c r="K60" s="45">
        <v>7788238</v>
      </c>
      <c r="L60" s="45"/>
      <c r="M60" s="45">
        <v>14110</v>
      </c>
      <c r="N60" s="45"/>
      <c r="O60" s="45">
        <v>818410</v>
      </c>
      <c r="P60" s="45"/>
      <c r="Q60" s="45">
        <v>54317</v>
      </c>
      <c r="R60" s="45"/>
      <c r="S60" s="45">
        <v>0</v>
      </c>
      <c r="T60" s="45"/>
      <c r="U60" s="45">
        <v>14100</v>
      </c>
      <c r="V60" s="45"/>
      <c r="W60" s="45">
        <f>116774+160914+200</f>
        <v>277888</v>
      </c>
      <c r="X60" s="45"/>
      <c r="Y60" s="49">
        <f>SUM(G60:W60)</f>
        <v>10171812</v>
      </c>
      <c r="Z60" s="45"/>
      <c r="AA60" s="45">
        <v>742</v>
      </c>
      <c r="AB60" s="45"/>
      <c r="AC60" s="45"/>
      <c r="AD60" s="45"/>
      <c r="AE60" s="45">
        <v>0</v>
      </c>
      <c r="AF60" s="45"/>
      <c r="AG60" s="45"/>
      <c r="AH60" s="45"/>
      <c r="AI60" s="45">
        <v>2250</v>
      </c>
      <c r="AJ60" s="45"/>
      <c r="AK60" s="45">
        <v>0</v>
      </c>
      <c r="AL60" s="45"/>
      <c r="AM60" s="49">
        <f t="shared" si="2"/>
        <v>2992</v>
      </c>
      <c r="AN60" s="45"/>
      <c r="AO60" s="49">
        <f t="shared" si="6"/>
        <v>10174804</v>
      </c>
    </row>
    <row r="61" spans="1:41" hidden="1">
      <c r="A61" s="12" t="s">
        <v>791</v>
      </c>
      <c r="B61" s="12"/>
      <c r="C61" s="12" t="s">
        <v>10</v>
      </c>
      <c r="D61" s="12"/>
      <c r="E61" s="13">
        <v>49593</v>
      </c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V61" s="45"/>
      <c r="W61" s="45"/>
      <c r="X61" s="45"/>
      <c r="Y61" s="49">
        <f>SUM(G61:W61)</f>
        <v>0</v>
      </c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>
        <v>0</v>
      </c>
      <c r="AL61" s="45"/>
      <c r="AM61" s="49">
        <f t="shared" si="2"/>
        <v>0</v>
      </c>
      <c r="AN61" s="45"/>
      <c r="AO61" s="49">
        <f t="shared" si="6"/>
        <v>0</v>
      </c>
    </row>
    <row r="62" spans="1:41">
      <c r="A62" s="12" t="s">
        <v>462</v>
      </c>
      <c r="B62" s="12"/>
      <c r="C62" s="12" t="s">
        <v>45</v>
      </c>
      <c r="D62" s="12"/>
      <c r="E62" s="13">
        <v>48306</v>
      </c>
      <c r="F62" s="45"/>
      <c r="G62" s="45">
        <v>25703663</v>
      </c>
      <c r="H62" s="45"/>
      <c r="I62" s="45">
        <v>0</v>
      </c>
      <c r="J62" s="45"/>
      <c r="K62" s="45">
        <v>17864729</v>
      </c>
      <c r="L62" s="45"/>
      <c r="M62" s="45">
        <v>113146</v>
      </c>
      <c r="N62" s="45"/>
      <c r="O62" s="45">
        <v>680080</v>
      </c>
      <c r="P62" s="45"/>
      <c r="Q62" s="45">
        <v>512690</v>
      </c>
      <c r="R62" s="45"/>
      <c r="S62" s="45">
        <v>0</v>
      </c>
      <c r="T62" s="45"/>
      <c r="U62" s="45">
        <v>39082</v>
      </c>
      <c r="V62" s="45"/>
      <c r="W62" s="45">
        <f>204724+60579+746770</f>
        <v>1012073</v>
      </c>
      <c r="X62" s="45"/>
      <c r="Y62" s="49">
        <f t="shared" si="7"/>
        <v>45925463</v>
      </c>
      <c r="Z62" s="45"/>
      <c r="AA62" s="45">
        <v>254520</v>
      </c>
      <c r="AB62" s="45"/>
      <c r="AC62" s="45"/>
      <c r="AD62" s="45"/>
      <c r="AE62" s="45">
        <v>0</v>
      </c>
      <c r="AF62" s="45"/>
      <c r="AG62" s="45"/>
      <c r="AH62" s="45"/>
      <c r="AI62" s="45">
        <v>0</v>
      </c>
      <c r="AJ62" s="45"/>
      <c r="AK62" s="45">
        <v>0</v>
      </c>
      <c r="AL62" s="45"/>
      <c r="AM62" s="49">
        <f t="shared" si="2"/>
        <v>254520</v>
      </c>
      <c r="AN62" s="45"/>
      <c r="AO62" s="49">
        <f t="shared" si="6"/>
        <v>46179983</v>
      </c>
    </row>
    <row r="63" spans="1:41" hidden="1">
      <c r="A63" s="12" t="s">
        <v>923</v>
      </c>
      <c r="B63" s="12"/>
      <c r="C63" s="12" t="s">
        <v>61</v>
      </c>
      <c r="D63" s="12"/>
      <c r="E63" s="13">
        <v>49767</v>
      </c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9">
        <f t="shared" si="7"/>
        <v>0</v>
      </c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>
        <v>0</v>
      </c>
      <c r="AL63" s="45"/>
      <c r="AM63" s="49">
        <f t="shared" si="2"/>
        <v>0</v>
      </c>
      <c r="AN63" s="45"/>
      <c r="AO63" s="49">
        <f t="shared" si="6"/>
        <v>0</v>
      </c>
    </row>
    <row r="64" spans="1:41">
      <c r="A64" s="12" t="s">
        <v>646</v>
      </c>
      <c r="B64" s="12"/>
      <c r="C64" s="12" t="s">
        <v>72</v>
      </c>
      <c r="D64" s="12"/>
      <c r="E64" s="13">
        <v>43638</v>
      </c>
      <c r="F64" s="45"/>
      <c r="G64" s="45">
        <v>16771779</v>
      </c>
      <c r="H64" s="45"/>
      <c r="I64" s="45">
        <v>2569973</v>
      </c>
      <c r="J64" s="45"/>
      <c r="K64" s="45">
        <v>13052228</v>
      </c>
      <c r="L64" s="45"/>
      <c r="M64" s="45">
        <v>135939</v>
      </c>
      <c r="N64" s="45"/>
      <c r="O64" s="45">
        <v>528395</v>
      </c>
      <c r="P64" s="45"/>
      <c r="Q64" s="45">
        <v>218305</v>
      </c>
      <c r="R64" s="45"/>
      <c r="S64" s="45">
        <v>0</v>
      </c>
      <c r="T64" s="45"/>
      <c r="U64" s="45">
        <v>9925</v>
      </c>
      <c r="V64" s="45"/>
      <c r="W64" s="45">
        <f>16810+348827</f>
        <v>365637</v>
      </c>
      <c r="X64" s="45"/>
      <c r="Y64" s="49">
        <f t="shared" si="7"/>
        <v>33652181</v>
      </c>
      <c r="Z64" s="45"/>
      <c r="AA64" s="45">
        <v>436000</v>
      </c>
      <c r="AB64" s="45"/>
      <c r="AC64" s="45"/>
      <c r="AD64" s="45"/>
      <c r="AE64" s="45">
        <v>0</v>
      </c>
      <c r="AF64" s="45"/>
      <c r="AG64" s="45"/>
      <c r="AH64" s="45"/>
      <c r="AI64" s="45">
        <f>56348+15033</f>
        <v>71381</v>
      </c>
      <c r="AJ64" s="45"/>
      <c r="AK64" s="45">
        <v>0</v>
      </c>
      <c r="AL64" s="45"/>
      <c r="AM64" s="49">
        <f t="shared" si="2"/>
        <v>507381</v>
      </c>
      <c r="AN64" s="45"/>
      <c r="AO64" s="49">
        <f t="shared" si="6"/>
        <v>34159562</v>
      </c>
    </row>
    <row r="65" spans="1:41" ht="12" hidden="1" customHeight="1">
      <c r="A65" s="12" t="s">
        <v>832</v>
      </c>
      <c r="B65" s="12"/>
      <c r="C65" s="12" t="s">
        <v>48</v>
      </c>
      <c r="D65" s="12"/>
      <c r="E65" s="13">
        <v>43646</v>
      </c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9">
        <f>SUM(G65:W65)</f>
        <v>0</v>
      </c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>
        <v>0</v>
      </c>
      <c r="AL65" s="45"/>
      <c r="AM65" s="49">
        <f t="shared" si="2"/>
        <v>0</v>
      </c>
      <c r="AN65" s="45"/>
      <c r="AO65" s="49">
        <f t="shared" si="6"/>
        <v>0</v>
      </c>
    </row>
    <row r="66" spans="1:41">
      <c r="A66" s="12" t="s">
        <v>772</v>
      </c>
      <c r="B66" s="12"/>
      <c r="C66" s="12" t="s">
        <v>20</v>
      </c>
      <c r="D66" s="12"/>
      <c r="E66" s="13">
        <v>43646</v>
      </c>
      <c r="F66" s="45"/>
      <c r="G66" s="45">
        <v>35391113</v>
      </c>
      <c r="H66" s="45"/>
      <c r="I66" s="45">
        <v>0</v>
      </c>
      <c r="J66" s="45"/>
      <c r="K66" s="45">
        <v>16686040</v>
      </c>
      <c r="L66" s="45"/>
      <c r="M66" s="45">
        <v>67524</v>
      </c>
      <c r="N66" s="45"/>
      <c r="O66" s="45">
        <v>877470</v>
      </c>
      <c r="P66" s="45"/>
      <c r="Q66" s="45">
        <v>823008</v>
      </c>
      <c r="R66" s="45"/>
      <c r="S66" s="45">
        <v>1884</v>
      </c>
      <c r="T66" s="45"/>
      <c r="U66" s="45">
        <v>122855</v>
      </c>
      <c r="V66" s="45"/>
      <c r="W66" s="45">
        <f>140952+1458433+45986</f>
        <v>1645371</v>
      </c>
      <c r="X66" s="45"/>
      <c r="Y66" s="49">
        <f t="shared" si="7"/>
        <v>55615265</v>
      </c>
      <c r="Z66" s="45"/>
      <c r="AA66" s="45">
        <v>269230</v>
      </c>
      <c r="AB66" s="45"/>
      <c r="AC66" s="45"/>
      <c r="AD66" s="45"/>
      <c r="AE66" s="45">
        <v>0</v>
      </c>
      <c r="AF66" s="45"/>
      <c r="AG66" s="45"/>
      <c r="AH66" s="45"/>
      <c r="AI66" s="45">
        <v>0</v>
      </c>
      <c r="AJ66" s="45"/>
      <c r="AK66" s="45">
        <v>0</v>
      </c>
      <c r="AL66" s="45"/>
      <c r="AM66" s="49">
        <f t="shared" si="2"/>
        <v>269230</v>
      </c>
      <c r="AN66" s="45"/>
      <c r="AO66" s="49">
        <f t="shared" si="6"/>
        <v>55884495</v>
      </c>
    </row>
    <row r="67" spans="1:41">
      <c r="A67" s="17" t="s">
        <v>826</v>
      </c>
      <c r="B67" s="12"/>
      <c r="C67" s="12" t="s">
        <v>15</v>
      </c>
      <c r="D67" s="12"/>
      <c r="E67" s="13">
        <v>45237</v>
      </c>
      <c r="F67" s="45"/>
      <c r="G67" s="45">
        <v>1983118</v>
      </c>
      <c r="H67" s="45"/>
      <c r="I67" s="45">
        <v>0</v>
      </c>
      <c r="J67" s="45"/>
      <c r="K67" s="45">
        <f>4863849+1469232</f>
        <v>6333081</v>
      </c>
      <c r="L67" s="45"/>
      <c r="M67" s="45">
        <v>4821</v>
      </c>
      <c r="N67" s="45"/>
      <c r="O67" s="45">
        <v>410891</v>
      </c>
      <c r="P67" s="45"/>
      <c r="Q67" s="45">
        <v>61323</v>
      </c>
      <c r="R67" s="45"/>
      <c r="S67" s="45">
        <v>0</v>
      </c>
      <c r="T67" s="45"/>
      <c r="U67" s="45">
        <v>0</v>
      </c>
      <c r="V67" s="45"/>
      <c r="W67" s="45">
        <f>33352+110850+6374</f>
        <v>150576</v>
      </c>
      <c r="X67" s="45"/>
      <c r="Y67" s="49">
        <f t="shared" si="7"/>
        <v>8943810</v>
      </c>
      <c r="Z67" s="45"/>
      <c r="AA67" s="45">
        <v>40275</v>
      </c>
      <c r="AB67" s="45"/>
      <c r="AC67" s="45"/>
      <c r="AD67" s="45"/>
      <c r="AE67" s="45">
        <v>100000</v>
      </c>
      <c r="AF67" s="45"/>
      <c r="AG67" s="45"/>
      <c r="AH67" s="45"/>
      <c r="AI67" s="45">
        <v>0</v>
      </c>
      <c r="AJ67" s="45"/>
      <c r="AK67" s="45">
        <v>0</v>
      </c>
      <c r="AL67" s="45"/>
      <c r="AM67" s="49">
        <f t="shared" si="2"/>
        <v>140275</v>
      </c>
      <c r="AN67" s="45"/>
      <c r="AO67" s="49">
        <f t="shared" si="6"/>
        <v>9084085</v>
      </c>
    </row>
    <row r="68" spans="1:41">
      <c r="A68" s="12" t="s">
        <v>394</v>
      </c>
      <c r="B68" s="12"/>
      <c r="C68" s="12" t="s">
        <v>395</v>
      </c>
      <c r="D68" s="12"/>
      <c r="E68" s="13">
        <v>47613</v>
      </c>
      <c r="F68" s="45"/>
      <c r="G68" s="45">
        <v>1560081</v>
      </c>
      <c r="H68" s="45"/>
      <c r="I68" s="45">
        <v>0</v>
      </c>
      <c r="J68" s="45"/>
      <c r="K68" s="45">
        <v>6221926</v>
      </c>
      <c r="L68" s="45"/>
      <c r="M68" s="45">
        <v>29695</v>
      </c>
      <c r="N68" s="45"/>
      <c r="O68" s="45">
        <v>440343</v>
      </c>
      <c r="P68" s="45"/>
      <c r="Q68" s="45">
        <v>23170</v>
      </c>
      <c r="R68" s="45"/>
      <c r="S68" s="45">
        <v>0</v>
      </c>
      <c r="T68" s="45"/>
      <c r="U68" s="45">
        <v>1581</v>
      </c>
      <c r="V68" s="45"/>
      <c r="W68" s="45">
        <f>29584+128543+8390</f>
        <v>166517</v>
      </c>
      <c r="X68" s="45"/>
      <c r="Y68" s="49">
        <f t="shared" si="7"/>
        <v>8443313</v>
      </c>
      <c r="Z68" s="45"/>
      <c r="AA68" s="45">
        <v>325000</v>
      </c>
      <c r="AB68" s="45"/>
      <c r="AC68" s="45"/>
      <c r="AD68" s="45"/>
      <c r="AE68" s="45">
        <v>0</v>
      </c>
      <c r="AF68" s="45"/>
      <c r="AG68" s="45"/>
      <c r="AH68" s="45"/>
      <c r="AI68" s="45">
        <v>18589</v>
      </c>
      <c r="AJ68" s="45"/>
      <c r="AK68" s="45">
        <v>0</v>
      </c>
      <c r="AL68" s="45"/>
      <c r="AM68" s="49">
        <f t="shared" si="2"/>
        <v>343589</v>
      </c>
      <c r="AN68" s="45"/>
      <c r="AO68" s="49">
        <f t="shared" si="6"/>
        <v>8786902</v>
      </c>
    </row>
    <row r="69" spans="1:41">
      <c r="A69" s="12" t="s">
        <v>600</v>
      </c>
      <c r="B69" s="12"/>
      <c r="C69" s="12" t="s">
        <v>64</v>
      </c>
      <c r="D69" s="12"/>
      <c r="E69" s="13">
        <v>50112</v>
      </c>
      <c r="F69" s="45"/>
      <c r="G69" s="45">
        <v>2534012</v>
      </c>
      <c r="H69" s="45"/>
      <c r="I69" s="45">
        <v>0</v>
      </c>
      <c r="J69" s="45"/>
      <c r="K69" s="45">
        <f>3854886+959329</f>
        <v>4814215</v>
      </c>
      <c r="L69" s="45"/>
      <c r="M69" s="45">
        <v>4258</v>
      </c>
      <c r="N69" s="45"/>
      <c r="O69" s="45">
        <v>314313</v>
      </c>
      <c r="P69" s="45"/>
      <c r="Q69" s="45">
        <v>87821</v>
      </c>
      <c r="R69" s="45"/>
      <c r="S69" s="45">
        <v>0</v>
      </c>
      <c r="T69" s="45"/>
      <c r="U69" s="45">
        <v>0</v>
      </c>
      <c r="V69" s="45"/>
      <c r="W69" s="45">
        <f>23386+9421+123488</f>
        <v>156295</v>
      </c>
      <c r="X69" s="45"/>
      <c r="Y69" s="49">
        <f t="shared" si="7"/>
        <v>7910914</v>
      </c>
      <c r="Z69" s="45"/>
      <c r="AA69" s="45">
        <v>98604</v>
      </c>
      <c r="AB69" s="45"/>
      <c r="AC69" s="45"/>
      <c r="AD69" s="45"/>
      <c r="AE69" s="45">
        <v>0</v>
      </c>
      <c r="AF69" s="45"/>
      <c r="AG69" s="45"/>
      <c r="AH69" s="45"/>
      <c r="AI69" s="45">
        <v>0</v>
      </c>
      <c r="AJ69" s="45"/>
      <c r="AK69" s="45">
        <v>0</v>
      </c>
      <c r="AL69" s="45"/>
      <c r="AM69" s="49">
        <f t="shared" si="2"/>
        <v>98604</v>
      </c>
      <c r="AN69" s="45"/>
      <c r="AO69" s="49">
        <f t="shared" si="6"/>
        <v>8009518</v>
      </c>
    </row>
    <row r="70" spans="1:41">
      <c r="A70" s="12" t="s">
        <v>601</v>
      </c>
      <c r="B70" s="12"/>
      <c r="C70" s="12" t="s">
        <v>64</v>
      </c>
      <c r="D70" s="12"/>
      <c r="E70" s="13">
        <v>50120</v>
      </c>
      <c r="F70" s="45"/>
      <c r="G70" s="45">
        <v>3527896</v>
      </c>
      <c r="H70" s="45"/>
      <c r="I70" s="45">
        <v>0</v>
      </c>
      <c r="J70" s="45"/>
      <c r="K70" s="45">
        <f>11614404+1697289</f>
        <v>13311693</v>
      </c>
      <c r="L70" s="45"/>
      <c r="M70" s="45">
        <v>222660</v>
      </c>
      <c r="N70" s="45"/>
      <c r="O70" s="45">
        <v>276411</v>
      </c>
      <c r="P70" s="45"/>
      <c r="Q70" s="45">
        <v>111044</v>
      </c>
      <c r="R70" s="45"/>
      <c r="S70" s="45">
        <v>0</v>
      </c>
      <c r="T70" s="45"/>
      <c r="U70" s="45">
        <v>0</v>
      </c>
      <c r="V70" s="45"/>
      <c r="W70" s="45">
        <f>61321+7585+189088+863</f>
        <v>258857</v>
      </c>
      <c r="X70" s="45"/>
      <c r="Y70" s="49">
        <f t="shared" si="7"/>
        <v>17708561</v>
      </c>
      <c r="Z70" s="45"/>
      <c r="AA70" s="45">
        <v>0</v>
      </c>
      <c r="AB70" s="45"/>
      <c r="AC70" s="45"/>
      <c r="AD70" s="45"/>
      <c r="AE70" s="45">
        <v>0</v>
      </c>
      <c r="AF70" s="45"/>
      <c r="AG70" s="45"/>
      <c r="AH70" s="45"/>
      <c r="AI70" s="45">
        <v>0</v>
      </c>
      <c r="AJ70" s="45"/>
      <c r="AK70" s="45">
        <v>0</v>
      </c>
      <c r="AL70" s="45"/>
      <c r="AM70" s="49">
        <f t="shared" si="2"/>
        <v>0</v>
      </c>
      <c r="AN70" s="45"/>
      <c r="AO70" s="49">
        <f t="shared" si="6"/>
        <v>17708561</v>
      </c>
    </row>
    <row r="71" spans="1:41">
      <c r="A71" s="12" t="s">
        <v>284</v>
      </c>
      <c r="B71" s="12"/>
      <c r="C71" s="12" t="s">
        <v>20</v>
      </c>
      <c r="D71" s="12"/>
      <c r="E71" s="13">
        <v>43653</v>
      </c>
      <c r="F71" s="45"/>
      <c r="G71" s="45">
        <v>9625360</v>
      </c>
      <c r="H71" s="45"/>
      <c r="I71" s="45">
        <v>0</v>
      </c>
      <c r="J71" s="45"/>
      <c r="K71" s="45">
        <v>5859794</v>
      </c>
      <c r="L71" s="45"/>
      <c r="M71" s="45">
        <v>330</v>
      </c>
      <c r="N71" s="45"/>
      <c r="O71" s="45">
        <v>283304</v>
      </c>
      <c r="P71" s="45"/>
      <c r="Q71" s="45">
        <v>161686</v>
      </c>
      <c r="R71" s="45"/>
      <c r="S71" s="45">
        <v>0</v>
      </c>
      <c r="T71" s="45"/>
      <c r="U71" s="45">
        <v>12116</v>
      </c>
      <c r="V71" s="45"/>
      <c r="W71" s="45">
        <f>1820+166528+340733</f>
        <v>509081</v>
      </c>
      <c r="X71" s="45"/>
      <c r="Y71" s="49">
        <f t="shared" si="7"/>
        <v>16451671</v>
      </c>
      <c r="Z71" s="45"/>
      <c r="AA71" s="45">
        <v>19323</v>
      </c>
      <c r="AB71" s="45"/>
      <c r="AC71" s="45"/>
      <c r="AD71" s="45"/>
      <c r="AE71" s="45">
        <v>0</v>
      </c>
      <c r="AF71" s="45"/>
      <c r="AG71" s="45"/>
      <c r="AH71" s="45"/>
      <c r="AI71" s="45">
        <v>0</v>
      </c>
      <c r="AJ71" s="45"/>
      <c r="AK71" s="45">
        <v>0</v>
      </c>
      <c r="AL71" s="45"/>
      <c r="AM71" s="49">
        <f t="shared" si="2"/>
        <v>19323</v>
      </c>
      <c r="AN71" s="45"/>
      <c r="AO71" s="49">
        <f t="shared" si="6"/>
        <v>16470994</v>
      </c>
    </row>
    <row r="72" spans="1:41">
      <c r="A72" s="12" t="s">
        <v>494</v>
      </c>
      <c r="B72" s="12"/>
      <c r="C72" s="12" t="s">
        <v>50</v>
      </c>
      <c r="D72" s="12"/>
      <c r="E72" s="13">
        <v>48678</v>
      </c>
      <c r="F72" s="45"/>
      <c r="G72" s="45">
        <v>6402379</v>
      </c>
      <c r="H72" s="45"/>
      <c r="I72" s="45">
        <v>0</v>
      </c>
      <c r="J72" s="45"/>
      <c r="K72" s="45">
        <v>13005913</v>
      </c>
      <c r="L72" s="45"/>
      <c r="M72" s="45">
        <v>184504</v>
      </c>
      <c r="N72" s="45"/>
      <c r="O72" s="45">
        <v>285541</v>
      </c>
      <c r="P72" s="45"/>
      <c r="Q72" s="45">
        <v>286300</v>
      </c>
      <c r="R72" s="45"/>
      <c r="S72" s="45">
        <v>138359</v>
      </c>
      <c r="T72" s="45"/>
      <c r="U72" s="45">
        <v>0</v>
      </c>
      <c r="V72" s="45"/>
      <c r="W72" s="45">
        <f>503731+173480</f>
        <v>677211</v>
      </c>
      <c r="X72" s="45"/>
      <c r="Y72" s="49">
        <f t="shared" si="7"/>
        <v>20980207</v>
      </c>
      <c r="Z72" s="45"/>
      <c r="AA72" s="45">
        <v>213962</v>
      </c>
      <c r="AB72" s="45"/>
      <c r="AC72" s="45"/>
      <c r="AD72" s="45"/>
      <c r="AE72" s="45">
        <v>0</v>
      </c>
      <c r="AF72" s="45"/>
      <c r="AG72" s="45"/>
      <c r="AH72" s="45"/>
      <c r="AI72" s="45">
        <v>3900</v>
      </c>
      <c r="AJ72" s="45"/>
      <c r="AK72" s="45">
        <v>0</v>
      </c>
      <c r="AL72" s="45"/>
      <c r="AM72" s="49">
        <f t="shared" si="2"/>
        <v>217862</v>
      </c>
      <c r="AN72" s="45"/>
      <c r="AO72" s="49">
        <f t="shared" si="6"/>
        <v>21198069</v>
      </c>
    </row>
    <row r="73" spans="1:41">
      <c r="A73" s="12" t="s">
        <v>237</v>
      </c>
      <c r="B73" s="12"/>
      <c r="C73" s="12" t="s">
        <v>16</v>
      </c>
      <c r="D73" s="12"/>
      <c r="E73" s="13">
        <v>46177</v>
      </c>
      <c r="F73" s="45"/>
      <c r="G73" s="45">
        <v>2552647</v>
      </c>
      <c r="H73" s="45"/>
      <c r="I73" s="45">
        <v>0</v>
      </c>
      <c r="J73" s="45"/>
      <c r="K73" s="45">
        <v>4168958</v>
      </c>
      <c r="L73" s="45"/>
      <c r="M73" s="45">
        <v>33349</v>
      </c>
      <c r="N73" s="45"/>
      <c r="O73" s="45">
        <v>325488</v>
      </c>
      <c r="P73" s="45"/>
      <c r="Q73" s="45">
        <v>137021</v>
      </c>
      <c r="R73" s="45"/>
      <c r="S73" s="45">
        <v>0</v>
      </c>
      <c r="T73" s="45"/>
      <c r="U73" s="45">
        <v>3790</v>
      </c>
      <c r="V73" s="45"/>
      <c r="W73" s="45">
        <f>23322+110697+5000</f>
        <v>139019</v>
      </c>
      <c r="X73" s="45"/>
      <c r="Y73" s="49">
        <f t="shared" si="7"/>
        <v>7360272</v>
      </c>
      <c r="Z73" s="45"/>
      <c r="AA73" s="45">
        <v>0</v>
      </c>
      <c r="AB73" s="45"/>
      <c r="AC73" s="45"/>
      <c r="AD73" s="45"/>
      <c r="AE73" s="45">
        <v>0</v>
      </c>
      <c r="AF73" s="45"/>
      <c r="AG73" s="45"/>
      <c r="AH73" s="45"/>
      <c r="AI73" s="45">
        <v>0</v>
      </c>
      <c r="AJ73" s="45"/>
      <c r="AK73" s="45">
        <v>0</v>
      </c>
      <c r="AL73" s="45"/>
      <c r="AM73" s="49">
        <f t="shared" si="2"/>
        <v>0</v>
      </c>
      <c r="AN73" s="45"/>
      <c r="AO73" s="49">
        <f t="shared" si="6"/>
        <v>7360272</v>
      </c>
    </row>
    <row r="74" spans="1:41">
      <c r="A74" s="12" t="s">
        <v>479</v>
      </c>
      <c r="B74" s="12"/>
      <c r="C74" s="12" t="s">
        <v>47</v>
      </c>
      <c r="D74" s="12"/>
      <c r="E74" s="13">
        <v>43661</v>
      </c>
      <c r="F74" s="45"/>
      <c r="G74" s="45">
        <v>38880298</v>
      </c>
      <c r="H74" s="45"/>
      <c r="I74" s="45">
        <v>0</v>
      </c>
      <c r="J74" s="45"/>
      <c r="K74" s="45">
        <v>35745582</v>
      </c>
      <c r="L74" s="45"/>
      <c r="M74" s="45">
        <v>30599</v>
      </c>
      <c r="N74" s="45"/>
      <c r="O74" s="45">
        <v>728355</v>
      </c>
      <c r="P74" s="45"/>
      <c r="Q74" s="45">
        <v>1019812</v>
      </c>
      <c r="R74" s="45"/>
      <c r="S74" s="45">
        <v>0</v>
      </c>
      <c r="T74" s="45"/>
      <c r="U74" s="45">
        <v>22350</v>
      </c>
      <c r="V74" s="45"/>
      <c r="W74" s="45">
        <f>278679+1092856+64297</f>
        <v>1435832</v>
      </c>
      <c r="X74" s="45"/>
      <c r="Y74" s="49">
        <f t="shared" si="7"/>
        <v>77862828</v>
      </c>
      <c r="Z74" s="45"/>
      <c r="AA74" s="1">
        <v>10000</v>
      </c>
      <c r="AB74" s="45"/>
      <c r="AC74" s="45"/>
      <c r="AD74" s="45"/>
      <c r="AE74" s="45">
        <v>0</v>
      </c>
      <c r="AF74" s="45"/>
      <c r="AG74" s="45"/>
      <c r="AH74" s="45"/>
      <c r="AI74" s="45">
        <v>0</v>
      </c>
      <c r="AJ74" s="45"/>
      <c r="AK74" s="45">
        <v>0</v>
      </c>
      <c r="AL74" s="45"/>
      <c r="AM74" s="49">
        <f t="shared" si="2"/>
        <v>10000</v>
      </c>
      <c r="AN74" s="45"/>
      <c r="AO74" s="49">
        <f t="shared" si="6"/>
        <v>77872828</v>
      </c>
    </row>
    <row r="75" spans="1:41" hidden="1">
      <c r="A75" s="12" t="s">
        <v>829</v>
      </c>
      <c r="B75" s="12"/>
      <c r="C75" s="12" t="s">
        <v>643</v>
      </c>
      <c r="D75" s="12"/>
      <c r="E75" s="13">
        <v>43679</v>
      </c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9">
        <f t="shared" si="7"/>
        <v>0</v>
      </c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>
        <v>0</v>
      </c>
      <c r="AL75" s="45"/>
      <c r="AM75" s="49">
        <f t="shared" si="2"/>
        <v>0</v>
      </c>
      <c r="AN75" s="45"/>
      <c r="AO75" s="49">
        <f t="shared" si="6"/>
        <v>0</v>
      </c>
    </row>
    <row r="76" spans="1:41">
      <c r="A76" s="12" t="s">
        <v>275</v>
      </c>
      <c r="B76" s="12"/>
      <c r="C76" s="12" t="s">
        <v>113</v>
      </c>
      <c r="D76" s="12"/>
      <c r="E76" s="13">
        <v>46508</v>
      </c>
      <c r="F76" s="45"/>
      <c r="G76" s="45">
        <v>2368284</v>
      </c>
      <c r="H76" s="45"/>
      <c r="I76" s="45">
        <v>1362724</v>
      </c>
      <c r="J76" s="45"/>
      <c r="K76" s="45">
        <f>824448+5053482</f>
        <v>5877930</v>
      </c>
      <c r="L76" s="45"/>
      <c r="M76" s="45">
        <v>58490</v>
      </c>
      <c r="N76" s="45"/>
      <c r="O76" s="45">
        <v>182343</v>
      </c>
      <c r="P76" s="45"/>
      <c r="Q76" s="45">
        <v>75507</v>
      </c>
      <c r="R76" s="45"/>
      <c r="S76" s="45">
        <v>0</v>
      </c>
      <c r="T76" s="45"/>
      <c r="U76" s="45">
        <v>0</v>
      </c>
      <c r="V76" s="45"/>
      <c r="W76" s="45">
        <f>212935+10003+145085</f>
        <v>368023</v>
      </c>
      <c r="X76" s="45"/>
      <c r="Y76" s="49">
        <f t="shared" si="7"/>
        <v>10293301</v>
      </c>
      <c r="Z76" s="45"/>
      <c r="AA76" s="45">
        <v>32500</v>
      </c>
      <c r="AB76" s="45"/>
      <c r="AC76" s="45"/>
      <c r="AD76" s="45"/>
      <c r="AE76" s="45">
        <v>0</v>
      </c>
      <c r="AF76" s="45"/>
      <c r="AG76" s="45"/>
      <c r="AH76" s="45"/>
      <c r="AI76" s="45">
        <v>111488</v>
      </c>
      <c r="AJ76" s="45"/>
      <c r="AK76" s="45">
        <v>0</v>
      </c>
      <c r="AL76" s="45"/>
      <c r="AM76" s="49">
        <f t="shared" si="2"/>
        <v>143988</v>
      </c>
      <c r="AN76" s="45"/>
      <c r="AO76" s="49">
        <f t="shared" ref="AO76:AO95" si="8">Y76+AM76</f>
        <v>10437289</v>
      </c>
    </row>
    <row r="77" spans="1:41">
      <c r="A77" s="12" t="s">
        <v>209</v>
      </c>
      <c r="B77" s="12"/>
      <c r="C77" s="12" t="s">
        <v>12</v>
      </c>
      <c r="D77" s="12"/>
      <c r="E77" s="13">
        <v>45856</v>
      </c>
      <c r="F77" s="45"/>
      <c r="G77" s="45">
        <v>7109929</v>
      </c>
      <c r="H77" s="45"/>
      <c r="I77" s="45">
        <v>0</v>
      </c>
      <c r="J77" s="45"/>
      <c r="K77" s="45">
        <v>11739458</v>
      </c>
      <c r="L77" s="45"/>
      <c r="M77" s="45">
        <v>39754</v>
      </c>
      <c r="N77" s="45"/>
      <c r="O77" s="45">
        <v>1160974</v>
      </c>
      <c r="P77" s="45"/>
      <c r="Q77" s="45">
        <v>147857</v>
      </c>
      <c r="R77" s="45"/>
      <c r="S77" s="45">
        <v>0</v>
      </c>
      <c r="T77" s="45"/>
      <c r="U77" s="45">
        <v>13470</v>
      </c>
      <c r="V77" s="45"/>
      <c r="W77" s="45">
        <f>24226+1855+381078</f>
        <v>407159</v>
      </c>
      <c r="X77" s="45"/>
      <c r="Y77" s="49">
        <f t="shared" si="7"/>
        <v>20618601</v>
      </c>
      <c r="Z77" s="45"/>
      <c r="AA77" s="45">
        <v>0</v>
      </c>
      <c r="AB77" s="45"/>
      <c r="AC77" s="45"/>
      <c r="AD77" s="45"/>
      <c r="AE77" s="45">
        <v>0</v>
      </c>
      <c r="AF77" s="45"/>
      <c r="AG77" s="45"/>
      <c r="AH77" s="45"/>
      <c r="AI77" s="45">
        <v>72842</v>
      </c>
      <c r="AJ77" s="45"/>
      <c r="AK77" s="45">
        <v>0</v>
      </c>
      <c r="AL77" s="45"/>
      <c r="AM77" s="49">
        <f t="shared" si="2"/>
        <v>72842</v>
      </c>
      <c r="AN77" s="45"/>
      <c r="AO77" s="49">
        <f t="shared" si="8"/>
        <v>20691443</v>
      </c>
    </row>
    <row r="78" spans="1:41">
      <c r="A78" s="12" t="s">
        <v>209</v>
      </c>
      <c r="B78" s="12"/>
      <c r="C78" s="12" t="s">
        <v>39</v>
      </c>
      <c r="D78" s="12"/>
      <c r="E78" s="13">
        <v>47787</v>
      </c>
      <c r="F78" s="45"/>
      <c r="G78" s="45">
        <v>6738690</v>
      </c>
      <c r="H78" s="45"/>
      <c r="I78" s="45">
        <v>0</v>
      </c>
      <c r="J78" s="45"/>
      <c r="K78" s="45">
        <v>15074504</v>
      </c>
      <c r="L78" s="45"/>
      <c r="M78" s="45">
        <v>11461</v>
      </c>
      <c r="N78" s="45"/>
      <c r="O78" s="45">
        <v>525588</v>
      </c>
      <c r="P78" s="45"/>
      <c r="Q78" s="45">
        <v>155199</v>
      </c>
      <c r="R78" s="45"/>
      <c r="S78" s="45">
        <v>0</v>
      </c>
      <c r="T78" s="45"/>
      <c r="U78" s="45">
        <v>50563</v>
      </c>
      <c r="V78" s="45"/>
      <c r="W78" s="45">
        <f>284607+11567</f>
        <v>296174</v>
      </c>
      <c r="X78" s="45"/>
      <c r="Y78" s="49">
        <f t="shared" si="7"/>
        <v>22852179</v>
      </c>
      <c r="Z78" s="45"/>
      <c r="AA78" s="45">
        <v>158623</v>
      </c>
      <c r="AB78" s="45"/>
      <c r="AC78" s="45"/>
      <c r="AD78" s="45"/>
      <c r="AE78" s="45">
        <v>0</v>
      </c>
      <c r="AF78" s="45"/>
      <c r="AG78" s="45"/>
      <c r="AH78" s="45"/>
      <c r="AI78" s="45">
        <v>0</v>
      </c>
      <c r="AJ78" s="45"/>
      <c r="AK78" s="45">
        <v>0</v>
      </c>
      <c r="AL78" s="45"/>
      <c r="AM78" s="49">
        <f t="shared" ref="AM78:AM95" si="9">SUM(AA78:AI78)</f>
        <v>158623</v>
      </c>
      <c r="AN78" s="45"/>
      <c r="AO78" s="49">
        <f t="shared" si="8"/>
        <v>23010802</v>
      </c>
    </row>
    <row r="79" spans="1:41">
      <c r="A79" s="12" t="s">
        <v>830</v>
      </c>
      <c r="B79" s="12"/>
      <c r="C79" s="12" t="s">
        <v>47</v>
      </c>
      <c r="D79" s="12"/>
      <c r="E79" s="13">
        <v>48470</v>
      </c>
      <c r="F79" s="45"/>
      <c r="G79" s="45">
        <v>10906275</v>
      </c>
      <c r="H79" s="45"/>
      <c r="I79" s="45">
        <v>0</v>
      </c>
      <c r="J79" s="45"/>
      <c r="K79" s="45">
        <v>11553056</v>
      </c>
      <c r="L79" s="45"/>
      <c r="M79" s="45">
        <v>9906</v>
      </c>
      <c r="N79" s="45"/>
      <c r="O79" s="45">
        <v>276543</v>
      </c>
      <c r="P79" s="45"/>
      <c r="Q79" s="45">
        <v>431336</v>
      </c>
      <c r="R79" s="45"/>
      <c r="S79" s="45">
        <v>0</v>
      </c>
      <c r="T79" s="45"/>
      <c r="U79" s="45">
        <v>9786</v>
      </c>
      <c r="V79" s="45"/>
      <c r="W79" s="45">
        <f>252261+267971+56385</f>
        <v>576617</v>
      </c>
      <c r="X79" s="45"/>
      <c r="Y79" s="49">
        <f t="shared" si="7"/>
        <v>23763519</v>
      </c>
      <c r="Z79" s="45"/>
      <c r="AA79" s="45">
        <v>229488</v>
      </c>
      <c r="AB79" s="45"/>
      <c r="AC79" s="45"/>
      <c r="AD79" s="45"/>
      <c r="AE79" s="45">
        <v>3500000</v>
      </c>
      <c r="AF79" s="45"/>
      <c r="AG79" s="45"/>
      <c r="AH79" s="45"/>
      <c r="AI79" s="45">
        <v>7165</v>
      </c>
      <c r="AJ79" s="45"/>
      <c r="AK79" s="45">
        <v>0</v>
      </c>
      <c r="AL79" s="45"/>
      <c r="AM79" s="49">
        <f t="shared" si="9"/>
        <v>3736653</v>
      </c>
      <c r="AN79" s="45"/>
      <c r="AO79" s="49">
        <f t="shared" si="8"/>
        <v>27500172</v>
      </c>
    </row>
    <row r="80" spans="1:41">
      <c r="A80" s="1" t="s">
        <v>775</v>
      </c>
      <c r="B80" s="12"/>
      <c r="C80" s="12" t="s">
        <v>114</v>
      </c>
      <c r="D80" s="12"/>
      <c r="E80" s="13">
        <v>46755</v>
      </c>
      <c r="F80" s="45"/>
      <c r="G80" s="45">
        <v>0</v>
      </c>
      <c r="H80" s="45"/>
      <c r="I80" s="45">
        <v>0</v>
      </c>
      <c r="J80" s="45"/>
      <c r="K80" s="45">
        <f>940550+1712233</f>
        <v>2652783</v>
      </c>
      <c r="L80" s="45"/>
      <c r="M80" s="45">
        <v>0</v>
      </c>
      <c r="N80" s="45"/>
      <c r="O80" s="45">
        <v>0</v>
      </c>
      <c r="P80" s="45"/>
      <c r="Q80" s="45">
        <v>0</v>
      </c>
      <c r="R80" s="45"/>
      <c r="S80" s="45">
        <v>0</v>
      </c>
      <c r="T80" s="45"/>
      <c r="U80" s="45">
        <v>8791004</v>
      </c>
      <c r="V80" s="45"/>
      <c r="W80" s="45">
        <v>3423</v>
      </c>
      <c r="X80" s="45"/>
      <c r="Y80" s="49">
        <f>SUM(G80:W80)</f>
        <v>11447210</v>
      </c>
      <c r="Z80" s="45"/>
      <c r="AA80" s="45">
        <v>0</v>
      </c>
      <c r="AB80" s="45"/>
      <c r="AC80" s="45"/>
      <c r="AD80" s="45"/>
      <c r="AE80" s="45">
        <v>0</v>
      </c>
      <c r="AF80" s="45"/>
      <c r="AG80" s="45"/>
      <c r="AH80" s="45"/>
      <c r="AI80" s="45">
        <v>0</v>
      </c>
      <c r="AJ80" s="45"/>
      <c r="AK80" s="45">
        <v>0</v>
      </c>
      <c r="AL80" s="45"/>
      <c r="AM80" s="49">
        <f t="shared" si="9"/>
        <v>0</v>
      </c>
      <c r="AN80" s="45"/>
      <c r="AO80" s="49">
        <f t="shared" si="8"/>
        <v>11447210</v>
      </c>
    </row>
    <row r="81" spans="1:41">
      <c r="A81" s="12" t="s">
        <v>312</v>
      </c>
      <c r="B81" s="12"/>
      <c r="C81" s="12" t="s">
        <v>23</v>
      </c>
      <c r="D81" s="12"/>
      <c r="E81" s="13">
        <v>46755</v>
      </c>
      <c r="F81" s="45"/>
      <c r="G81" s="45">
        <v>11431031</v>
      </c>
      <c r="H81" s="45"/>
      <c r="I81" s="45">
        <v>4363146</v>
      </c>
      <c r="J81" s="45"/>
      <c r="K81" s="45">
        <f>6808695+1794511</f>
        <v>8603206</v>
      </c>
      <c r="L81" s="45"/>
      <c r="M81" s="45">
        <v>245283</v>
      </c>
      <c r="N81" s="45"/>
      <c r="O81" s="45">
        <v>932312</v>
      </c>
      <c r="P81" s="45"/>
      <c r="Q81" s="45">
        <v>202952</v>
      </c>
      <c r="R81" s="45"/>
      <c r="S81" s="45">
        <v>0</v>
      </c>
      <c r="T81" s="45"/>
      <c r="U81" s="45">
        <v>17669</v>
      </c>
      <c r="V81" s="45"/>
      <c r="W81" s="45">
        <f>88962+2305+12076+197891+523575</f>
        <v>824809</v>
      </c>
      <c r="X81" s="45"/>
      <c r="Y81" s="49">
        <f>SUM(G81:W81)</f>
        <v>26620408</v>
      </c>
      <c r="Z81" s="45"/>
      <c r="AA81" s="45">
        <v>0</v>
      </c>
      <c r="AB81" s="45"/>
      <c r="AC81" s="45"/>
      <c r="AD81" s="45"/>
      <c r="AE81" s="45">
        <v>0</v>
      </c>
      <c r="AF81" s="45"/>
      <c r="AG81" s="45"/>
      <c r="AH81" s="45"/>
      <c r="AI81" s="45">
        <v>0</v>
      </c>
      <c r="AJ81" s="45"/>
      <c r="AK81" s="45">
        <v>0</v>
      </c>
      <c r="AL81" s="45"/>
      <c r="AM81" s="49">
        <f t="shared" si="9"/>
        <v>0</v>
      </c>
      <c r="AN81" s="45"/>
      <c r="AO81" s="49">
        <f t="shared" si="8"/>
        <v>26620408</v>
      </c>
    </row>
    <row r="82" spans="1:41">
      <c r="A82" s="12" t="s">
        <v>276</v>
      </c>
      <c r="B82" s="12"/>
      <c r="C82" s="12" t="s">
        <v>113</v>
      </c>
      <c r="D82" s="12"/>
      <c r="E82" s="13">
        <v>43687</v>
      </c>
      <c r="F82" s="45"/>
      <c r="G82" s="45">
        <v>4769335</v>
      </c>
      <c r="H82" s="45"/>
      <c r="I82" s="45">
        <v>0</v>
      </c>
      <c r="J82" s="45"/>
      <c r="K82" s="45">
        <v>13133094</v>
      </c>
      <c r="L82" s="45"/>
      <c r="M82" s="45">
        <v>74796</v>
      </c>
      <c r="N82" s="45"/>
      <c r="O82" s="45">
        <v>574805</v>
      </c>
      <c r="P82" s="45"/>
      <c r="Q82" s="45">
        <v>85241</v>
      </c>
      <c r="R82" s="45"/>
      <c r="S82" s="45">
        <v>47475</v>
      </c>
      <c r="T82" s="45"/>
      <c r="U82" s="45">
        <v>5545</v>
      </c>
      <c r="V82" s="45"/>
      <c r="W82" s="45">
        <f>209710+318682</f>
        <v>528392</v>
      </c>
      <c r="X82" s="45"/>
      <c r="Y82" s="49">
        <f>SUM(G82:W82)</f>
        <v>19218683</v>
      </c>
      <c r="Z82" s="45"/>
      <c r="AA82" s="45">
        <v>0</v>
      </c>
      <c r="AB82" s="45"/>
      <c r="AC82" s="45"/>
      <c r="AD82" s="45"/>
      <c r="AE82" s="45">
        <v>0</v>
      </c>
      <c r="AF82" s="45"/>
      <c r="AG82" s="45"/>
      <c r="AH82" s="45"/>
      <c r="AI82" s="45">
        <v>0</v>
      </c>
      <c r="AJ82" s="45"/>
      <c r="AK82" s="45">
        <v>0</v>
      </c>
      <c r="AL82" s="45"/>
      <c r="AM82" s="49">
        <f t="shared" si="9"/>
        <v>0</v>
      </c>
      <c r="AN82" s="45"/>
      <c r="AO82" s="49">
        <f t="shared" si="8"/>
        <v>19218683</v>
      </c>
    </row>
    <row r="83" spans="1:41">
      <c r="A83" s="12" t="s">
        <v>517</v>
      </c>
      <c r="B83" s="12"/>
      <c r="C83" s="12" t="s">
        <v>52</v>
      </c>
      <c r="D83" s="12"/>
      <c r="E83" s="13">
        <v>45252</v>
      </c>
      <c r="F83" s="45"/>
      <c r="G83" s="45">
        <v>2583094</v>
      </c>
      <c r="H83" s="45"/>
      <c r="I83" s="45">
        <v>0</v>
      </c>
      <c r="J83" s="45"/>
      <c r="K83" s="45">
        <v>5549433</v>
      </c>
      <c r="L83" s="45"/>
      <c r="M83" s="45">
        <v>14039</v>
      </c>
      <c r="N83" s="45"/>
      <c r="O83" s="45">
        <v>295935</v>
      </c>
      <c r="P83" s="45"/>
      <c r="Q83" s="45">
        <v>185807</v>
      </c>
      <c r="R83" s="45"/>
      <c r="S83" s="45">
        <v>0</v>
      </c>
      <c r="T83" s="45"/>
      <c r="U83" s="45">
        <v>19320</v>
      </c>
      <c r="V83" s="45"/>
      <c r="W83" s="45">
        <f>15535+121521</f>
        <v>137056</v>
      </c>
      <c r="X83" s="45"/>
      <c r="Y83" s="49">
        <f t="shared" ref="Y83:Y84" si="10">SUM(G83:W83)</f>
        <v>8784684</v>
      </c>
      <c r="Z83" s="45"/>
      <c r="AA83" s="45">
        <v>50000</v>
      </c>
      <c r="AB83" s="45"/>
      <c r="AC83" s="45"/>
      <c r="AD83" s="45"/>
      <c r="AE83" s="45">
        <v>0</v>
      </c>
      <c r="AF83" s="45"/>
      <c r="AG83" s="45"/>
      <c r="AH83" s="45"/>
      <c r="AI83" s="45">
        <v>5300</v>
      </c>
      <c r="AJ83" s="45"/>
      <c r="AK83" s="45">
        <v>0</v>
      </c>
      <c r="AL83" s="45"/>
      <c r="AM83" s="49">
        <f t="shared" si="9"/>
        <v>55300</v>
      </c>
      <c r="AN83" s="45"/>
      <c r="AO83" s="49">
        <f t="shared" si="8"/>
        <v>8839984</v>
      </c>
    </row>
    <row r="84" spans="1:41">
      <c r="A84" s="12" t="s">
        <v>360</v>
      </c>
      <c r="B84" s="12"/>
      <c r="C84" s="12" t="s">
        <v>31</v>
      </c>
      <c r="D84" s="12"/>
      <c r="E84" s="13">
        <v>43695</v>
      </c>
      <c r="F84" s="45"/>
      <c r="G84" s="45">
        <v>4730977</v>
      </c>
      <c r="H84" s="45"/>
      <c r="I84" s="45">
        <v>0</v>
      </c>
      <c r="J84" s="45"/>
      <c r="K84" s="45">
        <v>17801280</v>
      </c>
      <c r="L84" s="45"/>
      <c r="M84" s="45">
        <v>35199</v>
      </c>
      <c r="N84" s="45"/>
      <c r="O84" s="45">
        <v>676861</v>
      </c>
      <c r="P84" s="45"/>
      <c r="Q84" s="45">
        <v>222822</v>
      </c>
      <c r="R84" s="45"/>
      <c r="S84" s="45">
        <v>0</v>
      </c>
      <c r="T84" s="45"/>
      <c r="U84" s="45">
        <v>24529</v>
      </c>
      <c r="V84" s="45"/>
      <c r="W84" s="45">
        <f>55411+272958+802</f>
        <v>329171</v>
      </c>
      <c r="X84" s="45"/>
      <c r="Y84" s="49">
        <f t="shared" si="10"/>
        <v>23820839</v>
      </c>
      <c r="Z84" s="45"/>
      <c r="AA84" s="45">
        <v>0</v>
      </c>
      <c r="AB84" s="45"/>
      <c r="AC84" s="45"/>
      <c r="AD84" s="45"/>
      <c r="AE84" s="45">
        <v>0</v>
      </c>
      <c r="AF84" s="45"/>
      <c r="AG84" s="45"/>
      <c r="AH84" s="45"/>
      <c r="AI84" s="45">
        <v>0</v>
      </c>
      <c r="AJ84" s="45"/>
      <c r="AK84" s="45">
        <v>0</v>
      </c>
      <c r="AL84" s="45"/>
      <c r="AM84" s="49">
        <f t="shared" si="9"/>
        <v>0</v>
      </c>
      <c r="AN84" s="45"/>
      <c r="AO84" s="49">
        <f t="shared" si="8"/>
        <v>23820839</v>
      </c>
    </row>
    <row r="85" spans="1:41">
      <c r="A85" s="12" t="s">
        <v>463</v>
      </c>
      <c r="B85" s="12"/>
      <c r="C85" s="12" t="s">
        <v>45</v>
      </c>
      <c r="D85" s="12"/>
      <c r="E85" s="13">
        <v>43703</v>
      </c>
      <c r="F85" s="45"/>
      <c r="G85" s="45">
        <v>2257032</v>
      </c>
      <c r="H85" s="45"/>
      <c r="I85" s="45">
        <v>0</v>
      </c>
      <c r="J85" s="45"/>
      <c r="K85" s="45">
        <v>13998992</v>
      </c>
      <c r="L85" s="45"/>
      <c r="M85" s="45">
        <v>3818</v>
      </c>
      <c r="N85" s="45"/>
      <c r="O85" s="45">
        <v>41177</v>
      </c>
      <c r="P85" s="45"/>
      <c r="Q85" s="45">
        <v>185132</v>
      </c>
      <c r="R85" s="45"/>
      <c r="S85" s="45">
        <v>0</v>
      </c>
      <c r="T85" s="45"/>
      <c r="U85" s="45">
        <v>8185</v>
      </c>
      <c r="V85" s="45"/>
      <c r="W85" s="45">
        <f>67191+29524</f>
        <v>96715</v>
      </c>
      <c r="X85" s="45"/>
      <c r="Y85" s="49">
        <f t="shared" ref="Y85:Y152" si="11">SUM(G85:W85)</f>
        <v>16591051</v>
      </c>
      <c r="Z85" s="45"/>
      <c r="AA85" s="45">
        <v>0</v>
      </c>
      <c r="AB85" s="45"/>
      <c r="AC85" s="45"/>
      <c r="AD85" s="45"/>
      <c r="AE85" s="45">
        <v>1635000</v>
      </c>
      <c r="AF85" s="45"/>
      <c r="AG85" s="45"/>
      <c r="AH85" s="45"/>
      <c r="AI85" s="45">
        <v>175614</v>
      </c>
      <c r="AJ85" s="45"/>
      <c r="AK85" s="45">
        <v>0</v>
      </c>
      <c r="AL85" s="45"/>
      <c r="AM85" s="49">
        <f t="shared" si="9"/>
        <v>1810614</v>
      </c>
      <c r="AN85" s="45"/>
      <c r="AO85" s="49">
        <f t="shared" si="8"/>
        <v>18401665</v>
      </c>
    </row>
    <row r="86" spans="1:41">
      <c r="A86" s="12" t="s">
        <v>330</v>
      </c>
      <c r="B86" s="12"/>
      <c r="C86" s="12" t="s">
        <v>27</v>
      </c>
      <c r="D86" s="12"/>
      <c r="E86" s="13">
        <v>46946</v>
      </c>
      <c r="F86" s="45"/>
      <c r="G86" s="45">
        <v>20990462</v>
      </c>
      <c r="H86" s="45"/>
      <c r="I86" s="45">
        <v>0</v>
      </c>
      <c r="J86" s="45"/>
      <c r="K86" s="45">
        <f>16027739+2178849</f>
        <v>18206588</v>
      </c>
      <c r="L86" s="45"/>
      <c r="M86" s="45">
        <v>57979</v>
      </c>
      <c r="N86" s="45"/>
      <c r="O86" s="45">
        <v>125013</v>
      </c>
      <c r="P86" s="45"/>
      <c r="Q86" s="45">
        <v>529391</v>
      </c>
      <c r="R86" s="45"/>
      <c r="S86" s="45">
        <v>0</v>
      </c>
      <c r="T86" s="45"/>
      <c r="U86" s="45">
        <v>0</v>
      </c>
      <c r="V86" s="45"/>
      <c r="W86" s="45">
        <f>381970+166571+56336</f>
        <v>604877</v>
      </c>
      <c r="X86" s="45"/>
      <c r="Y86" s="49">
        <f t="shared" si="11"/>
        <v>40514310</v>
      </c>
      <c r="Z86" s="45"/>
      <c r="AA86" s="45">
        <v>285</v>
      </c>
      <c r="AB86" s="45"/>
      <c r="AC86" s="45"/>
      <c r="AD86" s="45"/>
      <c r="AE86" s="45">
        <v>2870000</v>
      </c>
      <c r="AF86" s="45"/>
      <c r="AG86" s="45"/>
      <c r="AH86" s="45"/>
      <c r="AI86" s="45">
        <v>31815</v>
      </c>
      <c r="AJ86" s="45"/>
      <c r="AK86" s="45">
        <v>0</v>
      </c>
      <c r="AL86" s="45"/>
      <c r="AM86" s="49">
        <f t="shared" si="9"/>
        <v>2902100</v>
      </c>
      <c r="AN86" s="45"/>
      <c r="AO86" s="49">
        <f t="shared" si="8"/>
        <v>43416410</v>
      </c>
    </row>
    <row r="87" spans="1:41">
      <c r="A87" s="12"/>
      <c r="B87" s="12"/>
      <c r="C87" s="12"/>
      <c r="D87" s="12"/>
      <c r="E87" s="13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9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9"/>
      <c r="AN87" s="45"/>
      <c r="AO87" s="49"/>
    </row>
    <row r="88" spans="1:41">
      <c r="A88" s="12"/>
      <c r="B88" s="12"/>
      <c r="C88" s="12"/>
      <c r="D88" s="12"/>
      <c r="E88" s="13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9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9"/>
      <c r="AN88" s="45"/>
      <c r="AO88" s="49" t="s">
        <v>709</v>
      </c>
    </row>
    <row r="89" spans="1:41">
      <c r="A89" s="12"/>
      <c r="B89" s="12"/>
      <c r="C89" s="12"/>
      <c r="D89" s="12"/>
      <c r="E89" s="13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9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9"/>
      <c r="AN89" s="45"/>
      <c r="AO89" s="49"/>
    </row>
    <row r="90" spans="1:41">
      <c r="A90" s="12" t="s">
        <v>464</v>
      </c>
      <c r="B90" s="12"/>
      <c r="C90" s="12" t="s">
        <v>45</v>
      </c>
      <c r="D90" s="12"/>
      <c r="E90" s="13">
        <v>48314</v>
      </c>
      <c r="F90" s="45"/>
      <c r="G90" s="47">
        <v>15982972</v>
      </c>
      <c r="H90" s="47"/>
      <c r="I90" s="47">
        <v>0</v>
      </c>
      <c r="J90" s="47"/>
      <c r="K90" s="47">
        <v>11164228</v>
      </c>
      <c r="L90" s="47"/>
      <c r="M90" s="47">
        <v>101320</v>
      </c>
      <c r="N90" s="47"/>
      <c r="O90" s="47">
        <v>124960</v>
      </c>
      <c r="P90" s="47"/>
      <c r="Q90" s="47">
        <v>366687</v>
      </c>
      <c r="R90" s="47"/>
      <c r="S90" s="47">
        <v>0</v>
      </c>
      <c r="T90" s="47"/>
      <c r="U90" s="47">
        <v>59361</v>
      </c>
      <c r="V90" s="47"/>
      <c r="W90" s="47">
        <f>44123+43480+730083</f>
        <v>817686</v>
      </c>
      <c r="X90" s="47"/>
      <c r="Y90" s="48">
        <f t="shared" si="11"/>
        <v>28617214</v>
      </c>
      <c r="Z90" s="47"/>
      <c r="AA90" s="47">
        <v>85000</v>
      </c>
      <c r="AB90" s="47"/>
      <c r="AC90" s="47"/>
      <c r="AD90" s="47"/>
      <c r="AE90" s="47">
        <f>19975+3480000</f>
        <v>3499975</v>
      </c>
      <c r="AF90" s="47"/>
      <c r="AG90" s="47"/>
      <c r="AH90" s="47"/>
      <c r="AI90" s="47">
        <v>1200</v>
      </c>
      <c r="AJ90" s="47"/>
      <c r="AK90" s="47">
        <v>0</v>
      </c>
      <c r="AL90" s="47"/>
      <c r="AM90" s="48">
        <f t="shared" si="9"/>
        <v>3586175</v>
      </c>
      <c r="AN90" s="47"/>
      <c r="AO90" s="48">
        <f t="shared" si="8"/>
        <v>32203389</v>
      </c>
    </row>
    <row r="91" spans="1:41">
      <c r="A91" s="12" t="s">
        <v>574</v>
      </c>
      <c r="B91" s="12"/>
      <c r="C91" s="12" t="s">
        <v>62</v>
      </c>
      <c r="D91" s="12"/>
      <c r="E91" s="13">
        <v>43711</v>
      </c>
      <c r="F91" s="45"/>
      <c r="G91" s="45">
        <v>7893424</v>
      </c>
      <c r="H91" s="45"/>
      <c r="I91" s="45">
        <v>0</v>
      </c>
      <c r="J91" s="45"/>
      <c r="K91" s="45">
        <f>12826768+3114884</f>
        <v>15941652</v>
      </c>
      <c r="L91" s="45"/>
      <c r="M91" s="45">
        <v>1862</v>
      </c>
      <c r="N91" s="45"/>
      <c r="O91" s="45">
        <v>2753366</v>
      </c>
      <c r="P91" s="45"/>
      <c r="Q91" s="45">
        <v>268999</v>
      </c>
      <c r="R91" s="45"/>
      <c r="S91" s="45">
        <v>0</v>
      </c>
      <c r="T91" s="45"/>
      <c r="U91" s="45">
        <v>42284</v>
      </c>
      <c r="V91" s="45"/>
      <c r="W91" s="45">
        <f>222863+77443+68556+1060331</f>
        <v>1429193</v>
      </c>
      <c r="X91" s="45"/>
      <c r="Y91" s="49">
        <f t="shared" si="11"/>
        <v>28330780</v>
      </c>
      <c r="Z91" s="45"/>
      <c r="AA91" s="45">
        <v>0</v>
      </c>
      <c r="AB91" s="45"/>
      <c r="AC91" s="45"/>
      <c r="AD91" s="45"/>
      <c r="AE91" s="45">
        <v>93389</v>
      </c>
      <c r="AF91" s="45"/>
      <c r="AG91" s="45"/>
      <c r="AH91" s="45"/>
      <c r="AI91" s="45">
        <v>5400</v>
      </c>
      <c r="AJ91" s="45"/>
      <c r="AK91" s="45">
        <v>0</v>
      </c>
      <c r="AL91" s="45"/>
      <c r="AM91" s="49">
        <f t="shared" si="9"/>
        <v>98789</v>
      </c>
      <c r="AN91" s="45"/>
      <c r="AO91" s="49">
        <f t="shared" si="8"/>
        <v>28429569</v>
      </c>
    </row>
    <row r="92" spans="1:41">
      <c r="A92" s="12" t="s">
        <v>573</v>
      </c>
      <c r="B92" s="12"/>
      <c r="C92" s="12" t="s">
        <v>62</v>
      </c>
      <c r="D92" s="12"/>
      <c r="E92" s="13">
        <v>49833</v>
      </c>
      <c r="F92" s="45"/>
      <c r="G92" s="45">
        <v>25230000</v>
      </c>
      <c r="H92" s="45"/>
      <c r="I92" s="45">
        <v>0</v>
      </c>
      <c r="J92" s="45"/>
      <c r="K92" s="45">
        <f>282000+78049000+23766000</f>
        <v>102097000</v>
      </c>
      <c r="L92" s="45"/>
      <c r="M92" s="45">
        <v>625000</v>
      </c>
      <c r="N92" s="45"/>
      <c r="O92" s="45">
        <v>1738000</v>
      </c>
      <c r="P92" s="45"/>
      <c r="Q92" s="45">
        <v>858000</v>
      </c>
      <c r="R92" s="45"/>
      <c r="S92" s="45">
        <v>0</v>
      </c>
      <c r="T92" s="45"/>
      <c r="U92" s="45">
        <v>0</v>
      </c>
      <c r="V92" s="45"/>
      <c r="W92" s="45">
        <f>492000+57000+1051000</f>
        <v>1600000</v>
      </c>
      <c r="X92" s="45"/>
      <c r="Y92" s="49">
        <f t="shared" si="11"/>
        <v>132148000</v>
      </c>
      <c r="Z92" s="45"/>
      <c r="AA92" s="45">
        <v>3573000</v>
      </c>
      <c r="AB92" s="45"/>
      <c r="AC92" s="45"/>
      <c r="AD92" s="45"/>
      <c r="AE92" s="45">
        <v>0</v>
      </c>
      <c r="AF92" s="45"/>
      <c r="AG92" s="45"/>
      <c r="AH92" s="45"/>
      <c r="AI92" s="45">
        <v>9000</v>
      </c>
      <c r="AJ92" s="45"/>
      <c r="AK92" s="45">
        <v>0</v>
      </c>
      <c r="AL92" s="45"/>
      <c r="AM92" s="49">
        <f t="shared" si="9"/>
        <v>3582000</v>
      </c>
      <c r="AN92" s="45"/>
      <c r="AO92" s="49">
        <f t="shared" si="8"/>
        <v>135730000</v>
      </c>
    </row>
    <row r="93" spans="1:41">
      <c r="A93" s="12" t="s">
        <v>352</v>
      </c>
      <c r="B93" s="12"/>
      <c r="C93" s="12" t="s">
        <v>30</v>
      </c>
      <c r="D93" s="12"/>
      <c r="E93" s="13">
        <v>47175</v>
      </c>
      <c r="F93" s="45"/>
      <c r="G93" s="45">
        <v>6892879</v>
      </c>
      <c r="H93" s="45"/>
      <c r="I93" s="45">
        <v>0</v>
      </c>
      <c r="J93" s="45"/>
      <c r="K93" s="45">
        <v>7954371</v>
      </c>
      <c r="L93" s="45"/>
      <c r="M93" s="45">
        <v>14715</v>
      </c>
      <c r="N93" s="45"/>
      <c r="O93" s="45">
        <v>563592</v>
      </c>
      <c r="P93" s="45"/>
      <c r="Q93" s="45">
        <v>270129</v>
      </c>
      <c r="R93" s="45"/>
      <c r="S93" s="45">
        <v>0</v>
      </c>
      <c r="T93" s="45"/>
      <c r="U93" s="45">
        <v>6392</v>
      </c>
      <c r="V93" s="45"/>
      <c r="W93" s="45">
        <f>169895+109555+109823</f>
        <v>389273</v>
      </c>
      <c r="X93" s="45"/>
      <c r="Y93" s="49">
        <f t="shared" si="11"/>
        <v>16091351</v>
      </c>
      <c r="Z93" s="45"/>
      <c r="AA93" s="45">
        <v>129264</v>
      </c>
      <c r="AB93" s="45"/>
      <c r="AC93" s="45"/>
      <c r="AD93" s="45"/>
      <c r="AE93" s="45">
        <v>1068252</v>
      </c>
      <c r="AF93" s="45"/>
      <c r="AG93" s="45"/>
      <c r="AH93" s="45"/>
      <c r="AI93" s="45">
        <v>6500</v>
      </c>
      <c r="AJ93" s="45"/>
      <c r="AK93" s="45">
        <v>0</v>
      </c>
      <c r="AL93" s="45"/>
      <c r="AM93" s="49">
        <f t="shared" si="9"/>
        <v>1204016</v>
      </c>
      <c r="AN93" s="45"/>
      <c r="AO93" s="49">
        <f t="shared" si="8"/>
        <v>17295367</v>
      </c>
    </row>
    <row r="94" spans="1:41">
      <c r="A94" s="12" t="s">
        <v>924</v>
      </c>
      <c r="B94" s="12"/>
      <c r="C94" s="12" t="s">
        <v>78</v>
      </c>
      <c r="D94" s="12"/>
      <c r="E94" s="13">
        <v>48793</v>
      </c>
      <c r="F94" s="45"/>
      <c r="G94" s="45">
        <v>2508231</v>
      </c>
      <c r="H94" s="45"/>
      <c r="I94" s="45">
        <v>0</v>
      </c>
      <c r="J94" s="45"/>
      <c r="K94" s="45">
        <f>7776383+879021</f>
        <v>8655404</v>
      </c>
      <c r="L94" s="45"/>
      <c r="M94" s="45">
        <v>137448</v>
      </c>
      <c r="N94" s="45"/>
      <c r="O94" s="45">
        <v>709650</v>
      </c>
      <c r="P94" s="45"/>
      <c r="Q94" s="45">
        <v>132570</v>
      </c>
      <c r="R94" s="45"/>
      <c r="S94" s="45">
        <v>127684</v>
      </c>
      <c r="T94" s="45"/>
      <c r="U94" s="45">
        <v>3210</v>
      </c>
      <c r="V94" s="45"/>
      <c r="W94" s="45">
        <f>204008+133449</f>
        <v>337457</v>
      </c>
      <c r="X94" s="45"/>
      <c r="Y94" s="49">
        <f t="shared" si="11"/>
        <v>12611654</v>
      </c>
      <c r="Z94" s="45"/>
      <c r="AA94" s="45">
        <v>0</v>
      </c>
      <c r="AB94" s="45"/>
      <c r="AC94" s="45"/>
      <c r="AD94" s="45"/>
      <c r="AE94" s="45">
        <v>0</v>
      </c>
      <c r="AF94" s="45"/>
      <c r="AG94" s="45"/>
      <c r="AH94" s="45"/>
      <c r="AI94" s="45">
        <v>0</v>
      </c>
      <c r="AJ94" s="45"/>
      <c r="AK94" s="45">
        <v>0</v>
      </c>
      <c r="AL94" s="45"/>
      <c r="AM94" s="49">
        <f>SUM(AA94:AK94)</f>
        <v>0</v>
      </c>
      <c r="AN94" s="45"/>
      <c r="AO94" s="49">
        <f>Y94+AM94</f>
        <v>12611654</v>
      </c>
    </row>
    <row r="95" spans="1:41" hidden="1">
      <c r="A95" s="12" t="s">
        <v>739</v>
      </c>
      <c r="B95" s="12"/>
      <c r="C95" s="12" t="s">
        <v>653</v>
      </c>
      <c r="D95" s="12"/>
      <c r="E95" s="13">
        <v>45260</v>
      </c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9">
        <f t="shared" si="11"/>
        <v>0</v>
      </c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>
        <v>0</v>
      </c>
      <c r="AL95" s="45"/>
      <c r="AM95" s="49">
        <f t="shared" si="9"/>
        <v>0</v>
      </c>
      <c r="AN95" s="45"/>
      <c r="AO95" s="49">
        <f t="shared" si="8"/>
        <v>0</v>
      </c>
    </row>
    <row r="96" spans="1:41">
      <c r="A96" s="12" t="s">
        <v>631</v>
      </c>
      <c r="B96" s="12"/>
      <c r="C96" s="12" t="s">
        <v>69</v>
      </c>
      <c r="D96" s="12"/>
      <c r="E96" s="13">
        <v>50419</v>
      </c>
      <c r="F96" s="45"/>
      <c r="G96" s="45">
        <v>4548897</v>
      </c>
      <c r="H96" s="45"/>
      <c r="I96" s="45">
        <v>1682921</v>
      </c>
      <c r="J96" s="45"/>
      <c r="K96" s="45">
        <v>10166611</v>
      </c>
      <c r="L96" s="45"/>
      <c r="M96" s="45">
        <v>8047</v>
      </c>
      <c r="N96" s="45"/>
      <c r="O96" s="45">
        <v>117739</v>
      </c>
      <c r="P96" s="45"/>
      <c r="Q96" s="45">
        <v>114068</v>
      </c>
      <c r="R96" s="45"/>
      <c r="S96" s="45">
        <v>0</v>
      </c>
      <c r="T96" s="45"/>
      <c r="U96" s="45">
        <v>3525</v>
      </c>
      <c r="V96" s="45"/>
      <c r="W96" s="45">
        <f>218368+394618+15720</f>
        <v>628706</v>
      </c>
      <c r="X96" s="45"/>
      <c r="Y96" s="49">
        <f t="shared" si="11"/>
        <v>17270514</v>
      </c>
      <c r="Z96" s="45"/>
      <c r="AA96" s="45">
        <v>0</v>
      </c>
      <c r="AB96" s="45"/>
      <c r="AC96" s="45"/>
      <c r="AD96" s="45"/>
      <c r="AE96" s="45">
        <v>0</v>
      </c>
      <c r="AF96" s="45"/>
      <c r="AG96" s="45"/>
      <c r="AH96" s="45"/>
      <c r="AI96" s="45">
        <v>0</v>
      </c>
      <c r="AJ96" s="45"/>
      <c r="AK96" s="45">
        <v>0</v>
      </c>
      <c r="AL96" s="45"/>
      <c r="AM96" s="49">
        <f t="shared" ref="AM96:AM121" si="12">AI96+AE96+AA96</f>
        <v>0</v>
      </c>
      <c r="AN96" s="45"/>
      <c r="AO96" s="49">
        <f t="shared" ref="AO96:AO127" si="13">Y96+AM96</f>
        <v>17270514</v>
      </c>
    </row>
    <row r="97" spans="1:41">
      <c r="A97" s="12" t="s">
        <v>238</v>
      </c>
      <c r="B97" s="12"/>
      <c r="C97" s="12" t="s">
        <v>16</v>
      </c>
      <c r="D97" s="12"/>
      <c r="E97" s="13">
        <v>45278</v>
      </c>
      <c r="F97" s="45"/>
      <c r="G97" s="45">
        <v>5902216</v>
      </c>
      <c r="H97" s="45"/>
      <c r="I97" s="45">
        <v>0</v>
      </c>
      <c r="J97" s="45"/>
      <c r="K97" s="45">
        <v>15734682</v>
      </c>
      <c r="L97" s="45"/>
      <c r="M97" s="45">
        <v>6265</v>
      </c>
      <c r="N97" s="45"/>
      <c r="O97" s="45">
        <v>632078</v>
      </c>
      <c r="P97" s="45"/>
      <c r="Q97" s="45">
        <v>113651</v>
      </c>
      <c r="R97" s="45"/>
      <c r="S97" s="45">
        <v>0</v>
      </c>
      <c r="T97" s="45"/>
      <c r="U97" s="45">
        <v>33360</v>
      </c>
      <c r="V97" s="45"/>
      <c r="W97" s="45">
        <f>48739+141559+4611</f>
        <v>194909</v>
      </c>
      <c r="X97" s="45"/>
      <c r="Y97" s="49">
        <f t="shared" si="11"/>
        <v>22617161</v>
      </c>
      <c r="Z97" s="45"/>
      <c r="AA97" s="45">
        <v>89324</v>
      </c>
      <c r="AB97" s="45"/>
      <c r="AC97" s="45"/>
      <c r="AD97" s="45"/>
      <c r="AE97" s="45">
        <v>0</v>
      </c>
      <c r="AF97" s="45"/>
      <c r="AG97" s="45"/>
      <c r="AH97" s="45"/>
      <c r="AI97" s="45">
        <v>7343</v>
      </c>
      <c r="AJ97" s="45"/>
      <c r="AK97" s="45">
        <v>0</v>
      </c>
      <c r="AL97" s="45"/>
      <c r="AM97" s="49">
        <f t="shared" si="12"/>
        <v>96667</v>
      </c>
      <c r="AN97" s="45"/>
      <c r="AO97" s="49">
        <f t="shared" si="13"/>
        <v>22713828</v>
      </c>
    </row>
    <row r="98" spans="1:41" hidden="1">
      <c r="A98" s="12" t="s">
        <v>925</v>
      </c>
      <c r="B98" s="12"/>
      <c r="C98" s="12" t="s">
        <v>116</v>
      </c>
      <c r="D98" s="12"/>
      <c r="E98" s="13">
        <v>47258</v>
      </c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9">
        <f t="shared" si="11"/>
        <v>0</v>
      </c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>
        <v>0</v>
      </c>
      <c r="AL98" s="45"/>
      <c r="AM98" s="49">
        <f t="shared" si="12"/>
        <v>0</v>
      </c>
      <c r="AN98" s="45"/>
      <c r="AO98" s="49">
        <f t="shared" si="13"/>
        <v>0</v>
      </c>
    </row>
    <row r="99" spans="1:41" hidden="1">
      <c r="A99" s="12" t="s">
        <v>740</v>
      </c>
      <c r="B99" s="12"/>
      <c r="C99" s="12" t="s">
        <v>486</v>
      </c>
      <c r="D99" s="12"/>
      <c r="E99" s="13">
        <v>43729</v>
      </c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9">
        <f t="shared" si="11"/>
        <v>0</v>
      </c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>
        <v>0</v>
      </c>
      <c r="AL99" s="45"/>
      <c r="AM99" s="49">
        <f t="shared" si="12"/>
        <v>0</v>
      </c>
      <c r="AN99" s="45"/>
      <c r="AO99" s="49">
        <f t="shared" si="13"/>
        <v>0</v>
      </c>
    </row>
    <row r="100" spans="1:41">
      <c r="A100" s="12" t="s">
        <v>794</v>
      </c>
      <c r="B100" s="12"/>
      <c r="C100" s="12" t="s">
        <v>40</v>
      </c>
      <c r="D100" s="12"/>
      <c r="E100" s="13">
        <v>47829</v>
      </c>
      <c r="F100" s="45"/>
      <c r="G100" s="45">
        <v>2818384</v>
      </c>
      <c r="H100" s="45"/>
      <c r="I100" s="45">
        <v>993383</v>
      </c>
      <c r="J100" s="45"/>
      <c r="K100" s="45">
        <v>6692800</v>
      </c>
      <c r="L100" s="45"/>
      <c r="M100" s="45">
        <v>22909</v>
      </c>
      <c r="N100" s="45"/>
      <c r="O100" s="45">
        <v>46104</v>
      </c>
      <c r="P100" s="45"/>
      <c r="Q100" s="45">
        <v>135577</v>
      </c>
      <c r="R100" s="45"/>
      <c r="S100" s="45">
        <v>0</v>
      </c>
      <c r="T100" s="45"/>
      <c r="U100" s="45">
        <v>16126</v>
      </c>
      <c r="V100" s="45"/>
      <c r="W100" s="45">
        <f>163405+7860+2154</f>
        <v>173419</v>
      </c>
      <c r="X100" s="45"/>
      <c r="Y100" s="49">
        <f t="shared" si="11"/>
        <v>10898702</v>
      </c>
      <c r="Z100" s="45"/>
      <c r="AA100" s="45">
        <v>30000</v>
      </c>
      <c r="AB100" s="45"/>
      <c r="AC100" s="45"/>
      <c r="AD100" s="45"/>
      <c r="AE100" s="45">
        <v>0</v>
      </c>
      <c r="AF100" s="45"/>
      <c r="AG100" s="45"/>
      <c r="AH100" s="45"/>
      <c r="AI100" s="45">
        <v>0</v>
      </c>
      <c r="AJ100" s="45"/>
      <c r="AK100" s="45">
        <v>0</v>
      </c>
      <c r="AL100" s="45"/>
      <c r="AM100" s="49">
        <f t="shared" si="12"/>
        <v>30000</v>
      </c>
      <c r="AN100" s="45"/>
      <c r="AO100" s="49">
        <f t="shared" si="13"/>
        <v>10928702</v>
      </c>
    </row>
    <row r="101" spans="1:41" s="16" customFormat="1">
      <c r="A101" s="14" t="s">
        <v>795</v>
      </c>
      <c r="B101" s="14"/>
      <c r="C101" s="14" t="s">
        <v>50</v>
      </c>
      <c r="D101" s="14"/>
      <c r="E101" s="13">
        <v>43737</v>
      </c>
      <c r="F101" s="47"/>
      <c r="G101" s="45">
        <v>59815451</v>
      </c>
      <c r="H101" s="45"/>
      <c r="I101" s="45">
        <v>0</v>
      </c>
      <c r="J101" s="45"/>
      <c r="K101" s="45">
        <v>28898767</v>
      </c>
      <c r="L101" s="45"/>
      <c r="M101" s="45">
        <v>388456</v>
      </c>
      <c r="N101" s="45"/>
      <c r="O101" s="45">
        <v>1098131</v>
      </c>
      <c r="P101" s="45"/>
      <c r="Q101" s="45">
        <v>1343390</v>
      </c>
      <c r="R101" s="45"/>
      <c r="S101" s="45">
        <v>0</v>
      </c>
      <c r="T101" s="45"/>
      <c r="U101" s="45">
        <v>0</v>
      </c>
      <c r="V101" s="45"/>
      <c r="W101" s="45">
        <f>2386643+421328</f>
        <v>2807971</v>
      </c>
      <c r="X101" s="45"/>
      <c r="Y101" s="49">
        <f t="shared" si="11"/>
        <v>94352166</v>
      </c>
      <c r="Z101" s="45"/>
      <c r="AA101" s="45">
        <v>0</v>
      </c>
      <c r="AB101" s="45"/>
      <c r="AC101" s="45"/>
      <c r="AD101" s="45"/>
      <c r="AE101" s="45">
        <v>0</v>
      </c>
      <c r="AF101" s="45"/>
      <c r="AG101" s="45"/>
      <c r="AH101" s="45"/>
      <c r="AI101" s="45">
        <v>0</v>
      </c>
      <c r="AJ101" s="45"/>
      <c r="AK101" s="45">
        <v>0</v>
      </c>
      <c r="AL101" s="45"/>
      <c r="AM101" s="49">
        <f t="shared" si="12"/>
        <v>0</v>
      </c>
      <c r="AN101" s="45"/>
      <c r="AO101" s="49">
        <f t="shared" si="13"/>
        <v>94352166</v>
      </c>
    </row>
    <row r="102" spans="1:41" hidden="1">
      <c r="A102" s="12" t="s">
        <v>926</v>
      </c>
      <c r="B102" s="12"/>
      <c r="C102" s="12" t="s">
        <v>22</v>
      </c>
      <c r="D102" s="12"/>
      <c r="E102" s="13">
        <v>46714</v>
      </c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9">
        <f t="shared" si="11"/>
        <v>0</v>
      </c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>
        <v>0</v>
      </c>
      <c r="AL102" s="45"/>
      <c r="AM102" s="49">
        <f t="shared" si="12"/>
        <v>0</v>
      </c>
      <c r="AN102" s="45"/>
      <c r="AO102" s="49">
        <f t="shared" si="13"/>
        <v>0</v>
      </c>
    </row>
    <row r="103" spans="1:41">
      <c r="A103" s="12" t="s">
        <v>285</v>
      </c>
      <c r="B103" s="12"/>
      <c r="C103" s="12" t="s">
        <v>20</v>
      </c>
      <c r="D103" s="12"/>
      <c r="E103" s="13">
        <v>45286</v>
      </c>
      <c r="F103" s="45"/>
      <c r="G103" s="45">
        <v>20524509</v>
      </c>
      <c r="H103" s="45"/>
      <c r="I103" s="45">
        <v>0</v>
      </c>
      <c r="J103" s="45"/>
      <c r="K103" s="45">
        <v>6065751</v>
      </c>
      <c r="L103" s="45"/>
      <c r="M103" s="45">
        <v>60481</v>
      </c>
      <c r="N103" s="45"/>
      <c r="O103" s="45">
        <v>352827</v>
      </c>
      <c r="P103" s="45"/>
      <c r="Q103" s="45">
        <v>336787</v>
      </c>
      <c r="R103" s="45"/>
      <c r="S103" s="45">
        <v>0</v>
      </c>
      <c r="T103" s="45"/>
      <c r="U103" s="45">
        <v>145181</v>
      </c>
      <c r="V103" s="45"/>
      <c r="W103" s="45">
        <f>56385+3988</f>
        <v>60373</v>
      </c>
      <c r="X103" s="45"/>
      <c r="Y103" s="49">
        <f t="shared" si="11"/>
        <v>27545909</v>
      </c>
      <c r="Z103" s="45"/>
      <c r="AA103" s="45">
        <v>417600</v>
      </c>
      <c r="AB103" s="45"/>
      <c r="AC103" s="45"/>
      <c r="AD103" s="45"/>
      <c r="AE103" s="45">
        <v>0</v>
      </c>
      <c r="AF103" s="45"/>
      <c r="AG103" s="45"/>
      <c r="AH103" s="45"/>
      <c r="AI103" s="45">
        <v>5782</v>
      </c>
      <c r="AJ103" s="45"/>
      <c r="AK103" s="45">
        <v>0</v>
      </c>
      <c r="AL103" s="45"/>
      <c r="AM103" s="49">
        <f t="shared" si="12"/>
        <v>423382</v>
      </c>
      <c r="AN103" s="45"/>
      <c r="AO103" s="49">
        <f t="shared" si="13"/>
        <v>27969291</v>
      </c>
    </row>
    <row r="104" spans="1:41">
      <c r="A104" s="12" t="s">
        <v>602</v>
      </c>
      <c r="B104" s="12"/>
      <c r="C104" s="12" t="s">
        <v>64</v>
      </c>
      <c r="D104" s="12"/>
      <c r="E104" s="13">
        <v>50138</v>
      </c>
      <c r="F104" s="45"/>
      <c r="G104" s="45">
        <v>4807439</v>
      </c>
      <c r="H104" s="45"/>
      <c r="I104" s="45">
        <v>0</v>
      </c>
      <c r="J104" s="45"/>
      <c r="K104" s="45">
        <f>7801130+1368893</f>
        <v>9170023</v>
      </c>
      <c r="L104" s="45"/>
      <c r="M104" s="45">
        <v>5138</v>
      </c>
      <c r="N104" s="45"/>
      <c r="O104" s="45">
        <v>821462</v>
      </c>
      <c r="P104" s="45"/>
      <c r="Q104" s="45">
        <v>99660</v>
      </c>
      <c r="R104" s="45"/>
      <c r="S104" s="45">
        <v>0</v>
      </c>
      <c r="T104" s="45"/>
      <c r="U104" s="45">
        <v>27642</v>
      </c>
      <c r="V104" s="45"/>
      <c r="W104" s="45">
        <f>58524+27791+44425+32988+266392+926</f>
        <v>431046</v>
      </c>
      <c r="X104" s="45"/>
      <c r="Y104" s="49">
        <f t="shared" si="11"/>
        <v>15362410</v>
      </c>
      <c r="Z104" s="45"/>
      <c r="AA104" s="45">
        <v>78224</v>
      </c>
      <c r="AB104" s="45"/>
      <c r="AC104" s="45"/>
      <c r="AD104" s="45"/>
      <c r="AE104" s="45">
        <v>567762</v>
      </c>
      <c r="AF104" s="45"/>
      <c r="AG104" s="45"/>
      <c r="AH104" s="45"/>
      <c r="AI104" s="45">
        <v>0</v>
      </c>
      <c r="AJ104" s="45"/>
      <c r="AK104" s="45">
        <v>0</v>
      </c>
      <c r="AL104" s="45"/>
      <c r="AM104" s="49">
        <f t="shared" si="12"/>
        <v>645986</v>
      </c>
      <c r="AN104" s="45"/>
      <c r="AO104" s="49">
        <f t="shared" si="13"/>
        <v>16008396</v>
      </c>
    </row>
    <row r="105" spans="1:41" hidden="1">
      <c r="A105" s="12" t="s">
        <v>927</v>
      </c>
      <c r="B105" s="12"/>
      <c r="C105" s="12" t="s">
        <v>30</v>
      </c>
      <c r="D105" s="12"/>
      <c r="E105" s="13">
        <v>47183</v>
      </c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9">
        <f t="shared" si="11"/>
        <v>0</v>
      </c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>
        <v>0</v>
      </c>
      <c r="AL105" s="45"/>
      <c r="AM105" s="49">
        <f t="shared" si="12"/>
        <v>0</v>
      </c>
      <c r="AN105" s="45"/>
      <c r="AO105" s="49">
        <f t="shared" si="13"/>
        <v>0</v>
      </c>
    </row>
    <row r="106" spans="1:41">
      <c r="A106" s="12" t="s">
        <v>419</v>
      </c>
      <c r="B106" s="12"/>
      <c r="C106" s="12" t="s">
        <v>420</v>
      </c>
      <c r="D106" s="12"/>
      <c r="E106" s="13">
        <v>45294</v>
      </c>
      <c r="F106" s="45"/>
      <c r="G106" s="45">
        <v>2062018</v>
      </c>
      <c r="H106" s="45"/>
      <c r="I106" s="45">
        <v>0</v>
      </c>
      <c r="J106" s="45"/>
      <c r="K106" s="45">
        <v>10755193</v>
      </c>
      <c r="L106" s="45"/>
      <c r="M106" s="45">
        <v>3806</v>
      </c>
      <c r="N106" s="45"/>
      <c r="O106" s="45">
        <v>1108960</v>
      </c>
      <c r="P106" s="45"/>
      <c r="Q106" s="45">
        <v>79515</v>
      </c>
      <c r="R106" s="45"/>
      <c r="S106" s="45">
        <v>0</v>
      </c>
      <c r="T106" s="45"/>
      <c r="U106" s="45">
        <v>107774</v>
      </c>
      <c r="V106" s="45"/>
      <c r="W106" s="45">
        <f>199484+30016</f>
        <v>229500</v>
      </c>
      <c r="X106" s="45"/>
      <c r="Y106" s="49">
        <f t="shared" si="11"/>
        <v>14346766</v>
      </c>
      <c r="Z106" s="45"/>
      <c r="AA106" s="45">
        <v>16730</v>
      </c>
      <c r="AB106" s="45"/>
      <c r="AC106" s="45"/>
      <c r="AD106" s="45"/>
      <c r="AE106" s="45">
        <v>0</v>
      </c>
      <c r="AF106" s="45"/>
      <c r="AG106" s="45"/>
      <c r="AH106" s="45"/>
      <c r="AI106" s="45">
        <v>35343</v>
      </c>
      <c r="AJ106" s="45"/>
      <c r="AK106" s="45">
        <v>0</v>
      </c>
      <c r="AL106" s="45"/>
      <c r="AM106" s="49">
        <f t="shared" si="12"/>
        <v>52073</v>
      </c>
      <c r="AN106" s="45"/>
      <c r="AO106" s="49">
        <f t="shared" si="13"/>
        <v>14398839</v>
      </c>
    </row>
    <row r="107" spans="1:41">
      <c r="A107" s="12" t="s">
        <v>550</v>
      </c>
      <c r="B107" s="12"/>
      <c r="C107" s="12" t="s">
        <v>58</v>
      </c>
      <c r="D107" s="12"/>
      <c r="E107" s="13">
        <v>43745</v>
      </c>
      <c r="F107" s="45"/>
      <c r="G107" s="45">
        <v>12974086</v>
      </c>
      <c r="H107" s="45"/>
      <c r="I107" s="45">
        <v>0</v>
      </c>
      <c r="J107" s="45"/>
      <c r="K107" s="45">
        <v>20966128</v>
      </c>
      <c r="L107" s="45"/>
      <c r="M107" s="45">
        <v>57474</v>
      </c>
      <c r="N107" s="45"/>
      <c r="O107" s="45">
        <v>1454059</v>
      </c>
      <c r="P107" s="45"/>
      <c r="Q107" s="45">
        <v>146642</v>
      </c>
      <c r="R107" s="45"/>
      <c r="S107" s="45">
        <v>95687</v>
      </c>
      <c r="T107" s="45"/>
      <c r="U107" s="45">
        <v>42057</v>
      </c>
      <c r="V107" s="45"/>
      <c r="W107" s="45">
        <f>94575+469112+9997</f>
        <v>573684</v>
      </c>
      <c r="X107" s="45"/>
      <c r="Y107" s="49">
        <f t="shared" si="11"/>
        <v>36309817</v>
      </c>
      <c r="Z107" s="45"/>
      <c r="AA107" s="45">
        <v>3326</v>
      </c>
      <c r="AB107" s="45"/>
      <c r="AC107" s="45"/>
      <c r="AD107" s="45"/>
      <c r="AE107" s="45">
        <v>0</v>
      </c>
      <c r="AF107" s="45"/>
      <c r="AG107" s="45"/>
      <c r="AH107" s="45"/>
      <c r="AI107" s="45">
        <v>0</v>
      </c>
      <c r="AJ107" s="45"/>
      <c r="AK107" s="45">
        <v>0</v>
      </c>
      <c r="AL107" s="45"/>
      <c r="AM107" s="49">
        <f t="shared" si="12"/>
        <v>3326</v>
      </c>
      <c r="AN107" s="45"/>
      <c r="AO107" s="49">
        <f t="shared" si="13"/>
        <v>36313143</v>
      </c>
    </row>
    <row r="108" spans="1:41">
      <c r="A108" s="12" t="s">
        <v>640</v>
      </c>
      <c r="B108" s="12"/>
      <c r="C108" s="12" t="s">
        <v>71</v>
      </c>
      <c r="D108" s="12"/>
      <c r="E108" s="13">
        <v>50534</v>
      </c>
      <c r="F108" s="45"/>
      <c r="G108" s="45">
        <v>3978046</v>
      </c>
      <c r="H108" s="45"/>
      <c r="I108" s="45">
        <v>1421594</v>
      </c>
      <c r="J108" s="45"/>
      <c r="K108" s="45">
        <f>23684+5600058+1218217</f>
        <v>6841959</v>
      </c>
      <c r="L108" s="45"/>
      <c r="M108" s="45">
        <v>5815</v>
      </c>
      <c r="N108" s="45"/>
      <c r="O108" s="45">
        <v>36338</v>
      </c>
      <c r="P108" s="45"/>
      <c r="Q108" s="45">
        <v>233088</v>
      </c>
      <c r="R108" s="45"/>
      <c r="S108" s="45">
        <v>0</v>
      </c>
      <c r="T108" s="45"/>
      <c r="U108" s="45">
        <v>0</v>
      </c>
      <c r="V108" s="45"/>
      <c r="W108" s="45">
        <f>32261+10552+110178+295906</f>
        <v>448897</v>
      </c>
      <c r="X108" s="45"/>
      <c r="Y108" s="49">
        <f t="shared" si="11"/>
        <v>12965737</v>
      </c>
      <c r="Z108" s="45"/>
      <c r="AA108" s="45">
        <v>47031</v>
      </c>
      <c r="AB108" s="45"/>
      <c r="AC108" s="45"/>
      <c r="AD108" s="45"/>
      <c r="AE108" s="45">
        <v>0</v>
      </c>
      <c r="AF108" s="45"/>
      <c r="AG108" s="45"/>
      <c r="AH108" s="45"/>
      <c r="AI108" s="45">
        <v>0</v>
      </c>
      <c r="AJ108" s="45"/>
      <c r="AK108" s="45">
        <v>0</v>
      </c>
      <c r="AL108" s="45"/>
      <c r="AM108" s="49">
        <f t="shared" si="12"/>
        <v>47031</v>
      </c>
      <c r="AN108" s="45"/>
      <c r="AO108" s="49">
        <f t="shared" si="13"/>
        <v>13012768</v>
      </c>
    </row>
    <row r="109" spans="1:41">
      <c r="A109" s="12" t="s">
        <v>928</v>
      </c>
      <c r="B109" s="12"/>
      <c r="C109" s="12" t="s">
        <v>32</v>
      </c>
      <c r="D109" s="12"/>
      <c r="E109" s="13">
        <v>43752</v>
      </c>
      <c r="F109" s="45"/>
      <c r="G109" s="45">
        <v>281808058</v>
      </c>
      <c r="H109" s="45"/>
      <c r="I109" s="45">
        <v>0</v>
      </c>
      <c r="J109" s="45"/>
      <c r="K109" s="45">
        <f>239861668+98229824</f>
        <v>338091492</v>
      </c>
      <c r="L109" s="45"/>
      <c r="M109" s="45">
        <v>3037728</v>
      </c>
      <c r="N109" s="45"/>
      <c r="O109" s="45">
        <v>2460003</v>
      </c>
      <c r="P109" s="45"/>
      <c r="Q109" s="45">
        <v>0</v>
      </c>
      <c r="R109" s="45"/>
      <c r="S109" s="45">
        <v>17497711</v>
      </c>
      <c r="T109" s="45"/>
      <c r="U109" s="45">
        <v>0</v>
      </c>
      <c r="V109" s="45"/>
      <c r="W109" s="45">
        <f>13513339+16270249+1909984</f>
        <v>31693572</v>
      </c>
      <c r="X109" s="45"/>
      <c r="Y109" s="49">
        <f t="shared" si="11"/>
        <v>674588564</v>
      </c>
      <c r="Z109" s="45"/>
      <c r="AA109" s="45">
        <v>410008330</v>
      </c>
      <c r="AB109" s="45"/>
      <c r="AC109" s="45"/>
      <c r="AD109" s="45"/>
      <c r="AE109" s="45">
        <f>21715000+104900000+9387925</f>
        <v>136002925</v>
      </c>
      <c r="AF109" s="45"/>
      <c r="AG109" s="45"/>
      <c r="AH109" s="45"/>
      <c r="AI109" s="45">
        <v>0</v>
      </c>
      <c r="AJ109" s="45"/>
      <c r="AK109" s="45">
        <v>0</v>
      </c>
      <c r="AL109" s="45"/>
      <c r="AM109" s="49">
        <f t="shared" si="12"/>
        <v>546011255</v>
      </c>
      <c r="AN109" s="45"/>
      <c r="AO109" s="49">
        <f t="shared" si="13"/>
        <v>1220599819</v>
      </c>
    </row>
    <row r="110" spans="1:41">
      <c r="A110" s="12" t="s">
        <v>525</v>
      </c>
      <c r="B110" s="12"/>
      <c r="C110" s="12" t="s">
        <v>54</v>
      </c>
      <c r="D110" s="12"/>
      <c r="E110" s="13">
        <v>43760</v>
      </c>
      <c r="F110" s="45"/>
      <c r="G110" s="45">
        <v>8046883</v>
      </c>
      <c r="H110" s="45"/>
      <c r="I110" s="45">
        <v>1414108</v>
      </c>
      <c r="J110" s="45"/>
      <c r="K110" s="45">
        <f>11730246+3038459</f>
        <v>14768705</v>
      </c>
      <c r="L110" s="45"/>
      <c r="M110" s="45">
        <v>132070</v>
      </c>
      <c r="N110" s="45"/>
      <c r="O110" s="45">
        <v>487281</v>
      </c>
      <c r="P110" s="45"/>
      <c r="Q110" s="45">
        <v>136163</v>
      </c>
      <c r="R110" s="45"/>
      <c r="S110" s="45">
        <v>56200</v>
      </c>
      <c r="T110" s="45"/>
      <c r="U110" s="45">
        <v>0</v>
      </c>
      <c r="V110" s="45"/>
      <c r="W110" s="45">
        <f>122678+8481+34561+375058</f>
        <v>540778</v>
      </c>
      <c r="X110" s="45"/>
      <c r="Y110" s="49">
        <f t="shared" si="11"/>
        <v>25582188</v>
      </c>
      <c r="Z110" s="45"/>
      <c r="AA110" s="45">
        <v>1739819</v>
      </c>
      <c r="AB110" s="45"/>
      <c r="AC110" s="45"/>
      <c r="AD110" s="45"/>
      <c r="AE110" s="45">
        <v>0</v>
      </c>
      <c r="AF110" s="45"/>
      <c r="AG110" s="45"/>
      <c r="AH110" s="45"/>
      <c r="AI110" s="45">
        <v>0</v>
      </c>
      <c r="AJ110" s="45"/>
      <c r="AK110" s="45">
        <v>0</v>
      </c>
      <c r="AL110" s="45"/>
      <c r="AM110" s="49">
        <f t="shared" si="12"/>
        <v>1739819</v>
      </c>
      <c r="AN110" s="45"/>
      <c r="AO110" s="49">
        <f t="shared" si="13"/>
        <v>27322007</v>
      </c>
    </row>
    <row r="111" spans="1:41">
      <c r="A111" s="12" t="s">
        <v>245</v>
      </c>
      <c r="B111" s="12"/>
      <c r="C111" s="12" t="s">
        <v>17</v>
      </c>
      <c r="D111" s="12"/>
      <c r="E111" s="13">
        <v>46284</v>
      </c>
      <c r="F111" s="45"/>
      <c r="G111" s="45">
        <v>9971050</v>
      </c>
      <c r="H111" s="45"/>
      <c r="I111" s="45">
        <v>0</v>
      </c>
      <c r="J111" s="45"/>
      <c r="K111" s="45">
        <v>9761789</v>
      </c>
      <c r="L111" s="45"/>
      <c r="M111" s="45">
        <v>18882</v>
      </c>
      <c r="N111" s="45"/>
      <c r="O111" s="45">
        <v>2054827</v>
      </c>
      <c r="P111" s="45"/>
      <c r="Q111" s="45">
        <v>315428</v>
      </c>
      <c r="R111" s="45"/>
      <c r="S111" s="45">
        <v>0</v>
      </c>
      <c r="T111" s="45"/>
      <c r="U111" s="45">
        <v>4844</v>
      </c>
      <c r="V111" s="45"/>
      <c r="W111" s="45">
        <f>151004+9659+609244</f>
        <v>769907</v>
      </c>
      <c r="X111" s="45"/>
      <c r="Y111" s="49">
        <f t="shared" si="11"/>
        <v>22896727</v>
      </c>
      <c r="Z111" s="45"/>
      <c r="AA111" s="45">
        <v>0</v>
      </c>
      <c r="AB111" s="45"/>
      <c r="AC111" s="45"/>
      <c r="AD111" s="45"/>
      <c r="AE111" s="45">
        <v>0</v>
      </c>
      <c r="AF111" s="45"/>
      <c r="AG111" s="45"/>
      <c r="AH111" s="45"/>
      <c r="AI111" s="45">
        <f>5500+30477</f>
        <v>35977</v>
      </c>
      <c r="AJ111" s="45"/>
      <c r="AK111" s="45">
        <v>0</v>
      </c>
      <c r="AL111" s="45"/>
      <c r="AM111" s="49">
        <f t="shared" si="12"/>
        <v>35977</v>
      </c>
      <c r="AN111" s="45"/>
      <c r="AO111" s="49">
        <f t="shared" si="13"/>
        <v>22932704</v>
      </c>
    </row>
    <row r="112" spans="1:41" s="16" customFormat="1">
      <c r="A112" s="14" t="s">
        <v>560</v>
      </c>
      <c r="B112" s="14"/>
      <c r="C112" s="14" t="s">
        <v>59</v>
      </c>
      <c r="D112" s="14"/>
      <c r="E112" s="13">
        <v>49601</v>
      </c>
      <c r="F112" s="47"/>
      <c r="G112" s="45">
        <v>1234154</v>
      </c>
      <c r="H112" s="45"/>
      <c r="I112" s="45">
        <v>0</v>
      </c>
      <c r="J112" s="45"/>
      <c r="K112" s="45">
        <v>11355372</v>
      </c>
      <c r="L112" s="45"/>
      <c r="M112" s="45">
        <v>39402</v>
      </c>
      <c r="N112" s="45"/>
      <c r="O112" s="45">
        <v>1126698</v>
      </c>
      <c r="P112" s="45"/>
      <c r="Q112" s="45">
        <v>55275</v>
      </c>
      <c r="R112" s="45"/>
      <c r="S112" s="45">
        <v>0</v>
      </c>
      <c r="T112" s="45"/>
      <c r="U112" s="45">
        <v>14882</v>
      </c>
      <c r="V112" s="45"/>
      <c r="W112" s="45">
        <f>137923+84659</f>
        <v>222582</v>
      </c>
      <c r="X112" s="45"/>
      <c r="Y112" s="49">
        <f t="shared" si="11"/>
        <v>14048365</v>
      </c>
      <c r="Z112" s="45"/>
      <c r="AA112" s="45">
        <v>265680</v>
      </c>
      <c r="AB112" s="45"/>
      <c r="AC112" s="45"/>
      <c r="AD112" s="45"/>
      <c r="AE112" s="45">
        <v>0</v>
      </c>
      <c r="AF112" s="45"/>
      <c r="AG112" s="45"/>
      <c r="AH112" s="45"/>
      <c r="AI112" s="45">
        <v>0</v>
      </c>
      <c r="AJ112" s="45"/>
      <c r="AK112" s="45">
        <v>0</v>
      </c>
      <c r="AL112" s="45"/>
      <c r="AM112" s="49">
        <f t="shared" si="12"/>
        <v>265680</v>
      </c>
      <c r="AN112" s="45"/>
      <c r="AO112" s="49">
        <f t="shared" si="13"/>
        <v>14314045</v>
      </c>
    </row>
    <row r="113" spans="1:41">
      <c r="A113" s="12" t="s">
        <v>618</v>
      </c>
      <c r="B113" s="12"/>
      <c r="C113" s="12" t="s">
        <v>65</v>
      </c>
      <c r="D113" s="12"/>
      <c r="E113" s="13">
        <v>43778</v>
      </c>
      <c r="F113" s="45"/>
      <c r="G113" s="45">
        <v>3620550</v>
      </c>
      <c r="H113" s="45"/>
      <c r="I113" s="45">
        <v>0</v>
      </c>
      <c r="J113" s="45"/>
      <c r="K113" s="45">
        <f>3306584+13086753+44985</f>
        <v>16438322</v>
      </c>
      <c r="L113" s="45"/>
      <c r="M113" s="45">
        <v>6197</v>
      </c>
      <c r="N113" s="45"/>
      <c r="O113" s="45">
        <v>922386</v>
      </c>
      <c r="P113" s="45"/>
      <c r="Q113" s="45">
        <v>140558</v>
      </c>
      <c r="R113" s="45"/>
      <c r="S113" s="45">
        <v>0</v>
      </c>
      <c r="T113" s="45"/>
      <c r="U113" s="45">
        <v>34905</v>
      </c>
      <c r="V113" s="45"/>
      <c r="W113" s="45">
        <f>26680+30675+8403+32481+168373+7846</f>
        <v>274458</v>
      </c>
      <c r="X113" s="45"/>
      <c r="Y113" s="49">
        <f t="shared" si="11"/>
        <v>21437376</v>
      </c>
      <c r="Z113" s="45"/>
      <c r="AA113" s="45">
        <v>45000</v>
      </c>
      <c r="AB113" s="45"/>
      <c r="AC113" s="45"/>
      <c r="AD113" s="45"/>
      <c r="AE113" s="45">
        <v>0</v>
      </c>
      <c r="AF113" s="45"/>
      <c r="AG113" s="45"/>
      <c r="AH113" s="45"/>
      <c r="AI113" s="45">
        <v>0</v>
      </c>
      <c r="AJ113" s="45"/>
      <c r="AK113" s="45">
        <v>0</v>
      </c>
      <c r="AL113" s="45"/>
      <c r="AM113" s="49">
        <f t="shared" si="12"/>
        <v>45000</v>
      </c>
      <c r="AN113" s="45"/>
      <c r="AO113" s="49">
        <f t="shared" si="13"/>
        <v>21482376</v>
      </c>
    </row>
    <row r="114" spans="1:41">
      <c r="A114" s="12" t="s">
        <v>543</v>
      </c>
      <c r="B114" s="12"/>
      <c r="C114" s="12" t="s">
        <v>112</v>
      </c>
      <c r="D114" s="12"/>
      <c r="E114" s="13">
        <v>49411</v>
      </c>
      <c r="F114" s="45"/>
      <c r="G114" s="45">
        <v>4184002</v>
      </c>
      <c r="H114" s="45"/>
      <c r="I114" s="45">
        <v>0</v>
      </c>
      <c r="J114" s="45"/>
      <c r="K114" s="45">
        <f>8757491+1789065</f>
        <v>10546556</v>
      </c>
      <c r="L114" s="45"/>
      <c r="M114" s="45">
        <v>223297</v>
      </c>
      <c r="N114" s="45"/>
      <c r="O114" s="45">
        <v>756209</v>
      </c>
      <c r="P114" s="45"/>
      <c r="Q114" s="45">
        <v>153856</v>
      </c>
      <c r="R114" s="45"/>
      <c r="S114" s="45">
        <v>0</v>
      </c>
      <c r="T114" s="45"/>
      <c r="U114" s="45">
        <v>17311</v>
      </c>
      <c r="V114" s="45"/>
      <c r="W114" s="45">
        <f>17369+10327+56368+392828+15650</f>
        <v>492542</v>
      </c>
      <c r="X114" s="45"/>
      <c r="Y114" s="49">
        <f t="shared" si="11"/>
        <v>16373773</v>
      </c>
      <c r="Z114" s="45"/>
      <c r="AA114" s="45">
        <v>25000</v>
      </c>
      <c r="AB114" s="45"/>
      <c r="AC114" s="45"/>
      <c r="AD114" s="45"/>
      <c r="AE114" s="45">
        <v>0</v>
      </c>
      <c r="AF114" s="45"/>
      <c r="AG114" s="45"/>
      <c r="AH114" s="45"/>
      <c r="AI114" s="45">
        <v>820</v>
      </c>
      <c r="AJ114" s="45"/>
      <c r="AK114" s="45">
        <v>0</v>
      </c>
      <c r="AL114" s="45"/>
      <c r="AM114" s="49">
        <f t="shared" si="12"/>
        <v>25820</v>
      </c>
      <c r="AN114" s="45"/>
      <c r="AO114" s="49">
        <f t="shared" si="13"/>
        <v>16399593</v>
      </c>
    </row>
    <row r="115" spans="1:41">
      <c r="A115" s="12" t="s">
        <v>438</v>
      </c>
      <c r="B115" s="12"/>
      <c r="C115" s="12" t="s">
        <v>44</v>
      </c>
      <c r="D115" s="12"/>
      <c r="E115" s="13">
        <v>48132</v>
      </c>
      <c r="F115" s="45"/>
      <c r="G115" s="45">
        <v>2759423</v>
      </c>
      <c r="H115" s="45"/>
      <c r="I115" s="45">
        <v>0</v>
      </c>
      <c r="J115" s="45"/>
      <c r="K115" s="45">
        <v>10125698</v>
      </c>
      <c r="L115" s="45"/>
      <c r="M115" s="45">
        <v>17947</v>
      </c>
      <c r="N115" s="45"/>
      <c r="O115" s="45">
        <v>3047750</v>
      </c>
      <c r="P115" s="45"/>
      <c r="Q115" s="45">
        <v>190632</v>
      </c>
      <c r="R115" s="45"/>
      <c r="S115" s="45">
        <v>0</v>
      </c>
      <c r="T115" s="45"/>
      <c r="U115" s="45">
        <v>0</v>
      </c>
      <c r="V115" s="45"/>
      <c r="W115" s="45">
        <f>183734+97521</f>
        <v>281255</v>
      </c>
      <c r="X115" s="45"/>
      <c r="Y115" s="49">
        <f t="shared" si="11"/>
        <v>16422705</v>
      </c>
      <c r="Z115" s="45"/>
      <c r="AA115" s="45">
        <v>93853</v>
      </c>
      <c r="AB115" s="45"/>
      <c r="AC115" s="45"/>
      <c r="AD115" s="45"/>
      <c r="AE115" s="45">
        <v>0</v>
      </c>
      <c r="AF115" s="45"/>
      <c r="AG115" s="45"/>
      <c r="AH115" s="45"/>
      <c r="AI115" s="45">
        <v>91000</v>
      </c>
      <c r="AJ115" s="45"/>
      <c r="AK115" s="45">
        <v>0</v>
      </c>
      <c r="AL115" s="45"/>
      <c r="AM115" s="49">
        <f t="shared" si="12"/>
        <v>184853</v>
      </c>
      <c r="AN115" s="45"/>
      <c r="AO115" s="49">
        <f t="shared" si="13"/>
        <v>16607558</v>
      </c>
    </row>
    <row r="116" spans="1:41">
      <c r="A116" s="12" t="s">
        <v>797</v>
      </c>
      <c r="B116" s="12"/>
      <c r="C116" s="12" t="s">
        <v>115</v>
      </c>
      <c r="D116" s="12"/>
      <c r="E116" s="13"/>
      <c r="F116" s="45"/>
      <c r="G116" s="45">
        <v>8837294</v>
      </c>
      <c r="H116" s="45"/>
      <c r="I116" s="45">
        <v>0</v>
      </c>
      <c r="J116" s="45"/>
      <c r="K116" s="45">
        <v>8549306</v>
      </c>
      <c r="L116" s="45"/>
      <c r="M116" s="45">
        <v>45739</v>
      </c>
      <c r="N116" s="45"/>
      <c r="O116" s="45">
        <v>557504</v>
      </c>
      <c r="P116" s="45"/>
      <c r="Q116" s="45">
        <v>0</v>
      </c>
      <c r="R116" s="45"/>
      <c r="S116" s="45">
        <v>0</v>
      </c>
      <c r="T116" s="45"/>
      <c r="U116" s="45">
        <v>0</v>
      </c>
      <c r="V116" s="45"/>
      <c r="W116" s="45">
        <f>552471+353903</f>
        <v>906374</v>
      </c>
      <c r="X116" s="45"/>
      <c r="Y116" s="49">
        <f t="shared" si="11"/>
        <v>18896217</v>
      </c>
      <c r="Z116" s="45"/>
      <c r="AA116" s="45">
        <v>383504</v>
      </c>
      <c r="AB116" s="45"/>
      <c r="AC116" s="45"/>
      <c r="AD116" s="45"/>
      <c r="AE116" s="45">
        <v>0</v>
      </c>
      <c r="AF116" s="45"/>
      <c r="AG116" s="45"/>
      <c r="AH116" s="45"/>
      <c r="AI116" s="45">
        <v>0</v>
      </c>
      <c r="AJ116" s="45"/>
      <c r="AK116" s="45">
        <v>0</v>
      </c>
      <c r="AL116" s="45"/>
      <c r="AM116" s="49">
        <f t="shared" si="12"/>
        <v>383504</v>
      </c>
      <c r="AN116" s="45"/>
      <c r="AO116" s="49">
        <f t="shared" si="13"/>
        <v>19279721</v>
      </c>
    </row>
    <row r="117" spans="1:41">
      <c r="A117" s="12" t="s">
        <v>796</v>
      </c>
      <c r="B117" s="12"/>
      <c r="C117" s="12" t="s">
        <v>20</v>
      </c>
      <c r="D117" s="12"/>
      <c r="E117" s="13">
        <v>43794</v>
      </c>
      <c r="F117" s="45"/>
      <c r="G117" s="45">
        <v>58111449</v>
      </c>
      <c r="H117" s="45"/>
      <c r="I117" s="45">
        <v>0</v>
      </c>
      <c r="J117" s="45"/>
      <c r="K117" s="45">
        <v>42481847</v>
      </c>
      <c r="L117" s="45"/>
      <c r="M117" s="45">
        <v>489176</v>
      </c>
      <c r="N117" s="45"/>
      <c r="O117" s="45">
        <v>1132778</v>
      </c>
      <c r="P117" s="45"/>
      <c r="Q117" s="45">
        <v>247153</v>
      </c>
      <c r="R117" s="45"/>
      <c r="S117" s="45">
        <v>1813</v>
      </c>
      <c r="T117" s="45"/>
      <c r="U117" s="45">
        <v>0</v>
      </c>
      <c r="V117" s="45"/>
      <c r="W117" s="45">
        <f>21525+1758554</f>
        <v>1780079</v>
      </c>
      <c r="X117" s="45"/>
      <c r="Y117" s="49">
        <f t="shared" si="11"/>
        <v>104244295</v>
      </c>
      <c r="Z117" s="45"/>
      <c r="AA117" s="45">
        <v>570000</v>
      </c>
      <c r="AB117" s="45"/>
      <c r="AC117" s="45"/>
      <c r="AD117" s="45"/>
      <c r="AE117" s="45">
        <v>0</v>
      </c>
      <c r="AF117" s="45"/>
      <c r="AG117" s="45"/>
      <c r="AH117" s="45"/>
      <c r="AI117" s="45">
        <v>2600966</v>
      </c>
      <c r="AJ117" s="45"/>
      <c r="AK117" s="45">
        <v>0</v>
      </c>
      <c r="AL117" s="45"/>
      <c r="AM117" s="49">
        <f t="shared" si="12"/>
        <v>3170966</v>
      </c>
      <c r="AN117" s="45"/>
      <c r="AO117" s="49">
        <f t="shared" si="13"/>
        <v>107415261</v>
      </c>
    </row>
    <row r="118" spans="1:41">
      <c r="A118" s="12" t="s">
        <v>286</v>
      </c>
      <c r="B118" s="12"/>
      <c r="C118" s="12" t="s">
        <v>20</v>
      </c>
      <c r="D118" s="12"/>
      <c r="E118" s="13">
        <v>43786</v>
      </c>
      <c r="F118" s="45"/>
      <c r="G118" s="45">
        <v>175412408</v>
      </c>
      <c r="H118" s="45"/>
      <c r="I118" s="45">
        <v>0</v>
      </c>
      <c r="J118" s="45"/>
      <c r="K118" s="45">
        <f>466379953+54495286+2083472+160859694</f>
        <v>683818405</v>
      </c>
      <c r="L118" s="45"/>
      <c r="M118" s="45">
        <v>5756808</v>
      </c>
      <c r="N118" s="45"/>
      <c r="O118" s="45">
        <v>1831628</v>
      </c>
      <c r="P118" s="45"/>
      <c r="Q118" s="45">
        <v>772316</v>
      </c>
      <c r="R118" s="45"/>
      <c r="S118" s="45">
        <v>0</v>
      </c>
      <c r="T118" s="45"/>
      <c r="U118" s="45">
        <v>6253700</v>
      </c>
      <c r="V118" s="45"/>
      <c r="W118" s="45">
        <v>11268565</v>
      </c>
      <c r="X118" s="45"/>
      <c r="Y118" s="49">
        <f t="shared" si="11"/>
        <v>885113830</v>
      </c>
      <c r="Z118" s="45"/>
      <c r="AA118" s="45">
        <v>11072036</v>
      </c>
      <c r="AB118" s="45"/>
      <c r="AC118" s="45"/>
      <c r="AD118" s="45"/>
      <c r="AE118" s="45">
        <v>0</v>
      </c>
      <c r="AF118" s="45"/>
      <c r="AG118" s="45"/>
      <c r="AH118" s="45"/>
      <c r="AI118" s="45">
        <v>0</v>
      </c>
      <c r="AJ118" s="45"/>
      <c r="AK118" s="45">
        <v>0</v>
      </c>
      <c r="AL118" s="45"/>
      <c r="AM118" s="49">
        <f t="shared" si="12"/>
        <v>11072036</v>
      </c>
      <c r="AN118" s="45"/>
      <c r="AO118" s="49">
        <f t="shared" si="13"/>
        <v>896185866</v>
      </c>
    </row>
    <row r="119" spans="1:41">
      <c r="A119" s="12" t="s">
        <v>260</v>
      </c>
      <c r="B119" s="12"/>
      <c r="C119" s="12" t="s">
        <v>18</v>
      </c>
      <c r="D119" s="12"/>
      <c r="E119" s="13">
        <v>46391</v>
      </c>
      <c r="F119" s="45"/>
      <c r="G119" s="45">
        <v>5273064</v>
      </c>
      <c r="H119" s="45"/>
      <c r="I119" s="45">
        <v>0</v>
      </c>
      <c r="J119" s="45"/>
      <c r="K119" s="45">
        <f>4594+9897706+995053</f>
        <v>10897353</v>
      </c>
      <c r="L119" s="45"/>
      <c r="M119" s="45">
        <v>27470</v>
      </c>
      <c r="N119" s="45"/>
      <c r="O119" s="45">
        <v>545080</v>
      </c>
      <c r="P119" s="45"/>
      <c r="Q119" s="45">
        <v>226005</v>
      </c>
      <c r="R119" s="45"/>
      <c r="S119" s="45">
        <v>0</v>
      </c>
      <c r="T119" s="45"/>
      <c r="U119" s="45">
        <v>20901</v>
      </c>
      <c r="V119" s="45"/>
      <c r="W119" s="45">
        <f>57314+98644+18000+454138</f>
        <v>628096</v>
      </c>
      <c r="X119" s="45"/>
      <c r="Y119" s="49">
        <f t="shared" si="11"/>
        <v>17617969</v>
      </c>
      <c r="Z119" s="45"/>
      <c r="AA119" s="45">
        <v>6259688</v>
      </c>
      <c r="AB119" s="45"/>
      <c r="AC119" s="45"/>
      <c r="AD119" s="45"/>
      <c r="AE119" s="45">
        <v>480000</v>
      </c>
      <c r="AF119" s="45"/>
      <c r="AG119" s="45"/>
      <c r="AH119" s="45"/>
      <c r="AI119" s="45">
        <v>42520</v>
      </c>
      <c r="AJ119" s="45"/>
      <c r="AK119" s="45">
        <v>0</v>
      </c>
      <c r="AL119" s="45"/>
      <c r="AM119" s="49">
        <f t="shared" si="12"/>
        <v>6782208</v>
      </c>
      <c r="AN119" s="45"/>
      <c r="AO119" s="49">
        <f t="shared" si="13"/>
        <v>24400177</v>
      </c>
    </row>
    <row r="120" spans="1:41">
      <c r="A120" s="12" t="s">
        <v>480</v>
      </c>
      <c r="B120" s="12"/>
      <c r="C120" s="12" t="s">
        <v>47</v>
      </c>
      <c r="D120" s="12"/>
      <c r="E120" s="12">
        <v>48488</v>
      </c>
      <c r="F120" s="45"/>
      <c r="G120" s="45">
        <v>14778656</v>
      </c>
      <c r="H120" s="45"/>
      <c r="I120" s="45">
        <v>0</v>
      </c>
      <c r="J120" s="45"/>
      <c r="K120" s="45">
        <v>16182562</v>
      </c>
      <c r="L120" s="45"/>
      <c r="M120" s="45">
        <v>56680</v>
      </c>
      <c r="N120" s="45"/>
      <c r="O120" s="45">
        <v>462741</v>
      </c>
      <c r="P120" s="45"/>
      <c r="Q120" s="45">
        <v>322974</v>
      </c>
      <c r="R120" s="45"/>
      <c r="S120" s="45">
        <v>0</v>
      </c>
      <c r="T120" s="45"/>
      <c r="U120" s="45">
        <v>39740</v>
      </c>
      <c r="V120" s="45"/>
      <c r="W120" s="45">
        <f>718743+83439+76631</f>
        <v>878813</v>
      </c>
      <c r="X120" s="45"/>
      <c r="Y120" s="49">
        <f t="shared" si="11"/>
        <v>32722166</v>
      </c>
      <c r="Z120" s="45"/>
      <c r="AA120" s="45">
        <v>106792</v>
      </c>
      <c r="AB120" s="45"/>
      <c r="AC120" s="45"/>
      <c r="AD120" s="45"/>
      <c r="AE120" s="45">
        <v>0</v>
      </c>
      <c r="AF120" s="45"/>
      <c r="AG120" s="45"/>
      <c r="AH120" s="45"/>
      <c r="AI120" s="45">
        <f>1890+26160000+935</f>
        <v>26162825</v>
      </c>
      <c r="AJ120" s="45"/>
      <c r="AK120" s="45">
        <v>0</v>
      </c>
      <c r="AL120" s="45"/>
      <c r="AM120" s="49">
        <f t="shared" si="12"/>
        <v>26269617</v>
      </c>
      <c r="AN120" s="45"/>
      <c r="AO120" s="49">
        <f t="shared" si="13"/>
        <v>58991783</v>
      </c>
    </row>
    <row r="121" spans="1:41">
      <c r="A121" s="12" t="s">
        <v>555</v>
      </c>
      <c r="B121" s="12"/>
      <c r="C121" s="12" t="s">
        <v>79</v>
      </c>
      <c r="D121" s="12"/>
      <c r="E121" s="13">
        <v>45302</v>
      </c>
      <c r="F121" s="45"/>
      <c r="G121" s="45">
        <v>7971415</v>
      </c>
      <c r="H121" s="45"/>
      <c r="I121" s="45">
        <v>0</v>
      </c>
      <c r="J121" s="45"/>
      <c r="K121" s="45">
        <f>29525002+2293118</f>
        <v>31818120</v>
      </c>
      <c r="L121" s="45"/>
      <c r="M121" s="45">
        <v>144155</v>
      </c>
      <c r="N121" s="45"/>
      <c r="O121" s="45">
        <v>724027</v>
      </c>
      <c r="P121" s="45"/>
      <c r="Q121" s="45">
        <v>308872</v>
      </c>
      <c r="R121" s="45"/>
      <c r="S121" s="45">
        <v>203391</v>
      </c>
      <c r="T121" s="45"/>
      <c r="U121" s="45">
        <v>0</v>
      </c>
      <c r="V121" s="45"/>
      <c r="W121" s="45">
        <f>586390+49867+410502</f>
        <v>1046759</v>
      </c>
      <c r="X121" s="45"/>
      <c r="Y121" s="49">
        <f t="shared" si="11"/>
        <v>42216739</v>
      </c>
      <c r="Z121" s="45"/>
      <c r="AA121" s="45">
        <v>1022563</v>
      </c>
      <c r="AB121" s="45"/>
      <c r="AC121" s="45"/>
      <c r="AD121" s="45"/>
      <c r="AE121" s="45">
        <v>0</v>
      </c>
      <c r="AF121" s="45"/>
      <c r="AG121" s="45"/>
      <c r="AH121" s="45"/>
      <c r="AI121" s="45">
        <v>7559</v>
      </c>
      <c r="AJ121" s="45"/>
      <c r="AK121" s="45">
        <v>0</v>
      </c>
      <c r="AL121" s="45"/>
      <c r="AM121" s="49">
        <f t="shared" si="12"/>
        <v>1030122</v>
      </c>
      <c r="AN121" s="45"/>
      <c r="AO121" s="49">
        <f t="shared" si="13"/>
        <v>43246861</v>
      </c>
    </row>
    <row r="122" spans="1:41" hidden="1">
      <c r="A122" s="12" t="s">
        <v>798</v>
      </c>
      <c r="B122" s="12"/>
      <c r="C122" s="12" t="s">
        <v>486</v>
      </c>
      <c r="D122" s="12"/>
      <c r="E122" s="13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9">
        <f t="shared" si="11"/>
        <v>0</v>
      </c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9"/>
      <c r="AN122" s="45"/>
      <c r="AO122" s="49">
        <f t="shared" si="13"/>
        <v>0</v>
      </c>
    </row>
    <row r="123" spans="1:41" hidden="1">
      <c r="A123" s="12" t="s">
        <v>929</v>
      </c>
      <c r="B123" s="12"/>
      <c r="C123" s="12" t="s">
        <v>57</v>
      </c>
      <c r="D123" s="12"/>
      <c r="E123" s="13">
        <v>64964</v>
      </c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9">
        <f t="shared" si="11"/>
        <v>0</v>
      </c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>
        <v>0</v>
      </c>
      <c r="AL123" s="45"/>
      <c r="AM123" s="49">
        <f t="shared" ref="AM123:AM139" si="14">AI123+AE123+AA123</f>
        <v>0</v>
      </c>
      <c r="AN123" s="45"/>
      <c r="AO123" s="49">
        <f t="shared" si="13"/>
        <v>0</v>
      </c>
    </row>
    <row r="124" spans="1:41">
      <c r="A124" s="12" t="s">
        <v>277</v>
      </c>
      <c r="B124" s="12"/>
      <c r="C124" s="12" t="s">
        <v>113</v>
      </c>
      <c r="D124" s="12"/>
      <c r="E124" s="13">
        <v>46516</v>
      </c>
      <c r="F124" s="45"/>
      <c r="G124" s="45">
        <v>2873536</v>
      </c>
      <c r="H124" s="45"/>
      <c r="I124" s="45">
        <v>1278237</v>
      </c>
      <c r="J124" s="45"/>
      <c r="K124" s="45">
        <f>13636+4132675+811606</f>
        <v>4957917</v>
      </c>
      <c r="L124" s="45"/>
      <c r="M124" s="45">
        <v>14764</v>
      </c>
      <c r="N124" s="45"/>
      <c r="O124" s="45">
        <v>1005160</v>
      </c>
      <c r="P124" s="45"/>
      <c r="Q124" s="45">
        <v>85599</v>
      </c>
      <c r="R124" s="45"/>
      <c r="S124" s="45">
        <v>0</v>
      </c>
      <c r="T124" s="45"/>
      <c r="U124" s="45">
        <v>15789</v>
      </c>
      <c r="V124" s="45"/>
      <c r="W124" s="45">
        <f>16291+7856+1177+57374+198123+14192</f>
        <v>295013</v>
      </c>
      <c r="X124" s="45"/>
      <c r="Y124" s="49">
        <f t="shared" si="11"/>
        <v>10526015</v>
      </c>
      <c r="Z124" s="45"/>
      <c r="AA124" s="45">
        <v>229070</v>
      </c>
      <c r="AB124" s="45"/>
      <c r="AC124" s="45"/>
      <c r="AD124" s="45"/>
      <c r="AE124" s="45">
        <v>0</v>
      </c>
      <c r="AF124" s="45"/>
      <c r="AG124" s="45"/>
      <c r="AH124" s="45"/>
      <c r="AI124" s="45">
        <v>1789</v>
      </c>
      <c r="AJ124" s="45"/>
      <c r="AK124" s="45">
        <v>0</v>
      </c>
      <c r="AL124" s="45"/>
      <c r="AM124" s="49">
        <f t="shared" si="14"/>
        <v>230859</v>
      </c>
      <c r="AN124" s="45"/>
      <c r="AO124" s="49">
        <f t="shared" si="13"/>
        <v>10756874</v>
      </c>
    </row>
    <row r="125" spans="1:41">
      <c r="A125" s="12" t="s">
        <v>439</v>
      </c>
      <c r="B125" s="12"/>
      <c r="C125" s="12" t="s">
        <v>44</v>
      </c>
      <c r="D125" s="12"/>
      <c r="E125" s="13">
        <v>48140</v>
      </c>
      <c r="F125" s="45"/>
      <c r="G125" s="45">
        <v>5647684</v>
      </c>
      <c r="H125" s="45"/>
      <c r="I125" s="45">
        <v>0</v>
      </c>
      <c r="J125" s="45"/>
      <c r="K125" s="45">
        <f>3231+3507073+819022</f>
        <v>4329326</v>
      </c>
      <c r="L125" s="45"/>
      <c r="M125" s="45">
        <v>4771</v>
      </c>
      <c r="N125" s="45"/>
      <c r="O125" s="45">
        <v>653748</v>
      </c>
      <c r="P125" s="45"/>
      <c r="Q125" s="45">
        <v>91724</v>
      </c>
      <c r="R125" s="45"/>
      <c r="S125" s="45">
        <v>0</v>
      </c>
      <c r="T125" s="45"/>
      <c r="U125" s="45">
        <v>0</v>
      </c>
      <c r="V125" s="45"/>
      <c r="W125" s="45">
        <f>121080+54782+227320</f>
        <v>403182</v>
      </c>
      <c r="X125" s="45"/>
      <c r="Y125" s="49">
        <f t="shared" si="11"/>
        <v>11130435</v>
      </c>
      <c r="Z125" s="45"/>
      <c r="AA125" s="45">
        <v>32600</v>
      </c>
      <c r="AB125" s="45"/>
      <c r="AC125" s="45"/>
      <c r="AD125" s="45"/>
      <c r="AE125" s="45">
        <v>0</v>
      </c>
      <c r="AF125" s="45"/>
      <c r="AG125" s="45"/>
      <c r="AH125" s="45"/>
      <c r="AI125" s="45">
        <v>0</v>
      </c>
      <c r="AJ125" s="45"/>
      <c r="AK125" s="45">
        <v>0</v>
      </c>
      <c r="AL125" s="45"/>
      <c r="AM125" s="49">
        <f t="shared" si="14"/>
        <v>32600</v>
      </c>
      <c r="AN125" s="45"/>
      <c r="AO125" s="49">
        <f t="shared" si="13"/>
        <v>11163035</v>
      </c>
    </row>
    <row r="126" spans="1:41">
      <c r="A126" s="12" t="s">
        <v>264</v>
      </c>
      <c r="B126" s="12"/>
      <c r="C126" s="12" t="s">
        <v>114</v>
      </c>
      <c r="D126" s="12"/>
      <c r="E126" s="13">
        <v>45328</v>
      </c>
      <c r="F126" s="45"/>
      <c r="G126" s="45">
        <v>3884002</v>
      </c>
      <c r="H126" s="45"/>
      <c r="I126" s="45">
        <v>1343827</v>
      </c>
      <c r="J126" s="45"/>
      <c r="K126" s="45">
        <v>4184036</v>
      </c>
      <c r="L126" s="45"/>
      <c r="M126" s="45">
        <v>98302</v>
      </c>
      <c r="N126" s="45"/>
      <c r="O126" s="45">
        <v>1338735</v>
      </c>
      <c r="P126" s="45"/>
      <c r="Q126" s="45">
        <v>236197</v>
      </c>
      <c r="R126" s="45"/>
      <c r="S126" s="45">
        <v>0</v>
      </c>
      <c r="T126" s="45"/>
      <c r="U126" s="45">
        <v>22542</v>
      </c>
      <c r="V126" s="45"/>
      <c r="W126" s="45">
        <f>102711+241055+12048</f>
        <v>355814</v>
      </c>
      <c r="X126" s="45"/>
      <c r="Y126" s="49">
        <f t="shared" si="11"/>
        <v>11463455</v>
      </c>
      <c r="Z126" s="45"/>
      <c r="AA126" s="45">
        <v>0</v>
      </c>
      <c r="AB126" s="45"/>
      <c r="AC126" s="45"/>
      <c r="AD126" s="45"/>
      <c r="AE126" s="45">
        <f>8390000+59501</f>
        <v>8449501</v>
      </c>
      <c r="AF126" s="45"/>
      <c r="AG126" s="45"/>
      <c r="AH126" s="45"/>
      <c r="AI126" s="45">
        <v>107500</v>
      </c>
      <c r="AJ126" s="45"/>
      <c r="AK126" s="45">
        <v>0</v>
      </c>
      <c r="AL126" s="45"/>
      <c r="AM126" s="49">
        <f t="shared" si="14"/>
        <v>8557001</v>
      </c>
      <c r="AN126" s="45"/>
      <c r="AO126" s="49">
        <f t="shared" si="13"/>
        <v>20020456</v>
      </c>
    </row>
    <row r="127" spans="1:41">
      <c r="A127" s="12" t="s">
        <v>331</v>
      </c>
      <c r="B127" s="12"/>
      <c r="C127" s="12" t="s">
        <v>27</v>
      </c>
      <c r="D127" s="12"/>
      <c r="E127" s="13">
        <v>43802</v>
      </c>
      <c r="F127" s="45"/>
      <c r="G127" s="45">
        <v>404791949</v>
      </c>
      <c r="H127" s="45"/>
      <c r="I127" s="45">
        <v>0</v>
      </c>
      <c r="J127" s="45"/>
      <c r="K127" s="45">
        <v>468370337</v>
      </c>
      <c r="L127" s="45"/>
      <c r="M127" s="45">
        <v>3134707</v>
      </c>
      <c r="N127" s="45"/>
      <c r="O127" s="45">
        <v>7156723</v>
      </c>
      <c r="P127" s="45"/>
      <c r="Q127" s="45">
        <v>1640783</v>
      </c>
      <c r="R127" s="45"/>
      <c r="S127" s="45">
        <v>40278643</v>
      </c>
      <c r="T127" s="45"/>
      <c r="U127" s="45">
        <v>1645679</v>
      </c>
      <c r="V127" s="45"/>
      <c r="W127" s="45">
        <f>6297186+5559906+580288</f>
        <v>12437380</v>
      </c>
      <c r="X127" s="45"/>
      <c r="Y127" s="49">
        <f t="shared" si="11"/>
        <v>939456201</v>
      </c>
      <c r="Z127" s="45"/>
      <c r="AA127" s="45">
        <v>195903543</v>
      </c>
      <c r="AB127" s="45"/>
      <c r="AC127" s="45"/>
      <c r="AD127" s="45"/>
      <c r="AE127" s="45">
        <f>56969987+4600000+3684492+252041</f>
        <v>65506520</v>
      </c>
      <c r="AF127" s="45"/>
      <c r="AG127" s="45"/>
      <c r="AH127" s="45"/>
      <c r="AI127" s="45">
        <v>414489</v>
      </c>
      <c r="AJ127" s="45"/>
      <c r="AK127" s="45">
        <v>0</v>
      </c>
      <c r="AL127" s="45"/>
      <c r="AM127" s="49">
        <f t="shared" si="14"/>
        <v>261824552</v>
      </c>
      <c r="AN127" s="45"/>
      <c r="AO127" s="49">
        <f t="shared" si="13"/>
        <v>1201280753</v>
      </c>
    </row>
    <row r="128" spans="1:41" hidden="1">
      <c r="A128" s="12" t="s">
        <v>731</v>
      </c>
      <c r="B128" s="12"/>
      <c r="C128" s="12" t="s">
        <v>542</v>
      </c>
      <c r="D128" s="12"/>
      <c r="E128" s="13">
        <v>49312</v>
      </c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9">
        <f t="shared" si="11"/>
        <v>0</v>
      </c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>
        <v>0</v>
      </c>
      <c r="AL128" s="45"/>
      <c r="AM128" s="49">
        <f t="shared" si="14"/>
        <v>0</v>
      </c>
      <c r="AN128" s="45"/>
      <c r="AO128" s="49">
        <f t="shared" ref="AO128:AO159" si="15">Y128+AM128</f>
        <v>0</v>
      </c>
    </row>
    <row r="129" spans="1:41">
      <c r="A129" s="12" t="s">
        <v>210</v>
      </c>
      <c r="B129" s="12"/>
      <c r="C129" s="12" t="s">
        <v>12</v>
      </c>
      <c r="D129" s="12"/>
      <c r="E129" s="13">
        <v>43810</v>
      </c>
      <c r="F129" s="45"/>
      <c r="G129" s="45">
        <v>4384590</v>
      </c>
      <c r="H129" s="45"/>
      <c r="I129" s="45">
        <v>0</v>
      </c>
      <c r="J129" s="45"/>
      <c r="K129" s="45">
        <v>17179653</v>
      </c>
      <c r="L129" s="45"/>
      <c r="M129" s="45">
        <v>10242</v>
      </c>
      <c r="N129" s="45"/>
      <c r="O129" s="45">
        <v>179013</v>
      </c>
      <c r="P129" s="45"/>
      <c r="Q129" s="45">
        <v>63498</v>
      </c>
      <c r="R129" s="45"/>
      <c r="S129" s="45">
        <v>0</v>
      </c>
      <c r="T129" s="45"/>
      <c r="U129" s="45">
        <v>13522</v>
      </c>
      <c r="V129" s="45"/>
      <c r="W129" s="45">
        <f>55630+1498+160899</f>
        <v>218027</v>
      </c>
      <c r="X129" s="45"/>
      <c r="Y129" s="49">
        <f t="shared" si="11"/>
        <v>22048545</v>
      </c>
      <c r="Z129" s="45"/>
      <c r="AA129" s="45">
        <v>40292</v>
      </c>
      <c r="AB129" s="45"/>
      <c r="AC129" s="45"/>
      <c r="AD129" s="45"/>
      <c r="AE129" s="45">
        <v>0</v>
      </c>
      <c r="AF129" s="45"/>
      <c r="AG129" s="45"/>
      <c r="AH129" s="45"/>
      <c r="AI129" s="45">
        <v>0</v>
      </c>
      <c r="AJ129" s="45"/>
      <c r="AK129" s="45">
        <v>0</v>
      </c>
      <c r="AL129" s="45"/>
      <c r="AM129" s="49">
        <f t="shared" si="14"/>
        <v>40292</v>
      </c>
      <c r="AN129" s="45"/>
      <c r="AO129" s="49">
        <f t="shared" si="15"/>
        <v>22088837</v>
      </c>
    </row>
    <row r="130" spans="1:41">
      <c r="A130" s="12" t="s">
        <v>387</v>
      </c>
      <c r="B130" s="12"/>
      <c r="C130" s="12" t="s">
        <v>388</v>
      </c>
      <c r="D130" s="12"/>
      <c r="E130" s="13">
        <v>47548</v>
      </c>
      <c r="F130" s="45"/>
      <c r="G130" s="45">
        <v>1932139</v>
      </c>
      <c r="H130" s="45"/>
      <c r="I130" s="45">
        <v>0</v>
      </c>
      <c r="J130" s="45"/>
      <c r="K130" s="45">
        <f>2999+2737083+712234</f>
        <v>3452316</v>
      </c>
      <c r="L130" s="45"/>
      <c r="M130" s="45">
        <v>3625</v>
      </c>
      <c r="N130" s="45"/>
      <c r="O130" s="45">
        <v>307305</v>
      </c>
      <c r="P130" s="45"/>
      <c r="Q130" s="45">
        <v>53853</v>
      </c>
      <c r="R130" s="45"/>
      <c r="S130" s="45">
        <v>0</v>
      </c>
      <c r="T130" s="45"/>
      <c r="U130" s="45">
        <v>6400</v>
      </c>
      <c r="V130" s="45"/>
      <c r="W130" s="45">
        <f>71587+7346</f>
        <v>78933</v>
      </c>
      <c r="X130" s="45"/>
      <c r="Y130" s="49">
        <f t="shared" si="11"/>
        <v>5834571</v>
      </c>
      <c r="Z130" s="45"/>
      <c r="AA130" s="45">
        <v>65000</v>
      </c>
      <c r="AB130" s="45"/>
      <c r="AC130" s="45"/>
      <c r="AD130" s="45"/>
      <c r="AE130" s="45">
        <v>0</v>
      </c>
      <c r="AF130" s="45"/>
      <c r="AG130" s="45"/>
      <c r="AH130" s="45"/>
      <c r="AI130" s="45">
        <v>0</v>
      </c>
      <c r="AJ130" s="45"/>
      <c r="AK130" s="45">
        <v>0</v>
      </c>
      <c r="AL130" s="45"/>
      <c r="AM130" s="49">
        <f t="shared" si="14"/>
        <v>65000</v>
      </c>
      <c r="AN130" s="45"/>
      <c r="AO130" s="49">
        <f t="shared" si="15"/>
        <v>5899571</v>
      </c>
    </row>
    <row r="131" spans="1:41" hidden="1">
      <c r="A131" s="12" t="s">
        <v>831</v>
      </c>
      <c r="B131" s="12"/>
      <c r="C131" s="12" t="s">
        <v>542</v>
      </c>
      <c r="D131" s="12"/>
      <c r="E131" s="13">
        <v>49320</v>
      </c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9">
        <f t="shared" si="11"/>
        <v>0</v>
      </c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>
        <v>0</v>
      </c>
      <c r="AL131" s="45"/>
      <c r="AM131" s="49">
        <f t="shared" si="14"/>
        <v>0</v>
      </c>
      <c r="AN131" s="45"/>
      <c r="AO131" s="49">
        <f t="shared" si="15"/>
        <v>0</v>
      </c>
    </row>
    <row r="132" spans="1:41">
      <c r="A132" s="12" t="s">
        <v>588</v>
      </c>
      <c r="B132" s="12"/>
      <c r="C132" s="12" t="s">
        <v>63</v>
      </c>
      <c r="D132" s="12"/>
      <c r="E132" s="13">
        <v>49981</v>
      </c>
      <c r="F132" s="45"/>
      <c r="G132" s="45">
        <v>24293082</v>
      </c>
      <c r="H132" s="45"/>
      <c r="I132" s="45">
        <v>0</v>
      </c>
      <c r="J132" s="45"/>
      <c r="K132" s="45">
        <v>9873029</v>
      </c>
      <c r="L132" s="45"/>
      <c r="M132" s="45">
        <v>16472</v>
      </c>
      <c r="N132" s="45"/>
      <c r="O132" s="45">
        <v>474837</v>
      </c>
      <c r="P132" s="45"/>
      <c r="Q132" s="45">
        <v>137506</v>
      </c>
      <c r="R132" s="45"/>
      <c r="S132" s="45">
        <v>0</v>
      </c>
      <c r="T132" s="45"/>
      <c r="U132" s="45">
        <v>146228</v>
      </c>
      <c r="V132" s="45"/>
      <c r="W132" s="45">
        <f>621515+27851+297553</f>
        <v>946919</v>
      </c>
      <c r="X132" s="45"/>
      <c r="Y132" s="49">
        <f t="shared" si="11"/>
        <v>35888073</v>
      </c>
      <c r="Z132" s="45"/>
      <c r="AA132" s="45">
        <v>66000</v>
      </c>
      <c r="AB132" s="45"/>
      <c r="AC132" s="45"/>
      <c r="AD132" s="45"/>
      <c r="AE132" s="45">
        <v>0</v>
      </c>
      <c r="AF132" s="45"/>
      <c r="AG132" s="45"/>
      <c r="AH132" s="45"/>
      <c r="AI132" s="45">
        <v>0</v>
      </c>
      <c r="AJ132" s="45"/>
      <c r="AK132" s="45">
        <v>0</v>
      </c>
      <c r="AL132" s="45"/>
      <c r="AM132" s="49">
        <f t="shared" si="14"/>
        <v>66000</v>
      </c>
      <c r="AN132" s="45"/>
      <c r="AO132" s="49">
        <f t="shared" si="15"/>
        <v>35954073</v>
      </c>
    </row>
    <row r="133" spans="1:41">
      <c r="A133" s="12" t="s">
        <v>930</v>
      </c>
      <c r="B133" s="12"/>
      <c r="C133" s="12" t="s">
        <v>33</v>
      </c>
      <c r="D133" s="12"/>
      <c r="E133" s="13">
        <v>47431</v>
      </c>
      <c r="F133" s="45"/>
      <c r="G133" s="45">
        <v>1755668</v>
      </c>
      <c r="H133" s="45"/>
      <c r="I133" s="45">
        <v>1374505</v>
      </c>
      <c r="J133" s="45"/>
      <c r="K133" s="45">
        <v>4232383</v>
      </c>
      <c r="L133" s="45"/>
      <c r="M133" s="45">
        <v>12594</v>
      </c>
      <c r="N133" s="45"/>
      <c r="O133" s="45">
        <v>297891</v>
      </c>
      <c r="P133" s="45"/>
      <c r="Q133" s="45">
        <v>109553</v>
      </c>
      <c r="R133" s="45"/>
      <c r="S133" s="45">
        <v>7476</v>
      </c>
      <c r="T133" s="45"/>
      <c r="U133" s="45">
        <v>41952</v>
      </c>
      <c r="V133" s="45"/>
      <c r="W133" s="45">
        <f>37350+129771</f>
        <v>167121</v>
      </c>
      <c r="X133" s="45"/>
      <c r="Y133" s="49">
        <f t="shared" si="11"/>
        <v>7999143</v>
      </c>
      <c r="Z133" s="45"/>
      <c r="AA133" s="45">
        <v>46513</v>
      </c>
      <c r="AB133" s="45"/>
      <c r="AC133" s="45"/>
      <c r="AD133" s="45"/>
      <c r="AE133" s="45">
        <f>6287899+6287875+128414</f>
        <v>12704188</v>
      </c>
      <c r="AF133" s="45"/>
      <c r="AG133" s="45"/>
      <c r="AH133" s="45"/>
      <c r="AI133" s="45">
        <v>4200</v>
      </c>
      <c r="AJ133" s="45"/>
      <c r="AK133" s="45">
        <v>0</v>
      </c>
      <c r="AL133" s="45"/>
      <c r="AM133" s="49">
        <f t="shared" si="14"/>
        <v>12754901</v>
      </c>
      <c r="AN133" s="45"/>
      <c r="AO133" s="49">
        <f t="shared" si="15"/>
        <v>20754044</v>
      </c>
    </row>
    <row r="134" spans="1:41">
      <c r="A134" s="12" t="s">
        <v>272</v>
      </c>
      <c r="B134" s="12"/>
      <c r="C134" s="12" t="s">
        <v>19</v>
      </c>
      <c r="D134" s="12"/>
      <c r="E134" s="13">
        <v>43828</v>
      </c>
      <c r="F134" s="45"/>
      <c r="G134" s="45">
        <v>5143348</v>
      </c>
      <c r="H134" s="45"/>
      <c r="I134" s="45">
        <v>0</v>
      </c>
      <c r="J134" s="45"/>
      <c r="K134" s="45">
        <f>9811483+2850879</f>
        <v>12662362</v>
      </c>
      <c r="L134" s="45"/>
      <c r="M134" s="45">
        <v>118413</v>
      </c>
      <c r="N134" s="45"/>
      <c r="O134" s="45">
        <v>828163</v>
      </c>
      <c r="P134" s="45"/>
      <c r="Q134" s="45">
        <v>179152</v>
      </c>
      <c r="R134" s="45"/>
      <c r="S134" s="45">
        <v>0</v>
      </c>
      <c r="T134" s="45"/>
      <c r="U134" s="45">
        <v>0</v>
      </c>
      <c r="V134" s="45"/>
      <c r="W134" s="45">
        <f>153922+43769+259199</f>
        <v>456890</v>
      </c>
      <c r="X134" s="45"/>
      <c r="Y134" s="49">
        <f t="shared" si="11"/>
        <v>19388328</v>
      </c>
      <c r="Z134" s="45"/>
      <c r="AA134" s="45">
        <v>118591</v>
      </c>
      <c r="AB134" s="45"/>
      <c r="AC134" s="45"/>
      <c r="AD134" s="45"/>
      <c r="AE134" s="45">
        <v>0</v>
      </c>
      <c r="AF134" s="45"/>
      <c r="AG134" s="45"/>
      <c r="AH134" s="45"/>
      <c r="AI134" s="45">
        <v>180021</v>
      </c>
      <c r="AJ134" s="45"/>
      <c r="AK134" s="45">
        <v>0</v>
      </c>
      <c r="AL134" s="45"/>
      <c r="AM134" s="49">
        <f t="shared" si="14"/>
        <v>298612</v>
      </c>
      <c r="AN134" s="45"/>
      <c r="AO134" s="49">
        <f t="shared" si="15"/>
        <v>19686940</v>
      </c>
    </row>
    <row r="135" spans="1:41">
      <c r="A135" s="12" t="s">
        <v>720</v>
      </c>
      <c r="B135" s="12"/>
      <c r="C135" s="12" t="s">
        <v>63</v>
      </c>
      <c r="D135" s="12"/>
      <c r="E135" s="13"/>
      <c r="F135" s="45"/>
      <c r="G135" s="45">
        <v>8422147</v>
      </c>
      <c r="H135" s="45"/>
      <c r="I135" s="45">
        <v>0</v>
      </c>
      <c r="J135" s="45"/>
      <c r="K135" s="45">
        <v>7752997</v>
      </c>
      <c r="L135" s="45"/>
      <c r="M135" s="45">
        <v>2282</v>
      </c>
      <c r="N135" s="45"/>
      <c r="O135" s="45">
        <v>5459626</v>
      </c>
      <c r="P135" s="45"/>
      <c r="Q135" s="45">
        <v>149879</v>
      </c>
      <c r="R135" s="45"/>
      <c r="S135" s="45">
        <v>64220</v>
      </c>
      <c r="T135" s="45"/>
      <c r="U135" s="45">
        <v>33164</v>
      </c>
      <c r="V135" s="45"/>
      <c r="W135" s="45">
        <f>59477+9643+378090</f>
        <v>447210</v>
      </c>
      <c r="X135" s="45"/>
      <c r="Y135" s="49">
        <f t="shared" si="11"/>
        <v>22331525</v>
      </c>
      <c r="Z135" s="45"/>
      <c r="AA135" s="45">
        <v>35000</v>
      </c>
      <c r="AB135" s="45"/>
      <c r="AC135" s="45"/>
      <c r="AD135" s="45"/>
      <c r="AE135" s="45">
        <v>0</v>
      </c>
      <c r="AF135" s="45"/>
      <c r="AG135" s="45"/>
      <c r="AH135" s="45"/>
      <c r="AI135" s="45">
        <v>0</v>
      </c>
      <c r="AJ135" s="45"/>
      <c r="AK135" s="45">
        <v>0</v>
      </c>
      <c r="AL135" s="45"/>
      <c r="AM135" s="49">
        <f t="shared" si="14"/>
        <v>35000</v>
      </c>
      <c r="AN135" s="45"/>
      <c r="AO135" s="49">
        <f t="shared" si="15"/>
        <v>22366525</v>
      </c>
    </row>
    <row r="136" spans="1:41">
      <c r="A136" s="12" t="s">
        <v>799</v>
      </c>
      <c r="B136" s="12"/>
      <c r="C136" s="12" t="s">
        <v>48</v>
      </c>
      <c r="D136" s="12"/>
      <c r="E136" s="13">
        <v>45336</v>
      </c>
      <c r="F136" s="45"/>
      <c r="G136" s="45">
        <v>3222337</v>
      </c>
      <c r="H136" s="45"/>
      <c r="I136" s="45">
        <v>0</v>
      </c>
      <c r="J136" s="45"/>
      <c r="K136" s="45">
        <f>3436985+750857</f>
        <v>4187842</v>
      </c>
      <c r="L136" s="45"/>
      <c r="M136" s="45">
        <v>7128</v>
      </c>
      <c r="N136" s="45"/>
      <c r="O136" s="45">
        <v>366814</v>
      </c>
      <c r="P136" s="45"/>
      <c r="Q136" s="45">
        <v>174223</v>
      </c>
      <c r="R136" s="45"/>
      <c r="S136" s="45">
        <v>0</v>
      </c>
      <c r="T136" s="45"/>
      <c r="U136" s="45">
        <v>102923</v>
      </c>
      <c r="V136" s="45"/>
      <c r="W136" s="45">
        <f>24510+4817+37538+192593</f>
        <v>259458</v>
      </c>
      <c r="X136" s="45"/>
      <c r="Y136" s="49">
        <f t="shared" si="11"/>
        <v>8320725</v>
      </c>
      <c r="Z136" s="45"/>
      <c r="AA136" s="45">
        <v>0</v>
      </c>
      <c r="AB136" s="45"/>
      <c r="AC136" s="45"/>
      <c r="AD136" s="45"/>
      <c r="AE136" s="45">
        <v>0</v>
      </c>
      <c r="AF136" s="45"/>
      <c r="AG136" s="45"/>
      <c r="AH136" s="45"/>
      <c r="AI136" s="45">
        <v>0</v>
      </c>
      <c r="AJ136" s="45"/>
      <c r="AK136" s="45">
        <v>0</v>
      </c>
      <c r="AL136" s="45"/>
      <c r="AM136" s="49">
        <f t="shared" si="14"/>
        <v>0</v>
      </c>
      <c r="AN136" s="45"/>
      <c r="AO136" s="49">
        <f t="shared" si="15"/>
        <v>8320725</v>
      </c>
    </row>
    <row r="137" spans="1:41">
      <c r="A137" s="12" t="s">
        <v>800</v>
      </c>
      <c r="B137" s="12"/>
      <c r="C137" s="12" t="s">
        <v>113</v>
      </c>
      <c r="D137" s="12"/>
      <c r="E137" s="13">
        <v>45344</v>
      </c>
      <c r="F137" s="45"/>
      <c r="G137" s="45">
        <v>2648622</v>
      </c>
      <c r="H137" s="45"/>
      <c r="I137" s="45">
        <v>0</v>
      </c>
      <c r="J137" s="45"/>
      <c r="K137" s="45">
        <f>8269133+1066554</f>
        <v>9335687</v>
      </c>
      <c r="L137" s="45"/>
      <c r="M137" s="45">
        <v>77560</v>
      </c>
      <c r="N137" s="45"/>
      <c r="O137" s="45">
        <v>223474</v>
      </c>
      <c r="P137" s="45"/>
      <c r="Q137" s="45">
        <v>54272</v>
      </c>
      <c r="R137" s="45"/>
      <c r="S137" s="45">
        <v>0</v>
      </c>
      <c r="T137" s="45"/>
      <c r="U137" s="45">
        <v>0</v>
      </c>
      <c r="V137" s="45"/>
      <c r="W137" s="45">
        <f>38820+12622+66365</f>
        <v>117807</v>
      </c>
      <c r="X137" s="45"/>
      <c r="Y137" s="49">
        <f t="shared" si="11"/>
        <v>12457422</v>
      </c>
      <c r="Z137" s="45"/>
      <c r="AA137" s="45">
        <v>38536</v>
      </c>
      <c r="AB137" s="45"/>
      <c r="AC137" s="45"/>
      <c r="AD137" s="45"/>
      <c r="AE137" s="45">
        <f>46851+9913151+9913151</f>
        <v>19873153</v>
      </c>
      <c r="AF137" s="45"/>
      <c r="AG137" s="45"/>
      <c r="AH137" s="45"/>
      <c r="AI137" s="45">
        <f>4428+4652000</f>
        <v>4656428</v>
      </c>
      <c r="AJ137" s="45"/>
      <c r="AK137" s="45">
        <v>0</v>
      </c>
      <c r="AL137" s="45"/>
      <c r="AM137" s="49">
        <f t="shared" si="14"/>
        <v>24568117</v>
      </c>
      <c r="AN137" s="45"/>
      <c r="AO137" s="49">
        <f t="shared" si="15"/>
        <v>37025539</v>
      </c>
    </row>
    <row r="138" spans="1:41">
      <c r="A138" s="12" t="s">
        <v>265</v>
      </c>
      <c r="B138" s="12"/>
      <c r="C138" s="12" t="s">
        <v>114</v>
      </c>
      <c r="D138" s="12"/>
      <c r="E138" s="13">
        <v>46433</v>
      </c>
      <c r="F138" s="45"/>
      <c r="G138" s="45">
        <v>2443512</v>
      </c>
      <c r="H138" s="45"/>
      <c r="I138" s="45">
        <v>979174</v>
      </c>
      <c r="J138" s="45"/>
      <c r="K138" s="45">
        <v>5945894</v>
      </c>
      <c r="L138" s="45"/>
      <c r="M138" s="45">
        <v>41686</v>
      </c>
      <c r="N138" s="45"/>
      <c r="O138" s="45">
        <v>2062139</v>
      </c>
      <c r="P138" s="45"/>
      <c r="Q138" s="45">
        <v>189580</v>
      </c>
      <c r="R138" s="45"/>
      <c r="S138" s="45">
        <v>0</v>
      </c>
      <c r="T138" s="45"/>
      <c r="U138" s="45">
        <v>25744</v>
      </c>
      <c r="V138" s="45"/>
      <c r="W138" s="45">
        <f>92559+2525+263831</f>
        <v>358915</v>
      </c>
      <c r="X138" s="45"/>
      <c r="Y138" s="49">
        <f t="shared" si="11"/>
        <v>12046644</v>
      </c>
      <c r="Z138" s="45"/>
      <c r="AA138" s="45">
        <v>0</v>
      </c>
      <c r="AB138" s="45"/>
      <c r="AC138" s="45"/>
      <c r="AD138" s="45"/>
      <c r="AE138" s="45">
        <v>0</v>
      </c>
      <c r="AF138" s="45"/>
      <c r="AG138" s="45"/>
      <c r="AH138" s="45"/>
      <c r="AI138" s="45">
        <v>0</v>
      </c>
      <c r="AJ138" s="45"/>
      <c r="AK138" s="45">
        <v>0</v>
      </c>
      <c r="AL138" s="45"/>
      <c r="AM138" s="49">
        <f t="shared" si="14"/>
        <v>0</v>
      </c>
      <c r="AN138" s="45"/>
      <c r="AO138" s="49">
        <f t="shared" si="15"/>
        <v>12046644</v>
      </c>
    </row>
    <row r="139" spans="1:41">
      <c r="A139" s="12" t="s">
        <v>265</v>
      </c>
      <c r="B139" s="12"/>
      <c r="C139" s="12" t="s">
        <v>112</v>
      </c>
      <c r="D139" s="12"/>
      <c r="E139" s="13">
        <v>49429</v>
      </c>
      <c r="F139" s="45"/>
      <c r="G139" s="45">
        <v>2765311</v>
      </c>
      <c r="H139" s="45"/>
      <c r="I139" s="45">
        <v>0</v>
      </c>
      <c r="J139" s="45"/>
      <c r="K139" s="45">
        <f>7278493+1666122</f>
        <v>8944615</v>
      </c>
      <c r="L139" s="45"/>
      <c r="M139" s="45">
        <v>141724</v>
      </c>
      <c r="N139" s="45"/>
      <c r="O139" s="45">
        <f>135729+40712</f>
        <v>176441</v>
      </c>
      <c r="P139" s="45"/>
      <c r="Q139" s="45">
        <v>189466</v>
      </c>
      <c r="R139" s="45"/>
      <c r="S139" s="45">
        <v>0</v>
      </c>
      <c r="T139" s="45"/>
      <c r="U139" s="45">
        <v>0</v>
      </c>
      <c r="V139" s="45"/>
      <c r="W139" s="45">
        <f>60326+18267+275+213546</f>
        <v>292414</v>
      </c>
      <c r="X139" s="45"/>
      <c r="Y139" s="49">
        <f t="shared" si="11"/>
        <v>12509971</v>
      </c>
      <c r="Z139" s="45"/>
      <c r="AA139" s="1">
        <v>2000</v>
      </c>
      <c r="AB139" s="45"/>
      <c r="AC139" s="45"/>
      <c r="AD139" s="45"/>
      <c r="AE139" s="45">
        <v>0</v>
      </c>
      <c r="AF139" s="45"/>
      <c r="AG139" s="45"/>
      <c r="AH139" s="45"/>
      <c r="AI139" s="45">
        <v>0</v>
      </c>
      <c r="AJ139" s="45"/>
      <c r="AK139" s="45">
        <v>0</v>
      </c>
      <c r="AL139" s="45"/>
      <c r="AM139" s="49">
        <f t="shared" si="14"/>
        <v>2000</v>
      </c>
      <c r="AN139" s="45"/>
      <c r="AO139" s="49">
        <f t="shared" si="15"/>
        <v>12511971</v>
      </c>
    </row>
    <row r="140" spans="1:41" hidden="1">
      <c r="A140" s="12" t="s">
        <v>801</v>
      </c>
      <c r="B140" s="12"/>
      <c r="C140" s="12" t="s">
        <v>67</v>
      </c>
      <c r="D140" s="12"/>
      <c r="E140" s="13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9">
        <f t="shared" si="11"/>
        <v>0</v>
      </c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9"/>
      <c r="AN140" s="45"/>
      <c r="AO140" s="49">
        <f t="shared" si="15"/>
        <v>0</v>
      </c>
    </row>
    <row r="141" spans="1:41">
      <c r="A141" s="12" t="s">
        <v>533</v>
      </c>
      <c r="B141" s="12"/>
      <c r="C141" s="12" t="s">
        <v>56</v>
      </c>
      <c r="D141" s="12"/>
      <c r="E141" s="13">
        <v>49189</v>
      </c>
      <c r="F141" s="45"/>
      <c r="G141" s="45">
        <v>7378853</v>
      </c>
      <c r="H141" s="45"/>
      <c r="I141" s="45">
        <v>0</v>
      </c>
      <c r="J141" s="45"/>
      <c r="K141" s="45">
        <v>14863687</v>
      </c>
      <c r="L141" s="45"/>
      <c r="M141" s="45">
        <v>39258</v>
      </c>
      <c r="N141" s="45"/>
      <c r="O141" s="45">
        <v>1027311</v>
      </c>
      <c r="P141" s="45"/>
      <c r="Q141" s="45">
        <v>231285</v>
      </c>
      <c r="R141" s="45"/>
      <c r="S141" s="45">
        <v>0</v>
      </c>
      <c r="T141" s="45"/>
      <c r="U141" s="45">
        <v>26479</v>
      </c>
      <c r="V141" s="45"/>
      <c r="W141" s="45">
        <f>79141+328534+815</f>
        <v>408490</v>
      </c>
      <c r="X141" s="45"/>
      <c r="Y141" s="49">
        <f t="shared" si="11"/>
        <v>23975363</v>
      </c>
      <c r="Z141" s="45"/>
      <c r="AA141" s="45">
        <v>1101626</v>
      </c>
      <c r="AB141" s="45"/>
      <c r="AC141" s="45"/>
      <c r="AD141" s="45"/>
      <c r="AE141" s="45">
        <v>0</v>
      </c>
      <c r="AF141" s="45"/>
      <c r="AG141" s="45"/>
      <c r="AH141" s="45"/>
      <c r="AI141" s="45">
        <v>2054</v>
      </c>
      <c r="AJ141" s="45"/>
      <c r="AK141" s="45">
        <v>0</v>
      </c>
      <c r="AL141" s="45"/>
      <c r="AM141" s="49">
        <f t="shared" ref="AM141:AM159" si="16">AI141+AE141+AA141</f>
        <v>1103680</v>
      </c>
      <c r="AN141" s="45"/>
      <c r="AO141" s="49">
        <f t="shared" si="15"/>
        <v>25079043</v>
      </c>
    </row>
    <row r="142" spans="1:41">
      <c r="A142" s="12" t="s">
        <v>721</v>
      </c>
      <c r="B142" s="12"/>
      <c r="C142" s="12" t="s">
        <v>524</v>
      </c>
      <c r="D142" s="12"/>
      <c r="E142" s="13"/>
      <c r="F142" s="45"/>
      <c r="G142" s="45">
        <v>1584081</v>
      </c>
      <c r="H142" s="45"/>
      <c r="I142" s="45">
        <v>0</v>
      </c>
      <c r="J142" s="45"/>
      <c r="K142" s="45">
        <f>7316159+2267295</f>
        <v>9583454</v>
      </c>
      <c r="L142" s="45"/>
      <c r="M142" s="45">
        <v>35261</v>
      </c>
      <c r="N142" s="45"/>
      <c r="O142" s="45">
        <f>590543+4233</f>
        <v>594776</v>
      </c>
      <c r="P142" s="45"/>
      <c r="Q142" s="45">
        <v>242491</v>
      </c>
      <c r="R142" s="45"/>
      <c r="S142" s="45">
        <v>0</v>
      </c>
      <c r="T142" s="45"/>
      <c r="U142" s="45">
        <v>0</v>
      </c>
      <c r="V142" s="45"/>
      <c r="W142" s="45">
        <f>143511+122509</f>
        <v>266020</v>
      </c>
      <c r="X142" s="45"/>
      <c r="Y142" s="49">
        <f t="shared" si="11"/>
        <v>12306083</v>
      </c>
      <c r="Z142" s="45"/>
      <c r="AA142" s="45">
        <v>0</v>
      </c>
      <c r="AB142" s="45"/>
      <c r="AC142" s="45"/>
      <c r="AD142" s="45"/>
      <c r="AE142" s="45">
        <v>0</v>
      </c>
      <c r="AF142" s="45"/>
      <c r="AG142" s="45"/>
      <c r="AH142" s="45"/>
      <c r="AI142" s="45">
        <v>0</v>
      </c>
      <c r="AJ142" s="45"/>
      <c r="AK142" s="45">
        <v>0</v>
      </c>
      <c r="AL142" s="45"/>
      <c r="AM142" s="49">
        <f t="shared" si="16"/>
        <v>0</v>
      </c>
      <c r="AN142" s="45"/>
      <c r="AO142" s="49">
        <f t="shared" si="15"/>
        <v>12306083</v>
      </c>
    </row>
    <row r="143" spans="1:41">
      <c r="A143" s="12" t="s">
        <v>589</v>
      </c>
      <c r="B143" s="12"/>
      <c r="C143" s="12" t="s">
        <v>63</v>
      </c>
      <c r="D143" s="12"/>
      <c r="E143" s="13">
        <v>43836</v>
      </c>
      <c r="F143" s="45"/>
      <c r="G143" s="45">
        <v>25355302</v>
      </c>
      <c r="H143" s="45"/>
      <c r="I143" s="45">
        <v>0</v>
      </c>
      <c r="J143" s="45"/>
      <c r="K143" s="45">
        <f>1040+18542656+5929582</f>
        <v>24473278</v>
      </c>
      <c r="L143" s="45"/>
      <c r="M143" s="45">
        <v>22715</v>
      </c>
      <c r="N143" s="45"/>
      <c r="O143" s="45">
        <f>3065309+26064+152650</f>
        <v>3244023</v>
      </c>
      <c r="P143" s="45"/>
      <c r="Q143" s="45">
        <v>427149</v>
      </c>
      <c r="R143" s="45"/>
      <c r="S143" s="45">
        <v>0</v>
      </c>
      <c r="T143" s="45"/>
      <c r="U143" s="45">
        <v>0</v>
      </c>
      <c r="V143" s="45"/>
      <c r="W143" s="45">
        <f>714724+329905+12122+374696</f>
        <v>1431447</v>
      </c>
      <c r="X143" s="45"/>
      <c r="Y143" s="49">
        <f t="shared" si="11"/>
        <v>54953914</v>
      </c>
      <c r="Z143" s="45"/>
      <c r="AA143" s="45">
        <v>26364</v>
      </c>
      <c r="AB143" s="45"/>
      <c r="AC143" s="45"/>
      <c r="AD143" s="45"/>
      <c r="AE143" s="45">
        <v>3135000</v>
      </c>
      <c r="AF143" s="45"/>
      <c r="AG143" s="45"/>
      <c r="AH143" s="45"/>
      <c r="AI143" s="45">
        <v>229977</v>
      </c>
      <c r="AJ143" s="45"/>
      <c r="AK143" s="45">
        <v>0</v>
      </c>
      <c r="AL143" s="45"/>
      <c r="AM143" s="49">
        <f t="shared" si="16"/>
        <v>3391341</v>
      </c>
      <c r="AN143" s="45"/>
      <c r="AO143" s="49">
        <f t="shared" si="15"/>
        <v>58345255</v>
      </c>
    </row>
    <row r="144" spans="1:41">
      <c r="A144" s="12" t="s">
        <v>890</v>
      </c>
      <c r="B144" s="12"/>
      <c r="C144" s="12" t="s">
        <v>20</v>
      </c>
      <c r="D144" s="12"/>
      <c r="E144" s="13">
        <v>46557</v>
      </c>
      <c r="F144" s="45"/>
      <c r="G144" s="45">
        <v>8475663</v>
      </c>
      <c r="H144" s="45"/>
      <c r="I144" s="45">
        <v>0</v>
      </c>
      <c r="J144" s="45"/>
      <c r="K144" s="45">
        <v>5341019</v>
      </c>
      <c r="L144" s="45"/>
      <c r="M144" s="45">
        <v>30679</v>
      </c>
      <c r="N144" s="45"/>
      <c r="O144" s="45">
        <v>515170</v>
      </c>
      <c r="P144" s="45"/>
      <c r="Q144" s="45">
        <v>77930</v>
      </c>
      <c r="R144" s="45"/>
      <c r="S144" s="45">
        <v>0</v>
      </c>
      <c r="T144" s="45"/>
      <c r="U144" s="45">
        <v>13830</v>
      </c>
      <c r="V144" s="45"/>
      <c r="W144" s="45">
        <f>135983+156469+250375</f>
        <v>542827</v>
      </c>
      <c r="X144" s="45"/>
      <c r="Y144" s="49">
        <f t="shared" si="11"/>
        <v>14997118</v>
      </c>
      <c r="Z144" s="45"/>
      <c r="AA144" s="45">
        <v>1041642</v>
      </c>
      <c r="AB144" s="45"/>
      <c r="AC144" s="45"/>
      <c r="AD144" s="45"/>
      <c r="AE144" s="45">
        <v>0</v>
      </c>
      <c r="AF144" s="45"/>
      <c r="AG144" s="45"/>
      <c r="AH144" s="45"/>
      <c r="AI144" s="45">
        <v>0</v>
      </c>
      <c r="AJ144" s="45"/>
      <c r="AK144" s="45">
        <v>0</v>
      </c>
      <c r="AL144" s="45"/>
      <c r="AM144" s="49">
        <f t="shared" si="16"/>
        <v>1041642</v>
      </c>
      <c r="AN144" s="45"/>
      <c r="AO144" s="49">
        <f t="shared" si="15"/>
        <v>16038760</v>
      </c>
    </row>
    <row r="145" spans="1:41">
      <c r="A145" s="12" t="s">
        <v>730</v>
      </c>
      <c r="B145" s="12"/>
      <c r="C145" s="12" t="s">
        <v>71</v>
      </c>
      <c r="D145" s="12"/>
      <c r="E145" s="13">
        <v>48934</v>
      </c>
      <c r="F145" s="45"/>
      <c r="G145" s="45">
        <v>2858002</v>
      </c>
      <c r="H145" s="45"/>
      <c r="I145" s="45">
        <v>909145</v>
      </c>
      <c r="J145" s="45"/>
      <c r="K145" s="45">
        <f>8300+3927924+851682</f>
        <v>4787906</v>
      </c>
      <c r="L145" s="45"/>
      <c r="M145" s="45">
        <v>4096</v>
      </c>
      <c r="N145" s="45"/>
      <c r="O145" s="45">
        <f>322866+1393</f>
        <v>324259</v>
      </c>
      <c r="P145" s="45"/>
      <c r="Q145" s="45">
        <v>178737</v>
      </c>
      <c r="R145" s="45"/>
      <c r="S145" s="45">
        <v>0</v>
      </c>
      <c r="T145" s="45"/>
      <c r="U145" s="45">
        <v>3925</v>
      </c>
      <c r="V145" s="45"/>
      <c r="W145" s="45">
        <f>1325+102240+132011</f>
        <v>235576</v>
      </c>
      <c r="X145" s="45"/>
      <c r="Y145" s="49">
        <f t="shared" si="11"/>
        <v>9301646</v>
      </c>
      <c r="Z145" s="45"/>
      <c r="AA145" s="45">
        <v>122565</v>
      </c>
      <c r="AB145" s="45"/>
      <c r="AC145" s="45"/>
      <c r="AD145" s="45"/>
      <c r="AE145" s="45">
        <v>0</v>
      </c>
      <c r="AF145" s="45"/>
      <c r="AG145" s="45"/>
      <c r="AH145" s="45"/>
      <c r="AI145" s="45">
        <v>0</v>
      </c>
      <c r="AJ145" s="45"/>
      <c r="AK145" s="45">
        <v>0</v>
      </c>
      <c r="AL145" s="45"/>
      <c r="AM145" s="49">
        <f t="shared" si="16"/>
        <v>122565</v>
      </c>
      <c r="AN145" s="45"/>
      <c r="AO145" s="49">
        <f t="shared" si="15"/>
        <v>9424211</v>
      </c>
    </row>
    <row r="146" spans="1:41">
      <c r="A146" s="12" t="s">
        <v>520</v>
      </c>
      <c r="B146" s="12"/>
      <c r="C146" s="12" t="s">
        <v>53</v>
      </c>
      <c r="D146" s="12"/>
      <c r="E146" s="13">
        <v>48934</v>
      </c>
      <c r="F146" s="45"/>
      <c r="G146" s="45">
        <v>7634467</v>
      </c>
      <c r="H146" s="45"/>
      <c r="I146" s="45">
        <v>0</v>
      </c>
      <c r="J146" s="45"/>
      <c r="K146" s="45">
        <f>1851833+449299</f>
        <v>2301132</v>
      </c>
      <c r="L146" s="45"/>
      <c r="M146" s="45">
        <v>66777</v>
      </c>
      <c r="N146" s="45"/>
      <c r="O146" s="45">
        <f>223067+26664</f>
        <v>249731</v>
      </c>
      <c r="P146" s="45"/>
      <c r="Q146" s="45">
        <v>82973</v>
      </c>
      <c r="R146" s="45"/>
      <c r="S146" s="45">
        <v>0</v>
      </c>
      <c r="T146" s="45"/>
      <c r="U146" s="45">
        <v>0</v>
      </c>
      <c r="V146" s="45"/>
      <c r="W146" s="45">
        <f>64110+148483</f>
        <v>212593</v>
      </c>
      <c r="X146" s="45"/>
      <c r="Y146" s="49">
        <f t="shared" si="11"/>
        <v>10547673</v>
      </c>
      <c r="Z146" s="45"/>
      <c r="AA146" s="45">
        <v>114000</v>
      </c>
      <c r="AB146" s="45"/>
      <c r="AC146" s="45"/>
      <c r="AD146" s="45"/>
      <c r="AE146" s="45">
        <v>1005931</v>
      </c>
      <c r="AF146" s="45"/>
      <c r="AG146" s="45"/>
      <c r="AH146" s="45"/>
      <c r="AI146" s="45">
        <v>1000000</v>
      </c>
      <c r="AJ146" s="45"/>
      <c r="AK146" s="45">
        <v>0</v>
      </c>
      <c r="AL146" s="45"/>
      <c r="AM146" s="49">
        <f t="shared" si="16"/>
        <v>2119931</v>
      </c>
      <c r="AN146" s="45"/>
      <c r="AO146" s="49">
        <f t="shared" si="15"/>
        <v>12667604</v>
      </c>
    </row>
    <row r="147" spans="1:41" hidden="1">
      <c r="A147" s="12" t="s">
        <v>803</v>
      </c>
      <c r="B147" s="12"/>
      <c r="C147" s="12" t="s">
        <v>40</v>
      </c>
      <c r="D147" s="12"/>
      <c r="E147" s="13">
        <v>47837</v>
      </c>
      <c r="F147" s="45"/>
      <c r="G147" s="45">
        <v>0</v>
      </c>
      <c r="H147" s="45"/>
      <c r="I147" s="45">
        <v>0</v>
      </c>
      <c r="J147" s="45"/>
      <c r="K147" s="45">
        <v>0</v>
      </c>
      <c r="L147" s="45"/>
      <c r="M147" s="45">
        <v>0</v>
      </c>
      <c r="N147" s="45"/>
      <c r="O147" s="45">
        <v>0</v>
      </c>
      <c r="P147" s="45"/>
      <c r="Q147" s="45">
        <v>0</v>
      </c>
      <c r="R147" s="45"/>
      <c r="S147" s="45">
        <v>0</v>
      </c>
      <c r="T147" s="45"/>
      <c r="U147" s="45">
        <v>0</v>
      </c>
      <c r="V147" s="45"/>
      <c r="W147" s="45">
        <v>0</v>
      </c>
      <c r="X147" s="45"/>
      <c r="Y147" s="49">
        <f t="shared" si="11"/>
        <v>0</v>
      </c>
      <c r="Z147" s="45"/>
      <c r="AA147" s="45">
        <v>0</v>
      </c>
      <c r="AB147" s="45"/>
      <c r="AC147" s="45"/>
      <c r="AD147" s="45"/>
      <c r="AE147" s="45">
        <v>0</v>
      </c>
      <c r="AF147" s="45"/>
      <c r="AG147" s="45"/>
      <c r="AH147" s="45"/>
      <c r="AI147" s="45">
        <v>0</v>
      </c>
      <c r="AJ147" s="45"/>
      <c r="AK147" s="45">
        <v>0</v>
      </c>
      <c r="AL147" s="45"/>
      <c r="AM147" s="49">
        <f t="shared" si="16"/>
        <v>0</v>
      </c>
      <c r="AN147" s="45"/>
      <c r="AO147" s="49">
        <f t="shared" si="15"/>
        <v>0</v>
      </c>
    </row>
    <row r="148" spans="1:41">
      <c r="A148" s="12" t="s">
        <v>421</v>
      </c>
      <c r="B148" s="12"/>
      <c r="C148" s="12" t="s">
        <v>420</v>
      </c>
      <c r="D148" s="12"/>
      <c r="E148" s="13">
        <v>47928</v>
      </c>
      <c r="F148" s="45"/>
      <c r="G148" s="45">
        <v>1259333</v>
      </c>
      <c r="H148" s="45"/>
      <c r="I148" s="45">
        <v>0</v>
      </c>
      <c r="J148" s="45"/>
      <c r="K148" s="45">
        <v>10874954</v>
      </c>
      <c r="L148" s="45"/>
      <c r="M148" s="45">
        <v>23670</v>
      </c>
      <c r="N148" s="45"/>
      <c r="O148" s="45">
        <v>881068</v>
      </c>
      <c r="P148" s="45"/>
      <c r="Q148" s="45">
        <v>169012</v>
      </c>
      <c r="R148" s="45"/>
      <c r="S148" s="45">
        <v>0</v>
      </c>
      <c r="T148" s="45"/>
      <c r="U148" s="45">
        <v>52805</v>
      </c>
      <c r="V148" s="45"/>
      <c r="W148" s="45">
        <f>152051+36618</f>
        <v>188669</v>
      </c>
      <c r="X148" s="45"/>
      <c r="Y148" s="49">
        <f t="shared" si="11"/>
        <v>13449511</v>
      </c>
      <c r="Z148" s="45"/>
      <c r="AA148" s="45">
        <v>235458</v>
      </c>
      <c r="AB148" s="45"/>
      <c r="AC148" s="45"/>
      <c r="AD148" s="45"/>
      <c r="AE148" s="45">
        <v>0</v>
      </c>
      <c r="AF148" s="45"/>
      <c r="AG148" s="45"/>
      <c r="AH148" s="45"/>
      <c r="AI148" s="45">
        <v>651</v>
      </c>
      <c r="AJ148" s="45"/>
      <c r="AK148" s="45">
        <v>0</v>
      </c>
      <c r="AL148" s="45"/>
      <c r="AM148" s="49">
        <f t="shared" si="16"/>
        <v>236109</v>
      </c>
      <c r="AN148" s="45"/>
      <c r="AO148" s="49">
        <f t="shared" si="15"/>
        <v>13685620</v>
      </c>
    </row>
    <row r="149" spans="1:41">
      <c r="A149" s="12" t="s">
        <v>496</v>
      </c>
      <c r="B149" s="12"/>
      <c r="C149" s="12" t="s">
        <v>50</v>
      </c>
      <c r="D149" s="12"/>
      <c r="E149" s="13">
        <v>43844</v>
      </c>
      <c r="F149" s="45"/>
      <c r="G149" s="45">
        <v>69279536</v>
      </c>
      <c r="H149" s="45"/>
      <c r="I149" s="45">
        <v>0</v>
      </c>
      <c r="J149" s="45"/>
      <c r="K149" s="45">
        <v>243734419</v>
      </c>
      <c r="L149" s="45"/>
      <c r="M149" s="45">
        <v>1427190</v>
      </c>
      <c r="N149" s="45"/>
      <c r="O149" s="45">
        <v>1285216</v>
      </c>
      <c r="P149" s="45"/>
      <c r="Q149" s="45">
        <v>1321622</v>
      </c>
      <c r="R149" s="45"/>
      <c r="S149" s="45">
        <v>0</v>
      </c>
      <c r="T149" s="45"/>
      <c r="U149" s="45">
        <v>153354</v>
      </c>
      <c r="V149" s="45"/>
      <c r="W149" s="45">
        <f>4568342+553667+1478541</f>
        <v>6600550</v>
      </c>
      <c r="X149" s="45"/>
      <c r="Y149" s="49">
        <f t="shared" si="11"/>
        <v>323801887</v>
      </c>
      <c r="Z149" s="45"/>
      <c r="AA149" s="45">
        <v>3460042</v>
      </c>
      <c r="AB149" s="45"/>
      <c r="AC149" s="45"/>
      <c r="AD149" s="45"/>
      <c r="AE149" s="45">
        <v>9685000</v>
      </c>
      <c r="AF149" s="45"/>
      <c r="AG149" s="45"/>
      <c r="AH149" s="45"/>
      <c r="AI149" s="45">
        <v>0</v>
      </c>
      <c r="AJ149" s="45"/>
      <c r="AK149" s="45">
        <v>0</v>
      </c>
      <c r="AL149" s="45"/>
      <c r="AM149" s="49">
        <f t="shared" si="16"/>
        <v>13145042</v>
      </c>
      <c r="AN149" s="45"/>
      <c r="AO149" s="49">
        <f t="shared" si="15"/>
        <v>336946929</v>
      </c>
    </row>
    <row r="150" spans="1:41">
      <c r="A150" s="12" t="s">
        <v>804</v>
      </c>
      <c r="B150" s="12"/>
      <c r="C150" s="12" t="s">
        <v>32</v>
      </c>
      <c r="D150" s="12"/>
      <c r="E150" s="13">
        <v>43851</v>
      </c>
      <c r="F150" s="45"/>
      <c r="G150" s="45">
        <v>8974220</v>
      </c>
      <c r="H150" s="45"/>
      <c r="I150" s="45">
        <v>0</v>
      </c>
      <c r="J150" s="45"/>
      <c r="K150" s="45">
        <v>6248161</v>
      </c>
      <c r="L150" s="45"/>
      <c r="M150" s="45">
        <v>17928</v>
      </c>
      <c r="N150" s="45"/>
      <c r="O150" s="45">
        <v>122979</v>
      </c>
      <c r="P150" s="45"/>
      <c r="Q150" s="45">
        <v>140591</v>
      </c>
      <c r="R150" s="45"/>
      <c r="S150" s="45">
        <v>617932</v>
      </c>
      <c r="T150" s="45"/>
      <c r="U150" s="45">
        <v>0</v>
      </c>
      <c r="V150" s="45"/>
      <c r="W150" s="45">
        <f>259432+160920</f>
        <v>420352</v>
      </c>
      <c r="X150" s="45"/>
      <c r="Y150" s="49">
        <f t="shared" si="11"/>
        <v>16542163</v>
      </c>
      <c r="Z150" s="45"/>
      <c r="AA150" s="45">
        <v>25780</v>
      </c>
      <c r="AB150" s="45"/>
      <c r="AC150" s="45"/>
      <c r="AD150" s="45"/>
      <c r="AE150" s="45">
        <v>0</v>
      </c>
      <c r="AF150" s="45"/>
      <c r="AG150" s="45"/>
      <c r="AH150" s="45"/>
      <c r="AI150" s="45">
        <v>5850</v>
      </c>
      <c r="AJ150" s="45"/>
      <c r="AK150" s="45">
        <v>0</v>
      </c>
      <c r="AL150" s="45"/>
      <c r="AM150" s="49">
        <f t="shared" si="16"/>
        <v>31630</v>
      </c>
      <c r="AN150" s="45"/>
      <c r="AO150" s="49">
        <f t="shared" si="15"/>
        <v>16573793</v>
      </c>
    </row>
    <row r="151" spans="1:41" hidden="1">
      <c r="A151" s="12" t="s">
        <v>805</v>
      </c>
      <c r="B151" s="12"/>
      <c r="C151" s="12" t="s">
        <v>22</v>
      </c>
      <c r="D151" s="12"/>
      <c r="E151" s="13">
        <v>43869</v>
      </c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9">
        <f t="shared" si="11"/>
        <v>0</v>
      </c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>
        <v>0</v>
      </c>
      <c r="AL151" s="45"/>
      <c r="AM151" s="49">
        <f t="shared" si="16"/>
        <v>0</v>
      </c>
      <c r="AN151" s="45"/>
      <c r="AO151" s="49">
        <f t="shared" si="15"/>
        <v>0</v>
      </c>
    </row>
    <row r="152" spans="1:41">
      <c r="A152" s="12" t="s">
        <v>806</v>
      </c>
      <c r="B152" s="12"/>
      <c r="C152" s="12" t="s">
        <v>23</v>
      </c>
      <c r="D152" s="12"/>
      <c r="E152" s="13"/>
      <c r="F152" s="45"/>
      <c r="G152" s="45">
        <v>26841849</v>
      </c>
      <c r="H152" s="45"/>
      <c r="I152" s="45">
        <v>0</v>
      </c>
      <c r="J152" s="45"/>
      <c r="K152" s="45">
        <v>22840044</v>
      </c>
      <c r="L152" s="45"/>
      <c r="M152" s="45">
        <v>16871</v>
      </c>
      <c r="N152" s="45"/>
      <c r="O152" s="45">
        <v>1345298</v>
      </c>
      <c r="P152" s="45"/>
      <c r="Q152" s="45">
        <v>404044</v>
      </c>
      <c r="R152" s="45"/>
      <c r="S152" s="45">
        <v>0</v>
      </c>
      <c r="T152" s="45"/>
      <c r="U152" s="45">
        <v>82484</v>
      </c>
      <c r="V152" s="45"/>
      <c r="W152" s="45">
        <f>420930+1014151+21702</f>
        <v>1456783</v>
      </c>
      <c r="X152" s="45"/>
      <c r="Y152" s="49">
        <f t="shared" si="11"/>
        <v>52987373</v>
      </c>
      <c r="Z152" s="45"/>
      <c r="AA152" s="45">
        <v>31411</v>
      </c>
      <c r="AB152" s="45"/>
      <c r="AC152" s="45"/>
      <c r="AD152" s="45"/>
      <c r="AE152" s="45">
        <v>0</v>
      </c>
      <c r="AF152" s="45"/>
      <c r="AG152" s="45"/>
      <c r="AH152" s="45"/>
      <c r="AI152" s="45">
        <v>0</v>
      </c>
      <c r="AJ152" s="45"/>
      <c r="AK152" s="45">
        <v>0</v>
      </c>
      <c r="AL152" s="45"/>
      <c r="AM152" s="49">
        <f t="shared" si="16"/>
        <v>31411</v>
      </c>
      <c r="AN152" s="45"/>
      <c r="AO152" s="49">
        <f t="shared" si="15"/>
        <v>53018784</v>
      </c>
    </row>
    <row r="153" spans="1:41">
      <c r="A153" s="12" t="s">
        <v>204</v>
      </c>
      <c r="B153" s="12"/>
      <c r="C153" s="12" t="s">
        <v>10</v>
      </c>
      <c r="D153" s="12"/>
      <c r="E153" s="13">
        <v>43885</v>
      </c>
      <c r="F153" s="45"/>
      <c r="G153" s="45">
        <v>4327958</v>
      </c>
      <c r="H153" s="45"/>
      <c r="I153" s="45">
        <v>0</v>
      </c>
      <c r="J153" s="45"/>
      <c r="K153" s="45">
        <v>5948085</v>
      </c>
      <c r="L153" s="45"/>
      <c r="M153" s="45">
        <v>24922</v>
      </c>
      <c r="N153" s="45"/>
      <c r="O153" s="45">
        <v>759299</v>
      </c>
      <c r="P153" s="45"/>
      <c r="Q153" s="45">
        <v>104729</v>
      </c>
      <c r="R153" s="45"/>
      <c r="S153" s="45">
        <v>38562</v>
      </c>
      <c r="T153" s="45"/>
      <c r="U153" s="45">
        <v>92313</v>
      </c>
      <c r="V153" s="45"/>
      <c r="W153" s="45">
        <f>55293+251704</f>
        <v>306997</v>
      </c>
      <c r="X153" s="45"/>
      <c r="Y153" s="49">
        <f t="shared" ref="Y153:Y154" si="17">SUM(G153:W153)</f>
        <v>11602865</v>
      </c>
      <c r="Z153" s="45"/>
      <c r="AA153" s="45">
        <v>0</v>
      </c>
      <c r="AB153" s="45"/>
      <c r="AC153" s="45"/>
      <c r="AD153" s="45"/>
      <c r="AE153" s="45">
        <v>0</v>
      </c>
      <c r="AF153" s="45"/>
      <c r="AG153" s="45"/>
      <c r="AH153" s="45"/>
      <c r="AI153" s="45">
        <v>0</v>
      </c>
      <c r="AJ153" s="45"/>
      <c r="AK153" s="45">
        <v>0</v>
      </c>
      <c r="AL153" s="45"/>
      <c r="AM153" s="49">
        <f t="shared" si="16"/>
        <v>0</v>
      </c>
      <c r="AN153" s="45"/>
      <c r="AO153" s="49">
        <f t="shared" si="15"/>
        <v>11602865</v>
      </c>
    </row>
    <row r="154" spans="1:41">
      <c r="A154" s="12" t="s">
        <v>619</v>
      </c>
      <c r="B154" s="12"/>
      <c r="C154" s="12" t="s">
        <v>65</v>
      </c>
      <c r="D154" s="12"/>
      <c r="E154" s="13">
        <v>43893</v>
      </c>
      <c r="F154" s="45"/>
      <c r="G154" s="45">
        <v>12018623</v>
      </c>
      <c r="H154" s="45"/>
      <c r="I154" s="45">
        <v>0</v>
      </c>
      <c r="J154" s="45"/>
      <c r="K154" s="45">
        <v>12122056</v>
      </c>
      <c r="L154" s="45"/>
      <c r="M154" s="45">
        <v>6720</v>
      </c>
      <c r="N154" s="45"/>
      <c r="O154" s="45">
        <v>119740</v>
      </c>
      <c r="P154" s="45"/>
      <c r="Q154" s="45">
        <v>517742</v>
      </c>
      <c r="R154" s="45"/>
      <c r="S154" s="45">
        <v>0</v>
      </c>
      <c r="T154" s="45"/>
      <c r="U154" s="45">
        <v>85537</v>
      </c>
      <c r="V154" s="45"/>
      <c r="W154" s="45">
        <f>511125+84849</f>
        <v>595974</v>
      </c>
      <c r="X154" s="45"/>
      <c r="Y154" s="49">
        <f t="shared" si="17"/>
        <v>25466392</v>
      </c>
      <c r="Z154" s="45"/>
      <c r="AA154" s="45">
        <v>0</v>
      </c>
      <c r="AB154" s="45"/>
      <c r="AC154" s="45"/>
      <c r="AD154" s="45"/>
      <c r="AE154" s="45">
        <v>0</v>
      </c>
      <c r="AF154" s="45"/>
      <c r="AG154" s="45"/>
      <c r="AH154" s="45"/>
      <c r="AI154" s="45">
        <v>0</v>
      </c>
      <c r="AJ154" s="45"/>
      <c r="AK154" s="45">
        <v>0</v>
      </c>
      <c r="AL154" s="45"/>
      <c r="AM154" s="49">
        <f t="shared" si="16"/>
        <v>0</v>
      </c>
      <c r="AN154" s="45"/>
      <c r="AO154" s="49">
        <f t="shared" si="15"/>
        <v>25466392</v>
      </c>
    </row>
    <row r="155" spans="1:41">
      <c r="A155" s="12" t="s">
        <v>332</v>
      </c>
      <c r="B155" s="12"/>
      <c r="C155" s="12" t="s">
        <v>27</v>
      </c>
      <c r="D155" s="12"/>
      <c r="E155" s="13">
        <v>47027</v>
      </c>
      <c r="F155" s="45"/>
      <c r="G155" s="45">
        <v>140531197</v>
      </c>
      <c r="H155" s="45"/>
      <c r="I155" s="45">
        <v>0</v>
      </c>
      <c r="J155" s="45"/>
      <c r="K155" s="45">
        <f>36598912+5880672</f>
        <v>42479584</v>
      </c>
      <c r="L155" s="45"/>
      <c r="M155" s="45">
        <v>914226</v>
      </c>
      <c r="N155" s="45"/>
      <c r="O155" s="45">
        <v>490731</v>
      </c>
      <c r="P155" s="45"/>
      <c r="Q155" s="45">
        <v>0</v>
      </c>
      <c r="R155" s="45"/>
      <c r="S155" s="45">
        <v>0</v>
      </c>
      <c r="T155" s="45"/>
      <c r="U155" s="45">
        <v>0</v>
      </c>
      <c r="V155" s="45"/>
      <c r="W155" s="45">
        <f>60026+2276154</f>
        <v>2336180</v>
      </c>
      <c r="X155" s="45"/>
      <c r="Y155" s="49">
        <f>SUM(G155:W155)</f>
        <v>186751918</v>
      </c>
      <c r="Z155" s="45"/>
      <c r="AA155" s="45">
        <v>1082150</v>
      </c>
      <c r="AB155" s="45"/>
      <c r="AC155" s="45"/>
      <c r="AD155" s="45"/>
      <c r="AE155" s="45">
        <f>5550000+18000000</f>
        <v>23550000</v>
      </c>
      <c r="AF155" s="45"/>
      <c r="AG155" s="45"/>
      <c r="AH155" s="45"/>
      <c r="AI155" s="45">
        <f>71280+452143+158272</f>
        <v>681695</v>
      </c>
      <c r="AJ155" s="45"/>
      <c r="AK155" s="45">
        <v>0</v>
      </c>
      <c r="AL155" s="45"/>
      <c r="AM155" s="49">
        <f t="shared" si="16"/>
        <v>25313845</v>
      </c>
      <c r="AN155" s="45"/>
      <c r="AO155" s="49">
        <f t="shared" si="15"/>
        <v>212065763</v>
      </c>
    </row>
    <row r="156" spans="1:41">
      <c r="A156" s="12" t="s">
        <v>288</v>
      </c>
      <c r="B156" s="12"/>
      <c r="C156" s="12" t="s">
        <v>20</v>
      </c>
      <c r="D156" s="12"/>
      <c r="E156" s="13">
        <v>43901</v>
      </c>
      <c r="F156" s="45"/>
      <c r="G156" s="45">
        <v>8182422</v>
      </c>
      <c r="H156" s="45"/>
      <c r="I156" s="45">
        <v>0</v>
      </c>
      <c r="J156" s="45"/>
      <c r="K156" s="45">
        <v>47559563</v>
      </c>
      <c r="L156" s="45"/>
      <c r="M156" s="45">
        <v>248263</v>
      </c>
      <c r="N156" s="45"/>
      <c r="O156" s="45">
        <v>4317882</v>
      </c>
      <c r="P156" s="45"/>
      <c r="Q156" s="45">
        <v>31650</v>
      </c>
      <c r="R156" s="45"/>
      <c r="S156" s="45">
        <v>0</v>
      </c>
      <c r="T156" s="45"/>
      <c r="U156" s="45">
        <v>317685</v>
      </c>
      <c r="V156" s="45"/>
      <c r="W156" s="45">
        <f>144123+2637+86362</f>
        <v>233122</v>
      </c>
      <c r="X156" s="45"/>
      <c r="Y156" s="49">
        <f>SUM(G156:W156)</f>
        <v>60890587</v>
      </c>
      <c r="Z156" s="45"/>
      <c r="AA156" s="45">
        <v>332004</v>
      </c>
      <c r="AB156" s="45"/>
      <c r="AC156" s="45"/>
      <c r="AD156" s="45"/>
      <c r="AE156" s="45">
        <v>0</v>
      </c>
      <c r="AF156" s="45"/>
      <c r="AG156" s="45"/>
      <c r="AH156" s="45"/>
      <c r="AI156" s="45">
        <v>0</v>
      </c>
      <c r="AJ156" s="45"/>
      <c r="AK156" s="45">
        <v>0</v>
      </c>
      <c r="AL156" s="45"/>
      <c r="AM156" s="49">
        <f t="shared" si="16"/>
        <v>332004</v>
      </c>
      <c r="AN156" s="45"/>
      <c r="AO156" s="49">
        <f t="shared" si="15"/>
        <v>61222591</v>
      </c>
    </row>
    <row r="157" spans="1:41">
      <c r="A157" s="12" t="s">
        <v>261</v>
      </c>
      <c r="B157" s="12"/>
      <c r="C157" s="12" t="s">
        <v>18</v>
      </c>
      <c r="D157" s="12"/>
      <c r="E157" s="13">
        <v>46409</v>
      </c>
      <c r="F157" s="45"/>
      <c r="G157" s="45">
        <v>3025547</v>
      </c>
      <c r="H157" s="45"/>
      <c r="I157" s="45">
        <v>0</v>
      </c>
      <c r="J157" s="45"/>
      <c r="K157" s="45">
        <v>10080792</v>
      </c>
      <c r="L157" s="45"/>
      <c r="M157" s="45">
        <v>56213</v>
      </c>
      <c r="N157" s="45"/>
      <c r="O157" s="45">
        <v>660467</v>
      </c>
      <c r="P157" s="45"/>
      <c r="Q157" s="45">
        <v>93762</v>
      </c>
      <c r="R157" s="45"/>
      <c r="S157" s="45">
        <v>0</v>
      </c>
      <c r="T157" s="45"/>
      <c r="U157" s="45">
        <v>5800</v>
      </c>
      <c r="V157" s="45"/>
      <c r="W157" s="45">
        <f>114645+269913+775</f>
        <v>385333</v>
      </c>
      <c r="X157" s="45"/>
      <c r="Y157" s="49">
        <f>SUM(G157:W157)</f>
        <v>14307914</v>
      </c>
      <c r="Z157" s="45"/>
      <c r="AA157" s="45">
        <v>4197</v>
      </c>
      <c r="AB157" s="45"/>
      <c r="AC157" s="45"/>
      <c r="AD157" s="45"/>
      <c r="AE157" s="45">
        <v>595000</v>
      </c>
      <c r="AF157" s="45"/>
      <c r="AG157" s="45"/>
      <c r="AH157" s="45"/>
      <c r="AI157" s="45">
        <v>0</v>
      </c>
      <c r="AJ157" s="45"/>
      <c r="AK157" s="45">
        <v>0</v>
      </c>
      <c r="AL157" s="45"/>
      <c r="AM157" s="49">
        <f t="shared" si="16"/>
        <v>599197</v>
      </c>
      <c r="AN157" s="45"/>
      <c r="AO157" s="49">
        <f t="shared" si="15"/>
        <v>14907111</v>
      </c>
    </row>
    <row r="158" spans="1:41">
      <c r="A158" s="12" t="s">
        <v>361</v>
      </c>
      <c r="B158" s="12"/>
      <c r="C158" s="12" t="s">
        <v>31</v>
      </c>
      <c r="D158" s="12"/>
      <c r="E158" s="13">
        <v>69682</v>
      </c>
      <c r="F158" s="45"/>
      <c r="G158" s="45">
        <v>2048798</v>
      </c>
      <c r="H158" s="45"/>
      <c r="I158" s="45">
        <v>0</v>
      </c>
      <c r="J158" s="45"/>
      <c r="K158" s="45">
        <v>9563743</v>
      </c>
      <c r="L158" s="45"/>
      <c r="M158" s="45">
        <v>13236</v>
      </c>
      <c r="N158" s="45"/>
      <c r="O158" s="45">
        <v>934587</v>
      </c>
      <c r="P158" s="45"/>
      <c r="Q158" s="45">
        <v>168372</v>
      </c>
      <c r="R158" s="45"/>
      <c r="S158" s="45">
        <v>0</v>
      </c>
      <c r="T158" s="45"/>
      <c r="U158" s="45">
        <v>40071</v>
      </c>
      <c r="V158" s="45"/>
      <c r="W158" s="45">
        <f>56768+138523+1655</f>
        <v>196946</v>
      </c>
      <c r="X158" s="45"/>
      <c r="Y158" s="49">
        <f t="shared" ref="Y158:Y223" si="18">SUM(G158:W158)</f>
        <v>12965753</v>
      </c>
      <c r="Z158" s="45"/>
      <c r="AA158" s="45">
        <v>37704</v>
      </c>
      <c r="AB158" s="45"/>
      <c r="AC158" s="45"/>
      <c r="AD158" s="45"/>
      <c r="AE158" s="45">
        <v>0</v>
      </c>
      <c r="AF158" s="45"/>
      <c r="AG158" s="45"/>
      <c r="AH158" s="45"/>
      <c r="AI158" s="45">
        <v>0</v>
      </c>
      <c r="AJ158" s="45"/>
      <c r="AK158" s="45">
        <v>0</v>
      </c>
      <c r="AL158" s="45"/>
      <c r="AM158" s="49">
        <f t="shared" si="16"/>
        <v>37704</v>
      </c>
      <c r="AN158" s="45"/>
      <c r="AO158" s="49">
        <f t="shared" si="15"/>
        <v>13003457</v>
      </c>
    </row>
    <row r="159" spans="1:41">
      <c r="A159" s="12" t="s">
        <v>401</v>
      </c>
      <c r="B159" s="12"/>
      <c r="C159" s="12" t="s">
        <v>36</v>
      </c>
      <c r="D159" s="12"/>
      <c r="E159" s="13">
        <v>47688</v>
      </c>
      <c r="F159" s="45"/>
      <c r="G159" s="45">
        <v>7882948</v>
      </c>
      <c r="H159" s="45"/>
      <c r="I159" s="45">
        <v>0</v>
      </c>
      <c r="J159" s="45"/>
      <c r="K159" s="45">
        <v>9475468</v>
      </c>
      <c r="L159" s="45"/>
      <c r="M159" s="45">
        <v>106538</v>
      </c>
      <c r="N159" s="45"/>
      <c r="O159" s="45">
        <v>625208</v>
      </c>
      <c r="P159" s="45"/>
      <c r="Q159" s="45">
        <v>351486</v>
      </c>
      <c r="R159" s="45"/>
      <c r="S159" s="45">
        <v>0</v>
      </c>
      <c r="T159" s="45"/>
      <c r="U159" s="45">
        <v>35250</v>
      </c>
      <c r="V159" s="45"/>
      <c r="W159" s="45">
        <f>87640+363978+6996</f>
        <v>458614</v>
      </c>
      <c r="X159" s="45"/>
      <c r="Y159" s="49">
        <f t="shared" si="18"/>
        <v>18935512</v>
      </c>
      <c r="Z159" s="45"/>
      <c r="AA159" s="45">
        <v>75000</v>
      </c>
      <c r="AB159" s="45"/>
      <c r="AC159" s="45"/>
      <c r="AD159" s="45"/>
      <c r="AE159" s="45">
        <v>0</v>
      </c>
      <c r="AF159" s="45"/>
      <c r="AG159" s="45"/>
      <c r="AH159" s="45"/>
      <c r="AI159" s="45">
        <v>145</v>
      </c>
      <c r="AJ159" s="45"/>
      <c r="AK159" s="45">
        <v>0</v>
      </c>
      <c r="AL159" s="45"/>
      <c r="AM159" s="49">
        <f t="shared" si="16"/>
        <v>75145</v>
      </c>
      <c r="AN159" s="45"/>
      <c r="AO159" s="49">
        <f t="shared" si="15"/>
        <v>19010657</v>
      </c>
    </row>
    <row r="160" spans="1:41" hidden="1">
      <c r="A160" s="12" t="s">
        <v>807</v>
      </c>
      <c r="B160" s="12"/>
      <c r="C160" s="12" t="s">
        <v>40</v>
      </c>
      <c r="D160" s="12"/>
      <c r="E160" s="13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9">
        <f t="shared" si="18"/>
        <v>0</v>
      </c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9"/>
      <c r="AN160" s="45"/>
      <c r="AO160" s="49">
        <f t="shared" ref="AO160:AO183" si="19">Y160+AM160</f>
        <v>0</v>
      </c>
    </row>
    <row r="161" spans="1:41">
      <c r="A161" s="12" t="s">
        <v>266</v>
      </c>
      <c r="B161" s="12"/>
      <c r="C161" s="12" t="s">
        <v>114</v>
      </c>
      <c r="D161" s="12"/>
      <c r="E161" s="13">
        <v>43919</v>
      </c>
      <c r="F161" s="45"/>
      <c r="G161" s="45">
        <v>4354238</v>
      </c>
      <c r="H161" s="45"/>
      <c r="I161" s="45">
        <v>0</v>
      </c>
      <c r="J161" s="45"/>
      <c r="K161" s="45">
        <v>23453742</v>
      </c>
      <c r="L161" s="45"/>
      <c r="M161" s="45">
        <v>277354</v>
      </c>
      <c r="N161" s="45"/>
      <c r="O161" s="45">
        <v>658922</v>
      </c>
      <c r="P161" s="45"/>
      <c r="Q161" s="45">
        <v>124449</v>
      </c>
      <c r="R161" s="45"/>
      <c r="S161" s="45">
        <v>0</v>
      </c>
      <c r="T161" s="45"/>
      <c r="U161" s="45">
        <v>20714</v>
      </c>
      <c r="V161" s="45"/>
      <c r="W161" s="45">
        <f>230625+4210+56938</f>
        <v>291773</v>
      </c>
      <c r="X161" s="45"/>
      <c r="Y161" s="49">
        <f t="shared" si="18"/>
        <v>29181192</v>
      </c>
      <c r="Z161" s="45"/>
      <c r="AA161" s="45">
        <v>45199</v>
      </c>
      <c r="AB161" s="45"/>
      <c r="AC161" s="45"/>
      <c r="AD161" s="45"/>
      <c r="AE161" s="45">
        <v>0</v>
      </c>
      <c r="AF161" s="45"/>
      <c r="AG161" s="45"/>
      <c r="AH161" s="45"/>
      <c r="AI161" s="45">
        <v>8005</v>
      </c>
      <c r="AJ161" s="45"/>
      <c r="AK161" s="45">
        <v>0</v>
      </c>
      <c r="AL161" s="45"/>
      <c r="AM161" s="49">
        <f t="shared" ref="AM161:AM176" si="20">AI161+AE161+AA161</f>
        <v>53204</v>
      </c>
      <c r="AN161" s="45"/>
      <c r="AO161" s="49">
        <f t="shared" si="19"/>
        <v>29234396</v>
      </c>
    </row>
    <row r="162" spans="1:41">
      <c r="A162" s="12" t="s">
        <v>511</v>
      </c>
      <c r="B162" s="12"/>
      <c r="C162" s="12" t="s">
        <v>51</v>
      </c>
      <c r="D162" s="12"/>
      <c r="E162" s="13">
        <v>48835</v>
      </c>
      <c r="F162" s="45"/>
      <c r="G162" s="45">
        <v>5365184</v>
      </c>
      <c r="H162" s="45"/>
      <c r="I162" s="45">
        <v>0</v>
      </c>
      <c r="J162" s="45"/>
      <c r="K162" s="45">
        <v>12122276</v>
      </c>
      <c r="L162" s="45"/>
      <c r="M162" s="45">
        <v>130436</v>
      </c>
      <c r="N162" s="45"/>
      <c r="O162" s="45">
        <v>1258061</v>
      </c>
      <c r="P162" s="45"/>
      <c r="Q162" s="45">
        <v>188850</v>
      </c>
      <c r="R162" s="45"/>
      <c r="S162" s="45">
        <v>70397</v>
      </c>
      <c r="T162" s="45"/>
      <c r="U162" s="45">
        <v>3544</v>
      </c>
      <c r="V162" s="45"/>
      <c r="W162" s="45">
        <f>8967+504072+93408</f>
        <v>606447</v>
      </c>
      <c r="X162" s="45"/>
      <c r="Y162" s="49">
        <f t="shared" si="18"/>
        <v>19745195</v>
      </c>
      <c r="Z162" s="45"/>
      <c r="AA162" s="45">
        <v>852412</v>
      </c>
      <c r="AB162" s="45"/>
      <c r="AC162" s="45"/>
      <c r="AD162" s="45"/>
      <c r="AE162" s="45">
        <v>69772</v>
      </c>
      <c r="AF162" s="45"/>
      <c r="AG162" s="45"/>
      <c r="AH162" s="45"/>
      <c r="AI162" s="45">
        <f>5268</f>
        <v>5268</v>
      </c>
      <c r="AJ162" s="45"/>
      <c r="AK162" s="45">
        <v>0</v>
      </c>
      <c r="AL162" s="45"/>
      <c r="AM162" s="49">
        <f t="shared" si="20"/>
        <v>927452</v>
      </c>
      <c r="AN162" s="45"/>
      <c r="AO162" s="49">
        <f t="shared" si="19"/>
        <v>20672647</v>
      </c>
    </row>
    <row r="163" spans="1:41">
      <c r="A163" s="12" t="s">
        <v>267</v>
      </c>
      <c r="B163" s="12"/>
      <c r="C163" s="12" t="s">
        <v>114</v>
      </c>
      <c r="D163" s="12"/>
      <c r="E163" s="13">
        <v>43927</v>
      </c>
      <c r="F163" s="45"/>
      <c r="G163" s="45">
        <v>3040283</v>
      </c>
      <c r="H163" s="45"/>
      <c r="I163" s="45">
        <v>0</v>
      </c>
      <c r="J163" s="45"/>
      <c r="K163" s="45">
        <v>8706960</v>
      </c>
      <c r="L163" s="45"/>
      <c r="M163" s="45">
        <v>24946</v>
      </c>
      <c r="N163" s="45"/>
      <c r="O163" s="45">
        <v>322504</v>
      </c>
      <c r="P163" s="45"/>
      <c r="Q163" s="45">
        <v>181746</v>
      </c>
      <c r="R163" s="45"/>
      <c r="S163" s="45">
        <v>0</v>
      </c>
      <c r="T163" s="45"/>
      <c r="U163" s="45">
        <v>35533</v>
      </c>
      <c r="V163" s="45"/>
      <c r="W163" s="45">
        <f>10392+184048</f>
        <v>194440</v>
      </c>
      <c r="X163" s="45"/>
      <c r="Y163" s="49">
        <f t="shared" si="18"/>
        <v>12506412</v>
      </c>
      <c r="Z163" s="45"/>
      <c r="AA163" s="45">
        <v>0</v>
      </c>
      <c r="AB163" s="45"/>
      <c r="AC163" s="45"/>
      <c r="AD163" s="45"/>
      <c r="AE163" s="45">
        <v>133000</v>
      </c>
      <c r="AF163" s="45"/>
      <c r="AG163" s="45"/>
      <c r="AH163" s="45"/>
      <c r="AI163" s="45">
        <v>0</v>
      </c>
      <c r="AJ163" s="45"/>
      <c r="AK163" s="45">
        <v>0</v>
      </c>
      <c r="AL163" s="45"/>
      <c r="AM163" s="49">
        <f t="shared" si="20"/>
        <v>133000</v>
      </c>
      <c r="AN163" s="45"/>
      <c r="AO163" s="49">
        <f t="shared" si="19"/>
        <v>12639412</v>
      </c>
    </row>
    <row r="164" spans="1:41">
      <c r="A164" s="12" t="s">
        <v>223</v>
      </c>
      <c r="B164" s="12"/>
      <c r="C164" s="12" t="s">
        <v>77</v>
      </c>
      <c r="D164" s="12"/>
      <c r="E164" s="13">
        <v>46037</v>
      </c>
      <c r="F164" s="45"/>
      <c r="G164" s="45">
        <v>3668510</v>
      </c>
      <c r="H164" s="45"/>
      <c r="I164" s="45">
        <v>0</v>
      </c>
      <c r="J164" s="45"/>
      <c r="K164" s="45">
        <v>13217829</v>
      </c>
      <c r="L164" s="45"/>
      <c r="M164" s="45">
        <v>31412</v>
      </c>
      <c r="N164" s="45"/>
      <c r="O164" s="45">
        <v>781383</v>
      </c>
      <c r="P164" s="45"/>
      <c r="Q164" s="45">
        <v>81699</v>
      </c>
      <c r="R164" s="45"/>
      <c r="S164" s="45">
        <v>55617</v>
      </c>
      <c r="T164" s="45"/>
      <c r="U164" s="45">
        <v>25247</v>
      </c>
      <c r="V164" s="45"/>
      <c r="W164" s="45">
        <f>143012+285495+12584</f>
        <v>441091</v>
      </c>
      <c r="X164" s="45"/>
      <c r="Y164" s="49">
        <f t="shared" si="18"/>
        <v>18302788</v>
      </c>
      <c r="Z164" s="45"/>
      <c r="AA164" s="45">
        <v>763025</v>
      </c>
      <c r="AB164" s="45"/>
      <c r="AC164" s="45"/>
      <c r="AD164" s="45"/>
      <c r="AE164" s="45">
        <v>0</v>
      </c>
      <c r="AF164" s="45"/>
      <c r="AG164" s="45"/>
      <c r="AH164" s="45"/>
      <c r="AI164" s="45">
        <v>105280</v>
      </c>
      <c r="AJ164" s="45"/>
      <c r="AK164" s="45">
        <v>0</v>
      </c>
      <c r="AL164" s="45"/>
      <c r="AM164" s="49">
        <f t="shared" si="20"/>
        <v>868305</v>
      </c>
      <c r="AN164" s="45"/>
      <c r="AO164" s="49">
        <f t="shared" si="19"/>
        <v>19171093</v>
      </c>
    </row>
    <row r="165" spans="1:41">
      <c r="A165" s="12" t="s">
        <v>223</v>
      </c>
      <c r="B165" s="12"/>
      <c r="C165" s="12" t="s">
        <v>484</v>
      </c>
      <c r="D165" s="12"/>
      <c r="E165" s="13">
        <v>48512</v>
      </c>
      <c r="F165" s="45"/>
      <c r="G165" s="45">
        <v>622071</v>
      </c>
      <c r="H165" s="45"/>
      <c r="I165" s="45">
        <v>0</v>
      </c>
      <c r="J165" s="45"/>
      <c r="K165" s="45">
        <v>6470845</v>
      </c>
      <c r="L165" s="45"/>
      <c r="M165" s="45">
        <v>18009</v>
      </c>
      <c r="N165" s="45"/>
      <c r="O165" s="45">
        <v>598052</v>
      </c>
      <c r="P165" s="45"/>
      <c r="Q165" s="45">
        <v>62359</v>
      </c>
      <c r="R165" s="45"/>
      <c r="S165" s="45">
        <v>0</v>
      </c>
      <c r="T165" s="45"/>
      <c r="U165" s="45">
        <v>46943</v>
      </c>
      <c r="V165" s="45"/>
      <c r="W165" s="45">
        <f>5689+193221+26014</f>
        <v>224924</v>
      </c>
      <c r="X165" s="45"/>
      <c r="Y165" s="49">
        <f t="shared" si="18"/>
        <v>8043203</v>
      </c>
      <c r="Z165" s="45"/>
      <c r="AA165" s="45">
        <v>550</v>
      </c>
      <c r="AB165" s="45"/>
      <c r="AC165" s="45"/>
      <c r="AD165" s="45"/>
      <c r="AE165" s="45">
        <v>0</v>
      </c>
      <c r="AF165" s="45"/>
      <c r="AG165" s="45"/>
      <c r="AH165" s="45"/>
      <c r="AI165" s="45">
        <v>0</v>
      </c>
      <c r="AJ165" s="45"/>
      <c r="AK165" s="45">
        <v>0</v>
      </c>
      <c r="AL165" s="45"/>
      <c r="AM165" s="49">
        <f t="shared" si="20"/>
        <v>550</v>
      </c>
      <c r="AN165" s="45"/>
      <c r="AO165" s="49">
        <f t="shared" si="19"/>
        <v>8043753</v>
      </c>
    </row>
    <row r="166" spans="1:41" hidden="1">
      <c r="A166" s="12" t="s">
        <v>808</v>
      </c>
      <c r="B166" s="12"/>
      <c r="C166" s="12" t="s">
        <v>55</v>
      </c>
      <c r="D166" s="12"/>
      <c r="E166" s="13">
        <v>49122</v>
      </c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9">
        <f t="shared" si="18"/>
        <v>0</v>
      </c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>
        <v>0</v>
      </c>
      <c r="AL166" s="45"/>
      <c r="AM166" s="49">
        <f t="shared" si="20"/>
        <v>0</v>
      </c>
      <c r="AN166" s="45"/>
      <c r="AO166" s="49">
        <f t="shared" si="19"/>
        <v>0</v>
      </c>
    </row>
    <row r="167" spans="1:41">
      <c r="A167" s="12" t="s">
        <v>647</v>
      </c>
      <c r="B167" s="12"/>
      <c r="C167" s="12" t="s">
        <v>72</v>
      </c>
      <c r="D167" s="12"/>
      <c r="E167" s="13">
        <v>50674</v>
      </c>
      <c r="F167" s="45"/>
      <c r="G167" s="45">
        <v>5033509</v>
      </c>
      <c r="H167" s="45"/>
      <c r="I167" s="45">
        <v>1731990</v>
      </c>
      <c r="J167" s="45"/>
      <c r="K167" s="45">
        <v>8794555</v>
      </c>
      <c r="L167" s="45"/>
      <c r="M167" s="45">
        <v>206240</v>
      </c>
      <c r="N167" s="45"/>
      <c r="O167" s="45">
        <v>454009</v>
      </c>
      <c r="P167" s="45"/>
      <c r="Q167" s="45">
        <v>429618</v>
      </c>
      <c r="R167" s="45"/>
      <c r="S167" s="45">
        <v>480000</v>
      </c>
      <c r="T167" s="45"/>
      <c r="U167" s="45">
        <v>40193</v>
      </c>
      <c r="V167" s="45"/>
      <c r="W167" s="45">
        <f>471721+840+31855</f>
        <v>504416</v>
      </c>
      <c r="X167" s="45"/>
      <c r="Y167" s="49">
        <f t="shared" si="18"/>
        <v>17674530</v>
      </c>
      <c r="Z167" s="45"/>
      <c r="AA167" s="45">
        <v>157781</v>
      </c>
      <c r="AB167" s="45"/>
      <c r="AC167" s="45"/>
      <c r="AD167" s="45"/>
      <c r="AE167" s="45">
        <f>2580000+738127+148857</f>
        <v>3466984</v>
      </c>
      <c r="AF167" s="45"/>
      <c r="AG167" s="45"/>
      <c r="AH167" s="45"/>
      <c r="AI167" s="45">
        <v>0</v>
      </c>
      <c r="AJ167" s="45"/>
      <c r="AK167" s="45">
        <v>0</v>
      </c>
      <c r="AL167" s="45"/>
      <c r="AM167" s="49">
        <f t="shared" si="20"/>
        <v>3624765</v>
      </c>
      <c r="AN167" s="45"/>
      <c r="AO167" s="49">
        <f t="shared" si="19"/>
        <v>21299295</v>
      </c>
    </row>
    <row r="168" spans="1:41">
      <c r="A168" s="17" t="s">
        <v>835</v>
      </c>
      <c r="B168" s="12"/>
      <c r="C168" s="12" t="s">
        <v>57</v>
      </c>
      <c r="D168" s="12"/>
      <c r="E168" s="13">
        <v>43935</v>
      </c>
      <c r="F168" s="45"/>
      <c r="G168" s="45">
        <v>10031561</v>
      </c>
      <c r="H168" s="45"/>
      <c r="I168" s="45">
        <v>0</v>
      </c>
      <c r="J168" s="45"/>
      <c r="K168" s="45">
        <f>9353690+1713079</f>
        <v>11066769</v>
      </c>
      <c r="L168" s="45"/>
      <c r="M168" s="45">
        <v>51355</v>
      </c>
      <c r="N168" s="45"/>
      <c r="O168" s="45">
        <f>266590+8263+77303</f>
        <v>352156</v>
      </c>
      <c r="P168" s="45"/>
      <c r="Q168" s="45">
        <v>275576</v>
      </c>
      <c r="R168" s="45"/>
      <c r="S168" s="45">
        <v>0</v>
      </c>
      <c r="T168" s="45"/>
      <c r="U168" s="45">
        <v>0</v>
      </c>
      <c r="V168" s="45"/>
      <c r="W168" s="45">
        <f>136474+29064</f>
        <v>165538</v>
      </c>
      <c r="X168" s="45"/>
      <c r="Y168" s="49">
        <f t="shared" si="18"/>
        <v>21942955</v>
      </c>
      <c r="Z168" s="45"/>
      <c r="AA168" s="45">
        <v>0</v>
      </c>
      <c r="AB168" s="45"/>
      <c r="AC168" s="45"/>
      <c r="AD168" s="45"/>
      <c r="AE168" s="45">
        <v>0</v>
      </c>
      <c r="AF168" s="45"/>
      <c r="AG168" s="45"/>
      <c r="AH168" s="45"/>
      <c r="AI168" s="45">
        <v>1219</v>
      </c>
      <c r="AJ168" s="45"/>
      <c r="AK168" s="45">
        <v>0</v>
      </c>
      <c r="AL168" s="45"/>
      <c r="AM168" s="49">
        <f t="shared" si="20"/>
        <v>1219</v>
      </c>
      <c r="AN168" s="45"/>
      <c r="AO168" s="49">
        <f t="shared" si="19"/>
        <v>21944174</v>
      </c>
    </row>
    <row r="169" spans="1:41" hidden="1">
      <c r="A169" s="17" t="s">
        <v>809</v>
      </c>
      <c r="B169" s="12"/>
      <c r="C169" s="12" t="s">
        <v>643</v>
      </c>
      <c r="D169" s="12"/>
      <c r="E169" s="13">
        <v>50617</v>
      </c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9">
        <f t="shared" si="18"/>
        <v>0</v>
      </c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>
        <v>0</v>
      </c>
      <c r="AL169" s="45"/>
      <c r="AM169" s="49">
        <f t="shared" si="20"/>
        <v>0</v>
      </c>
      <c r="AN169" s="45"/>
      <c r="AO169" s="49">
        <f t="shared" si="19"/>
        <v>0</v>
      </c>
    </row>
    <row r="170" spans="1:41">
      <c r="A170" s="12" t="s">
        <v>226</v>
      </c>
      <c r="B170" s="12"/>
      <c r="C170" s="12" t="s">
        <v>227</v>
      </c>
      <c r="D170" s="12"/>
      <c r="E170" s="13">
        <v>46094</v>
      </c>
      <c r="F170" s="45"/>
      <c r="G170" s="45">
        <v>12334199</v>
      </c>
      <c r="H170" s="45"/>
      <c r="I170" s="45">
        <v>0</v>
      </c>
      <c r="J170" s="45"/>
      <c r="K170" s="45">
        <f>29978956+2521447</f>
        <v>32500403</v>
      </c>
      <c r="L170" s="45"/>
      <c r="M170" s="45">
        <v>167634</v>
      </c>
      <c r="N170" s="45"/>
      <c r="O170" s="45">
        <f>287037+2979+268103</f>
        <v>558119</v>
      </c>
      <c r="P170" s="45"/>
      <c r="Q170" s="45">
        <v>191350</v>
      </c>
      <c r="R170" s="45"/>
      <c r="S170" s="45">
        <v>701266</v>
      </c>
      <c r="T170" s="45"/>
      <c r="U170" s="45">
        <v>0</v>
      </c>
      <c r="V170" s="45"/>
      <c r="W170" s="45">
        <f>288014+783064</f>
        <v>1071078</v>
      </c>
      <c r="X170" s="45"/>
      <c r="Y170" s="49">
        <f t="shared" si="18"/>
        <v>47524049</v>
      </c>
      <c r="Z170" s="45"/>
      <c r="AA170" s="45">
        <v>83774</v>
      </c>
      <c r="AB170" s="45"/>
      <c r="AC170" s="45"/>
      <c r="AD170" s="45"/>
      <c r="AE170" s="45">
        <f>23000000+26000000+245564</f>
        <v>49245564</v>
      </c>
      <c r="AF170" s="45"/>
      <c r="AG170" s="45"/>
      <c r="AH170" s="45"/>
      <c r="AI170" s="45">
        <f>586488</f>
        <v>586488</v>
      </c>
      <c r="AJ170" s="45"/>
      <c r="AK170" s="45">
        <v>20901</v>
      </c>
      <c r="AL170" s="45"/>
      <c r="AM170" s="49">
        <f>AI170+AE170+AA170+AK170</f>
        <v>49936727</v>
      </c>
      <c r="AN170" s="45"/>
      <c r="AO170" s="49">
        <f t="shared" si="19"/>
        <v>97460776</v>
      </c>
    </row>
    <row r="171" spans="1:41">
      <c r="A171" s="12"/>
      <c r="B171" s="12"/>
      <c r="C171" s="12"/>
      <c r="D171" s="12"/>
      <c r="E171" s="13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9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9"/>
      <c r="AN171" s="45"/>
      <c r="AO171" s="49"/>
    </row>
    <row r="172" spans="1:41">
      <c r="A172" s="12"/>
      <c r="B172" s="12"/>
      <c r="C172" s="12"/>
      <c r="D172" s="12"/>
      <c r="E172" s="13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9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9"/>
      <c r="AN172" s="45"/>
      <c r="AO172" s="49" t="s">
        <v>709</v>
      </c>
    </row>
    <row r="173" spans="1:41">
      <c r="A173" s="12"/>
      <c r="B173" s="12"/>
      <c r="C173" s="12"/>
      <c r="D173" s="12"/>
      <c r="E173" s="13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9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9"/>
      <c r="AN173" s="45"/>
      <c r="AO173" s="49"/>
    </row>
    <row r="174" spans="1:41">
      <c r="A174" s="12" t="s">
        <v>410</v>
      </c>
      <c r="B174" s="12"/>
      <c r="C174" s="12" t="s">
        <v>39</v>
      </c>
      <c r="D174" s="12"/>
      <c r="E174" s="13">
        <v>47795</v>
      </c>
      <c r="F174" s="45"/>
      <c r="G174" s="47">
        <v>8157785</v>
      </c>
      <c r="H174" s="47"/>
      <c r="I174" s="47">
        <v>0</v>
      </c>
      <c r="J174" s="47"/>
      <c r="K174" s="47">
        <f>9672784+3160113</f>
        <v>12832897</v>
      </c>
      <c r="L174" s="47"/>
      <c r="M174" s="47">
        <v>2518</v>
      </c>
      <c r="N174" s="47"/>
      <c r="O174" s="47">
        <f>692929+39699</f>
        <v>732628</v>
      </c>
      <c r="P174" s="47"/>
      <c r="Q174" s="47">
        <v>169682</v>
      </c>
      <c r="R174" s="47"/>
      <c r="S174" s="47">
        <v>0</v>
      </c>
      <c r="T174" s="47"/>
      <c r="U174" s="47">
        <v>0</v>
      </c>
      <c r="V174" s="47"/>
      <c r="W174" s="47">
        <f>200487+226332</f>
        <v>426819</v>
      </c>
      <c r="X174" s="47"/>
      <c r="Y174" s="48">
        <f t="shared" si="18"/>
        <v>22322329</v>
      </c>
      <c r="Z174" s="47"/>
      <c r="AA174" s="47">
        <v>399093</v>
      </c>
      <c r="AB174" s="47"/>
      <c r="AC174" s="47"/>
      <c r="AD174" s="47"/>
      <c r="AE174" s="47">
        <v>0</v>
      </c>
      <c r="AF174" s="47"/>
      <c r="AG174" s="47"/>
      <c r="AH174" s="47"/>
      <c r="AI174" s="47">
        <v>0</v>
      </c>
      <c r="AJ174" s="47"/>
      <c r="AK174" s="47">
        <v>0</v>
      </c>
      <c r="AL174" s="47"/>
      <c r="AM174" s="48">
        <f t="shared" si="20"/>
        <v>399093</v>
      </c>
      <c r="AN174" s="47"/>
      <c r="AO174" s="48">
        <f t="shared" si="19"/>
        <v>22721422</v>
      </c>
    </row>
    <row r="175" spans="1:41">
      <c r="A175" s="12" t="s">
        <v>644</v>
      </c>
      <c r="B175" s="12"/>
      <c r="C175" s="12" t="s">
        <v>643</v>
      </c>
      <c r="D175" s="12"/>
      <c r="E175" s="13">
        <v>50625</v>
      </c>
      <c r="F175" s="45"/>
      <c r="G175" s="45">
        <v>1612225</v>
      </c>
      <c r="H175" s="45"/>
      <c r="I175" s="45">
        <v>0</v>
      </c>
      <c r="J175" s="45"/>
      <c r="K175" s="45">
        <v>4322249</v>
      </c>
      <c r="L175" s="45"/>
      <c r="M175" s="45">
        <f>19719-3224</f>
        <v>16495</v>
      </c>
      <c r="N175" s="45"/>
      <c r="O175" s="45">
        <v>569228</v>
      </c>
      <c r="P175" s="45"/>
      <c r="Q175" s="45">
        <v>80843</v>
      </c>
      <c r="R175" s="45"/>
      <c r="S175" s="45">
        <v>0</v>
      </c>
      <c r="T175" s="45"/>
      <c r="U175" s="45">
        <v>21199</v>
      </c>
      <c r="V175" s="45"/>
      <c r="W175" s="45">
        <f>37250+129612+6648</f>
        <v>173510</v>
      </c>
      <c r="X175" s="45"/>
      <c r="Y175" s="49">
        <f t="shared" si="18"/>
        <v>6795749</v>
      </c>
      <c r="Z175" s="45"/>
      <c r="AA175" s="45">
        <v>3000</v>
      </c>
      <c r="AB175" s="45"/>
      <c r="AC175" s="45"/>
      <c r="AD175" s="45"/>
      <c r="AE175" s="45">
        <v>0</v>
      </c>
      <c r="AF175" s="45"/>
      <c r="AG175" s="45"/>
      <c r="AH175" s="45"/>
      <c r="AI175" s="45">
        <v>36</v>
      </c>
      <c r="AJ175" s="45"/>
      <c r="AK175" s="45">
        <v>0</v>
      </c>
      <c r="AL175" s="45"/>
      <c r="AM175" s="49">
        <f t="shared" si="20"/>
        <v>3036</v>
      </c>
      <c r="AN175" s="45"/>
      <c r="AO175" s="49">
        <f t="shared" si="19"/>
        <v>6798785</v>
      </c>
    </row>
    <row r="176" spans="1:41">
      <c r="A176" s="17" t="s">
        <v>473</v>
      </c>
      <c r="B176" s="12"/>
      <c r="C176" s="12" t="s">
        <v>46</v>
      </c>
      <c r="D176" s="12"/>
      <c r="E176" s="13">
        <v>48413</v>
      </c>
      <c r="F176" s="45"/>
      <c r="G176" s="45">
        <v>4192884</v>
      </c>
      <c r="H176" s="45"/>
      <c r="I176" s="45">
        <v>167057</v>
      </c>
      <c r="J176" s="45"/>
      <c r="K176" s="45">
        <v>10528527</v>
      </c>
      <c r="L176" s="45"/>
      <c r="M176" s="45">
        <v>65994</v>
      </c>
      <c r="N176" s="45"/>
      <c r="O176" s="45">
        <v>1388834</v>
      </c>
      <c r="P176" s="45"/>
      <c r="Q176" s="45">
        <v>130877</v>
      </c>
      <c r="R176" s="45"/>
      <c r="S176" s="45">
        <v>28000</v>
      </c>
      <c r="T176" s="45"/>
      <c r="U176" s="45">
        <v>31127</v>
      </c>
      <c r="V176" s="45"/>
      <c r="W176" s="45">
        <f>243037+274321</f>
        <v>517358</v>
      </c>
      <c r="X176" s="45"/>
      <c r="Y176" s="49">
        <f t="shared" si="18"/>
        <v>17050658</v>
      </c>
      <c r="Z176" s="45"/>
      <c r="AA176" s="45">
        <v>3050</v>
      </c>
      <c r="AB176" s="45"/>
      <c r="AC176" s="45"/>
      <c r="AD176" s="45"/>
      <c r="AE176" s="45">
        <v>16630000</v>
      </c>
      <c r="AF176" s="45"/>
      <c r="AG176" s="45"/>
      <c r="AH176" s="45"/>
      <c r="AI176" s="45">
        <v>3792</v>
      </c>
      <c r="AJ176" s="45"/>
      <c r="AK176" s="45">
        <v>0</v>
      </c>
      <c r="AL176" s="45"/>
      <c r="AM176" s="49">
        <f t="shared" si="20"/>
        <v>16636842</v>
      </c>
      <c r="AN176" s="45"/>
      <c r="AO176" s="49">
        <f t="shared" si="19"/>
        <v>33687500</v>
      </c>
    </row>
    <row r="177" spans="1:41" hidden="1">
      <c r="A177" s="12" t="s">
        <v>811</v>
      </c>
      <c r="B177" s="12"/>
      <c r="C177" s="12" t="s">
        <v>10</v>
      </c>
      <c r="D177" s="12"/>
      <c r="E177" s="13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9">
        <f t="shared" si="18"/>
        <v>0</v>
      </c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9"/>
      <c r="AN177" s="45"/>
      <c r="AO177" s="49">
        <f t="shared" si="19"/>
        <v>0</v>
      </c>
    </row>
    <row r="178" spans="1:41" hidden="1">
      <c r="A178" s="17" t="s">
        <v>861</v>
      </c>
      <c r="B178" s="17"/>
      <c r="C178" s="17" t="s">
        <v>72</v>
      </c>
      <c r="D178" s="12"/>
      <c r="E178" s="13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9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9"/>
      <c r="AN178" s="45"/>
      <c r="AO178" s="49">
        <f t="shared" si="19"/>
        <v>0</v>
      </c>
    </row>
    <row r="179" spans="1:41">
      <c r="A179" s="12" t="s">
        <v>440</v>
      </c>
      <c r="B179" s="12"/>
      <c r="C179" s="12" t="s">
        <v>44</v>
      </c>
      <c r="D179" s="12"/>
      <c r="E179" s="13">
        <v>43943</v>
      </c>
      <c r="F179" s="45"/>
      <c r="G179" s="45">
        <v>29384209</v>
      </c>
      <c r="H179" s="45"/>
      <c r="I179" s="45">
        <v>0</v>
      </c>
      <c r="J179" s="45"/>
      <c r="K179" s="45">
        <v>52903064</v>
      </c>
      <c r="L179" s="45"/>
      <c r="M179" s="45">
        <v>540613</v>
      </c>
      <c r="N179" s="45"/>
      <c r="O179" s="45">
        <v>1681792</v>
      </c>
      <c r="P179" s="45"/>
      <c r="Q179" s="45">
        <v>328813</v>
      </c>
      <c r="R179" s="45"/>
      <c r="S179" s="45">
        <v>0</v>
      </c>
      <c r="T179" s="45"/>
      <c r="U179" s="45">
        <v>1833837</v>
      </c>
      <c r="V179" s="45"/>
      <c r="W179" s="45">
        <f>771974+87314</f>
        <v>859288</v>
      </c>
      <c r="X179" s="45"/>
      <c r="Y179" s="49">
        <f t="shared" si="18"/>
        <v>87531616</v>
      </c>
      <c r="Z179" s="45"/>
      <c r="AA179" s="45">
        <v>2789215</v>
      </c>
      <c r="AB179" s="45"/>
      <c r="AC179" s="45"/>
      <c r="AD179" s="45"/>
      <c r="AE179" s="45">
        <v>0</v>
      </c>
      <c r="AF179" s="45"/>
      <c r="AG179" s="45"/>
      <c r="AH179" s="45"/>
      <c r="AI179" s="45">
        <v>12028</v>
      </c>
      <c r="AJ179" s="45"/>
      <c r="AK179" s="45">
        <v>0</v>
      </c>
      <c r="AL179" s="45"/>
      <c r="AM179" s="49">
        <f t="shared" ref="AM179:AM183" si="21">AI179+AE179+AA179</f>
        <v>2801243</v>
      </c>
      <c r="AN179" s="45"/>
      <c r="AO179" s="49">
        <f t="shared" si="19"/>
        <v>90332859</v>
      </c>
    </row>
    <row r="180" spans="1:41">
      <c r="A180" s="12" t="s">
        <v>289</v>
      </c>
      <c r="B180" s="12"/>
      <c r="C180" s="12" t="s">
        <v>20</v>
      </c>
      <c r="D180" s="12"/>
      <c r="E180" s="13">
        <v>43950</v>
      </c>
      <c r="F180" s="45"/>
      <c r="G180" s="45">
        <v>43239001</v>
      </c>
      <c r="H180" s="45"/>
      <c r="I180" s="45">
        <v>0</v>
      </c>
      <c r="J180" s="45"/>
      <c r="K180" s="45">
        <v>40202883</v>
      </c>
      <c r="L180" s="45"/>
      <c r="M180" s="45">
        <v>244143</v>
      </c>
      <c r="N180" s="45"/>
      <c r="O180" s="45">
        <f>151078+77086+158150</f>
        <v>386314</v>
      </c>
      <c r="P180" s="45"/>
      <c r="Q180" s="45">
        <v>270111</v>
      </c>
      <c r="R180" s="45"/>
      <c r="S180" s="45">
        <v>0</v>
      </c>
      <c r="T180" s="45"/>
      <c r="U180" s="45">
        <v>0</v>
      </c>
      <c r="V180" s="45"/>
      <c r="W180" s="45">
        <f>64824+260853</f>
        <v>325677</v>
      </c>
      <c r="X180" s="45"/>
      <c r="Y180" s="49">
        <f t="shared" si="18"/>
        <v>84668129</v>
      </c>
      <c r="Z180" s="45"/>
      <c r="AA180" s="45">
        <v>368252</v>
      </c>
      <c r="AB180" s="45"/>
      <c r="AC180" s="45"/>
      <c r="AD180" s="45"/>
      <c r="AE180" s="45">
        <f>40299828+467442</f>
        <v>40767270</v>
      </c>
      <c r="AF180" s="45"/>
      <c r="AG180" s="45"/>
      <c r="AH180" s="45"/>
      <c r="AI180" s="45">
        <v>12037</v>
      </c>
      <c r="AJ180" s="45"/>
      <c r="AK180" s="45">
        <v>0</v>
      </c>
      <c r="AL180" s="45"/>
      <c r="AM180" s="49">
        <f t="shared" si="21"/>
        <v>41147559</v>
      </c>
      <c r="AN180" s="45"/>
      <c r="AO180" s="49">
        <f t="shared" si="19"/>
        <v>125815688</v>
      </c>
    </row>
    <row r="181" spans="1:41" hidden="1">
      <c r="A181" s="12" t="s">
        <v>741</v>
      </c>
      <c r="B181" s="12"/>
      <c r="C181" s="12" t="s">
        <v>28</v>
      </c>
      <c r="D181" s="12"/>
      <c r="E181" s="13">
        <v>47050</v>
      </c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9">
        <f t="shared" si="18"/>
        <v>0</v>
      </c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>
        <v>0</v>
      </c>
      <c r="AL181" s="45"/>
      <c r="AM181" s="49">
        <f t="shared" si="21"/>
        <v>0</v>
      </c>
      <c r="AN181" s="45"/>
      <c r="AO181" s="49">
        <f t="shared" si="19"/>
        <v>0</v>
      </c>
    </row>
    <row r="182" spans="1:41">
      <c r="A182" s="12" t="s">
        <v>625</v>
      </c>
      <c r="B182" s="12"/>
      <c r="C182" s="12" t="s">
        <v>66</v>
      </c>
      <c r="D182" s="12"/>
      <c r="E182" s="13">
        <v>50328</v>
      </c>
      <c r="F182" s="45"/>
      <c r="G182" s="45">
        <v>7387090</v>
      </c>
      <c r="H182" s="45"/>
      <c r="I182" s="45">
        <v>0</v>
      </c>
      <c r="J182" s="45"/>
      <c r="K182" s="45">
        <f>2234+3393597+641579</f>
        <v>4037410</v>
      </c>
      <c r="L182" s="45"/>
      <c r="M182" s="45">
        <v>52264</v>
      </c>
      <c r="N182" s="45"/>
      <c r="O182" s="45">
        <f>99402+14184+36714</f>
        <v>150300</v>
      </c>
      <c r="P182" s="45"/>
      <c r="Q182" s="45">
        <v>81163</v>
      </c>
      <c r="R182" s="45"/>
      <c r="S182" s="45">
        <v>0</v>
      </c>
      <c r="T182" s="45"/>
      <c r="U182" s="45">
        <v>0</v>
      </c>
      <c r="V182" s="45"/>
      <c r="W182" s="45">
        <f>80758+217567</f>
        <v>298325</v>
      </c>
      <c r="X182" s="45"/>
      <c r="Y182" s="49">
        <f t="shared" si="18"/>
        <v>12006552</v>
      </c>
      <c r="Z182" s="45"/>
      <c r="AA182" s="45">
        <v>365614</v>
      </c>
      <c r="AB182" s="45"/>
      <c r="AC182" s="45"/>
      <c r="AD182" s="45"/>
      <c r="AE182" s="45">
        <v>0</v>
      </c>
      <c r="AF182" s="45"/>
      <c r="AG182" s="45"/>
      <c r="AH182" s="45"/>
      <c r="AI182" s="45">
        <v>0</v>
      </c>
      <c r="AJ182" s="45"/>
      <c r="AK182" s="45">
        <v>0</v>
      </c>
      <c r="AL182" s="45"/>
      <c r="AM182" s="49">
        <f t="shared" si="21"/>
        <v>365614</v>
      </c>
      <c r="AN182" s="45"/>
      <c r="AO182" s="49">
        <f t="shared" si="19"/>
        <v>12372166</v>
      </c>
    </row>
    <row r="183" spans="1:41">
      <c r="A183" s="12" t="s">
        <v>751</v>
      </c>
      <c r="B183" s="12"/>
      <c r="C183" s="12" t="s">
        <v>752</v>
      </c>
      <c r="D183" s="12"/>
      <c r="E183" s="13">
        <v>46102</v>
      </c>
      <c r="F183" s="45"/>
      <c r="G183" s="45">
        <v>17843281</v>
      </c>
      <c r="H183" s="45"/>
      <c r="I183" s="45">
        <v>3113953</v>
      </c>
      <c r="J183" s="45"/>
      <c r="K183" s="45">
        <v>27643646</v>
      </c>
      <c r="L183" s="45"/>
      <c r="M183" s="45">
        <v>203274</v>
      </c>
      <c r="N183" s="45"/>
      <c r="O183" s="45">
        <v>407732</v>
      </c>
      <c r="P183" s="45"/>
      <c r="Q183" s="45">
        <v>214009</v>
      </c>
      <c r="R183" s="45"/>
      <c r="S183" s="45">
        <v>208706</v>
      </c>
      <c r="T183" s="45"/>
      <c r="U183" s="45">
        <v>132011</v>
      </c>
      <c r="V183" s="45"/>
      <c r="W183" s="45">
        <f>212066+36591+739656</f>
        <v>988313</v>
      </c>
      <c r="X183" s="45"/>
      <c r="Y183" s="49">
        <f t="shared" si="18"/>
        <v>50754925</v>
      </c>
      <c r="Z183" s="45"/>
      <c r="AA183" s="45">
        <v>254876</v>
      </c>
      <c r="AB183" s="45"/>
      <c r="AC183" s="45"/>
      <c r="AD183" s="45"/>
      <c r="AE183" s="45">
        <v>0</v>
      </c>
      <c r="AF183" s="45"/>
      <c r="AG183" s="45"/>
      <c r="AH183" s="45"/>
      <c r="AI183" s="45">
        <v>0</v>
      </c>
      <c r="AJ183" s="45"/>
      <c r="AK183" s="45">
        <v>0</v>
      </c>
      <c r="AL183" s="45"/>
      <c r="AM183" s="49">
        <f t="shared" si="21"/>
        <v>254876</v>
      </c>
      <c r="AN183" s="45"/>
      <c r="AO183" s="49">
        <f t="shared" si="19"/>
        <v>51009801</v>
      </c>
    </row>
    <row r="184" spans="1:41">
      <c r="A184" s="12" t="s">
        <v>228</v>
      </c>
      <c r="B184" s="12"/>
      <c r="C184" s="12" t="s">
        <v>227</v>
      </c>
      <c r="D184" s="12"/>
      <c r="E184" s="13">
        <v>46102</v>
      </c>
      <c r="F184" s="45"/>
      <c r="G184" s="45">
        <v>39192267</v>
      </c>
      <c r="H184" s="45"/>
      <c r="I184" s="45">
        <v>0</v>
      </c>
      <c r="J184" s="45"/>
      <c r="K184" s="45">
        <v>40870905</v>
      </c>
      <c r="L184" s="45"/>
      <c r="M184" s="45">
        <v>54314</v>
      </c>
      <c r="N184" s="45"/>
      <c r="O184" s="45">
        <v>1641529</v>
      </c>
      <c r="P184" s="45"/>
      <c r="Q184" s="45">
        <v>408514</v>
      </c>
      <c r="R184" s="45"/>
      <c r="S184" s="45">
        <v>1477892</v>
      </c>
      <c r="T184" s="45"/>
      <c r="U184" s="45">
        <v>0</v>
      </c>
      <c r="V184" s="45"/>
      <c r="W184" s="45">
        <f>719385+2974473</f>
        <v>3693858</v>
      </c>
      <c r="X184" s="45"/>
      <c r="Y184" s="49">
        <f t="shared" si="18"/>
        <v>87339279</v>
      </c>
      <c r="Z184" s="45"/>
      <c r="AA184" s="45">
        <v>0</v>
      </c>
      <c r="AB184" s="45"/>
      <c r="AC184" s="45"/>
      <c r="AD184" s="45"/>
      <c r="AE184" s="45">
        <v>0</v>
      </c>
      <c r="AF184" s="45"/>
      <c r="AG184" s="45"/>
      <c r="AH184" s="45"/>
      <c r="AI184" s="45">
        <v>1816</v>
      </c>
      <c r="AJ184" s="45"/>
      <c r="AK184" s="45">
        <v>0</v>
      </c>
      <c r="AL184" s="45"/>
      <c r="AM184" s="49">
        <f t="shared" ref="AM184:AM202" si="22">AI184+AE184+AA184</f>
        <v>1816</v>
      </c>
      <c r="AN184" s="45"/>
      <c r="AO184" s="49">
        <f t="shared" ref="AO184:AO215" si="23">Y184+AM184</f>
        <v>87341095</v>
      </c>
    </row>
    <row r="185" spans="1:41">
      <c r="A185" s="12" t="s">
        <v>396</v>
      </c>
      <c r="B185" s="12"/>
      <c r="C185" s="12" t="s">
        <v>395</v>
      </c>
      <c r="D185" s="12"/>
      <c r="E185" s="13">
        <v>47621</v>
      </c>
      <c r="F185" s="45"/>
      <c r="G185" s="45">
        <v>1927159</v>
      </c>
      <c r="H185" s="45"/>
      <c r="I185" s="45">
        <v>0</v>
      </c>
      <c r="J185" s="45"/>
      <c r="K185" s="45">
        <v>6174626</v>
      </c>
      <c r="L185" s="45"/>
      <c r="M185" s="45">
        <v>10185</v>
      </c>
      <c r="N185" s="45"/>
      <c r="O185" s="45">
        <v>365667</v>
      </c>
      <c r="P185" s="45"/>
      <c r="Q185" s="45">
        <v>53673</v>
      </c>
      <c r="R185" s="45"/>
      <c r="S185" s="45">
        <v>0</v>
      </c>
      <c r="T185" s="45"/>
      <c r="U185" s="45">
        <v>9563</v>
      </c>
      <c r="V185" s="45"/>
      <c r="W185" s="45">
        <f>49583+3255+215166</f>
        <v>268004</v>
      </c>
      <c r="X185" s="45"/>
      <c r="Y185" s="49">
        <f t="shared" si="18"/>
        <v>8808877</v>
      </c>
      <c r="Z185" s="45"/>
      <c r="AA185" s="45">
        <v>0</v>
      </c>
      <c r="AB185" s="45"/>
      <c r="AC185" s="45"/>
      <c r="AD185" s="45"/>
      <c r="AE185" s="45">
        <v>0</v>
      </c>
      <c r="AF185" s="45"/>
      <c r="AG185" s="45"/>
      <c r="AH185" s="45"/>
      <c r="AI185" s="45">
        <v>0</v>
      </c>
      <c r="AJ185" s="45"/>
      <c r="AK185" s="45">
        <v>0</v>
      </c>
      <c r="AL185" s="45"/>
      <c r="AM185" s="49">
        <f t="shared" si="22"/>
        <v>0</v>
      </c>
      <c r="AN185" s="45"/>
      <c r="AO185" s="49">
        <f t="shared" si="23"/>
        <v>8808877</v>
      </c>
    </row>
    <row r="186" spans="1:41">
      <c r="A186" s="12" t="s">
        <v>324</v>
      </c>
      <c r="B186" s="12"/>
      <c r="C186" s="12" t="s">
        <v>25</v>
      </c>
      <c r="D186" s="12"/>
      <c r="E186" s="13">
        <v>46870</v>
      </c>
      <c r="F186" s="45"/>
      <c r="G186" s="45">
        <v>4069672</v>
      </c>
      <c r="H186" s="45"/>
      <c r="I186" s="45">
        <v>4092299</v>
      </c>
      <c r="J186" s="45"/>
      <c r="K186" s="45">
        <v>15818138</v>
      </c>
      <c r="L186" s="45"/>
      <c r="M186" s="45">
        <v>615189</v>
      </c>
      <c r="N186" s="45"/>
      <c r="O186" s="45">
        <v>1332643</v>
      </c>
      <c r="P186" s="45"/>
      <c r="Q186" s="45">
        <v>256220</v>
      </c>
      <c r="R186" s="45"/>
      <c r="S186" s="45">
        <v>0</v>
      </c>
      <c r="T186" s="45"/>
      <c r="U186" s="45">
        <v>16721</v>
      </c>
      <c r="V186" s="45"/>
      <c r="W186" s="45">
        <f>17887+418731+133896</f>
        <v>570514</v>
      </c>
      <c r="X186" s="45"/>
      <c r="Y186" s="49">
        <f t="shared" si="18"/>
        <v>26771396</v>
      </c>
      <c r="Z186" s="45"/>
      <c r="AA186" s="45">
        <v>2978674</v>
      </c>
      <c r="AB186" s="45"/>
      <c r="AC186" s="45"/>
      <c r="AD186" s="45"/>
      <c r="AE186" s="45">
        <v>0</v>
      </c>
      <c r="AF186" s="45"/>
      <c r="AG186" s="45"/>
      <c r="AH186" s="45"/>
      <c r="AI186" s="45">
        <f>47449+12064</f>
        <v>59513</v>
      </c>
      <c r="AJ186" s="45"/>
      <c r="AK186" s="45">
        <v>0</v>
      </c>
      <c r="AL186" s="45"/>
      <c r="AM186" s="49">
        <f t="shared" si="22"/>
        <v>3038187</v>
      </c>
      <c r="AN186" s="45"/>
      <c r="AO186" s="49">
        <f t="shared" si="23"/>
        <v>29809583</v>
      </c>
    </row>
    <row r="187" spans="1:41">
      <c r="A187" s="12" t="s">
        <v>422</v>
      </c>
      <c r="B187" s="12"/>
      <c r="C187" s="12" t="s">
        <v>420</v>
      </c>
      <c r="D187" s="12"/>
      <c r="E187" s="13">
        <v>47936</v>
      </c>
      <c r="F187" s="45"/>
      <c r="G187" s="45">
        <v>3468573</v>
      </c>
      <c r="H187" s="45"/>
      <c r="I187" s="45">
        <v>0</v>
      </c>
      <c r="J187" s="45"/>
      <c r="K187" s="45">
        <v>11834218</v>
      </c>
      <c r="L187" s="45"/>
      <c r="M187" s="45">
        <v>44631</v>
      </c>
      <c r="N187" s="45"/>
      <c r="O187" s="45">
        <v>952965</v>
      </c>
      <c r="P187" s="45"/>
      <c r="Q187" s="45">
        <v>169505</v>
      </c>
      <c r="R187" s="45"/>
      <c r="S187" s="45">
        <v>0</v>
      </c>
      <c r="T187" s="45"/>
      <c r="U187" s="45">
        <v>20899</v>
      </c>
      <c r="V187" s="45"/>
      <c r="W187" s="45">
        <f>49006+248611</f>
        <v>297617</v>
      </c>
      <c r="X187" s="45"/>
      <c r="Y187" s="49">
        <f t="shared" si="18"/>
        <v>16788408</v>
      </c>
      <c r="Z187" s="45"/>
      <c r="AA187" s="45">
        <v>46783</v>
      </c>
      <c r="AB187" s="45"/>
      <c r="AC187" s="45"/>
      <c r="AD187" s="45"/>
      <c r="AE187" s="45">
        <v>0</v>
      </c>
      <c r="AF187" s="45"/>
      <c r="AG187" s="45"/>
      <c r="AH187" s="45"/>
      <c r="AI187" s="45">
        <v>0</v>
      </c>
      <c r="AJ187" s="45"/>
      <c r="AK187" s="45">
        <v>0</v>
      </c>
      <c r="AL187" s="45"/>
      <c r="AM187" s="49">
        <f t="shared" si="22"/>
        <v>46783</v>
      </c>
      <c r="AN187" s="45"/>
      <c r="AO187" s="49">
        <f t="shared" si="23"/>
        <v>16835191</v>
      </c>
    </row>
    <row r="188" spans="1:41" hidden="1">
      <c r="A188" s="17" t="s">
        <v>742</v>
      </c>
      <c r="B188" s="12"/>
      <c r="C188" s="12" t="s">
        <v>61</v>
      </c>
      <c r="D188" s="12"/>
      <c r="E188" s="13">
        <v>49775</v>
      </c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9">
        <f t="shared" si="18"/>
        <v>0</v>
      </c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>
        <v>0</v>
      </c>
      <c r="AL188" s="45"/>
      <c r="AM188" s="49">
        <f t="shared" si="22"/>
        <v>0</v>
      </c>
      <c r="AN188" s="45"/>
      <c r="AO188" s="49">
        <f t="shared" si="23"/>
        <v>0</v>
      </c>
    </row>
    <row r="189" spans="1:41">
      <c r="A189" s="12" t="s">
        <v>575</v>
      </c>
      <c r="B189" s="12"/>
      <c r="C189" s="12" t="s">
        <v>62</v>
      </c>
      <c r="D189" s="12"/>
      <c r="E189" s="13">
        <v>49841</v>
      </c>
      <c r="F189" s="45"/>
      <c r="G189" s="45">
        <v>6000397</v>
      </c>
      <c r="H189" s="45"/>
      <c r="I189" s="45">
        <v>0</v>
      </c>
      <c r="J189" s="45"/>
      <c r="K189" s="45">
        <f>9306528+1946628</f>
        <v>11253156</v>
      </c>
      <c r="L189" s="45"/>
      <c r="M189" s="45">
        <v>7035</v>
      </c>
      <c r="N189" s="45"/>
      <c r="O189" s="45">
        <f>528561+56446</f>
        <v>585007</v>
      </c>
      <c r="P189" s="45"/>
      <c r="Q189" s="45">
        <v>231599</v>
      </c>
      <c r="R189" s="45"/>
      <c r="S189" s="45">
        <v>0</v>
      </c>
      <c r="T189" s="45"/>
      <c r="U189" s="45">
        <v>26800</v>
      </c>
      <c r="V189" s="45"/>
      <c r="W189" s="45">
        <f>193529+37000+293396</f>
        <v>523925</v>
      </c>
      <c r="X189" s="45"/>
      <c r="Y189" s="49">
        <f t="shared" si="18"/>
        <v>18627919</v>
      </c>
      <c r="Z189" s="45"/>
      <c r="AA189" s="45">
        <v>0</v>
      </c>
      <c r="AB189" s="45"/>
      <c r="AC189" s="45"/>
      <c r="AD189" s="45"/>
      <c r="AE189" s="45">
        <v>0</v>
      </c>
      <c r="AF189" s="45"/>
      <c r="AG189" s="45"/>
      <c r="AH189" s="45"/>
      <c r="AI189" s="45">
        <v>0</v>
      </c>
      <c r="AJ189" s="45"/>
      <c r="AK189" s="45">
        <v>0</v>
      </c>
      <c r="AL189" s="45"/>
      <c r="AM189" s="49">
        <f t="shared" si="22"/>
        <v>0</v>
      </c>
      <c r="AN189" s="45"/>
      <c r="AO189" s="49">
        <f t="shared" si="23"/>
        <v>18627919</v>
      </c>
    </row>
    <row r="190" spans="1:41" hidden="1">
      <c r="A190" s="17" t="s">
        <v>834</v>
      </c>
      <c r="B190" s="12"/>
      <c r="C190" s="12" t="s">
        <v>41</v>
      </c>
      <c r="D190" s="12"/>
      <c r="E190" s="13">
        <v>45369</v>
      </c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9">
        <f t="shared" si="18"/>
        <v>0</v>
      </c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>
        <v>0</v>
      </c>
      <c r="AL190" s="45"/>
      <c r="AM190" s="49">
        <f t="shared" si="22"/>
        <v>0</v>
      </c>
      <c r="AN190" s="45"/>
      <c r="AO190" s="49">
        <f t="shared" si="23"/>
        <v>0</v>
      </c>
    </row>
    <row r="191" spans="1:41">
      <c r="A191" s="12" t="s">
        <v>290</v>
      </c>
      <c r="B191" s="12"/>
      <c r="C191" s="12" t="s">
        <v>20</v>
      </c>
      <c r="D191" s="12"/>
      <c r="E191" s="13">
        <v>43976</v>
      </c>
      <c r="F191" s="45"/>
      <c r="G191" s="45">
        <v>17595767</v>
      </c>
      <c r="H191" s="45"/>
      <c r="I191" s="45">
        <v>0</v>
      </c>
      <c r="J191" s="45"/>
      <c r="K191" s="45">
        <f>17668+5698712+1118798</f>
        <v>6835178</v>
      </c>
      <c r="L191" s="45"/>
      <c r="M191" s="45">
        <v>208581</v>
      </c>
      <c r="N191" s="45"/>
      <c r="O191" s="45">
        <f>207506+19363+135664</f>
        <v>362533</v>
      </c>
      <c r="P191" s="45"/>
      <c r="Q191" s="45">
        <v>153008</v>
      </c>
      <c r="R191" s="45"/>
      <c r="S191" s="45">
        <v>0</v>
      </c>
      <c r="T191" s="45"/>
      <c r="U191" s="45">
        <v>13469</v>
      </c>
      <c r="V191" s="45"/>
      <c r="W191" s="45">
        <f>85331+87782</f>
        <v>173113</v>
      </c>
      <c r="X191" s="45"/>
      <c r="Y191" s="49">
        <f t="shared" si="18"/>
        <v>25341649</v>
      </c>
      <c r="Z191" s="45"/>
      <c r="AA191" s="45">
        <v>2546391</v>
      </c>
      <c r="AB191" s="45"/>
      <c r="AC191" s="45"/>
      <c r="AD191" s="45"/>
      <c r="AE191" s="45">
        <v>0</v>
      </c>
      <c r="AF191" s="45"/>
      <c r="AG191" s="45"/>
      <c r="AH191" s="45"/>
      <c r="AI191" s="45">
        <v>0</v>
      </c>
      <c r="AJ191" s="45"/>
      <c r="AK191" s="45">
        <v>0</v>
      </c>
      <c r="AL191" s="45"/>
      <c r="AM191" s="49">
        <f t="shared" si="22"/>
        <v>2546391</v>
      </c>
      <c r="AN191" s="45"/>
      <c r="AO191" s="49">
        <f t="shared" si="23"/>
        <v>27888040</v>
      </c>
    </row>
    <row r="192" spans="1:41">
      <c r="A192" s="17" t="s">
        <v>812</v>
      </c>
      <c r="B192" s="17"/>
      <c r="C192" s="17" t="s">
        <v>28</v>
      </c>
      <c r="D192" s="12"/>
      <c r="E192" s="13"/>
      <c r="F192" s="45"/>
      <c r="G192" s="45">
        <v>1285481</v>
      </c>
      <c r="H192" s="45"/>
      <c r="I192" s="45">
        <v>355604</v>
      </c>
      <c r="J192" s="45"/>
      <c r="K192" s="45">
        <v>3393151</v>
      </c>
      <c r="L192" s="45"/>
      <c r="M192" s="45">
        <v>17514</v>
      </c>
      <c r="N192" s="45"/>
      <c r="O192" s="45">
        <v>117338</v>
      </c>
      <c r="P192" s="45"/>
      <c r="Q192" s="45">
        <v>41795</v>
      </c>
      <c r="R192" s="45"/>
      <c r="S192" s="45">
        <v>50017</v>
      </c>
      <c r="T192" s="45"/>
      <c r="U192" s="45">
        <v>180</v>
      </c>
      <c r="V192" s="45"/>
      <c r="W192" s="45">
        <f>37258+87711</f>
        <v>124969</v>
      </c>
      <c r="X192" s="45"/>
      <c r="Y192" s="49">
        <f t="shared" si="18"/>
        <v>5386049</v>
      </c>
      <c r="Z192" s="45"/>
      <c r="AA192" s="45">
        <v>1011264</v>
      </c>
      <c r="AB192" s="45"/>
      <c r="AC192" s="45"/>
      <c r="AD192" s="45"/>
      <c r="AE192" s="45">
        <v>77447</v>
      </c>
      <c r="AF192" s="45"/>
      <c r="AG192" s="45"/>
      <c r="AH192" s="45"/>
      <c r="AI192" s="45">
        <v>0</v>
      </c>
      <c r="AJ192" s="45"/>
      <c r="AK192" s="45">
        <v>0</v>
      </c>
      <c r="AL192" s="45"/>
      <c r="AM192" s="49">
        <f t="shared" si="22"/>
        <v>1088711</v>
      </c>
      <c r="AN192" s="45"/>
      <c r="AO192" s="49">
        <f t="shared" si="23"/>
        <v>6474760</v>
      </c>
    </row>
    <row r="193" spans="1:41">
      <c r="A193" s="12" t="s">
        <v>224</v>
      </c>
      <c r="B193" s="12"/>
      <c r="C193" s="12" t="s">
        <v>77</v>
      </c>
      <c r="D193" s="12"/>
      <c r="E193" s="13">
        <v>46045</v>
      </c>
      <c r="F193" s="45"/>
      <c r="G193" s="45">
        <v>2407163</v>
      </c>
      <c r="H193" s="45"/>
      <c r="I193" s="45">
        <v>0</v>
      </c>
      <c r="J193" s="45"/>
      <c r="K193" s="45">
        <v>5893009</v>
      </c>
      <c r="L193" s="45"/>
      <c r="M193" s="45">
        <v>46316</v>
      </c>
      <c r="N193" s="45"/>
      <c r="O193" s="45">
        <v>851277</v>
      </c>
      <c r="P193" s="45"/>
      <c r="Q193" s="45">
        <v>54776</v>
      </c>
      <c r="R193" s="45"/>
      <c r="S193" s="45">
        <v>0</v>
      </c>
      <c r="T193" s="45"/>
      <c r="U193" s="45">
        <v>8011</v>
      </c>
      <c r="V193" s="45"/>
      <c r="W193" s="45">
        <f>225255+89647</f>
        <v>314902</v>
      </c>
      <c r="X193" s="45"/>
      <c r="Y193" s="49">
        <f t="shared" si="18"/>
        <v>9575454</v>
      </c>
      <c r="Z193" s="45"/>
      <c r="AA193" s="45">
        <v>90633</v>
      </c>
      <c r="AB193" s="45"/>
      <c r="AC193" s="45"/>
      <c r="AD193" s="45"/>
      <c r="AE193" s="45">
        <v>0</v>
      </c>
      <c r="AF193" s="45"/>
      <c r="AG193" s="45"/>
      <c r="AH193" s="45"/>
      <c r="AI193" s="45">
        <v>0</v>
      </c>
      <c r="AJ193" s="45"/>
      <c r="AK193" s="45">
        <v>0</v>
      </c>
      <c r="AL193" s="45"/>
      <c r="AM193" s="49">
        <f t="shared" si="22"/>
        <v>90633</v>
      </c>
      <c r="AN193" s="45"/>
      <c r="AO193" s="49">
        <f t="shared" si="23"/>
        <v>9666087</v>
      </c>
    </row>
    <row r="194" spans="1:41">
      <c r="A194" s="12" t="s">
        <v>813</v>
      </c>
      <c r="B194" s="12"/>
      <c r="C194" s="12" t="s">
        <v>13</v>
      </c>
      <c r="D194" s="12"/>
      <c r="E194" s="13"/>
      <c r="F194" s="45"/>
      <c r="G194" s="45">
        <v>3066444</v>
      </c>
      <c r="H194" s="45"/>
      <c r="I194" s="45">
        <v>0</v>
      </c>
      <c r="J194" s="45"/>
      <c r="K194" s="45">
        <v>10993039</v>
      </c>
      <c r="L194" s="45"/>
      <c r="M194" s="45">
        <v>38590</v>
      </c>
      <c r="N194" s="45"/>
      <c r="O194" s="45">
        <v>361776</v>
      </c>
      <c r="P194" s="45"/>
      <c r="Q194" s="45">
        <v>69345</v>
      </c>
      <c r="R194" s="45"/>
      <c r="S194" s="45">
        <v>0</v>
      </c>
      <c r="T194" s="45"/>
      <c r="U194" s="45">
        <v>31756</v>
      </c>
      <c r="V194" s="45"/>
      <c r="W194" s="45">
        <f>5213+33353+102006</f>
        <v>140572</v>
      </c>
      <c r="X194" s="45"/>
      <c r="Y194" s="49">
        <f t="shared" si="18"/>
        <v>14701522</v>
      </c>
      <c r="Z194" s="45"/>
      <c r="AA194" s="45">
        <v>0</v>
      </c>
      <c r="AB194" s="45"/>
      <c r="AC194" s="45"/>
      <c r="AD194" s="45"/>
      <c r="AE194" s="45">
        <v>0</v>
      </c>
      <c r="AF194" s="45"/>
      <c r="AG194" s="45"/>
      <c r="AH194" s="45"/>
      <c r="AI194" s="45">
        <v>1047</v>
      </c>
      <c r="AJ194" s="45"/>
      <c r="AK194" s="45">
        <v>0</v>
      </c>
      <c r="AL194" s="45"/>
      <c r="AM194" s="49">
        <f t="shared" si="22"/>
        <v>1047</v>
      </c>
      <c r="AN194" s="45"/>
      <c r="AO194" s="49">
        <f t="shared" si="23"/>
        <v>14702569</v>
      </c>
    </row>
    <row r="195" spans="1:41" s="45" customFormat="1">
      <c r="A195" s="12" t="s">
        <v>253</v>
      </c>
      <c r="B195" s="12"/>
      <c r="C195" s="12" t="s">
        <v>115</v>
      </c>
      <c r="D195" s="12"/>
      <c r="E195" s="13">
        <v>46334</v>
      </c>
      <c r="G195" s="45">
        <v>1800615</v>
      </c>
      <c r="I195" s="45">
        <v>0</v>
      </c>
      <c r="K195" s="45">
        <v>8909057</v>
      </c>
      <c r="M195" s="45">
        <v>5613</v>
      </c>
      <c r="O195" s="45">
        <v>425686</v>
      </c>
      <c r="Q195" s="45">
        <v>0</v>
      </c>
      <c r="S195" s="45">
        <v>0</v>
      </c>
      <c r="U195" s="45">
        <v>0</v>
      </c>
      <c r="W195" s="45">
        <f>230894+183947</f>
        <v>414841</v>
      </c>
      <c r="Y195" s="49">
        <f t="shared" si="18"/>
        <v>11555812</v>
      </c>
      <c r="AA195" s="45">
        <v>0</v>
      </c>
      <c r="AE195" s="45">
        <v>130201</v>
      </c>
      <c r="AI195" s="45">
        <v>0</v>
      </c>
      <c r="AK195" s="45">
        <v>0</v>
      </c>
      <c r="AM195" s="49">
        <f t="shared" si="22"/>
        <v>130201</v>
      </c>
      <c r="AO195" s="49">
        <f t="shared" si="23"/>
        <v>11686013</v>
      </c>
    </row>
    <row r="196" spans="1:41">
      <c r="A196" s="17" t="s">
        <v>891</v>
      </c>
      <c r="B196" s="12"/>
      <c r="C196" s="12" t="s">
        <v>56</v>
      </c>
      <c r="D196" s="12"/>
      <c r="E196" s="13">
        <v>49197</v>
      </c>
      <c r="F196" s="45"/>
      <c r="G196" s="45">
        <v>10240289</v>
      </c>
      <c r="H196" s="45"/>
      <c r="I196" s="45">
        <v>0</v>
      </c>
      <c r="J196" s="45"/>
      <c r="K196" s="45">
        <v>9732631</v>
      </c>
      <c r="L196" s="45"/>
      <c r="M196" s="45">
        <v>41723</v>
      </c>
      <c r="N196" s="45"/>
      <c r="O196" s="45">
        <v>1280292</v>
      </c>
      <c r="P196" s="45"/>
      <c r="Q196" s="45">
        <v>73015</v>
      </c>
      <c r="R196" s="45"/>
      <c r="S196" s="45">
        <v>343108</v>
      </c>
      <c r="T196" s="45"/>
      <c r="U196" s="45">
        <v>15387</v>
      </c>
      <c r="V196" s="45"/>
      <c r="W196" s="45">
        <f>1140+130266</f>
        <v>131406</v>
      </c>
      <c r="X196" s="45"/>
      <c r="Y196" s="49">
        <f t="shared" si="18"/>
        <v>21857851</v>
      </c>
      <c r="Z196" s="45"/>
      <c r="AA196" s="45">
        <v>0</v>
      </c>
      <c r="AB196" s="45"/>
      <c r="AC196" s="45"/>
      <c r="AD196" s="45"/>
      <c r="AE196" s="45">
        <v>261446</v>
      </c>
      <c r="AF196" s="45"/>
      <c r="AG196" s="45"/>
      <c r="AH196" s="45"/>
      <c r="AI196" s="45">
        <v>0</v>
      </c>
      <c r="AJ196" s="45"/>
      <c r="AK196" s="45">
        <v>0</v>
      </c>
      <c r="AL196" s="45"/>
      <c r="AM196" s="49">
        <f t="shared" si="22"/>
        <v>261446</v>
      </c>
      <c r="AN196" s="45"/>
      <c r="AO196" s="49">
        <f t="shared" si="23"/>
        <v>22119297</v>
      </c>
    </row>
    <row r="197" spans="1:41">
      <c r="A197" s="12" t="s">
        <v>380</v>
      </c>
      <c r="B197" s="12"/>
      <c r="C197" s="12" t="s">
        <v>33</v>
      </c>
      <c r="D197" s="12"/>
      <c r="E197" s="13">
        <v>43984</v>
      </c>
      <c r="F197" s="45"/>
      <c r="G197" s="45">
        <v>26173376</v>
      </c>
      <c r="H197" s="45"/>
      <c r="I197" s="45">
        <v>0</v>
      </c>
      <c r="J197" s="45"/>
      <c r="K197" s="45">
        <f>30197993+6884097</f>
        <v>37082090</v>
      </c>
      <c r="L197" s="45"/>
      <c r="M197" s="45">
        <v>692725</v>
      </c>
      <c r="N197" s="45"/>
      <c r="O197" s="45">
        <f>3200512+400580</f>
        <v>3601092</v>
      </c>
      <c r="P197" s="45"/>
      <c r="Q197" s="45">
        <v>493079</v>
      </c>
      <c r="R197" s="45"/>
      <c r="S197" s="45">
        <v>0</v>
      </c>
      <c r="T197" s="45"/>
      <c r="U197" s="45">
        <v>355576</v>
      </c>
      <c r="V197" s="45"/>
      <c r="W197" s="45">
        <f>48655+833365+60152+557258</f>
        <v>1499430</v>
      </c>
      <c r="X197" s="45"/>
      <c r="Y197" s="49">
        <f t="shared" si="18"/>
        <v>69897368</v>
      </c>
      <c r="Z197" s="45"/>
      <c r="AA197" s="45">
        <v>39591629</v>
      </c>
      <c r="AB197" s="45"/>
      <c r="AC197" s="45"/>
      <c r="AD197" s="45"/>
      <c r="AE197" s="45">
        <f>509424+54192135</f>
        <v>54701559</v>
      </c>
      <c r="AF197" s="45"/>
      <c r="AG197" s="45"/>
      <c r="AH197" s="45"/>
      <c r="AI197" s="45">
        <v>152500</v>
      </c>
      <c r="AJ197" s="45"/>
      <c r="AK197" s="45">
        <v>0</v>
      </c>
      <c r="AL197" s="45"/>
      <c r="AM197" s="49">
        <f t="shared" si="22"/>
        <v>94445688</v>
      </c>
      <c r="AN197" s="45"/>
      <c r="AO197" s="49">
        <f t="shared" si="23"/>
        <v>164343056</v>
      </c>
    </row>
    <row r="198" spans="1:41">
      <c r="A198" s="12" t="s">
        <v>363</v>
      </c>
      <c r="B198" s="12"/>
      <c r="C198" s="12" t="s">
        <v>32</v>
      </c>
      <c r="D198" s="12"/>
      <c r="E198" s="13">
        <v>47332</v>
      </c>
      <c r="F198" s="45"/>
      <c r="G198" s="45">
        <v>9675271</v>
      </c>
      <c r="H198" s="45"/>
      <c r="I198" s="45">
        <v>0</v>
      </c>
      <c r="J198" s="45"/>
      <c r="K198" s="45">
        <v>10765137</v>
      </c>
      <c r="L198" s="45"/>
      <c r="M198" s="45">
        <v>22101</v>
      </c>
      <c r="N198" s="45"/>
      <c r="O198" s="45">
        <v>426212</v>
      </c>
      <c r="P198" s="45"/>
      <c r="Q198" s="45">
        <v>206531</v>
      </c>
      <c r="R198" s="45"/>
      <c r="S198" s="45">
        <v>236238</v>
      </c>
      <c r="T198" s="45"/>
      <c r="U198" s="45">
        <v>0</v>
      </c>
      <c r="V198" s="45"/>
      <c r="W198" s="45">
        <f>135282+273978</f>
        <v>409260</v>
      </c>
      <c r="X198" s="45"/>
      <c r="Y198" s="49">
        <f t="shared" si="18"/>
        <v>21740750</v>
      </c>
      <c r="Z198" s="45"/>
      <c r="AA198" s="45">
        <v>6950</v>
      </c>
      <c r="AB198" s="45"/>
      <c r="AC198" s="45"/>
      <c r="AD198" s="45"/>
      <c r="AE198" s="45">
        <v>0</v>
      </c>
      <c r="AF198" s="45"/>
      <c r="AG198" s="45"/>
      <c r="AH198" s="45"/>
      <c r="AI198" s="45">
        <v>22138</v>
      </c>
      <c r="AJ198" s="45"/>
      <c r="AK198" s="45">
        <v>0</v>
      </c>
      <c r="AL198" s="45"/>
      <c r="AM198" s="49">
        <f t="shared" si="22"/>
        <v>29088</v>
      </c>
      <c r="AN198" s="45"/>
      <c r="AO198" s="49">
        <f t="shared" si="23"/>
        <v>21769838</v>
      </c>
    </row>
    <row r="199" spans="1:41">
      <c r="A199" s="12" t="s">
        <v>441</v>
      </c>
      <c r="B199" s="12"/>
      <c r="C199" s="12" t="s">
        <v>44</v>
      </c>
      <c r="D199" s="12"/>
      <c r="E199" s="13">
        <v>48157</v>
      </c>
      <c r="F199" s="45"/>
      <c r="G199" s="45">
        <v>6755507</v>
      </c>
      <c r="H199" s="45"/>
      <c r="I199" s="45">
        <v>0</v>
      </c>
      <c r="J199" s="45"/>
      <c r="K199" s="45">
        <f>1433306+8840939</f>
        <v>10274245</v>
      </c>
      <c r="L199" s="45"/>
      <c r="M199" s="45">
        <v>140645</v>
      </c>
      <c r="N199" s="45"/>
      <c r="O199" s="45">
        <f>818309+13701+102629</f>
        <v>934639</v>
      </c>
      <c r="P199" s="45"/>
      <c r="Q199" s="45">
        <v>261292</v>
      </c>
      <c r="R199" s="45"/>
      <c r="S199" s="45">
        <v>0</v>
      </c>
      <c r="T199" s="45"/>
      <c r="U199" s="45">
        <v>5200</v>
      </c>
      <c r="V199" s="45"/>
      <c r="W199" s="45">
        <f>407959+30418+139109+5900</f>
        <v>583386</v>
      </c>
      <c r="X199" s="45"/>
      <c r="Y199" s="49">
        <f t="shared" si="18"/>
        <v>18954914</v>
      </c>
      <c r="Z199" s="45"/>
      <c r="AA199" s="45">
        <v>31000</v>
      </c>
      <c r="AB199" s="45"/>
      <c r="AC199" s="45"/>
      <c r="AD199" s="45"/>
      <c r="AE199" s="45">
        <v>0</v>
      </c>
      <c r="AF199" s="45"/>
      <c r="AG199" s="45"/>
      <c r="AH199" s="45"/>
      <c r="AI199" s="45">
        <v>0</v>
      </c>
      <c r="AJ199" s="45"/>
      <c r="AK199" s="45">
        <v>0</v>
      </c>
      <c r="AL199" s="45"/>
      <c r="AM199" s="49">
        <f t="shared" si="22"/>
        <v>31000</v>
      </c>
      <c r="AN199" s="45"/>
      <c r="AO199" s="49">
        <f t="shared" si="23"/>
        <v>18985914</v>
      </c>
    </row>
    <row r="200" spans="1:41">
      <c r="A200" s="12" t="s">
        <v>364</v>
      </c>
      <c r="B200" s="12"/>
      <c r="C200" s="12" t="s">
        <v>32</v>
      </c>
      <c r="D200" s="12"/>
      <c r="E200" s="13">
        <v>47340</v>
      </c>
      <c r="F200" s="45"/>
      <c r="G200" s="45">
        <v>40004264</v>
      </c>
      <c r="H200" s="45"/>
      <c r="I200" s="45">
        <v>0</v>
      </c>
      <c r="J200" s="45"/>
      <c r="K200" s="45">
        <v>30655877</v>
      </c>
      <c r="L200" s="45"/>
      <c r="M200" s="45">
        <v>64242</v>
      </c>
      <c r="N200" s="45"/>
      <c r="O200" s="45">
        <v>1241346</v>
      </c>
      <c r="P200" s="45"/>
      <c r="Q200" s="45">
        <v>0</v>
      </c>
      <c r="R200" s="45"/>
      <c r="S200" s="45">
        <v>6849634</v>
      </c>
      <c r="T200" s="45"/>
      <c r="U200" s="45">
        <v>0</v>
      </c>
      <c r="V200" s="45"/>
      <c r="W200" s="45">
        <f>1656176+1558855</f>
        <v>3215031</v>
      </c>
      <c r="X200" s="45"/>
      <c r="Y200" s="49">
        <f t="shared" si="18"/>
        <v>82030394</v>
      </c>
      <c r="Z200" s="45"/>
      <c r="AA200" s="45">
        <v>250438</v>
      </c>
      <c r="AB200" s="45"/>
      <c r="AC200" s="45"/>
      <c r="AD200" s="45"/>
      <c r="AE200" s="45">
        <v>0</v>
      </c>
      <c r="AF200" s="45"/>
      <c r="AG200" s="45"/>
      <c r="AH200" s="45"/>
      <c r="AI200" s="45">
        <v>0</v>
      </c>
      <c r="AJ200" s="45"/>
      <c r="AK200" s="45">
        <v>0</v>
      </c>
      <c r="AL200" s="45"/>
      <c r="AM200" s="49">
        <f t="shared" si="22"/>
        <v>250438</v>
      </c>
      <c r="AN200" s="45"/>
      <c r="AO200" s="49">
        <f t="shared" si="23"/>
        <v>82280832</v>
      </c>
    </row>
    <row r="201" spans="1:41" hidden="1">
      <c r="A201" s="12" t="s">
        <v>737</v>
      </c>
      <c r="B201" s="12"/>
      <c r="C201" s="12" t="s">
        <v>70</v>
      </c>
      <c r="D201" s="12"/>
      <c r="E201" s="13">
        <v>50484</v>
      </c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9">
        <f t="shared" si="18"/>
        <v>0</v>
      </c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>
        <v>0</v>
      </c>
      <c r="AL201" s="45"/>
      <c r="AM201" s="49">
        <f t="shared" si="22"/>
        <v>0</v>
      </c>
      <c r="AN201" s="45"/>
      <c r="AO201" s="49">
        <f t="shared" si="23"/>
        <v>0</v>
      </c>
    </row>
    <row r="202" spans="1:41">
      <c r="A202" s="12" t="s">
        <v>569</v>
      </c>
      <c r="B202" s="12"/>
      <c r="C202" s="12" t="s">
        <v>61</v>
      </c>
      <c r="D202" s="12"/>
      <c r="E202" s="13">
        <v>49783</v>
      </c>
      <c r="F202" s="45"/>
      <c r="G202" s="45">
        <v>2364798</v>
      </c>
      <c r="H202" s="45"/>
      <c r="I202" s="45">
        <v>1308375</v>
      </c>
      <c r="J202" s="45"/>
      <c r="K202" s="45">
        <v>4592423</v>
      </c>
      <c r="L202" s="45"/>
      <c r="M202" s="45">
        <v>61046</v>
      </c>
      <c r="N202" s="45"/>
      <c r="O202" s="45">
        <v>99048</v>
      </c>
      <c r="P202" s="45"/>
      <c r="Q202" s="45">
        <v>194424</v>
      </c>
      <c r="R202" s="45"/>
      <c r="S202" s="45">
        <v>0</v>
      </c>
      <c r="T202" s="45"/>
      <c r="U202" s="45">
        <v>55186</v>
      </c>
      <c r="V202" s="45"/>
      <c r="W202" s="45">
        <f>22961+278040</f>
        <v>301001</v>
      </c>
      <c r="X202" s="45"/>
      <c r="Y202" s="49">
        <f t="shared" si="18"/>
        <v>8976301</v>
      </c>
      <c r="Z202" s="45"/>
      <c r="AA202" s="45">
        <v>231851</v>
      </c>
      <c r="AB202" s="45"/>
      <c r="AC202" s="45"/>
      <c r="AD202" s="45"/>
      <c r="AE202" s="45">
        <v>1240000</v>
      </c>
      <c r="AF202" s="45"/>
      <c r="AG202" s="45"/>
      <c r="AH202" s="45"/>
      <c r="AI202" s="45">
        <v>0</v>
      </c>
      <c r="AJ202" s="45"/>
      <c r="AK202" s="45">
        <v>0</v>
      </c>
      <c r="AL202" s="45"/>
      <c r="AM202" s="49">
        <f t="shared" si="22"/>
        <v>1471851</v>
      </c>
      <c r="AN202" s="45"/>
      <c r="AO202" s="49">
        <f t="shared" si="23"/>
        <v>10448152</v>
      </c>
    </row>
    <row r="203" spans="1:41" hidden="1">
      <c r="A203" s="12" t="s">
        <v>814</v>
      </c>
      <c r="B203" s="12"/>
      <c r="C203" s="12" t="s">
        <v>486</v>
      </c>
      <c r="D203" s="12"/>
      <c r="E203" s="13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9">
        <f t="shared" si="18"/>
        <v>0</v>
      </c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9"/>
      <c r="AN203" s="45"/>
      <c r="AO203" s="49">
        <f t="shared" si="23"/>
        <v>0</v>
      </c>
    </row>
    <row r="204" spans="1:41" hidden="1">
      <c r="A204" s="12" t="s">
        <v>950</v>
      </c>
      <c r="B204" s="12"/>
      <c r="C204" s="12" t="s">
        <v>60</v>
      </c>
      <c r="D204" s="12"/>
      <c r="E204" s="12">
        <v>43992</v>
      </c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9">
        <f t="shared" si="18"/>
        <v>0</v>
      </c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>
        <v>0</v>
      </c>
      <c r="AL204" s="45"/>
      <c r="AM204" s="49">
        <f t="shared" ref="AM204:AM235" si="24">AI204+AE204+AA204</f>
        <v>0</v>
      </c>
      <c r="AN204" s="45"/>
      <c r="AO204" s="49">
        <f t="shared" si="23"/>
        <v>0</v>
      </c>
    </row>
    <row r="205" spans="1:41">
      <c r="A205" s="12" t="s">
        <v>632</v>
      </c>
      <c r="B205" s="12"/>
      <c r="C205" s="12" t="s">
        <v>69</v>
      </c>
      <c r="D205" s="12"/>
      <c r="E205" s="13">
        <v>44008</v>
      </c>
      <c r="F205" s="45"/>
      <c r="G205" s="45">
        <v>11217630</v>
      </c>
      <c r="H205" s="45"/>
      <c r="I205" s="45">
        <v>0</v>
      </c>
      <c r="J205" s="45"/>
      <c r="K205" s="45">
        <v>18055496</v>
      </c>
      <c r="L205" s="45"/>
      <c r="M205" s="45">
        <v>32942</v>
      </c>
      <c r="N205" s="45"/>
      <c r="O205" s="45">
        <v>752165</v>
      </c>
      <c r="P205" s="45"/>
      <c r="Q205" s="45">
        <v>188182</v>
      </c>
      <c r="R205" s="45"/>
      <c r="S205" s="45">
        <v>262630</v>
      </c>
      <c r="T205" s="45"/>
      <c r="U205" s="45">
        <v>178783</v>
      </c>
      <c r="V205" s="45"/>
      <c r="W205" s="45">
        <f>251104+11014+493268</f>
        <v>755386</v>
      </c>
      <c r="X205" s="45"/>
      <c r="Y205" s="49">
        <f t="shared" si="18"/>
        <v>31443214</v>
      </c>
      <c r="Z205" s="45"/>
      <c r="AA205" s="45">
        <v>0</v>
      </c>
      <c r="AB205" s="45"/>
      <c r="AC205" s="45"/>
      <c r="AD205" s="45"/>
      <c r="AE205" s="45">
        <v>0</v>
      </c>
      <c r="AF205" s="45"/>
      <c r="AG205" s="45"/>
      <c r="AH205" s="45"/>
      <c r="AI205" s="45">
        <f>2310+20452</f>
        <v>22762</v>
      </c>
      <c r="AJ205" s="45"/>
      <c r="AK205" s="45">
        <v>0</v>
      </c>
      <c r="AL205" s="45"/>
      <c r="AM205" s="49">
        <f t="shared" si="24"/>
        <v>22762</v>
      </c>
      <c r="AN205" s="45"/>
      <c r="AO205" s="49">
        <f t="shared" si="23"/>
        <v>31465976</v>
      </c>
    </row>
    <row r="206" spans="1:41">
      <c r="A206" s="12" t="s">
        <v>512</v>
      </c>
      <c r="B206" s="12"/>
      <c r="C206" s="12" t="s">
        <v>51</v>
      </c>
      <c r="D206" s="12"/>
      <c r="E206" s="13">
        <v>48843</v>
      </c>
      <c r="F206" s="45"/>
      <c r="G206" s="45">
        <v>4375047</v>
      </c>
      <c r="H206" s="45"/>
      <c r="I206" s="45">
        <v>0</v>
      </c>
      <c r="J206" s="45"/>
      <c r="K206" s="45">
        <v>16816556</v>
      </c>
      <c r="L206" s="45"/>
      <c r="M206" s="45">
        <v>222245</v>
      </c>
      <c r="N206" s="45"/>
      <c r="O206" s="45">
        <v>1203405</v>
      </c>
      <c r="P206" s="45"/>
      <c r="Q206" s="45">
        <v>199775</v>
      </c>
      <c r="R206" s="45"/>
      <c r="S206" s="45">
        <v>1928</v>
      </c>
      <c r="T206" s="45"/>
      <c r="U206" s="45">
        <v>110695</v>
      </c>
      <c r="V206" s="45"/>
      <c r="W206" s="45">
        <f>420671+5062</f>
        <v>425733</v>
      </c>
      <c r="X206" s="45"/>
      <c r="Y206" s="49">
        <f t="shared" si="18"/>
        <v>23355384</v>
      </c>
      <c r="Z206" s="45"/>
      <c r="AA206" s="45">
        <v>650429</v>
      </c>
      <c r="AB206" s="45"/>
      <c r="AC206" s="45"/>
      <c r="AD206" s="45"/>
      <c r="AE206" s="45">
        <v>0</v>
      </c>
      <c r="AF206" s="45"/>
      <c r="AG206" s="45"/>
      <c r="AH206" s="45"/>
      <c r="AI206" s="45">
        <v>7320</v>
      </c>
      <c r="AJ206" s="45"/>
      <c r="AK206" s="45">
        <v>0</v>
      </c>
      <c r="AL206" s="45"/>
      <c r="AM206" s="49">
        <f t="shared" si="24"/>
        <v>657749</v>
      </c>
      <c r="AN206" s="45"/>
      <c r="AO206" s="49">
        <f t="shared" si="23"/>
        <v>24013133</v>
      </c>
    </row>
    <row r="207" spans="1:41" hidden="1">
      <c r="A207" s="17" t="s">
        <v>736</v>
      </c>
      <c r="B207" s="12"/>
      <c r="C207" s="12" t="s">
        <v>21</v>
      </c>
      <c r="D207" s="12"/>
      <c r="E207" s="13">
        <v>46649</v>
      </c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9">
        <f t="shared" si="18"/>
        <v>0</v>
      </c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>
        <v>0</v>
      </c>
      <c r="AL207" s="45"/>
      <c r="AM207" s="49">
        <f t="shared" si="24"/>
        <v>0</v>
      </c>
      <c r="AN207" s="45"/>
      <c r="AO207" s="49">
        <f t="shared" si="23"/>
        <v>0</v>
      </c>
    </row>
    <row r="208" spans="1:41" hidden="1">
      <c r="A208" s="17" t="s">
        <v>815</v>
      </c>
      <c r="B208" s="12"/>
      <c r="C208" s="12" t="s">
        <v>40</v>
      </c>
      <c r="D208" s="12"/>
      <c r="E208" s="13">
        <v>47852</v>
      </c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9">
        <f t="shared" si="18"/>
        <v>0</v>
      </c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>
        <v>0</v>
      </c>
      <c r="AL208" s="45"/>
      <c r="AM208" s="49">
        <f t="shared" si="24"/>
        <v>0</v>
      </c>
      <c r="AN208" s="45"/>
      <c r="AO208" s="49">
        <f t="shared" si="23"/>
        <v>0</v>
      </c>
    </row>
    <row r="209" spans="1:41">
      <c r="A209" s="12" t="s">
        <v>556</v>
      </c>
      <c r="B209" s="12"/>
      <c r="C209" s="12" t="s">
        <v>79</v>
      </c>
      <c r="D209" s="12"/>
      <c r="E209" s="13">
        <v>44016</v>
      </c>
      <c r="F209" s="45"/>
      <c r="G209" s="45">
        <v>12302267</v>
      </c>
      <c r="H209" s="45"/>
      <c r="I209" s="45">
        <v>6446863</v>
      </c>
      <c r="J209" s="45"/>
      <c r="K209" s="45">
        <v>22648156</v>
      </c>
      <c r="L209" s="45"/>
      <c r="M209" s="45">
        <v>355375</v>
      </c>
      <c r="N209" s="45"/>
      <c r="O209" s="45">
        <v>469036</v>
      </c>
      <c r="P209" s="45"/>
      <c r="Q209" s="45">
        <v>362987</v>
      </c>
      <c r="R209" s="45"/>
      <c r="S209" s="45">
        <v>757595</v>
      </c>
      <c r="T209" s="45"/>
      <c r="U209" s="45">
        <v>13667</v>
      </c>
      <c r="V209" s="45"/>
      <c r="W209" s="45">
        <f>217316+9156+595114</f>
        <v>821586</v>
      </c>
      <c r="X209" s="45"/>
      <c r="Y209" s="49">
        <f t="shared" si="18"/>
        <v>44177532</v>
      </c>
      <c r="Z209" s="45"/>
      <c r="AA209" s="45">
        <v>209167</v>
      </c>
      <c r="AB209" s="45"/>
      <c r="AC209" s="45"/>
      <c r="AD209" s="45"/>
      <c r="AE209" s="45">
        <f>9134991+9500000+295870</f>
        <v>18930861</v>
      </c>
      <c r="AF209" s="45"/>
      <c r="AG209" s="45"/>
      <c r="AH209" s="45"/>
      <c r="AI209" s="45">
        <v>0</v>
      </c>
      <c r="AJ209" s="45"/>
      <c r="AK209" s="45">
        <v>0</v>
      </c>
      <c r="AL209" s="45"/>
      <c r="AM209" s="49">
        <f t="shared" si="24"/>
        <v>19140028</v>
      </c>
      <c r="AN209" s="45"/>
      <c r="AO209" s="49">
        <f t="shared" si="23"/>
        <v>63317560</v>
      </c>
    </row>
    <row r="210" spans="1:41">
      <c r="A210" s="12" t="s">
        <v>637</v>
      </c>
      <c r="B210" s="12"/>
      <c r="C210" s="12" t="s">
        <v>70</v>
      </c>
      <c r="D210" s="12"/>
      <c r="E210" s="13">
        <v>50492</v>
      </c>
      <c r="F210" s="45"/>
      <c r="G210" s="45">
        <v>1353643</v>
      </c>
      <c r="H210" s="45"/>
      <c r="I210" s="45">
        <v>0</v>
      </c>
      <c r="J210" s="45"/>
      <c r="K210" s="45">
        <f>67123+5197197+2047529</f>
        <v>7311849</v>
      </c>
      <c r="L210" s="45"/>
      <c r="M210" s="45">
        <v>18818</v>
      </c>
      <c r="N210" s="45"/>
      <c r="O210" s="45">
        <f>158675+14520</f>
        <v>173195</v>
      </c>
      <c r="P210" s="45"/>
      <c r="Q210" s="45">
        <v>51238</v>
      </c>
      <c r="R210" s="45"/>
      <c r="S210" s="45">
        <v>0</v>
      </c>
      <c r="T210" s="45"/>
      <c r="U210" s="45">
        <v>0</v>
      </c>
      <c r="V210" s="45"/>
      <c r="W210" s="45">
        <f>89495+20984</f>
        <v>110479</v>
      </c>
      <c r="X210" s="45"/>
      <c r="Y210" s="49">
        <f t="shared" si="18"/>
        <v>9019222</v>
      </c>
      <c r="Z210" s="45"/>
      <c r="AA210" s="45">
        <v>11707</v>
      </c>
      <c r="AB210" s="45"/>
      <c r="AC210" s="45"/>
      <c r="AD210" s="45"/>
      <c r="AE210" s="45">
        <v>0</v>
      </c>
      <c r="AF210" s="45"/>
      <c r="AG210" s="45"/>
      <c r="AH210" s="45"/>
      <c r="AI210" s="45">
        <v>0</v>
      </c>
      <c r="AJ210" s="45"/>
      <c r="AK210" s="45">
        <v>0</v>
      </c>
      <c r="AL210" s="45"/>
      <c r="AM210" s="49">
        <f t="shared" si="24"/>
        <v>11707</v>
      </c>
      <c r="AN210" s="45"/>
      <c r="AO210" s="49">
        <f t="shared" si="23"/>
        <v>9030929</v>
      </c>
    </row>
    <row r="211" spans="1:41">
      <c r="A211" s="12" t="s">
        <v>333</v>
      </c>
      <c r="B211" s="12"/>
      <c r="C211" s="12" t="s">
        <v>27</v>
      </c>
      <c r="D211" s="12"/>
      <c r="E211" s="13">
        <v>46961</v>
      </c>
      <c r="F211" s="45"/>
      <c r="G211" s="45">
        <f>48473563+5275187</f>
        <v>53748750</v>
      </c>
      <c r="H211" s="45"/>
      <c r="I211" s="45">
        <v>0</v>
      </c>
      <c r="J211" s="45"/>
      <c r="K211" s="45">
        <f>22752983+3069668</f>
        <v>25822651</v>
      </c>
      <c r="L211" s="45"/>
      <c r="M211" s="45">
        <v>127532</v>
      </c>
      <c r="N211" s="45"/>
      <c r="O211" s="45">
        <v>220438</v>
      </c>
      <c r="P211" s="45"/>
      <c r="Q211" s="45">
        <v>0</v>
      </c>
      <c r="R211" s="45"/>
      <c r="S211" s="45">
        <v>0</v>
      </c>
      <c r="T211" s="45"/>
      <c r="U211" s="45">
        <v>0</v>
      </c>
      <c r="V211" s="45"/>
      <c r="W211" s="45">
        <v>0</v>
      </c>
      <c r="X211" s="45"/>
      <c r="Y211" s="49">
        <f t="shared" si="18"/>
        <v>79919371</v>
      </c>
      <c r="Z211" s="45"/>
      <c r="AA211" s="45">
        <v>6354489</v>
      </c>
      <c r="AB211" s="45"/>
      <c r="AC211" s="45"/>
      <c r="AD211" s="45"/>
      <c r="AE211" s="45">
        <f>21247770</f>
        <v>21247770</v>
      </c>
      <c r="AF211" s="45"/>
      <c r="AG211" s="45"/>
      <c r="AH211" s="45"/>
      <c r="AI211" s="45">
        <f>78100+297480</f>
        <v>375580</v>
      </c>
      <c r="AJ211" s="45"/>
      <c r="AK211" s="45">
        <v>0</v>
      </c>
      <c r="AL211" s="45"/>
      <c r="AM211" s="49">
        <f t="shared" si="24"/>
        <v>27977839</v>
      </c>
      <c r="AN211" s="45"/>
      <c r="AO211" s="49">
        <f t="shared" si="23"/>
        <v>107897210</v>
      </c>
    </row>
    <row r="212" spans="1:41">
      <c r="A212" s="12" t="s">
        <v>278</v>
      </c>
      <c r="B212" s="12"/>
      <c r="C212" s="12" t="s">
        <v>113</v>
      </c>
      <c r="D212" s="12"/>
      <c r="E212" s="13">
        <v>44024</v>
      </c>
      <c r="F212" s="45"/>
      <c r="G212" s="45">
        <v>5400221</v>
      </c>
      <c r="H212" s="45"/>
      <c r="I212" s="45">
        <v>0</v>
      </c>
      <c r="J212" s="45"/>
      <c r="K212" s="45">
        <v>14446500</v>
      </c>
      <c r="L212" s="45"/>
      <c r="M212" s="45">
        <v>25919</v>
      </c>
      <c r="N212" s="45"/>
      <c r="O212" s="45">
        <v>472193</v>
      </c>
      <c r="P212" s="45"/>
      <c r="Q212" s="45">
        <v>123882</v>
      </c>
      <c r="R212" s="45"/>
      <c r="S212" s="45">
        <v>48164</v>
      </c>
      <c r="T212" s="45"/>
      <c r="U212" s="45">
        <v>29178</v>
      </c>
      <c r="V212" s="45"/>
      <c r="W212" s="45">
        <f>305193+182351</f>
        <v>487544</v>
      </c>
      <c r="X212" s="45"/>
      <c r="Y212" s="49">
        <f t="shared" si="18"/>
        <v>21033601</v>
      </c>
      <c r="Z212" s="45"/>
      <c r="AA212" s="45">
        <v>538420</v>
      </c>
      <c r="AB212" s="45"/>
      <c r="AC212" s="45"/>
      <c r="AD212" s="45"/>
      <c r="AE212" s="45">
        <v>0</v>
      </c>
      <c r="AF212" s="45"/>
      <c r="AG212" s="45"/>
      <c r="AH212" s="45"/>
      <c r="AI212" s="45">
        <v>0</v>
      </c>
      <c r="AJ212" s="45"/>
      <c r="AK212" s="45">
        <v>0</v>
      </c>
      <c r="AL212" s="45"/>
      <c r="AM212" s="49">
        <f t="shared" si="24"/>
        <v>538420</v>
      </c>
      <c r="AN212" s="45"/>
      <c r="AO212" s="49">
        <f t="shared" si="23"/>
        <v>21572021</v>
      </c>
    </row>
    <row r="213" spans="1:41">
      <c r="A213" s="12" t="s">
        <v>349</v>
      </c>
      <c r="B213" s="12"/>
      <c r="C213" s="12" t="s">
        <v>29</v>
      </c>
      <c r="D213" s="12"/>
      <c r="E213" s="13">
        <v>65680</v>
      </c>
      <c r="F213" s="45"/>
      <c r="G213" s="45">
        <v>10722513</v>
      </c>
      <c r="H213" s="45"/>
      <c r="I213" s="45">
        <v>0</v>
      </c>
      <c r="J213" s="45"/>
      <c r="K213" s="45">
        <v>16660264</v>
      </c>
      <c r="L213" s="45"/>
      <c r="M213" s="45">
        <v>226417</v>
      </c>
      <c r="N213" s="45"/>
      <c r="O213" s="45">
        <v>1026215</v>
      </c>
      <c r="P213" s="45"/>
      <c r="Q213" s="45">
        <v>163389</v>
      </c>
      <c r="R213" s="45"/>
      <c r="S213" s="45">
        <v>0</v>
      </c>
      <c r="T213" s="45"/>
      <c r="U213" s="45">
        <v>0</v>
      </c>
      <c r="V213" s="45"/>
      <c r="W213" s="45">
        <f>307135+258282</f>
        <v>565417</v>
      </c>
      <c r="X213" s="45"/>
      <c r="Y213" s="49">
        <f t="shared" si="18"/>
        <v>29364215</v>
      </c>
      <c r="Z213" s="45"/>
      <c r="AA213" s="45">
        <v>83160</v>
      </c>
      <c r="AB213" s="45"/>
      <c r="AC213" s="45"/>
      <c r="AD213" s="45"/>
      <c r="AE213" s="45">
        <v>0</v>
      </c>
      <c r="AF213" s="45"/>
      <c r="AG213" s="45"/>
      <c r="AH213" s="45"/>
      <c r="AI213" s="45">
        <v>2557</v>
      </c>
      <c r="AJ213" s="45"/>
      <c r="AK213" s="45">
        <v>0</v>
      </c>
      <c r="AL213" s="45"/>
      <c r="AM213" s="49">
        <f t="shared" si="24"/>
        <v>85717</v>
      </c>
      <c r="AN213" s="45"/>
      <c r="AO213" s="49">
        <f t="shared" si="23"/>
        <v>29449932</v>
      </c>
    </row>
    <row r="214" spans="1:41" s="54" customFormat="1">
      <c r="A214" s="52" t="s">
        <v>350</v>
      </c>
      <c r="B214" s="52"/>
      <c r="C214" s="52" t="s">
        <v>29</v>
      </c>
      <c r="D214" s="52"/>
      <c r="E214" s="52">
        <v>44032</v>
      </c>
      <c r="F214" s="53"/>
      <c r="G214" s="45">
        <v>6232842</v>
      </c>
      <c r="H214" s="45"/>
      <c r="I214" s="45">
        <v>0</v>
      </c>
      <c r="J214" s="45"/>
      <c r="K214" s="45">
        <f>18761416+3512054</f>
        <v>22273470</v>
      </c>
      <c r="L214" s="45"/>
      <c r="M214" s="45">
        <v>562398</v>
      </c>
      <c r="N214" s="45"/>
      <c r="O214" s="45">
        <v>1240882</v>
      </c>
      <c r="P214" s="45"/>
      <c r="Q214" s="45">
        <v>206047</v>
      </c>
      <c r="R214" s="45"/>
      <c r="S214" s="45">
        <v>0</v>
      </c>
      <c r="T214" s="45"/>
      <c r="U214" s="45">
        <v>0</v>
      </c>
      <c r="V214" s="45"/>
      <c r="W214" s="45">
        <f>409724+35212+332335+90688</f>
        <v>867959</v>
      </c>
      <c r="X214" s="45"/>
      <c r="Y214" s="49">
        <f t="shared" si="18"/>
        <v>31383598</v>
      </c>
      <c r="Z214" s="45"/>
      <c r="AA214" s="45">
        <v>150000</v>
      </c>
      <c r="AB214" s="45"/>
      <c r="AC214" s="45"/>
      <c r="AD214" s="45"/>
      <c r="AE214" s="45">
        <v>0</v>
      </c>
      <c r="AF214" s="45"/>
      <c r="AG214" s="45"/>
      <c r="AH214" s="45"/>
      <c r="AI214" s="45">
        <v>117295</v>
      </c>
      <c r="AJ214" s="45"/>
      <c r="AK214" s="45">
        <v>0</v>
      </c>
      <c r="AL214" s="45"/>
      <c r="AM214" s="49">
        <f t="shared" si="24"/>
        <v>267295</v>
      </c>
      <c r="AN214" s="45"/>
      <c r="AO214" s="49">
        <f t="shared" si="23"/>
        <v>31650893</v>
      </c>
    </row>
    <row r="215" spans="1:41">
      <c r="A215" s="12" t="s">
        <v>620</v>
      </c>
      <c r="B215" s="12"/>
      <c r="C215" s="12" t="s">
        <v>65</v>
      </c>
      <c r="D215" s="12"/>
      <c r="E215" s="13">
        <v>50278</v>
      </c>
      <c r="F215" s="45"/>
      <c r="G215" s="45">
        <v>5322370</v>
      </c>
      <c r="H215" s="45"/>
      <c r="I215" s="45">
        <v>0</v>
      </c>
      <c r="J215" s="45"/>
      <c r="K215" s="45">
        <f>4518011+1533480</f>
        <v>6051491</v>
      </c>
      <c r="L215" s="45"/>
      <c r="M215" s="45">
        <v>8315</v>
      </c>
      <c r="N215" s="45"/>
      <c r="O215" s="45">
        <v>546474</v>
      </c>
      <c r="P215" s="45"/>
      <c r="Q215" s="45">
        <v>141430</v>
      </c>
      <c r="R215" s="45"/>
      <c r="S215" s="45">
        <v>0</v>
      </c>
      <c r="T215" s="45"/>
      <c r="U215" s="45">
        <v>31952</v>
      </c>
      <c r="V215" s="45"/>
      <c r="W215" s="45">
        <f>37333+210725+57925+526+23049</f>
        <v>329558</v>
      </c>
      <c r="X215" s="45"/>
      <c r="Y215" s="49">
        <f t="shared" si="18"/>
        <v>12431590</v>
      </c>
      <c r="Z215" s="45"/>
      <c r="AA215" s="45">
        <v>10000</v>
      </c>
      <c r="AB215" s="45"/>
      <c r="AC215" s="45"/>
      <c r="AD215" s="45"/>
      <c r="AE215" s="45">
        <v>0</v>
      </c>
      <c r="AF215" s="45"/>
      <c r="AG215" s="45"/>
      <c r="AH215" s="45"/>
      <c r="AI215" s="45">
        <v>3900</v>
      </c>
      <c r="AJ215" s="45"/>
      <c r="AK215" s="45">
        <v>0</v>
      </c>
      <c r="AL215" s="45"/>
      <c r="AM215" s="49">
        <f t="shared" si="24"/>
        <v>13900</v>
      </c>
      <c r="AN215" s="45"/>
      <c r="AO215" s="49">
        <f t="shared" si="23"/>
        <v>12445490</v>
      </c>
    </row>
    <row r="216" spans="1:41">
      <c r="A216" s="17" t="s">
        <v>291</v>
      </c>
      <c r="B216" s="12"/>
      <c r="C216" s="12" t="s">
        <v>20</v>
      </c>
      <c r="D216" s="12"/>
      <c r="E216" s="13">
        <v>44040</v>
      </c>
      <c r="F216" s="45"/>
      <c r="G216" s="45">
        <v>15244118</v>
      </c>
      <c r="H216" s="45"/>
      <c r="I216" s="45">
        <v>0</v>
      </c>
      <c r="J216" s="45"/>
      <c r="K216" s="45">
        <v>27293113</v>
      </c>
      <c r="L216" s="45"/>
      <c r="M216" s="45">
        <v>124465</v>
      </c>
      <c r="N216" s="45"/>
      <c r="O216" s="45">
        <v>566827</v>
      </c>
      <c r="P216" s="45"/>
      <c r="Q216" s="45">
        <v>34582</v>
      </c>
      <c r="R216" s="45"/>
      <c r="S216" s="45">
        <v>667558</v>
      </c>
      <c r="T216" s="45"/>
      <c r="U216" s="45">
        <v>34856</v>
      </c>
      <c r="V216" s="45"/>
      <c r="W216" s="45">
        <f>534678+37920+97452</f>
        <v>670050</v>
      </c>
      <c r="X216" s="45"/>
      <c r="Y216" s="49">
        <f t="shared" si="18"/>
        <v>44635569</v>
      </c>
      <c r="Z216" s="45"/>
      <c r="AA216" s="45">
        <v>1017350</v>
      </c>
      <c r="AB216" s="45"/>
      <c r="AC216" s="45"/>
      <c r="AD216" s="45"/>
      <c r="AE216" s="45">
        <v>0</v>
      </c>
      <c r="AF216" s="45"/>
      <c r="AG216" s="45"/>
      <c r="AH216" s="45"/>
      <c r="AI216" s="45">
        <v>0</v>
      </c>
      <c r="AJ216" s="45"/>
      <c r="AK216" s="45">
        <v>0</v>
      </c>
      <c r="AL216" s="45"/>
      <c r="AM216" s="49">
        <f t="shared" si="24"/>
        <v>1017350</v>
      </c>
      <c r="AN216" s="45"/>
      <c r="AO216" s="49">
        <f t="shared" ref="AO216:AO247" si="25">Y216+AM216</f>
        <v>45652919</v>
      </c>
    </row>
    <row r="217" spans="1:41">
      <c r="A217" s="17" t="s">
        <v>786</v>
      </c>
      <c r="B217" s="12"/>
      <c r="C217" s="12" t="s">
        <v>12</v>
      </c>
      <c r="D217" s="12"/>
      <c r="E217" s="13">
        <v>44057</v>
      </c>
      <c r="F217" s="45"/>
      <c r="G217" s="45">
        <v>8375362</v>
      </c>
      <c r="H217" s="45"/>
      <c r="I217" s="45">
        <v>0</v>
      </c>
      <c r="J217" s="45"/>
      <c r="K217" s="45">
        <v>39498518</v>
      </c>
      <c r="L217" s="45"/>
      <c r="M217" s="45">
        <v>263425</v>
      </c>
      <c r="N217" s="45"/>
      <c r="O217" s="45">
        <v>1467440</v>
      </c>
      <c r="P217" s="45"/>
      <c r="Q217" s="45">
        <v>144179</v>
      </c>
      <c r="R217" s="45"/>
      <c r="S217" s="45">
        <v>141103</v>
      </c>
      <c r="T217" s="45"/>
      <c r="U217" s="45">
        <v>19917</v>
      </c>
      <c r="V217" s="45"/>
      <c r="W217" s="45">
        <f>370066+510+103460</f>
        <v>474036</v>
      </c>
      <c r="X217" s="45"/>
      <c r="Y217" s="49">
        <f t="shared" si="18"/>
        <v>50383980</v>
      </c>
      <c r="Z217" s="45"/>
      <c r="AA217" s="45">
        <v>55243</v>
      </c>
      <c r="AB217" s="45"/>
      <c r="AC217" s="45"/>
      <c r="AD217" s="45"/>
      <c r="AE217" s="45">
        <v>0</v>
      </c>
      <c r="AF217" s="45"/>
      <c r="AG217" s="45"/>
      <c r="AH217" s="45"/>
      <c r="AI217" s="45">
        <v>0</v>
      </c>
      <c r="AJ217" s="45"/>
      <c r="AK217" s="45">
        <v>0</v>
      </c>
      <c r="AL217" s="45"/>
      <c r="AM217" s="49">
        <f t="shared" si="24"/>
        <v>55243</v>
      </c>
      <c r="AN217" s="45"/>
      <c r="AO217" s="49">
        <f t="shared" si="25"/>
        <v>50439223</v>
      </c>
    </row>
    <row r="218" spans="1:41">
      <c r="A218" s="12" t="s">
        <v>521</v>
      </c>
      <c r="B218" s="12"/>
      <c r="C218" s="12" t="s">
        <v>53</v>
      </c>
      <c r="D218" s="12"/>
      <c r="E218" s="13">
        <v>48942</v>
      </c>
      <c r="F218" s="45"/>
      <c r="G218" s="45">
        <v>4560557</v>
      </c>
      <c r="H218" s="45"/>
      <c r="I218" s="45">
        <v>0</v>
      </c>
      <c r="J218" s="45"/>
      <c r="K218" s="45">
        <f>7940+16592160+790728</f>
        <v>17390828</v>
      </c>
      <c r="L218" s="45"/>
      <c r="M218" s="45">
        <v>83311</v>
      </c>
      <c r="N218" s="45"/>
      <c r="O218" s="45">
        <v>483035</v>
      </c>
      <c r="P218" s="45"/>
      <c r="Q218" s="45">
        <v>482323</v>
      </c>
      <c r="R218" s="45"/>
      <c r="S218" s="45">
        <v>0</v>
      </c>
      <c r="T218" s="45"/>
      <c r="U218" s="45">
        <v>65544</v>
      </c>
      <c r="V218" s="45"/>
      <c r="W218" s="45">
        <v>29708</v>
      </c>
      <c r="X218" s="45"/>
      <c r="Y218" s="49">
        <f t="shared" si="18"/>
        <v>23095306</v>
      </c>
      <c r="Z218" s="45"/>
      <c r="AA218" s="45">
        <v>82432</v>
      </c>
      <c r="AB218" s="45"/>
      <c r="AC218" s="45"/>
      <c r="AD218" s="45"/>
      <c r="AE218" s="45">
        <v>5229797</v>
      </c>
      <c r="AF218" s="45"/>
      <c r="AG218" s="45"/>
      <c r="AH218" s="45"/>
      <c r="AI218" s="45">
        <v>101184</v>
      </c>
      <c r="AJ218" s="45"/>
      <c r="AK218" s="45">
        <v>0</v>
      </c>
      <c r="AL218" s="45"/>
      <c r="AM218" s="49">
        <f t="shared" si="24"/>
        <v>5413413</v>
      </c>
      <c r="AN218" s="45"/>
      <c r="AO218" s="49">
        <f t="shared" si="25"/>
        <v>28508719</v>
      </c>
    </row>
    <row r="219" spans="1:41" hidden="1">
      <c r="A219" s="17" t="s">
        <v>816</v>
      </c>
      <c r="B219" s="12"/>
      <c r="C219" s="12" t="s">
        <v>77</v>
      </c>
      <c r="D219" s="12"/>
      <c r="E219" s="13">
        <v>45377</v>
      </c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9">
        <f t="shared" si="18"/>
        <v>0</v>
      </c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>
        <v>0</v>
      </c>
      <c r="AL219" s="45"/>
      <c r="AM219" s="49">
        <f t="shared" si="24"/>
        <v>0</v>
      </c>
      <c r="AN219" s="45"/>
      <c r="AO219" s="49">
        <f t="shared" si="25"/>
        <v>0</v>
      </c>
    </row>
    <row r="220" spans="1:41">
      <c r="A220" s="12" t="s">
        <v>557</v>
      </c>
      <c r="B220" s="12"/>
      <c r="C220" s="12" t="s">
        <v>79</v>
      </c>
      <c r="D220" s="12"/>
      <c r="E220" s="13">
        <v>45385</v>
      </c>
      <c r="F220" s="45"/>
      <c r="G220" s="45">
        <v>2556266</v>
      </c>
      <c r="H220" s="45"/>
      <c r="I220" s="45">
        <v>0</v>
      </c>
      <c r="J220" s="45"/>
      <c r="K220" s="45">
        <f>6470511+1062089</f>
        <v>7532600</v>
      </c>
      <c r="L220" s="45"/>
      <c r="M220" s="45">
        <v>22505</v>
      </c>
      <c r="N220" s="45"/>
      <c r="O220" s="45">
        <v>420713</v>
      </c>
      <c r="P220" s="45"/>
      <c r="Q220" s="45">
        <v>73779</v>
      </c>
      <c r="R220" s="45"/>
      <c r="S220" s="45">
        <v>0</v>
      </c>
      <c r="T220" s="45"/>
      <c r="U220" s="45">
        <v>17666</v>
      </c>
      <c r="V220" s="45"/>
      <c r="W220" s="45">
        <f>8611+8468+44417+236982</f>
        <v>298478</v>
      </c>
      <c r="X220" s="45"/>
      <c r="Y220" s="49">
        <f t="shared" si="18"/>
        <v>10922007</v>
      </c>
      <c r="Z220" s="45"/>
      <c r="AA220" s="45">
        <v>0</v>
      </c>
      <c r="AB220" s="45"/>
      <c r="AC220" s="45"/>
      <c r="AD220" s="45"/>
      <c r="AE220" s="45">
        <v>0</v>
      </c>
      <c r="AF220" s="45"/>
      <c r="AG220" s="45"/>
      <c r="AH220" s="45"/>
      <c r="AI220" s="45">
        <v>51337</v>
      </c>
      <c r="AJ220" s="45"/>
      <c r="AK220" s="45">
        <v>0</v>
      </c>
      <c r="AL220" s="45"/>
      <c r="AM220" s="49">
        <f t="shared" si="24"/>
        <v>51337</v>
      </c>
      <c r="AN220" s="45"/>
      <c r="AO220" s="49">
        <f t="shared" si="25"/>
        <v>10973344</v>
      </c>
    </row>
    <row r="221" spans="1:41">
      <c r="A221" s="12" t="s">
        <v>603</v>
      </c>
      <c r="B221" s="12"/>
      <c r="C221" s="12" t="s">
        <v>64</v>
      </c>
      <c r="D221" s="12"/>
      <c r="E221" s="13">
        <v>44065</v>
      </c>
      <c r="F221" s="45"/>
      <c r="G221" s="45">
        <v>4697653</v>
      </c>
      <c r="H221" s="45"/>
      <c r="I221" s="45">
        <v>0</v>
      </c>
      <c r="J221" s="45"/>
      <c r="K221" s="45">
        <f>322+14952298+2338736</f>
        <v>17291356</v>
      </c>
      <c r="L221" s="45"/>
      <c r="M221" s="45">
        <v>132698</v>
      </c>
      <c r="N221" s="45"/>
      <c r="O221" s="45">
        <v>394068</v>
      </c>
      <c r="P221" s="45"/>
      <c r="Q221" s="45">
        <v>142617</v>
      </c>
      <c r="R221" s="45"/>
      <c r="S221" s="45">
        <v>0</v>
      </c>
      <c r="T221" s="45"/>
      <c r="U221" s="45">
        <v>0</v>
      </c>
      <c r="V221" s="45"/>
      <c r="W221" s="45">
        <f>156960+7894+184878+11724</f>
        <v>361456</v>
      </c>
      <c r="X221" s="45"/>
      <c r="Y221" s="49">
        <f t="shared" si="18"/>
        <v>23019848</v>
      </c>
      <c r="Z221" s="45"/>
      <c r="AA221" s="45">
        <v>3375</v>
      </c>
      <c r="AB221" s="45"/>
      <c r="AC221" s="45"/>
      <c r="AD221" s="45"/>
      <c r="AE221" s="45">
        <v>0</v>
      </c>
      <c r="AF221" s="45"/>
      <c r="AG221" s="45"/>
      <c r="AH221" s="45"/>
      <c r="AI221" s="45">
        <v>1321</v>
      </c>
      <c r="AJ221" s="45"/>
      <c r="AK221" s="45">
        <v>0</v>
      </c>
      <c r="AL221" s="45"/>
      <c r="AM221" s="49">
        <f t="shared" si="24"/>
        <v>4696</v>
      </c>
      <c r="AN221" s="45"/>
      <c r="AO221" s="49">
        <f t="shared" si="25"/>
        <v>23024544</v>
      </c>
    </row>
    <row r="222" spans="1:41" hidden="1">
      <c r="A222" s="17" t="s">
        <v>869</v>
      </c>
      <c r="B222" s="12"/>
      <c r="C222" s="12" t="s">
        <v>28</v>
      </c>
      <c r="D222" s="12"/>
      <c r="E222" s="13">
        <v>47068</v>
      </c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9">
        <f t="shared" si="18"/>
        <v>0</v>
      </c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>
        <v>0</v>
      </c>
      <c r="AL222" s="45"/>
      <c r="AM222" s="49">
        <f t="shared" si="24"/>
        <v>0</v>
      </c>
      <c r="AN222" s="45"/>
      <c r="AO222" s="49">
        <f t="shared" si="25"/>
        <v>0</v>
      </c>
    </row>
    <row r="223" spans="1:41">
      <c r="A223" s="12" t="s">
        <v>254</v>
      </c>
      <c r="B223" s="12"/>
      <c r="C223" s="12" t="s">
        <v>115</v>
      </c>
      <c r="D223" s="12"/>
      <c r="E223" s="13">
        <v>46342</v>
      </c>
      <c r="F223" s="45"/>
      <c r="G223" s="45">
        <v>6415724</v>
      </c>
      <c r="H223" s="45"/>
      <c r="I223" s="45">
        <v>2695878</v>
      </c>
      <c r="J223" s="45"/>
      <c r="K223" s="45">
        <v>16037307</v>
      </c>
      <c r="L223" s="45"/>
      <c r="M223" s="45">
        <v>10261</v>
      </c>
      <c r="N223" s="45"/>
      <c r="O223" s="45">
        <v>1154051</v>
      </c>
      <c r="P223" s="45"/>
      <c r="Q223" s="45">
        <v>138472</v>
      </c>
      <c r="R223" s="45"/>
      <c r="S223" s="45">
        <v>106244</v>
      </c>
      <c r="T223" s="45"/>
      <c r="U223" s="45">
        <v>0</v>
      </c>
      <c r="V223" s="45"/>
      <c r="W223" s="45">
        <f>198265+449606+17773</f>
        <v>665644</v>
      </c>
      <c r="X223" s="45"/>
      <c r="Y223" s="49">
        <f t="shared" si="18"/>
        <v>27223581</v>
      </c>
      <c r="Z223" s="45"/>
      <c r="AA223" s="45">
        <v>2059</v>
      </c>
      <c r="AB223" s="45"/>
      <c r="AC223" s="45"/>
      <c r="AD223" s="45"/>
      <c r="AE223" s="45">
        <v>0</v>
      </c>
      <c r="AF223" s="45"/>
      <c r="AG223" s="45"/>
      <c r="AH223" s="45"/>
      <c r="AI223" s="45">
        <v>0</v>
      </c>
      <c r="AJ223" s="45"/>
      <c r="AK223" s="45">
        <v>0</v>
      </c>
      <c r="AL223" s="45"/>
      <c r="AM223" s="49">
        <f t="shared" si="24"/>
        <v>2059</v>
      </c>
      <c r="AN223" s="45"/>
      <c r="AO223" s="49">
        <f t="shared" si="25"/>
        <v>27225640</v>
      </c>
    </row>
    <row r="224" spans="1:41">
      <c r="A224" s="12" t="s">
        <v>239</v>
      </c>
      <c r="B224" s="12"/>
      <c r="C224" s="12" t="s">
        <v>240</v>
      </c>
      <c r="D224" s="12"/>
      <c r="E224" s="13">
        <v>46193</v>
      </c>
      <c r="F224" s="45"/>
      <c r="G224" s="45">
        <v>5669191</v>
      </c>
      <c r="H224" s="45"/>
      <c r="I224" s="45">
        <v>0</v>
      </c>
      <c r="J224" s="45"/>
      <c r="K224" s="45">
        <v>24174109</v>
      </c>
      <c r="L224" s="45"/>
      <c r="M224" s="45">
        <v>38625</v>
      </c>
      <c r="N224" s="45"/>
      <c r="O224" s="45">
        <v>970829</v>
      </c>
      <c r="P224" s="45"/>
      <c r="Q224" s="45">
        <v>332952</v>
      </c>
      <c r="R224" s="45"/>
      <c r="S224" s="45">
        <v>0</v>
      </c>
      <c r="T224" s="45"/>
      <c r="U224" s="45">
        <v>27573</v>
      </c>
      <c r="V224" s="45"/>
      <c r="W224" s="45">
        <f>214231+440593</f>
        <v>654824</v>
      </c>
      <c r="X224" s="45"/>
      <c r="Y224" s="49">
        <f t="shared" ref="Y224:Y292" si="26">SUM(G224:W224)</f>
        <v>31868103</v>
      </c>
      <c r="Z224" s="45"/>
      <c r="AA224" s="45">
        <v>55365</v>
      </c>
      <c r="AB224" s="45"/>
      <c r="AC224" s="45"/>
      <c r="AD224" s="45"/>
      <c r="AE224" s="45">
        <v>0</v>
      </c>
      <c r="AF224" s="45"/>
      <c r="AG224" s="45"/>
      <c r="AH224" s="45"/>
      <c r="AI224" s="45">
        <f>38350+600</f>
        <v>38950</v>
      </c>
      <c r="AJ224" s="45"/>
      <c r="AK224" s="45">
        <v>0</v>
      </c>
      <c r="AL224" s="45"/>
      <c r="AM224" s="49">
        <f t="shared" si="24"/>
        <v>94315</v>
      </c>
      <c r="AN224" s="45"/>
      <c r="AO224" s="49">
        <f t="shared" si="25"/>
        <v>31962418</v>
      </c>
    </row>
    <row r="225" spans="1:41">
      <c r="A225" s="12" t="s">
        <v>211</v>
      </c>
      <c r="B225" s="12"/>
      <c r="C225" s="12" t="s">
        <v>12</v>
      </c>
      <c r="D225" s="12"/>
      <c r="E225" s="12">
        <v>45864</v>
      </c>
      <c r="F225" s="45"/>
      <c r="G225" s="45">
        <v>4556990</v>
      </c>
      <c r="H225" s="45"/>
      <c r="I225" s="45">
        <v>0</v>
      </c>
      <c r="J225" s="45"/>
      <c r="K225" s="45">
        <v>9929760</v>
      </c>
      <c r="L225" s="45"/>
      <c r="M225" s="45">
        <v>96779</v>
      </c>
      <c r="N225" s="45"/>
      <c r="O225" s="45">
        <v>642415</v>
      </c>
      <c r="P225" s="45"/>
      <c r="Q225" s="45">
        <v>88662</v>
      </c>
      <c r="R225" s="45"/>
      <c r="S225" s="45">
        <v>0</v>
      </c>
      <c r="T225" s="45"/>
      <c r="U225" s="45">
        <v>3542</v>
      </c>
      <c r="V225" s="45"/>
      <c r="W225" s="45">
        <f>220397+21900+117915</f>
        <v>360212</v>
      </c>
      <c r="X225" s="45"/>
      <c r="Y225" s="49">
        <f t="shared" si="26"/>
        <v>15678360</v>
      </c>
      <c r="Z225" s="45"/>
      <c r="AA225" s="45">
        <v>14000</v>
      </c>
      <c r="AB225" s="45"/>
      <c r="AC225" s="45"/>
      <c r="AD225" s="45"/>
      <c r="AE225" s="45">
        <v>0</v>
      </c>
      <c r="AF225" s="45"/>
      <c r="AG225" s="45"/>
      <c r="AH225" s="45"/>
      <c r="AI225" s="45">
        <v>0</v>
      </c>
      <c r="AJ225" s="45"/>
      <c r="AK225" s="45">
        <v>0</v>
      </c>
      <c r="AL225" s="45"/>
      <c r="AM225" s="49">
        <f t="shared" si="24"/>
        <v>14000</v>
      </c>
      <c r="AN225" s="45"/>
      <c r="AO225" s="49">
        <f t="shared" si="25"/>
        <v>15692360</v>
      </c>
    </row>
    <row r="226" spans="1:41">
      <c r="A226" s="12" t="s">
        <v>334</v>
      </c>
      <c r="B226" s="12"/>
      <c r="C226" s="12" t="s">
        <v>27</v>
      </c>
      <c r="D226" s="12"/>
      <c r="E226" s="13">
        <v>44073</v>
      </c>
      <c r="F226" s="45"/>
      <c r="G226" s="45">
        <v>11933614</v>
      </c>
      <c r="H226" s="45"/>
      <c r="I226" s="45">
        <v>0</v>
      </c>
      <c r="J226" s="45"/>
      <c r="K226" s="45">
        <f>4578342+502516</f>
        <v>5080858</v>
      </c>
      <c r="L226" s="45"/>
      <c r="M226" s="45">
        <v>38574</v>
      </c>
      <c r="N226" s="45"/>
      <c r="O226" s="45">
        <v>205021</v>
      </c>
      <c r="P226" s="45"/>
      <c r="Q226" s="45">
        <v>0</v>
      </c>
      <c r="R226" s="45"/>
      <c r="S226" s="45">
        <v>0</v>
      </c>
      <c r="T226" s="45"/>
      <c r="U226" s="45">
        <v>0</v>
      </c>
      <c r="V226" s="45"/>
      <c r="W226" s="45">
        <v>304885</v>
      </c>
      <c r="X226" s="45"/>
      <c r="Y226" s="49">
        <f t="shared" si="26"/>
        <v>17562952</v>
      </c>
      <c r="Z226" s="45"/>
      <c r="AA226" s="45">
        <v>32728</v>
      </c>
      <c r="AB226" s="45"/>
      <c r="AC226" s="45"/>
      <c r="AD226" s="45"/>
      <c r="AE226" s="45">
        <v>0</v>
      </c>
      <c r="AF226" s="45"/>
      <c r="AG226" s="45"/>
      <c r="AH226" s="45"/>
      <c r="AI226" s="45">
        <v>0</v>
      </c>
      <c r="AJ226" s="45"/>
      <c r="AK226" s="45">
        <v>0</v>
      </c>
      <c r="AL226" s="45"/>
      <c r="AM226" s="49">
        <f t="shared" si="24"/>
        <v>32728</v>
      </c>
      <c r="AN226" s="45"/>
      <c r="AO226" s="49">
        <f t="shared" si="25"/>
        <v>17595680</v>
      </c>
    </row>
    <row r="227" spans="1:41">
      <c r="A227" s="17" t="s">
        <v>817</v>
      </c>
      <c r="B227" s="12"/>
      <c r="C227" s="12" t="s">
        <v>42</v>
      </c>
      <c r="D227" s="12"/>
      <c r="E227" s="13">
        <v>45393</v>
      </c>
      <c r="F227" s="45"/>
      <c r="G227" s="45">
        <v>17926273</v>
      </c>
      <c r="H227" s="45"/>
      <c r="I227" s="45">
        <v>0</v>
      </c>
      <c r="J227" s="45"/>
      <c r="K227" s="45">
        <v>9406457</v>
      </c>
      <c r="L227" s="45"/>
      <c r="M227" s="45">
        <v>67432</v>
      </c>
      <c r="N227" s="45"/>
      <c r="O227" s="45">
        <v>160837</v>
      </c>
      <c r="P227" s="45"/>
      <c r="Q227" s="45">
        <v>392167</v>
      </c>
      <c r="R227" s="45"/>
      <c r="S227" s="45">
        <v>252440</v>
      </c>
      <c r="T227" s="45"/>
      <c r="U227" s="45">
        <v>0</v>
      </c>
      <c r="V227" s="45"/>
      <c r="W227" s="45">
        <f>656175+113649</f>
        <v>769824</v>
      </c>
      <c r="X227" s="45"/>
      <c r="Y227" s="49">
        <f t="shared" si="26"/>
        <v>28975430</v>
      </c>
      <c r="Z227" s="45"/>
      <c r="AA227" s="45">
        <v>16000</v>
      </c>
      <c r="AB227" s="45"/>
      <c r="AC227" s="45"/>
      <c r="AD227" s="45"/>
      <c r="AE227" s="45">
        <v>0</v>
      </c>
      <c r="AF227" s="45"/>
      <c r="AG227" s="45"/>
      <c r="AH227" s="45"/>
      <c r="AI227" s="45">
        <v>1578</v>
      </c>
      <c r="AJ227" s="45"/>
      <c r="AK227" s="45">
        <v>0</v>
      </c>
      <c r="AL227" s="45"/>
      <c r="AM227" s="49">
        <f t="shared" si="24"/>
        <v>17578</v>
      </c>
      <c r="AN227" s="45"/>
      <c r="AO227" s="49">
        <f t="shared" si="25"/>
        <v>28993008</v>
      </c>
    </row>
    <row r="228" spans="1:41">
      <c r="A228" s="12" t="s">
        <v>561</v>
      </c>
      <c r="B228" s="12"/>
      <c r="C228" s="12" t="s">
        <v>59</v>
      </c>
      <c r="D228" s="12"/>
      <c r="E228" s="13">
        <v>49619</v>
      </c>
      <c r="F228" s="45"/>
      <c r="G228" s="45">
        <v>1262431</v>
      </c>
      <c r="H228" s="45"/>
      <c r="I228" s="45">
        <v>0</v>
      </c>
      <c r="J228" s="45"/>
      <c r="K228" s="45">
        <v>4894767</v>
      </c>
      <c r="L228" s="45"/>
      <c r="M228" s="45">
        <v>2555</v>
      </c>
      <c r="N228" s="45"/>
      <c r="O228" s="45">
        <v>469903</v>
      </c>
      <c r="P228" s="45"/>
      <c r="Q228" s="45">
        <v>70331</v>
      </c>
      <c r="R228" s="45"/>
      <c r="S228" s="45">
        <v>180806</v>
      </c>
      <c r="T228" s="45"/>
      <c r="U228" s="45">
        <v>27388</v>
      </c>
      <c r="V228" s="45"/>
      <c r="W228" s="45">
        <f>107450+69912+24173</f>
        <v>201535</v>
      </c>
      <c r="X228" s="45"/>
      <c r="Y228" s="49">
        <f t="shared" si="26"/>
        <v>7109716</v>
      </c>
      <c r="Z228" s="45"/>
      <c r="AA228" s="45">
        <v>0</v>
      </c>
      <c r="AB228" s="45"/>
      <c r="AC228" s="45"/>
      <c r="AD228" s="45"/>
      <c r="AE228" s="45">
        <v>149750</v>
      </c>
      <c r="AF228" s="45"/>
      <c r="AG228" s="45"/>
      <c r="AH228" s="45"/>
      <c r="AI228" s="45">
        <v>1692</v>
      </c>
      <c r="AJ228" s="45"/>
      <c r="AK228" s="45">
        <v>0</v>
      </c>
      <c r="AL228" s="45"/>
      <c r="AM228" s="49">
        <f t="shared" si="24"/>
        <v>151442</v>
      </c>
      <c r="AN228" s="45"/>
      <c r="AO228" s="49">
        <f t="shared" si="25"/>
        <v>7261158</v>
      </c>
    </row>
    <row r="229" spans="1:41">
      <c r="A229" s="12" t="s">
        <v>561</v>
      </c>
      <c r="B229" s="12"/>
      <c r="C229" s="12" t="s">
        <v>63</v>
      </c>
      <c r="D229" s="12"/>
      <c r="E229" s="13">
        <v>50013</v>
      </c>
      <c r="F229" s="45"/>
      <c r="G229" s="45">
        <v>20963141</v>
      </c>
      <c r="H229" s="45"/>
      <c r="I229" s="45">
        <v>0</v>
      </c>
      <c r="J229" s="45"/>
      <c r="K229" s="45">
        <v>17675349</v>
      </c>
      <c r="L229" s="45"/>
      <c r="M229" s="45">
        <v>11285</v>
      </c>
      <c r="N229" s="45"/>
      <c r="O229" s="45">
        <v>833498</v>
      </c>
      <c r="P229" s="45"/>
      <c r="Q229" s="45">
        <v>587085</v>
      </c>
      <c r="R229" s="45"/>
      <c r="S229" s="45">
        <v>0</v>
      </c>
      <c r="T229" s="45"/>
      <c r="U229" s="45">
        <v>19100</v>
      </c>
      <c r="V229" s="45"/>
      <c r="W229" s="45">
        <f>151552+938216+14108</f>
        <v>1103876</v>
      </c>
      <c r="X229" s="45"/>
      <c r="Y229" s="49">
        <f t="shared" si="26"/>
        <v>41193334</v>
      </c>
      <c r="Z229" s="45"/>
      <c r="AA229" s="45">
        <v>104518</v>
      </c>
      <c r="AB229" s="45"/>
      <c r="AC229" s="45"/>
      <c r="AD229" s="45"/>
      <c r="AE229" s="45">
        <v>0</v>
      </c>
      <c r="AF229" s="45"/>
      <c r="AG229" s="45"/>
      <c r="AH229" s="45"/>
      <c r="AI229" s="45">
        <v>100</v>
      </c>
      <c r="AJ229" s="45"/>
      <c r="AK229" s="45">
        <v>0</v>
      </c>
      <c r="AL229" s="45"/>
      <c r="AM229" s="49">
        <f t="shared" si="24"/>
        <v>104618</v>
      </c>
      <c r="AN229" s="45"/>
      <c r="AO229" s="49">
        <f t="shared" si="25"/>
        <v>41297952</v>
      </c>
    </row>
    <row r="230" spans="1:41" hidden="1">
      <c r="A230" s="17" t="s">
        <v>934</v>
      </c>
      <c r="B230" s="12"/>
      <c r="C230" s="12" t="s">
        <v>71</v>
      </c>
      <c r="D230" s="12"/>
      <c r="E230" s="13">
        <v>50559</v>
      </c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9">
        <f t="shared" si="26"/>
        <v>0</v>
      </c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>
        <v>0</v>
      </c>
      <c r="AL230" s="45"/>
      <c r="AM230" s="49">
        <f t="shared" si="24"/>
        <v>0</v>
      </c>
      <c r="AN230" s="45"/>
      <c r="AO230" s="49">
        <f t="shared" si="25"/>
        <v>0</v>
      </c>
    </row>
    <row r="231" spans="1:41">
      <c r="A231" s="12" t="s">
        <v>358</v>
      </c>
      <c r="B231" s="12"/>
      <c r="C231" s="12" t="s">
        <v>116</v>
      </c>
      <c r="D231" s="12"/>
      <c r="E231" s="12">
        <v>47266</v>
      </c>
      <c r="F231" s="45"/>
      <c r="G231" s="45">
        <v>4056110</v>
      </c>
      <c r="H231" s="45"/>
      <c r="I231" s="45">
        <v>1590066</v>
      </c>
      <c r="J231" s="45"/>
      <c r="K231" s="45">
        <v>10715589</v>
      </c>
      <c r="L231" s="45"/>
      <c r="M231" s="45">
        <v>46415</v>
      </c>
      <c r="N231" s="45"/>
      <c r="O231" s="45">
        <v>616597</v>
      </c>
      <c r="P231" s="45"/>
      <c r="Q231" s="45">
        <v>171829</v>
      </c>
      <c r="R231" s="45"/>
      <c r="S231" s="45">
        <v>0</v>
      </c>
      <c r="T231" s="45"/>
      <c r="U231" s="45">
        <v>111197</v>
      </c>
      <c r="V231" s="45"/>
      <c r="W231" s="45">
        <f>213414+8147+148377</f>
        <v>369938</v>
      </c>
      <c r="X231" s="45"/>
      <c r="Y231" s="49">
        <f t="shared" si="26"/>
        <v>17677741</v>
      </c>
      <c r="Z231" s="45"/>
      <c r="AA231" s="45">
        <v>79515</v>
      </c>
      <c r="AB231" s="45"/>
      <c r="AC231" s="45"/>
      <c r="AD231" s="45"/>
      <c r="AE231" s="45">
        <v>0</v>
      </c>
      <c r="AF231" s="45"/>
      <c r="AG231" s="45"/>
      <c r="AH231" s="45"/>
      <c r="AI231" s="45">
        <f>20+1917</f>
        <v>1937</v>
      </c>
      <c r="AJ231" s="45"/>
      <c r="AK231" s="45">
        <v>0</v>
      </c>
      <c r="AL231" s="45"/>
      <c r="AM231" s="49">
        <f t="shared" si="24"/>
        <v>81452</v>
      </c>
      <c r="AN231" s="45"/>
      <c r="AO231" s="49">
        <f t="shared" si="25"/>
        <v>17759193</v>
      </c>
    </row>
    <row r="232" spans="1:41">
      <c r="A232" s="12" t="s">
        <v>397</v>
      </c>
      <c r="B232" s="12"/>
      <c r="C232" s="12" t="s">
        <v>395</v>
      </c>
      <c r="D232" s="12"/>
      <c r="E232" s="13">
        <v>45401</v>
      </c>
      <c r="F232" s="45"/>
      <c r="G232" s="45">
        <v>3499968</v>
      </c>
      <c r="H232" s="45"/>
      <c r="I232" s="45">
        <v>1641099</v>
      </c>
      <c r="J232" s="45"/>
      <c r="K232" s="45">
        <v>15478598</v>
      </c>
      <c r="L232" s="45"/>
      <c r="M232" s="45">
        <v>98882</v>
      </c>
      <c r="N232" s="45"/>
      <c r="O232" s="45">
        <v>656976</v>
      </c>
      <c r="P232" s="45"/>
      <c r="Q232" s="45">
        <v>142379</v>
      </c>
      <c r="R232" s="45"/>
      <c r="S232" s="45">
        <v>0</v>
      </c>
      <c r="T232" s="45"/>
      <c r="U232" s="45">
        <v>3432</v>
      </c>
      <c r="V232" s="45"/>
      <c r="W232" s="45">
        <f>186340+205421+1137</f>
        <v>392898</v>
      </c>
      <c r="X232" s="45"/>
      <c r="Y232" s="49">
        <f t="shared" si="26"/>
        <v>21914232</v>
      </c>
      <c r="Z232" s="45"/>
      <c r="AA232" s="45">
        <v>375000</v>
      </c>
      <c r="AB232" s="45"/>
      <c r="AC232" s="45"/>
      <c r="AD232" s="45"/>
      <c r="AE232" s="45">
        <v>1464998</v>
      </c>
      <c r="AF232" s="45"/>
      <c r="AG232" s="45"/>
      <c r="AH232" s="45"/>
      <c r="AI232" s="45">
        <v>73853</v>
      </c>
      <c r="AJ232" s="45"/>
      <c r="AK232" s="45">
        <v>0</v>
      </c>
      <c r="AL232" s="45"/>
      <c r="AM232" s="49">
        <f t="shared" si="24"/>
        <v>1913851</v>
      </c>
      <c r="AN232" s="45"/>
      <c r="AO232" s="49">
        <f t="shared" si="25"/>
        <v>23828083</v>
      </c>
    </row>
    <row r="233" spans="1:41">
      <c r="A233" s="12" t="s">
        <v>246</v>
      </c>
      <c r="B233" s="12"/>
      <c r="C233" s="12" t="s">
        <v>17</v>
      </c>
      <c r="D233" s="12"/>
      <c r="E233" s="13">
        <v>46235</v>
      </c>
      <c r="F233" s="45"/>
      <c r="G233" s="45">
        <v>5771727</v>
      </c>
      <c r="H233" s="45"/>
      <c r="I233" s="45">
        <v>0</v>
      </c>
      <c r="J233" s="45"/>
      <c r="K233" s="45">
        <v>9605281</v>
      </c>
      <c r="L233" s="45"/>
      <c r="M233" s="45">
        <v>14311</v>
      </c>
      <c r="N233" s="45"/>
      <c r="O233" s="45">
        <v>585939</v>
      </c>
      <c r="P233" s="45"/>
      <c r="Q233" s="45">
        <v>300005</v>
      </c>
      <c r="R233" s="45"/>
      <c r="S233" s="45">
        <v>0</v>
      </c>
      <c r="T233" s="45"/>
      <c r="U233" s="45">
        <v>15100</v>
      </c>
      <c r="V233" s="45"/>
      <c r="W233" s="45">
        <f>447192+11851+15277</f>
        <v>474320</v>
      </c>
      <c r="X233" s="45"/>
      <c r="Y233" s="49">
        <f t="shared" si="26"/>
        <v>16766683</v>
      </c>
      <c r="Z233" s="45"/>
      <c r="AA233" s="45">
        <v>0</v>
      </c>
      <c r="AB233" s="45"/>
      <c r="AC233" s="45"/>
      <c r="AD233" s="45"/>
      <c r="AE233" s="45">
        <v>0</v>
      </c>
      <c r="AF233" s="45"/>
      <c r="AG233" s="45"/>
      <c r="AH233" s="45"/>
      <c r="AI233" s="45">
        <v>0</v>
      </c>
      <c r="AJ233" s="45"/>
      <c r="AK233" s="45">
        <v>0</v>
      </c>
      <c r="AL233" s="45"/>
      <c r="AM233" s="49">
        <f t="shared" si="24"/>
        <v>0</v>
      </c>
      <c r="AN233" s="45"/>
      <c r="AO233" s="49">
        <f t="shared" si="25"/>
        <v>16766683</v>
      </c>
    </row>
    <row r="234" spans="1:41">
      <c r="A234" s="12" t="s">
        <v>309</v>
      </c>
      <c r="B234" s="12"/>
      <c r="C234" s="12" t="s">
        <v>21</v>
      </c>
      <c r="D234" s="12"/>
      <c r="E234" s="13">
        <v>44099</v>
      </c>
      <c r="F234" s="45"/>
      <c r="G234" s="45">
        <v>9120696</v>
      </c>
      <c r="H234" s="45"/>
      <c r="I234" s="45">
        <v>1726504</v>
      </c>
      <c r="J234" s="45"/>
      <c r="K234" s="45">
        <v>17701639</v>
      </c>
      <c r="L234" s="45"/>
      <c r="M234" s="45">
        <v>32151</v>
      </c>
      <c r="N234" s="45"/>
      <c r="O234" s="45">
        <v>529425</v>
      </c>
      <c r="P234" s="45"/>
      <c r="Q234" s="45">
        <v>319580</v>
      </c>
      <c r="R234" s="45"/>
      <c r="S234" s="45">
        <v>182071</v>
      </c>
      <c r="T234" s="45"/>
      <c r="U234" s="45">
        <v>47829</v>
      </c>
      <c r="V234" s="45"/>
      <c r="W234" s="45">
        <f>71181+24300+370973</f>
        <v>466454</v>
      </c>
      <c r="X234" s="45"/>
      <c r="Y234" s="49">
        <f t="shared" si="26"/>
        <v>30126349</v>
      </c>
      <c r="Z234" s="45"/>
      <c r="AA234" s="45">
        <v>189739</v>
      </c>
      <c r="AB234" s="45"/>
      <c r="AC234" s="45"/>
      <c r="AD234" s="45"/>
      <c r="AE234" s="45">
        <v>0</v>
      </c>
      <c r="AF234" s="45"/>
      <c r="AG234" s="45"/>
      <c r="AH234" s="45"/>
      <c r="AI234" s="45">
        <v>22000</v>
      </c>
      <c r="AJ234" s="45"/>
      <c r="AK234" s="45">
        <v>0</v>
      </c>
      <c r="AL234" s="45"/>
      <c r="AM234" s="49">
        <f t="shared" si="24"/>
        <v>211739</v>
      </c>
      <c r="AN234" s="45"/>
      <c r="AO234" s="49">
        <f t="shared" si="25"/>
        <v>30338088</v>
      </c>
    </row>
    <row r="235" spans="1:41">
      <c r="A235" s="12" t="s">
        <v>335</v>
      </c>
      <c r="B235" s="12"/>
      <c r="C235" s="12" t="s">
        <v>27</v>
      </c>
      <c r="D235" s="12"/>
      <c r="E235" s="13">
        <v>46979</v>
      </c>
      <c r="F235" s="45"/>
      <c r="G235" s="45">
        <v>24665566</v>
      </c>
      <c r="H235" s="45"/>
      <c r="I235" s="45">
        <v>0</v>
      </c>
      <c r="J235" s="45"/>
      <c r="K235" s="45">
        <v>43355786</v>
      </c>
      <c r="L235" s="45"/>
      <c r="M235" s="45">
        <v>4896</v>
      </c>
      <c r="N235" s="45"/>
      <c r="O235" s="45">
        <v>676772</v>
      </c>
      <c r="P235" s="45"/>
      <c r="Q235" s="45">
        <v>207246</v>
      </c>
      <c r="R235" s="45"/>
      <c r="S235" s="45">
        <v>1338034</v>
      </c>
      <c r="T235" s="45"/>
      <c r="U235" s="45">
        <v>52660</v>
      </c>
      <c r="V235" s="45"/>
      <c r="W235" s="45">
        <f>483627+523072</f>
        <v>1006699</v>
      </c>
      <c r="X235" s="45"/>
      <c r="Y235" s="49">
        <f t="shared" si="26"/>
        <v>71307659</v>
      </c>
      <c r="Z235" s="45"/>
      <c r="AA235" s="45">
        <v>252275</v>
      </c>
      <c r="AB235" s="45"/>
      <c r="AC235" s="45"/>
      <c r="AD235" s="45"/>
      <c r="AE235" s="45">
        <v>0</v>
      </c>
      <c r="AF235" s="45"/>
      <c r="AG235" s="45"/>
      <c r="AH235" s="45"/>
      <c r="AI235" s="45">
        <v>424</v>
      </c>
      <c r="AJ235" s="45"/>
      <c r="AK235" s="45">
        <v>0</v>
      </c>
      <c r="AL235" s="45"/>
      <c r="AM235" s="49">
        <f t="shared" si="24"/>
        <v>252699</v>
      </c>
      <c r="AN235" s="45"/>
      <c r="AO235" s="49">
        <f t="shared" si="25"/>
        <v>71560358</v>
      </c>
    </row>
    <row r="236" spans="1:41">
      <c r="A236" s="12" t="s">
        <v>229</v>
      </c>
      <c r="B236" s="12"/>
      <c r="C236" s="12" t="s">
        <v>227</v>
      </c>
      <c r="D236" s="12"/>
      <c r="E236" s="13">
        <v>44107</v>
      </c>
      <c r="F236" s="45"/>
      <c r="G236" s="45">
        <v>27006742</v>
      </c>
      <c r="H236" s="45"/>
      <c r="I236" s="45">
        <v>0</v>
      </c>
      <c r="J236" s="45"/>
      <c r="K236" s="45">
        <v>99395604</v>
      </c>
      <c r="L236" s="45"/>
      <c r="M236" s="45">
        <v>720590</v>
      </c>
      <c r="N236" s="45"/>
      <c r="O236" s="45">
        <v>746796</v>
      </c>
      <c r="P236" s="45"/>
      <c r="Q236" s="45">
        <v>0</v>
      </c>
      <c r="R236" s="45"/>
      <c r="S236" s="45">
        <v>0</v>
      </c>
      <c r="T236" s="45"/>
      <c r="U236" s="45">
        <v>0</v>
      </c>
      <c r="V236" s="45"/>
      <c r="W236" s="45">
        <f>801578+869457</f>
        <v>1671035</v>
      </c>
      <c r="X236" s="45"/>
      <c r="Y236" s="49">
        <f t="shared" si="26"/>
        <v>129540767</v>
      </c>
      <c r="Z236" s="45"/>
      <c r="AA236" s="45">
        <v>289311</v>
      </c>
      <c r="AB236" s="45"/>
      <c r="AC236" s="45"/>
      <c r="AD236" s="45"/>
      <c r="AE236" s="45">
        <v>0</v>
      </c>
      <c r="AF236" s="45"/>
      <c r="AG236" s="45"/>
      <c r="AH236" s="45"/>
      <c r="AI236" s="45">
        <f>56686+31842+5439</f>
        <v>93967</v>
      </c>
      <c r="AJ236" s="45"/>
      <c r="AK236" s="45">
        <v>0</v>
      </c>
      <c r="AL236" s="45"/>
      <c r="AM236" s="49">
        <f t="shared" ref="AM236:AM260" si="27">AI236+AE236+AA236</f>
        <v>383278</v>
      </c>
      <c r="AN236" s="45"/>
      <c r="AO236" s="49">
        <f t="shared" si="25"/>
        <v>129924045</v>
      </c>
    </row>
    <row r="237" spans="1:41">
      <c r="A237" s="17" t="s">
        <v>935</v>
      </c>
      <c r="B237" s="12"/>
      <c r="C237" s="12" t="s">
        <v>27</v>
      </c>
      <c r="D237" s="12"/>
      <c r="E237" s="13">
        <v>46953</v>
      </c>
      <c r="F237" s="45"/>
      <c r="G237" s="45">
        <v>6419411</v>
      </c>
      <c r="H237" s="45"/>
      <c r="I237" s="45">
        <v>0</v>
      </c>
      <c r="J237" s="45"/>
      <c r="K237" s="45">
        <v>22491904</v>
      </c>
      <c r="L237" s="45"/>
      <c r="M237" s="45">
        <v>8318</v>
      </c>
      <c r="N237" s="45"/>
      <c r="O237" s="45">
        <v>27909</v>
      </c>
      <c r="P237" s="45"/>
      <c r="Q237" s="45">
        <v>300965</v>
      </c>
      <c r="R237" s="45"/>
      <c r="S237" s="45">
        <v>0</v>
      </c>
      <c r="T237" s="45"/>
      <c r="U237" s="45">
        <v>41420</v>
      </c>
      <c r="V237" s="45"/>
      <c r="W237" s="45">
        <f>240618+444993</f>
        <v>685611</v>
      </c>
      <c r="X237" s="45"/>
      <c r="Y237" s="49">
        <f t="shared" si="26"/>
        <v>29975538</v>
      </c>
      <c r="Z237" s="45"/>
      <c r="AA237" s="45">
        <v>508140</v>
      </c>
      <c r="AB237" s="45"/>
      <c r="AC237" s="45"/>
      <c r="AD237" s="45"/>
      <c r="AE237" s="45">
        <v>136759</v>
      </c>
      <c r="AF237" s="45"/>
      <c r="AG237" s="45"/>
      <c r="AH237" s="45"/>
      <c r="AI237" s="45">
        <v>0</v>
      </c>
      <c r="AJ237" s="45"/>
      <c r="AK237" s="45">
        <v>0</v>
      </c>
      <c r="AL237" s="45"/>
      <c r="AM237" s="49">
        <f t="shared" si="27"/>
        <v>644899</v>
      </c>
      <c r="AN237" s="45"/>
      <c r="AO237" s="49">
        <f t="shared" si="25"/>
        <v>30620437</v>
      </c>
    </row>
    <row r="238" spans="1:41" ht="12" customHeight="1">
      <c r="A238" s="12" t="s">
        <v>384</v>
      </c>
      <c r="B238" s="12"/>
      <c r="C238" s="12" t="s">
        <v>383</v>
      </c>
      <c r="D238" s="12"/>
      <c r="E238" s="13">
        <v>47498</v>
      </c>
      <c r="F238" s="45"/>
      <c r="G238" s="45">
        <v>1198499</v>
      </c>
      <c r="H238" s="45"/>
      <c r="I238" s="45">
        <v>806924</v>
      </c>
      <c r="J238" s="45"/>
      <c r="K238" s="45">
        <v>7117212</v>
      </c>
      <c r="L238" s="45"/>
      <c r="M238" s="45">
        <v>53291</v>
      </c>
      <c r="N238" s="45"/>
      <c r="O238" s="45">
        <v>389901</v>
      </c>
      <c r="P238" s="45"/>
      <c r="Q238" s="45">
        <v>52927</v>
      </c>
      <c r="R238" s="45"/>
      <c r="S238" s="45">
        <v>0</v>
      </c>
      <c r="T238" s="45"/>
      <c r="U238" s="45">
        <v>0</v>
      </c>
      <c r="V238" s="45"/>
      <c r="W238" s="45">
        <f>90318+13518+22271</f>
        <v>126107</v>
      </c>
      <c r="X238" s="45"/>
      <c r="Y238" s="49">
        <f t="shared" si="26"/>
        <v>9744861</v>
      </c>
      <c r="Z238" s="45"/>
      <c r="AA238" s="45">
        <v>9500</v>
      </c>
      <c r="AB238" s="45"/>
      <c r="AC238" s="45"/>
      <c r="AD238" s="45"/>
      <c r="AE238" s="45">
        <v>950000</v>
      </c>
      <c r="AF238" s="45"/>
      <c r="AG238" s="45"/>
      <c r="AH238" s="45"/>
      <c r="AI238" s="45">
        <v>11758</v>
      </c>
      <c r="AJ238" s="45"/>
      <c r="AK238" s="45">
        <v>0</v>
      </c>
      <c r="AL238" s="45"/>
      <c r="AM238" s="49">
        <f t="shared" si="27"/>
        <v>971258</v>
      </c>
      <c r="AN238" s="45"/>
      <c r="AO238" s="49">
        <f t="shared" si="25"/>
        <v>10716119</v>
      </c>
    </row>
    <row r="239" spans="1:41" hidden="1">
      <c r="A239" s="17" t="s">
        <v>936</v>
      </c>
      <c r="B239" s="12"/>
      <c r="C239" s="12" t="s">
        <v>61</v>
      </c>
      <c r="D239" s="12"/>
      <c r="E239" s="13">
        <v>49791</v>
      </c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9">
        <f t="shared" si="26"/>
        <v>0</v>
      </c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>
        <v>0</v>
      </c>
      <c r="AL239" s="45"/>
      <c r="AM239" s="49">
        <f t="shared" si="27"/>
        <v>0</v>
      </c>
      <c r="AN239" s="45"/>
      <c r="AO239" s="49">
        <f t="shared" si="25"/>
        <v>0</v>
      </c>
    </row>
    <row r="240" spans="1:41">
      <c r="A240" s="12" t="s">
        <v>389</v>
      </c>
      <c r="B240" s="12"/>
      <c r="C240" s="12" t="s">
        <v>388</v>
      </c>
      <c r="D240" s="12"/>
      <c r="E240" s="13">
        <v>45245</v>
      </c>
      <c r="F240" s="45"/>
      <c r="G240" s="45">
        <v>3959015</v>
      </c>
      <c r="H240" s="45"/>
      <c r="I240" s="45">
        <v>0</v>
      </c>
      <c r="J240" s="45"/>
      <c r="K240" s="45">
        <f>12028972+3046910</f>
        <v>15075882</v>
      </c>
      <c r="L240" s="45"/>
      <c r="M240" s="45">
        <v>13689</v>
      </c>
      <c r="N240" s="45"/>
      <c r="O240" s="45">
        <v>128148</v>
      </c>
      <c r="P240" s="45"/>
      <c r="Q240" s="45">
        <v>151017</v>
      </c>
      <c r="R240" s="45"/>
      <c r="S240" s="45">
        <v>0</v>
      </c>
      <c r="T240" s="45"/>
      <c r="U240" s="45">
        <v>0</v>
      </c>
      <c r="V240" s="45"/>
      <c r="W240" s="45">
        <f>161578+21188+213540</f>
        <v>396306</v>
      </c>
      <c r="X240" s="45"/>
      <c r="Y240" s="49">
        <f t="shared" si="26"/>
        <v>19724057</v>
      </c>
      <c r="Z240" s="45"/>
      <c r="AA240" s="45">
        <v>102</v>
      </c>
      <c r="AB240" s="45"/>
      <c r="AC240" s="45"/>
      <c r="AD240" s="45"/>
      <c r="AE240" s="45">
        <v>0</v>
      </c>
      <c r="AF240" s="45"/>
      <c r="AG240" s="45"/>
      <c r="AH240" s="45"/>
      <c r="AI240" s="45">
        <v>0</v>
      </c>
      <c r="AJ240" s="45"/>
      <c r="AK240" s="45">
        <v>0</v>
      </c>
      <c r="AL240" s="45"/>
      <c r="AM240" s="49">
        <f t="shared" si="27"/>
        <v>102</v>
      </c>
      <c r="AN240" s="45"/>
      <c r="AO240" s="49">
        <f t="shared" si="25"/>
        <v>19724159</v>
      </c>
    </row>
    <row r="241" spans="1:41">
      <c r="A241" s="12" t="s">
        <v>427</v>
      </c>
      <c r="B241" s="12"/>
      <c r="C241" s="12" t="s">
        <v>42</v>
      </c>
      <c r="D241" s="12"/>
      <c r="E241" s="13">
        <v>44115</v>
      </c>
      <c r="F241" s="45"/>
      <c r="G241" s="45">
        <v>9331887</v>
      </c>
      <c r="H241" s="45"/>
      <c r="I241" s="45">
        <v>0</v>
      </c>
      <c r="J241" s="45"/>
      <c r="K241" s="45">
        <f>6271018+1409484</f>
        <v>7680502</v>
      </c>
      <c r="L241" s="45"/>
      <c r="M241" s="45">
        <v>22538</v>
      </c>
      <c r="N241" s="45"/>
      <c r="O241" s="45">
        <v>81380</v>
      </c>
      <c r="P241" s="45"/>
      <c r="Q241" s="45">
        <v>109350</v>
      </c>
      <c r="R241" s="45"/>
      <c r="S241" s="45">
        <v>0</v>
      </c>
      <c r="T241" s="45"/>
      <c r="U241" s="45">
        <v>0</v>
      </c>
      <c r="V241" s="45"/>
      <c r="W241" s="45">
        <f>567612+75966+256785</f>
        <v>900363</v>
      </c>
      <c r="X241" s="45"/>
      <c r="Y241" s="49">
        <f t="shared" si="26"/>
        <v>18126020</v>
      </c>
      <c r="Z241" s="45"/>
      <c r="AA241" s="45">
        <v>20000</v>
      </c>
      <c r="AB241" s="45"/>
      <c r="AC241" s="45"/>
      <c r="AD241" s="45"/>
      <c r="AE241" s="45">
        <v>0</v>
      </c>
      <c r="AF241" s="45"/>
      <c r="AG241" s="45"/>
      <c r="AH241" s="45"/>
      <c r="AI241" s="45">
        <v>49</v>
      </c>
      <c r="AJ241" s="45"/>
      <c r="AK241" s="45">
        <v>0</v>
      </c>
      <c r="AL241" s="45"/>
      <c r="AM241" s="49">
        <f t="shared" si="27"/>
        <v>20049</v>
      </c>
      <c r="AN241" s="45"/>
      <c r="AO241" s="49">
        <f t="shared" si="25"/>
        <v>18146069</v>
      </c>
    </row>
    <row r="242" spans="1:41" hidden="1">
      <c r="A242" s="17" t="s">
        <v>818</v>
      </c>
      <c r="B242" s="12"/>
      <c r="C242" s="12" t="s">
        <v>22</v>
      </c>
      <c r="D242" s="12"/>
      <c r="E242" s="13">
        <v>45419</v>
      </c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9">
        <f t="shared" si="26"/>
        <v>0</v>
      </c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>
        <v>0</v>
      </c>
      <c r="AL242" s="45"/>
      <c r="AM242" s="49">
        <f t="shared" si="27"/>
        <v>0</v>
      </c>
      <c r="AN242" s="45"/>
      <c r="AO242" s="49">
        <f t="shared" si="25"/>
        <v>0</v>
      </c>
    </row>
    <row r="243" spans="1:41">
      <c r="A243" s="12" t="s">
        <v>481</v>
      </c>
      <c r="B243" s="12"/>
      <c r="C243" s="12" t="s">
        <v>47</v>
      </c>
      <c r="D243" s="12"/>
      <c r="E243" s="13">
        <v>48496</v>
      </c>
      <c r="F243" s="45"/>
      <c r="G243" s="45">
        <v>18939596</v>
      </c>
      <c r="H243" s="45"/>
      <c r="I243" s="45">
        <v>0</v>
      </c>
      <c r="J243" s="45"/>
      <c r="K243" s="45">
        <v>10649294</v>
      </c>
      <c r="L243" s="45"/>
      <c r="M243" s="45">
        <v>124038</v>
      </c>
      <c r="N243" s="45"/>
      <c r="O243" s="45">
        <v>552406</v>
      </c>
      <c r="P243" s="45"/>
      <c r="Q243" s="45">
        <v>287025</v>
      </c>
      <c r="R243" s="45"/>
      <c r="S243" s="45">
        <v>0</v>
      </c>
      <c r="T243" s="45"/>
      <c r="U243" s="45">
        <v>29697</v>
      </c>
      <c r="V243" s="45"/>
      <c r="W243" s="45">
        <f>931813+29990+74621</f>
        <v>1036424</v>
      </c>
      <c r="X243" s="45"/>
      <c r="Y243" s="49">
        <f t="shared" si="26"/>
        <v>31618480</v>
      </c>
      <c r="Z243" s="45"/>
      <c r="AA243" s="45">
        <v>27000</v>
      </c>
      <c r="AB243" s="45"/>
      <c r="AC243" s="45"/>
      <c r="AD243" s="45"/>
      <c r="AE243" s="45">
        <v>0</v>
      </c>
      <c r="AF243" s="45"/>
      <c r="AG243" s="45"/>
      <c r="AH243" s="45"/>
      <c r="AI243" s="45">
        <v>0</v>
      </c>
      <c r="AJ243" s="45"/>
      <c r="AK243" s="45">
        <v>0</v>
      </c>
      <c r="AL243" s="45"/>
      <c r="AM243" s="49">
        <f t="shared" si="27"/>
        <v>27000</v>
      </c>
      <c r="AN243" s="45"/>
      <c r="AO243" s="49">
        <f t="shared" si="25"/>
        <v>31645480</v>
      </c>
    </row>
    <row r="244" spans="1:41">
      <c r="A244" s="12" t="s">
        <v>481</v>
      </c>
      <c r="B244" s="12"/>
      <c r="C244" s="12" t="s">
        <v>78</v>
      </c>
      <c r="D244" s="12"/>
      <c r="E244" s="13">
        <v>48801</v>
      </c>
      <c r="F244" s="45"/>
      <c r="G244" s="45">
        <v>4323896</v>
      </c>
      <c r="H244" s="45"/>
      <c r="I244" s="45">
        <v>877694</v>
      </c>
      <c r="J244" s="45"/>
      <c r="K244" s="45">
        <v>38127973</v>
      </c>
      <c r="L244" s="45"/>
      <c r="M244" s="45">
        <v>254608</v>
      </c>
      <c r="N244" s="45"/>
      <c r="O244" s="45">
        <v>36232</v>
      </c>
      <c r="P244" s="45"/>
      <c r="Q244" s="45">
        <v>110268</v>
      </c>
      <c r="R244" s="45"/>
      <c r="S244" s="45">
        <v>0</v>
      </c>
      <c r="T244" s="45"/>
      <c r="U244" s="45">
        <v>24379</v>
      </c>
      <c r="V244" s="45"/>
      <c r="W244" s="45">
        <f>712973+331784</f>
        <v>1044757</v>
      </c>
      <c r="X244" s="45"/>
      <c r="Y244" s="49">
        <f t="shared" si="26"/>
        <v>44799807</v>
      </c>
      <c r="Z244" s="45"/>
      <c r="AA244" s="45">
        <v>0</v>
      </c>
      <c r="AB244" s="45"/>
      <c r="AC244" s="45"/>
      <c r="AD244" s="45"/>
      <c r="AE244" s="45">
        <v>0</v>
      </c>
      <c r="AF244" s="45"/>
      <c r="AG244" s="45"/>
      <c r="AH244" s="45"/>
      <c r="AI244" s="45">
        <v>3975</v>
      </c>
      <c r="AJ244" s="45"/>
      <c r="AK244" s="45">
        <v>0</v>
      </c>
      <c r="AL244" s="45"/>
      <c r="AM244" s="49">
        <f t="shared" si="27"/>
        <v>3975</v>
      </c>
      <c r="AN244" s="45"/>
      <c r="AO244" s="49">
        <f t="shared" si="25"/>
        <v>44803782</v>
      </c>
    </row>
    <row r="245" spans="1:41">
      <c r="A245" s="12" t="s">
        <v>337</v>
      </c>
      <c r="B245" s="12"/>
      <c r="C245" s="12" t="s">
        <v>27</v>
      </c>
      <c r="D245" s="12"/>
      <c r="E245" s="13">
        <v>47019</v>
      </c>
      <c r="F245" s="45"/>
      <c r="G245" s="45">
        <v>112954990</v>
      </c>
      <c r="H245" s="45"/>
      <c r="I245" s="45">
        <v>0</v>
      </c>
      <c r="J245" s="45"/>
      <c r="K245" s="45">
        <f>59971902+10469544</f>
        <v>70441446</v>
      </c>
      <c r="L245" s="45"/>
      <c r="M245" s="45">
        <v>560884</v>
      </c>
      <c r="N245" s="45"/>
      <c r="O245" s="45">
        <v>2324020</v>
      </c>
      <c r="P245" s="45"/>
      <c r="Q245" s="45">
        <v>674030</v>
      </c>
      <c r="R245" s="45"/>
      <c r="S245" s="45">
        <v>0</v>
      </c>
      <c r="T245" s="45"/>
      <c r="U245" s="45">
        <v>0</v>
      </c>
      <c r="V245" s="45"/>
      <c r="W245" s="45">
        <f>3353215+897395+2980635</f>
        <v>7231245</v>
      </c>
      <c r="X245" s="45"/>
      <c r="Y245" s="49">
        <f t="shared" si="26"/>
        <v>194186615</v>
      </c>
      <c r="Z245" s="45"/>
      <c r="AA245" s="45">
        <v>10073118</v>
      </c>
      <c r="AB245" s="45"/>
      <c r="AC245" s="45"/>
      <c r="AD245" s="45"/>
      <c r="AE245" s="45">
        <f>9029972+9999993+310068+111739+33000</f>
        <v>19484772</v>
      </c>
      <c r="AF245" s="45"/>
      <c r="AG245" s="45"/>
      <c r="AH245" s="45"/>
      <c r="AI245" s="45">
        <v>39863</v>
      </c>
      <c r="AJ245" s="45"/>
      <c r="AK245" s="45">
        <v>0</v>
      </c>
      <c r="AL245" s="45"/>
      <c r="AM245" s="49">
        <f t="shared" si="27"/>
        <v>29597753</v>
      </c>
      <c r="AN245" s="45"/>
      <c r="AO245" s="49">
        <f t="shared" si="25"/>
        <v>223784368</v>
      </c>
    </row>
    <row r="246" spans="1:41" hidden="1">
      <c r="A246" s="12" t="s">
        <v>398</v>
      </c>
      <c r="B246" s="12"/>
      <c r="C246" s="12" t="s">
        <v>395</v>
      </c>
      <c r="D246" s="12"/>
      <c r="E246" s="13">
        <v>44123</v>
      </c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9">
        <f t="shared" si="26"/>
        <v>0</v>
      </c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>
        <v>0</v>
      </c>
      <c r="AL246" s="45"/>
      <c r="AM246" s="49">
        <f t="shared" si="27"/>
        <v>0</v>
      </c>
      <c r="AN246" s="45"/>
      <c r="AO246" s="49">
        <f t="shared" si="25"/>
        <v>0</v>
      </c>
    </row>
    <row r="247" spans="1:41">
      <c r="A247" s="12" t="s">
        <v>207</v>
      </c>
      <c r="B247" s="12"/>
      <c r="C247" s="12" t="s">
        <v>11</v>
      </c>
      <c r="D247" s="12"/>
      <c r="E247" s="13">
        <v>45823</v>
      </c>
      <c r="F247" s="45"/>
      <c r="G247" s="45">
        <v>4210532</v>
      </c>
      <c r="H247" s="45"/>
      <c r="I247" s="45">
        <v>0</v>
      </c>
      <c r="J247" s="45"/>
      <c r="K247" s="45">
        <f>7200+4707952+913761</f>
        <v>5628913</v>
      </c>
      <c r="L247" s="45"/>
      <c r="M247" s="45">
        <v>2991</v>
      </c>
      <c r="N247" s="45"/>
      <c r="O247" s="45">
        <v>324007</v>
      </c>
      <c r="P247" s="45"/>
      <c r="Q247" s="45">
        <v>206554</v>
      </c>
      <c r="R247" s="45"/>
      <c r="S247" s="45">
        <v>0</v>
      </c>
      <c r="T247" s="45"/>
      <c r="U247" s="45">
        <v>18447</v>
      </c>
      <c r="V247" s="45"/>
      <c r="W247" s="45">
        <f>58496+35933+219283</f>
        <v>313712</v>
      </c>
      <c r="X247" s="45"/>
      <c r="Y247" s="49">
        <f t="shared" si="26"/>
        <v>10705156</v>
      </c>
      <c r="Z247" s="45"/>
      <c r="AA247" s="45">
        <v>32449</v>
      </c>
      <c r="AB247" s="45"/>
      <c r="AC247" s="45"/>
      <c r="AD247" s="45"/>
      <c r="AE247" s="45">
        <v>0</v>
      </c>
      <c r="AF247" s="45"/>
      <c r="AG247" s="45"/>
      <c r="AH247" s="45"/>
      <c r="AI247" s="45">
        <v>1338</v>
      </c>
      <c r="AJ247" s="45"/>
      <c r="AK247" s="45">
        <v>0</v>
      </c>
      <c r="AL247" s="45"/>
      <c r="AM247" s="49">
        <f t="shared" si="27"/>
        <v>33787</v>
      </c>
      <c r="AN247" s="45"/>
      <c r="AO247" s="49">
        <f t="shared" si="25"/>
        <v>10738943</v>
      </c>
    </row>
    <row r="248" spans="1:41">
      <c r="A248" s="12" t="s">
        <v>390</v>
      </c>
      <c r="B248" s="12"/>
      <c r="C248" s="12" t="s">
        <v>34</v>
      </c>
      <c r="D248" s="12"/>
      <c r="E248" s="13">
        <v>47571</v>
      </c>
      <c r="F248" s="45"/>
      <c r="G248" s="45">
        <v>1569243</v>
      </c>
      <c r="H248" s="45"/>
      <c r="I248" s="45">
        <v>666883</v>
      </c>
      <c r="J248" s="45"/>
      <c r="K248" s="45">
        <v>4180267</v>
      </c>
      <c r="L248" s="45"/>
      <c r="M248" s="45">
        <v>53966</v>
      </c>
      <c r="N248" s="45"/>
      <c r="O248" s="45">
        <v>414187</v>
      </c>
      <c r="P248" s="45"/>
      <c r="Q248" s="45">
        <v>74674</v>
      </c>
      <c r="R248" s="45"/>
      <c r="S248" s="45">
        <v>1638</v>
      </c>
      <c r="T248" s="45"/>
      <c r="U248" s="45">
        <v>6100</v>
      </c>
      <c r="V248" s="45"/>
      <c r="W248" s="45">
        <f>79006+130762</f>
        <v>209768</v>
      </c>
      <c r="X248" s="45"/>
      <c r="Y248" s="49">
        <f t="shared" si="26"/>
        <v>7176726</v>
      </c>
      <c r="Z248" s="45"/>
      <c r="AA248" s="45">
        <v>496773</v>
      </c>
      <c r="AB248" s="45"/>
      <c r="AC248" s="45"/>
      <c r="AD248" s="45"/>
      <c r="AE248" s="45">
        <v>0</v>
      </c>
      <c r="AF248" s="45"/>
      <c r="AG248" s="45"/>
      <c r="AH248" s="45"/>
      <c r="AI248" s="45">
        <v>1000</v>
      </c>
      <c r="AJ248" s="45"/>
      <c r="AK248" s="45">
        <v>0</v>
      </c>
      <c r="AL248" s="45"/>
      <c r="AM248" s="49">
        <f t="shared" si="27"/>
        <v>497773</v>
      </c>
      <c r="AN248" s="45"/>
      <c r="AO248" s="49">
        <f t="shared" ref="AO248:AO269" si="28">Y248+AM248</f>
        <v>7674499</v>
      </c>
    </row>
    <row r="249" spans="1:41">
      <c r="A249" s="12" t="s">
        <v>604</v>
      </c>
      <c r="B249" s="12"/>
      <c r="C249" s="12" t="s">
        <v>64</v>
      </c>
      <c r="D249" s="12"/>
      <c r="E249" s="13">
        <v>50161</v>
      </c>
      <c r="F249" s="45"/>
      <c r="G249" s="45">
        <v>16691040</v>
      </c>
      <c r="H249" s="45"/>
      <c r="I249" s="45">
        <v>0</v>
      </c>
      <c r="J249" s="45"/>
      <c r="K249" s="45">
        <f>11354305+2418050</f>
        <v>13772355</v>
      </c>
      <c r="L249" s="45"/>
      <c r="M249" s="45">
        <v>11877</v>
      </c>
      <c r="N249" s="45"/>
      <c r="O249" s="45">
        <v>1424128</v>
      </c>
      <c r="P249" s="45"/>
      <c r="Q249" s="45">
        <v>245140</v>
      </c>
      <c r="R249" s="45"/>
      <c r="S249" s="45">
        <v>0</v>
      </c>
      <c r="T249" s="45"/>
      <c r="U249" s="45">
        <v>0</v>
      </c>
      <c r="V249" s="45"/>
      <c r="W249" s="45">
        <f>271920+87038+520209+17421</f>
        <v>896588</v>
      </c>
      <c r="X249" s="45"/>
      <c r="Y249" s="49">
        <f t="shared" si="26"/>
        <v>33041128</v>
      </c>
      <c r="Z249" s="45"/>
      <c r="AA249" s="45">
        <v>0</v>
      </c>
      <c r="AB249" s="45"/>
      <c r="AC249" s="45"/>
      <c r="AD249" s="45"/>
      <c r="AE249" s="45">
        <v>0</v>
      </c>
      <c r="AF249" s="45"/>
      <c r="AG249" s="45"/>
      <c r="AH249" s="45"/>
      <c r="AI249" s="45">
        <v>0</v>
      </c>
      <c r="AJ249" s="45"/>
      <c r="AK249" s="45">
        <v>0</v>
      </c>
      <c r="AL249" s="45"/>
      <c r="AM249" s="49">
        <f t="shared" si="27"/>
        <v>0</v>
      </c>
      <c r="AN249" s="45"/>
      <c r="AO249" s="49">
        <f t="shared" si="28"/>
        <v>33041128</v>
      </c>
    </row>
    <row r="250" spans="1:41">
      <c r="A250" s="12" t="s">
        <v>605</v>
      </c>
      <c r="B250" s="12"/>
      <c r="C250" s="12" t="s">
        <v>64</v>
      </c>
      <c r="D250" s="12"/>
      <c r="E250" s="13">
        <v>45427</v>
      </c>
      <c r="F250" s="45"/>
      <c r="G250" s="45">
        <v>6927554</v>
      </c>
      <c r="H250" s="45"/>
      <c r="I250" s="45">
        <v>0</v>
      </c>
      <c r="J250" s="45"/>
      <c r="K250" s="45">
        <v>30887520</v>
      </c>
      <c r="L250" s="45"/>
      <c r="M250" s="45">
        <v>162838</v>
      </c>
      <c r="N250" s="45"/>
      <c r="O250" s="45">
        <v>905038</v>
      </c>
      <c r="P250" s="45"/>
      <c r="Q250" s="45">
        <v>167591</v>
      </c>
      <c r="R250" s="45"/>
      <c r="S250" s="45">
        <v>0</v>
      </c>
      <c r="T250" s="45"/>
      <c r="U250" s="45">
        <v>35053</v>
      </c>
      <c r="V250" s="45"/>
      <c r="W250" s="45">
        <f>264317+38315+385992</f>
        <v>688624</v>
      </c>
      <c r="X250" s="45"/>
      <c r="Y250" s="49">
        <f t="shared" si="26"/>
        <v>39774218</v>
      </c>
      <c r="Z250" s="45"/>
      <c r="AA250" s="45">
        <v>286687</v>
      </c>
      <c r="AB250" s="45"/>
      <c r="AC250" s="45"/>
      <c r="AD250" s="45"/>
      <c r="AE250" s="45">
        <v>0</v>
      </c>
      <c r="AF250" s="45"/>
      <c r="AG250" s="45"/>
      <c r="AH250" s="45"/>
      <c r="AI250" s="45">
        <v>0</v>
      </c>
      <c r="AJ250" s="45"/>
      <c r="AK250" s="45">
        <v>0</v>
      </c>
      <c r="AL250" s="45"/>
      <c r="AM250" s="49">
        <f t="shared" si="27"/>
        <v>286687</v>
      </c>
      <c r="AN250" s="45"/>
      <c r="AO250" s="49">
        <f t="shared" si="28"/>
        <v>40060905</v>
      </c>
    </row>
    <row r="251" spans="1:41" ht="12.6" customHeight="1">
      <c r="A251" s="12" t="s">
        <v>497</v>
      </c>
      <c r="B251" s="12"/>
      <c r="C251" s="12" t="s">
        <v>50</v>
      </c>
      <c r="D251" s="12"/>
      <c r="E251" s="13">
        <v>48751</v>
      </c>
      <c r="F251" s="45"/>
      <c r="G251" s="45">
        <v>31511357</v>
      </c>
      <c r="H251" s="45"/>
      <c r="I251" s="45">
        <v>0</v>
      </c>
      <c r="J251" s="45"/>
      <c r="K251" s="45">
        <f>64127424+7096486</f>
        <v>71223910</v>
      </c>
      <c r="L251" s="45"/>
      <c r="M251" s="45">
        <v>573438</v>
      </c>
      <c r="N251" s="45"/>
      <c r="O251" s="45">
        <v>484146</v>
      </c>
      <c r="P251" s="45"/>
      <c r="Q251" s="45">
        <v>802237</v>
      </c>
      <c r="R251" s="45"/>
      <c r="S251" s="45">
        <v>0</v>
      </c>
      <c r="T251" s="45"/>
      <c r="U251" s="45">
        <v>0</v>
      </c>
      <c r="V251" s="45"/>
      <c r="W251" s="45">
        <f>317212+319417+340775+1170537+15113</f>
        <v>2163054</v>
      </c>
      <c r="X251" s="45"/>
      <c r="Y251" s="49">
        <f t="shared" si="26"/>
        <v>106758142</v>
      </c>
      <c r="Z251" s="45"/>
      <c r="AA251" s="45">
        <v>1424739</v>
      </c>
      <c r="AB251" s="45"/>
      <c r="AC251" s="45"/>
      <c r="AD251" s="45"/>
      <c r="AE251" s="45">
        <f>82000000+1700000+218012</f>
        <v>83918012</v>
      </c>
      <c r="AF251" s="45"/>
      <c r="AG251" s="45"/>
      <c r="AH251" s="45"/>
      <c r="AI251" s="45">
        <v>0</v>
      </c>
      <c r="AJ251" s="45"/>
      <c r="AK251" s="45">
        <v>0</v>
      </c>
      <c r="AL251" s="45"/>
      <c r="AM251" s="49">
        <f t="shared" si="27"/>
        <v>85342751</v>
      </c>
      <c r="AN251" s="45"/>
      <c r="AO251" s="49">
        <f t="shared" si="28"/>
        <v>192100893</v>
      </c>
    </row>
    <row r="252" spans="1:41">
      <c r="A252" s="12" t="s">
        <v>590</v>
      </c>
      <c r="B252" s="12"/>
      <c r="C252" s="12" t="s">
        <v>63</v>
      </c>
      <c r="D252" s="12"/>
      <c r="E252" s="13">
        <v>50021</v>
      </c>
      <c r="F252" s="45"/>
      <c r="G252" s="45">
        <v>39204717</v>
      </c>
      <c r="H252" s="45"/>
      <c r="I252" s="45">
        <v>0</v>
      </c>
      <c r="J252" s="45"/>
      <c r="K252" s="45">
        <f>1187368+21517696+2732027</f>
        <v>25437091</v>
      </c>
      <c r="L252" s="45"/>
      <c r="M252" s="45">
        <v>384418</v>
      </c>
      <c r="N252" s="45"/>
      <c r="O252" s="45">
        <v>125137</v>
      </c>
      <c r="P252" s="45"/>
      <c r="Q252" s="45">
        <v>765723</v>
      </c>
      <c r="R252" s="45"/>
      <c r="S252" s="45">
        <v>314000</v>
      </c>
      <c r="T252" s="45"/>
      <c r="U252" s="45">
        <v>0</v>
      </c>
      <c r="V252" s="45"/>
      <c r="W252" s="45">
        <f>342666+289526+1476715+30710</f>
        <v>2139617</v>
      </c>
      <c r="X252" s="45"/>
      <c r="Y252" s="49">
        <f t="shared" si="26"/>
        <v>68370703</v>
      </c>
      <c r="Z252" s="45"/>
      <c r="AA252" s="45">
        <v>515476</v>
      </c>
      <c r="AB252" s="45"/>
      <c r="AC252" s="45"/>
      <c r="AD252" s="45"/>
      <c r="AE252" s="45">
        <f>4714257+55215</f>
        <v>4769472</v>
      </c>
      <c r="AF252" s="45"/>
      <c r="AG252" s="45"/>
      <c r="AH252" s="45"/>
      <c r="AI252" s="45">
        <v>14393</v>
      </c>
      <c r="AJ252" s="45"/>
      <c r="AK252" s="45">
        <v>0</v>
      </c>
      <c r="AL252" s="45"/>
      <c r="AM252" s="49">
        <f t="shared" si="27"/>
        <v>5299341</v>
      </c>
      <c r="AN252" s="45"/>
      <c r="AO252" s="49">
        <f t="shared" si="28"/>
        <v>73670044</v>
      </c>
    </row>
    <row r="253" spans="1:41">
      <c r="A253" s="12" t="s">
        <v>551</v>
      </c>
      <c r="B253" s="12"/>
      <c r="C253" s="12" t="s">
        <v>58</v>
      </c>
      <c r="D253" s="12"/>
      <c r="E253" s="13">
        <v>49502</v>
      </c>
      <c r="F253" s="45"/>
      <c r="G253" s="45">
        <v>1273570</v>
      </c>
      <c r="H253" s="45"/>
      <c r="I253" s="45">
        <v>0</v>
      </c>
      <c r="J253" s="45"/>
      <c r="K253" s="45">
        <v>10632827</v>
      </c>
      <c r="L253" s="45"/>
      <c r="M253" s="45">
        <v>8184</v>
      </c>
      <c r="N253" s="45"/>
      <c r="O253" s="45">
        <v>8248</v>
      </c>
      <c r="P253" s="45"/>
      <c r="Q253" s="45">
        <v>140719</v>
      </c>
      <c r="R253" s="45"/>
      <c r="S253" s="45">
        <v>0</v>
      </c>
      <c r="T253" s="45"/>
      <c r="U253" s="45">
        <v>0</v>
      </c>
      <c r="V253" s="45"/>
      <c r="W253" s="45">
        <f>101705+175529+7200</f>
        <v>284434</v>
      </c>
      <c r="X253" s="45"/>
      <c r="Y253" s="49">
        <f t="shared" si="26"/>
        <v>12347982</v>
      </c>
      <c r="Z253" s="45"/>
      <c r="AA253" s="45">
        <v>48959</v>
      </c>
      <c r="AB253" s="45"/>
      <c r="AC253" s="45"/>
      <c r="AD253" s="45"/>
      <c r="AE253" s="45">
        <v>88447</v>
      </c>
      <c r="AF253" s="45"/>
      <c r="AG253" s="45"/>
      <c r="AH253" s="45"/>
      <c r="AI253" s="45">
        <v>0</v>
      </c>
      <c r="AJ253" s="45"/>
      <c r="AK253" s="45">
        <v>0</v>
      </c>
      <c r="AL253" s="45"/>
      <c r="AM253" s="49">
        <f t="shared" si="27"/>
        <v>137406</v>
      </c>
      <c r="AN253" s="45"/>
      <c r="AO253" s="49">
        <f t="shared" si="28"/>
        <v>12485388</v>
      </c>
    </row>
    <row r="254" spans="1:41">
      <c r="A254" s="12" t="s">
        <v>315</v>
      </c>
      <c r="B254" s="12"/>
      <c r="C254" s="12" t="s">
        <v>24</v>
      </c>
      <c r="D254" s="12"/>
      <c r="E254" s="13">
        <v>44131</v>
      </c>
      <c r="F254" s="45"/>
      <c r="G254" s="45">
        <v>10349232</v>
      </c>
      <c r="H254" s="45"/>
      <c r="I254" s="45">
        <v>0</v>
      </c>
      <c r="J254" s="45"/>
      <c r="K254" s="45">
        <f>5721056+1345474</f>
        <v>7066530</v>
      </c>
      <c r="L254" s="45"/>
      <c r="M254" s="45">
        <v>49995</v>
      </c>
      <c r="N254" s="45"/>
      <c r="O254" s="45">
        <v>92444</v>
      </c>
      <c r="P254" s="45"/>
      <c r="Q254" s="45">
        <v>228283</v>
      </c>
      <c r="R254" s="45"/>
      <c r="S254" s="45">
        <v>0</v>
      </c>
      <c r="T254" s="45"/>
      <c r="U254" s="45">
        <v>92476</v>
      </c>
      <c r="V254" s="45"/>
      <c r="W254" s="45">
        <f>155779+68591+55159+405445+851</f>
        <v>685825</v>
      </c>
      <c r="X254" s="45"/>
      <c r="Y254" s="49">
        <f t="shared" si="26"/>
        <v>18564785</v>
      </c>
      <c r="Z254" s="45"/>
      <c r="AA254" s="45">
        <v>35389</v>
      </c>
      <c r="AB254" s="45"/>
      <c r="AC254" s="45"/>
      <c r="AD254" s="45"/>
      <c r="AE254" s="45">
        <v>1739701</v>
      </c>
      <c r="AF254" s="45"/>
      <c r="AG254" s="45"/>
      <c r="AH254" s="45"/>
      <c r="AI254" s="45">
        <v>0</v>
      </c>
      <c r="AJ254" s="45"/>
      <c r="AK254" s="45">
        <v>0</v>
      </c>
      <c r="AL254" s="45"/>
      <c r="AM254" s="49">
        <f t="shared" si="27"/>
        <v>1775090</v>
      </c>
      <c r="AN254" s="45"/>
      <c r="AO254" s="49">
        <f t="shared" si="28"/>
        <v>20339875</v>
      </c>
    </row>
    <row r="255" spans="1:41">
      <c r="A255" s="12" t="s">
        <v>292</v>
      </c>
      <c r="B255" s="12"/>
      <c r="C255" s="12" t="s">
        <v>20</v>
      </c>
      <c r="D255" s="12"/>
      <c r="E255" s="13">
        <v>46565</v>
      </c>
      <c r="F255" s="45"/>
      <c r="G255" s="45">
        <v>14189284</v>
      </c>
      <c r="H255" s="45"/>
      <c r="I255" s="45">
        <v>0</v>
      </c>
      <c r="J255" s="45"/>
      <c r="K255" s="45">
        <v>3599260</v>
      </c>
      <c r="L255" s="45"/>
      <c r="M255" s="45">
        <v>13489</v>
      </c>
      <c r="N255" s="45"/>
      <c r="O255" s="45">
        <v>130119</v>
      </c>
      <c r="P255" s="45"/>
      <c r="Q255" s="45">
        <v>123000</v>
      </c>
      <c r="R255" s="45"/>
      <c r="S255" s="45">
        <v>0</v>
      </c>
      <c r="T255" s="45"/>
      <c r="U255" s="45">
        <v>750</v>
      </c>
      <c r="V255" s="45"/>
      <c r="W255" s="45">
        <f>274613+229699+54224</f>
        <v>558536</v>
      </c>
      <c r="X255" s="45"/>
      <c r="Y255" s="49">
        <f t="shared" si="26"/>
        <v>18614438</v>
      </c>
      <c r="Z255" s="45"/>
      <c r="AA255" s="45">
        <v>742466</v>
      </c>
      <c r="AB255" s="45"/>
      <c r="AC255" s="45"/>
      <c r="AD255" s="45"/>
      <c r="AE255" s="45">
        <v>0</v>
      </c>
      <c r="AF255" s="45"/>
      <c r="AG255" s="45"/>
      <c r="AH255" s="45"/>
      <c r="AI255" s="45">
        <v>574</v>
      </c>
      <c r="AJ255" s="45"/>
      <c r="AK255" s="45">
        <v>0</v>
      </c>
      <c r="AL255" s="45"/>
      <c r="AM255" s="49">
        <f t="shared" si="27"/>
        <v>743040</v>
      </c>
      <c r="AN255" s="45"/>
      <c r="AO255" s="49">
        <f t="shared" si="28"/>
        <v>19357478</v>
      </c>
    </row>
    <row r="256" spans="1:41">
      <c r="A256" s="12"/>
      <c r="B256" s="12"/>
      <c r="C256" s="12"/>
      <c r="D256" s="12"/>
      <c r="E256" s="13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9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9"/>
      <c r="AN256" s="45"/>
      <c r="AO256" s="49"/>
    </row>
    <row r="257" spans="1:41">
      <c r="A257" s="12"/>
      <c r="B257" s="12"/>
      <c r="C257" s="12"/>
      <c r="D257" s="12"/>
      <c r="E257" s="13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9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9"/>
      <c r="AN257" s="45"/>
      <c r="AO257" s="49" t="s">
        <v>709</v>
      </c>
    </row>
    <row r="258" spans="1:41">
      <c r="A258" s="12"/>
      <c r="B258" s="12"/>
      <c r="C258" s="12"/>
      <c r="D258" s="12"/>
      <c r="E258" s="13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9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9"/>
      <c r="AN258" s="45"/>
      <c r="AO258" s="49"/>
    </row>
    <row r="259" spans="1:41" ht="13.15" customHeight="1">
      <c r="A259" s="12" t="s">
        <v>411</v>
      </c>
      <c r="B259" s="12"/>
      <c r="C259" s="12" t="s">
        <v>39</v>
      </c>
      <c r="D259" s="12"/>
      <c r="E259" s="13">
        <v>47803</v>
      </c>
      <c r="F259" s="45"/>
      <c r="G259" s="47">
        <v>8031029</v>
      </c>
      <c r="H259" s="47"/>
      <c r="I259" s="47">
        <v>0</v>
      </c>
      <c r="J259" s="47"/>
      <c r="K259" s="47">
        <v>16733705</v>
      </c>
      <c r="L259" s="47"/>
      <c r="M259" s="47">
        <v>172182</v>
      </c>
      <c r="N259" s="47"/>
      <c r="O259" s="47">
        <v>1636498</v>
      </c>
      <c r="P259" s="47"/>
      <c r="Q259" s="47">
        <v>192296</v>
      </c>
      <c r="R259" s="47"/>
      <c r="S259" s="47">
        <v>0</v>
      </c>
      <c r="T259" s="47"/>
      <c r="U259" s="47">
        <v>121757</v>
      </c>
      <c r="V259" s="47"/>
      <c r="W259" s="47">
        <f>71157+100+332792</f>
        <v>404049</v>
      </c>
      <c r="X259" s="47"/>
      <c r="Y259" s="48">
        <f t="shared" si="26"/>
        <v>27291516</v>
      </c>
      <c r="Z259" s="47"/>
      <c r="AA259" s="47">
        <v>67367</v>
      </c>
      <c r="AB259" s="47"/>
      <c r="AC259" s="47"/>
      <c r="AD259" s="47"/>
      <c r="AE259" s="47">
        <v>0</v>
      </c>
      <c r="AF259" s="47"/>
      <c r="AG259" s="47"/>
      <c r="AH259" s="47"/>
      <c r="AI259" s="47">
        <v>0</v>
      </c>
      <c r="AJ259" s="47"/>
      <c r="AK259" s="47">
        <v>0</v>
      </c>
      <c r="AL259" s="47"/>
      <c r="AM259" s="48">
        <f t="shared" si="27"/>
        <v>67367</v>
      </c>
      <c r="AN259" s="47"/>
      <c r="AO259" s="48">
        <f t="shared" si="28"/>
        <v>27358883</v>
      </c>
    </row>
    <row r="260" spans="1:41">
      <c r="A260" s="12" t="s">
        <v>365</v>
      </c>
      <c r="B260" s="12"/>
      <c r="C260" s="12" t="s">
        <v>32</v>
      </c>
      <c r="D260" s="12"/>
      <c r="E260" s="13">
        <v>45435</v>
      </c>
      <c r="F260" s="45"/>
      <c r="G260" s="45">
        <v>28210242</v>
      </c>
      <c r="H260" s="45"/>
      <c r="I260" s="45">
        <v>0</v>
      </c>
      <c r="J260" s="45"/>
      <c r="K260" s="45">
        <f>6752671+1197098</f>
        <v>7949769</v>
      </c>
      <c r="L260" s="45"/>
      <c r="M260" s="45">
        <v>110843</v>
      </c>
      <c r="N260" s="45"/>
      <c r="O260" s="20">
        <v>14400</v>
      </c>
      <c r="P260" s="45"/>
      <c r="Q260" s="45">
        <v>182204</v>
      </c>
      <c r="R260" s="45"/>
      <c r="S260" s="45">
        <v>2906540</v>
      </c>
      <c r="T260" s="45"/>
      <c r="U260" s="45">
        <v>3354</v>
      </c>
      <c r="V260" s="45"/>
      <c r="W260" s="45">
        <f>60670+14503+658700</f>
        <v>733873</v>
      </c>
      <c r="X260" s="45"/>
      <c r="Y260" s="49">
        <f t="shared" si="26"/>
        <v>40111225</v>
      </c>
      <c r="Z260" s="45"/>
      <c r="AA260" s="45">
        <v>0</v>
      </c>
      <c r="AB260" s="45"/>
      <c r="AC260" s="45"/>
      <c r="AD260" s="45"/>
      <c r="AE260" s="45">
        <v>0</v>
      </c>
      <c r="AF260" s="45"/>
      <c r="AG260" s="45"/>
      <c r="AH260" s="45"/>
      <c r="AI260" s="45">
        <v>4832</v>
      </c>
      <c r="AJ260" s="45"/>
      <c r="AK260" s="45">
        <v>0</v>
      </c>
      <c r="AL260" s="45"/>
      <c r="AM260" s="49">
        <f t="shared" si="27"/>
        <v>4832</v>
      </c>
      <c r="AN260" s="45"/>
      <c r="AO260" s="49">
        <f t="shared" si="28"/>
        <v>40116057</v>
      </c>
    </row>
    <row r="261" spans="1:41" hidden="1">
      <c r="A261" s="17" t="s">
        <v>937</v>
      </c>
      <c r="B261" s="17"/>
      <c r="C261" s="17" t="s">
        <v>43</v>
      </c>
      <c r="D261" s="12"/>
      <c r="E261" s="13"/>
      <c r="F261" s="45"/>
      <c r="G261" s="45"/>
      <c r="H261" s="45"/>
      <c r="I261" s="45"/>
      <c r="J261" s="45"/>
      <c r="K261" s="45"/>
      <c r="L261" s="45"/>
      <c r="M261" s="45"/>
      <c r="N261" s="45"/>
      <c r="P261" s="45"/>
      <c r="Q261" s="45"/>
      <c r="R261" s="45"/>
      <c r="S261" s="45"/>
      <c r="T261" s="45"/>
      <c r="U261" s="45"/>
      <c r="V261" s="45"/>
      <c r="W261" s="45"/>
      <c r="X261" s="45"/>
      <c r="Y261" s="49">
        <f t="shared" si="26"/>
        <v>0</v>
      </c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9"/>
      <c r="AN261" s="45"/>
      <c r="AO261" s="49">
        <f t="shared" si="28"/>
        <v>0</v>
      </c>
    </row>
    <row r="262" spans="1:41">
      <c r="A262" s="12" t="s">
        <v>621</v>
      </c>
      <c r="B262" s="12"/>
      <c r="C262" s="12" t="s">
        <v>65</v>
      </c>
      <c r="D262" s="12"/>
      <c r="E262" s="13">
        <v>50286</v>
      </c>
      <c r="F262" s="45"/>
      <c r="G262" s="45">
        <v>4865398</v>
      </c>
      <c r="H262" s="45"/>
      <c r="I262" s="45">
        <v>0</v>
      </c>
      <c r="J262" s="45"/>
      <c r="K262" s="45">
        <v>11519003</v>
      </c>
      <c r="L262" s="45"/>
      <c r="M262" s="45">
        <v>6353</v>
      </c>
      <c r="N262" s="45"/>
      <c r="O262" s="45">
        <v>1489520</v>
      </c>
      <c r="P262" s="45"/>
      <c r="Q262" s="45">
        <v>165427</v>
      </c>
      <c r="R262" s="45"/>
      <c r="S262" s="45">
        <v>0</v>
      </c>
      <c r="T262" s="45"/>
      <c r="U262" s="45">
        <v>84949</v>
      </c>
      <c r="V262" s="45"/>
      <c r="W262" s="45">
        <f>2987+398699+14507</f>
        <v>416193</v>
      </c>
      <c r="X262" s="45"/>
      <c r="Y262" s="49">
        <f t="shared" si="26"/>
        <v>18546843</v>
      </c>
      <c r="Z262" s="45"/>
      <c r="AA262" s="45">
        <v>0</v>
      </c>
      <c r="AB262" s="45"/>
      <c r="AC262" s="45"/>
      <c r="AD262" s="45"/>
      <c r="AE262" s="45">
        <v>0</v>
      </c>
      <c r="AF262" s="45"/>
      <c r="AG262" s="45"/>
      <c r="AH262" s="45"/>
      <c r="AI262" s="45">
        <v>1151</v>
      </c>
      <c r="AJ262" s="45"/>
      <c r="AK262" s="45">
        <v>0</v>
      </c>
      <c r="AL262" s="45"/>
      <c r="AM262" s="49">
        <f t="shared" ref="AM262:AM269" si="29">AI262+AE262+AA262</f>
        <v>1151</v>
      </c>
      <c r="AN262" s="45"/>
      <c r="AO262" s="49">
        <f t="shared" si="28"/>
        <v>18547994</v>
      </c>
    </row>
    <row r="263" spans="1:41">
      <c r="A263" s="12" t="s">
        <v>423</v>
      </c>
      <c r="B263" s="12"/>
      <c r="C263" s="12" t="s">
        <v>420</v>
      </c>
      <c r="D263" s="12"/>
      <c r="E263" s="13">
        <v>44149</v>
      </c>
      <c r="F263" s="45"/>
      <c r="G263" s="45">
        <v>3211410</v>
      </c>
      <c r="H263" s="45"/>
      <c r="I263" s="45">
        <v>0</v>
      </c>
      <c r="J263" s="45"/>
      <c r="K263" s="45">
        <v>13566825</v>
      </c>
      <c r="L263" s="45"/>
      <c r="M263" s="45">
        <v>55884</v>
      </c>
      <c r="N263" s="45"/>
      <c r="O263" s="45">
        <v>1036734</v>
      </c>
      <c r="P263" s="45"/>
      <c r="Q263" s="45">
        <v>349518</v>
      </c>
      <c r="R263" s="45"/>
      <c r="S263" s="45">
        <v>0</v>
      </c>
      <c r="T263" s="45"/>
      <c r="U263" s="45">
        <v>0</v>
      </c>
      <c r="V263" s="45"/>
      <c r="W263" s="45">
        <f>103580+138502+21423</f>
        <v>263505</v>
      </c>
      <c r="X263" s="45"/>
      <c r="Y263" s="49">
        <f t="shared" si="26"/>
        <v>18483876</v>
      </c>
      <c r="Z263" s="45"/>
      <c r="AA263" s="45">
        <v>20757</v>
      </c>
      <c r="AB263" s="45"/>
      <c r="AC263" s="45"/>
      <c r="AD263" s="45"/>
      <c r="AE263" s="45">
        <f>3000000+63658</f>
        <v>3063658</v>
      </c>
      <c r="AF263" s="45"/>
      <c r="AG263" s="45"/>
      <c r="AH263" s="45"/>
      <c r="AI263" s="45">
        <v>131350</v>
      </c>
      <c r="AJ263" s="45"/>
      <c r="AK263" s="45">
        <v>0</v>
      </c>
      <c r="AL263" s="45"/>
      <c r="AM263" s="49">
        <f t="shared" si="29"/>
        <v>3215765</v>
      </c>
      <c r="AN263" s="45"/>
      <c r="AO263" s="49">
        <f t="shared" si="28"/>
        <v>21699641</v>
      </c>
    </row>
    <row r="264" spans="1:41" hidden="1">
      <c r="A264" s="17" t="s">
        <v>820</v>
      </c>
      <c r="B264" s="12"/>
      <c r="C264" s="12" t="s">
        <v>61</v>
      </c>
      <c r="D264" s="12"/>
      <c r="E264" s="13">
        <v>49809</v>
      </c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9">
        <f t="shared" si="26"/>
        <v>0</v>
      </c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>
        <v>0</v>
      </c>
      <c r="AL264" s="45"/>
      <c r="AM264" s="49">
        <f t="shared" si="29"/>
        <v>0</v>
      </c>
      <c r="AN264" s="45"/>
      <c r="AO264" s="49">
        <f t="shared" si="28"/>
        <v>0</v>
      </c>
    </row>
    <row r="265" spans="1:41" hidden="1">
      <c r="A265" s="17" t="s">
        <v>838</v>
      </c>
      <c r="B265" s="12"/>
      <c r="C265" s="12" t="s">
        <v>38</v>
      </c>
      <c r="D265" s="12"/>
      <c r="E265" s="13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9">
        <f>SUM(G265:W265)</f>
        <v>0</v>
      </c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>
        <v>0</v>
      </c>
      <c r="AL265" s="45"/>
      <c r="AM265" s="49">
        <f t="shared" si="29"/>
        <v>0</v>
      </c>
      <c r="AN265" s="45"/>
      <c r="AO265" s="49">
        <f t="shared" si="28"/>
        <v>0</v>
      </c>
    </row>
    <row r="266" spans="1:41">
      <c r="A266" s="12" t="s">
        <v>576</v>
      </c>
      <c r="B266" s="12"/>
      <c r="C266" s="12" t="s">
        <v>62</v>
      </c>
      <c r="D266" s="12"/>
      <c r="E266" s="13">
        <v>49858</v>
      </c>
      <c r="F266" s="45"/>
      <c r="G266" s="45">
        <v>39922780</v>
      </c>
      <c r="H266" s="45"/>
      <c r="I266" s="45">
        <v>0</v>
      </c>
      <c r="J266" s="45"/>
      <c r="K266" s="45">
        <f>27450+14207386+3316906</f>
        <v>17551742</v>
      </c>
      <c r="L266" s="45"/>
      <c r="M266" s="45">
        <v>134523</v>
      </c>
      <c r="N266" s="45"/>
      <c r="O266" s="45">
        <v>320733</v>
      </c>
      <c r="P266" s="45"/>
      <c r="Q266" s="45">
        <v>814558</v>
      </c>
      <c r="R266" s="45"/>
      <c r="S266" s="45">
        <v>100536</v>
      </c>
      <c r="T266" s="45"/>
      <c r="U266" s="45">
        <v>138588</v>
      </c>
      <c r="V266" s="45"/>
      <c r="W266" s="45">
        <f>11382+1171500+524686+25558+122279+189594</f>
        <v>2044999</v>
      </c>
      <c r="X266" s="45"/>
      <c r="Y266" s="49">
        <f t="shared" si="26"/>
        <v>61028459</v>
      </c>
      <c r="Z266" s="45"/>
      <c r="AA266" s="45">
        <v>5500</v>
      </c>
      <c r="AB266" s="45"/>
      <c r="AC266" s="45"/>
      <c r="AD266" s="45"/>
      <c r="AE266" s="45">
        <v>0</v>
      </c>
      <c r="AF266" s="45"/>
      <c r="AG266" s="45"/>
      <c r="AH266" s="45"/>
      <c r="AI266" s="45">
        <v>26661</v>
      </c>
      <c r="AJ266" s="45"/>
      <c r="AK266" s="45">
        <v>0</v>
      </c>
      <c r="AL266" s="45"/>
      <c r="AM266" s="49">
        <f t="shared" si="29"/>
        <v>32161</v>
      </c>
      <c r="AN266" s="45"/>
      <c r="AO266" s="49">
        <f t="shared" si="28"/>
        <v>61060620</v>
      </c>
    </row>
    <row r="267" spans="1:41">
      <c r="A267" s="12" t="s">
        <v>465</v>
      </c>
      <c r="B267" s="12"/>
      <c r="C267" s="12" t="s">
        <v>45</v>
      </c>
      <c r="D267" s="12"/>
      <c r="E267" s="13">
        <v>48322</v>
      </c>
      <c r="F267" s="45"/>
      <c r="G267" s="45">
        <v>5181369</v>
      </c>
      <c r="H267" s="45"/>
      <c r="I267" s="45">
        <v>0</v>
      </c>
      <c r="J267" s="45"/>
      <c r="K267" s="45">
        <f>22965+3837483+861173</f>
        <v>4721621</v>
      </c>
      <c r="L267" s="45"/>
      <c r="M267" s="45">
        <v>12975</v>
      </c>
      <c r="N267" s="45"/>
      <c r="O267" s="45">
        <v>420915</v>
      </c>
      <c r="P267" s="45"/>
      <c r="Q267" s="45">
        <v>78512</v>
      </c>
      <c r="R267" s="45"/>
      <c r="S267" s="45">
        <v>0</v>
      </c>
      <c r="T267" s="45"/>
      <c r="U267" s="45">
        <v>21619</v>
      </c>
      <c r="V267" s="45"/>
      <c r="W267" s="45">
        <f>196320+100+9374+175959</f>
        <v>381753</v>
      </c>
      <c r="X267" s="45"/>
      <c r="Y267" s="49">
        <f t="shared" si="26"/>
        <v>10818764</v>
      </c>
      <c r="Z267" s="45"/>
      <c r="AA267" s="45">
        <v>476961</v>
      </c>
      <c r="AB267" s="45"/>
      <c r="AC267" s="45"/>
      <c r="AD267" s="45"/>
      <c r="AE267" s="45">
        <v>0</v>
      </c>
      <c r="AF267" s="45"/>
      <c r="AG267" s="45"/>
      <c r="AH267" s="45"/>
      <c r="AI267" s="45">
        <v>0</v>
      </c>
      <c r="AJ267" s="45"/>
      <c r="AK267" s="45">
        <v>0</v>
      </c>
      <c r="AL267" s="45"/>
      <c r="AM267" s="49">
        <f t="shared" si="29"/>
        <v>476961</v>
      </c>
      <c r="AN267" s="45"/>
      <c r="AO267" s="49">
        <f t="shared" si="28"/>
        <v>11295725</v>
      </c>
    </row>
    <row r="268" spans="1:41">
      <c r="A268" s="12" t="s">
        <v>534</v>
      </c>
      <c r="B268" s="12"/>
      <c r="C268" s="12" t="s">
        <v>56</v>
      </c>
      <c r="D268" s="12"/>
      <c r="E268" s="13">
        <v>49205</v>
      </c>
      <c r="F268" s="45"/>
      <c r="G268" s="45">
        <v>4810936</v>
      </c>
      <c r="H268" s="45"/>
      <c r="I268" s="45">
        <v>0</v>
      </c>
      <c r="J268" s="45"/>
      <c r="K268" s="45">
        <f>111361+6619297+1392569</f>
        <v>8123227</v>
      </c>
      <c r="L268" s="45"/>
      <c r="M268" s="45">
        <v>18425</v>
      </c>
      <c r="N268" s="45"/>
      <c r="O268" s="45">
        <v>1082536</v>
      </c>
      <c r="P268" s="45"/>
      <c r="Q268" s="45">
        <v>125857</v>
      </c>
      <c r="R268" s="45"/>
      <c r="S268" s="45">
        <v>0</v>
      </c>
      <c r="T268" s="45"/>
      <c r="U268" s="45">
        <v>0</v>
      </c>
      <c r="V268" s="45"/>
      <c r="W268" s="45">
        <f>184717+20256+300893+11352</f>
        <v>517218</v>
      </c>
      <c r="X268" s="45"/>
      <c r="Y268" s="49">
        <f t="shared" si="26"/>
        <v>14678199</v>
      </c>
      <c r="Z268" s="45"/>
      <c r="AA268" s="45">
        <v>0</v>
      </c>
      <c r="AB268" s="45"/>
      <c r="AC268" s="45"/>
      <c r="AD268" s="45"/>
      <c r="AE268" s="45">
        <v>0</v>
      </c>
      <c r="AF268" s="45"/>
      <c r="AG268" s="45"/>
      <c r="AH268" s="45"/>
      <c r="AI268" s="45">
        <v>2070</v>
      </c>
      <c r="AJ268" s="45"/>
      <c r="AK268" s="45">
        <v>0</v>
      </c>
      <c r="AL268" s="45"/>
      <c r="AM268" s="49">
        <f t="shared" si="29"/>
        <v>2070</v>
      </c>
      <c r="AN268" s="45"/>
      <c r="AO268" s="49">
        <f t="shared" si="28"/>
        <v>14680269</v>
      </c>
    </row>
    <row r="269" spans="1:41">
      <c r="A269" s="17" t="s">
        <v>212</v>
      </c>
      <c r="B269" s="12"/>
      <c r="C269" s="12" t="s">
        <v>12</v>
      </c>
      <c r="D269" s="12"/>
      <c r="E269" s="13">
        <v>45872</v>
      </c>
      <c r="F269" s="45"/>
      <c r="G269" s="45">
        <v>6052190</v>
      </c>
      <c r="H269" s="45"/>
      <c r="I269" s="45">
        <v>0</v>
      </c>
      <c r="J269" s="45"/>
      <c r="K269" s="45">
        <v>11814478</v>
      </c>
      <c r="L269" s="45"/>
      <c r="M269" s="45">
        <v>203537</v>
      </c>
      <c r="N269" s="45"/>
      <c r="O269" s="45">
        <v>792011</v>
      </c>
      <c r="P269" s="45"/>
      <c r="Q269" s="45">
        <v>117165</v>
      </c>
      <c r="R269" s="45"/>
      <c r="S269" s="45">
        <v>0</v>
      </c>
      <c r="T269" s="45"/>
      <c r="U269" s="45">
        <v>31073</v>
      </c>
      <c r="V269" s="45"/>
      <c r="W269" s="45">
        <f>284371+457409</f>
        <v>741780</v>
      </c>
      <c r="X269" s="45"/>
      <c r="Y269" s="49">
        <f t="shared" si="26"/>
        <v>19752234</v>
      </c>
      <c r="Z269" s="45"/>
      <c r="AA269" s="45">
        <v>160883</v>
      </c>
      <c r="AB269" s="45"/>
      <c r="AC269" s="45"/>
      <c r="AD269" s="45"/>
      <c r="AE269" s="45">
        <v>0</v>
      </c>
      <c r="AF269" s="45"/>
      <c r="AG269" s="45"/>
      <c r="AH269" s="45"/>
      <c r="AI269" s="45">
        <v>59442</v>
      </c>
      <c r="AJ269" s="45"/>
      <c r="AK269" s="45">
        <v>0</v>
      </c>
      <c r="AL269" s="45"/>
      <c r="AM269" s="49">
        <f t="shared" si="29"/>
        <v>220325</v>
      </c>
      <c r="AN269" s="45"/>
      <c r="AO269" s="49">
        <f t="shared" si="28"/>
        <v>19972559</v>
      </c>
    </row>
    <row r="270" spans="1:41">
      <c r="A270" s="12" t="s">
        <v>457</v>
      </c>
      <c r="B270" s="12"/>
      <c r="C270" s="12" t="s">
        <v>458</v>
      </c>
      <c r="D270" s="12"/>
      <c r="E270" s="13">
        <v>48256</v>
      </c>
      <c r="F270" s="45"/>
      <c r="G270" s="45">
        <v>6389109</v>
      </c>
      <c r="H270" s="45"/>
      <c r="I270" s="45">
        <v>744306</v>
      </c>
      <c r="J270" s="45"/>
      <c r="K270" s="45">
        <f>1879+4945036+1202469</f>
        <v>6149384</v>
      </c>
      <c r="L270" s="45"/>
      <c r="M270" s="45">
        <v>32291</v>
      </c>
      <c r="N270" s="45"/>
      <c r="O270" s="45">
        <v>672398</v>
      </c>
      <c r="P270" s="45"/>
      <c r="Q270" s="45">
        <v>176684</v>
      </c>
      <c r="R270" s="45"/>
      <c r="S270" s="45">
        <v>172750</v>
      </c>
      <c r="T270" s="45"/>
      <c r="U270" s="45">
        <v>22086</v>
      </c>
      <c r="V270" s="45"/>
      <c r="W270" s="45">
        <f>333854+34470+4857+417858</f>
        <v>791039</v>
      </c>
      <c r="X270" s="45"/>
      <c r="Y270" s="49">
        <f t="shared" si="26"/>
        <v>15150047</v>
      </c>
      <c r="Z270" s="45"/>
      <c r="AA270" s="45">
        <v>322516</v>
      </c>
      <c r="AB270" s="45"/>
      <c r="AC270" s="45"/>
      <c r="AD270" s="45"/>
      <c r="AE270" s="45">
        <v>1496800</v>
      </c>
      <c r="AF270" s="45"/>
      <c r="AG270" s="45"/>
      <c r="AH270" s="45"/>
      <c r="AI270" s="45">
        <v>0</v>
      </c>
      <c r="AJ270" s="45"/>
      <c r="AK270" s="45">
        <v>0</v>
      </c>
      <c r="AL270" s="45"/>
      <c r="AM270" s="49">
        <f>AI270+AE270+AA270</f>
        <v>1819316</v>
      </c>
      <c r="AN270" s="45"/>
      <c r="AO270" s="49">
        <f t="shared" ref="AO270:AO302" si="30">Y270+AM270</f>
        <v>16969363</v>
      </c>
    </row>
    <row r="271" spans="1:41">
      <c r="A271" s="17" t="s">
        <v>498</v>
      </c>
      <c r="B271" s="12"/>
      <c r="C271" s="12" t="s">
        <v>50</v>
      </c>
      <c r="D271" s="12"/>
      <c r="E271" s="13">
        <v>48686</v>
      </c>
      <c r="F271" s="45"/>
      <c r="G271" s="45">
        <v>2776743</v>
      </c>
      <c r="H271" s="45"/>
      <c r="I271" s="45">
        <v>0</v>
      </c>
      <c r="J271" s="45"/>
      <c r="K271" s="45">
        <f>4777427+1744980</f>
        <v>6522407</v>
      </c>
      <c r="L271" s="45"/>
      <c r="M271" s="45">
        <v>2991</v>
      </c>
      <c r="N271" s="45"/>
      <c r="O271" s="45">
        <v>551228</v>
      </c>
      <c r="P271" s="45"/>
      <c r="Q271" s="45">
        <v>28806</v>
      </c>
      <c r="R271" s="45"/>
      <c r="S271" s="45">
        <v>0</v>
      </c>
      <c r="T271" s="45"/>
      <c r="U271" s="45">
        <v>0</v>
      </c>
      <c r="V271" s="45"/>
      <c r="W271" s="45">
        <f>145316+35659</f>
        <v>180975</v>
      </c>
      <c r="X271" s="45"/>
      <c r="Y271" s="49">
        <f t="shared" si="26"/>
        <v>10063150</v>
      </c>
      <c r="Z271" s="45"/>
      <c r="AA271" s="45">
        <v>35000</v>
      </c>
      <c r="AB271" s="45"/>
      <c r="AC271" s="45"/>
      <c r="AD271" s="45"/>
      <c r="AE271" s="45">
        <v>0</v>
      </c>
      <c r="AF271" s="45"/>
      <c r="AG271" s="45"/>
      <c r="AH271" s="45"/>
      <c r="AI271" s="45">
        <v>0</v>
      </c>
      <c r="AJ271" s="45"/>
      <c r="AK271" s="45">
        <v>122683</v>
      </c>
      <c r="AL271" s="45"/>
      <c r="AM271" s="49">
        <f>AI271+AE271+AA271+AK271</f>
        <v>157683</v>
      </c>
      <c r="AN271" s="45"/>
      <c r="AO271" s="49">
        <f t="shared" si="30"/>
        <v>10220833</v>
      </c>
    </row>
    <row r="272" spans="1:41" hidden="1">
      <c r="A272" s="17" t="s">
        <v>821</v>
      </c>
      <c r="B272" s="17"/>
      <c r="C272" s="17" t="s">
        <v>542</v>
      </c>
      <c r="D272" s="12"/>
      <c r="E272" s="13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>
        <v>0</v>
      </c>
      <c r="T272" s="45"/>
      <c r="U272" s="45">
        <v>0</v>
      </c>
      <c r="V272" s="45"/>
      <c r="W272" s="45"/>
      <c r="X272" s="45"/>
      <c r="Y272" s="49">
        <f t="shared" si="26"/>
        <v>0</v>
      </c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9"/>
      <c r="AN272" s="45"/>
      <c r="AO272" s="49">
        <f t="shared" si="30"/>
        <v>0</v>
      </c>
    </row>
    <row r="273" spans="1:41">
      <c r="A273" s="12" t="s">
        <v>428</v>
      </c>
      <c r="B273" s="12"/>
      <c r="C273" s="12" t="s">
        <v>42</v>
      </c>
      <c r="D273" s="12"/>
      <c r="E273" s="13">
        <v>47985</v>
      </c>
      <c r="F273" s="45"/>
      <c r="G273" s="45">
        <v>6230214</v>
      </c>
      <c r="H273" s="45"/>
      <c r="I273" s="45">
        <v>2074357</v>
      </c>
      <c r="J273" s="45"/>
      <c r="K273" s="45">
        <f>5634753+1128447</f>
        <v>6763200</v>
      </c>
      <c r="L273" s="45"/>
      <c r="M273" s="45">
        <v>26769</v>
      </c>
      <c r="N273" s="45"/>
      <c r="O273" s="45">
        <v>214289</v>
      </c>
      <c r="P273" s="45"/>
      <c r="Q273" s="45">
        <v>150650</v>
      </c>
      <c r="R273" s="45"/>
      <c r="S273" s="45">
        <v>0</v>
      </c>
      <c r="T273" s="45"/>
      <c r="U273" s="45">
        <v>8655</v>
      </c>
      <c r="V273" s="45"/>
      <c r="W273" s="45">
        <f>171677+5144+110581+267976+66683</f>
        <v>622061</v>
      </c>
      <c r="X273" s="45"/>
      <c r="Y273" s="49">
        <f t="shared" si="26"/>
        <v>16090195</v>
      </c>
      <c r="Z273" s="45"/>
      <c r="AA273" s="45">
        <v>124161</v>
      </c>
      <c r="AB273" s="45"/>
      <c r="AC273" s="45"/>
      <c r="AD273" s="45"/>
      <c r="AE273" s="45">
        <v>0</v>
      </c>
      <c r="AF273" s="45"/>
      <c r="AG273" s="45"/>
      <c r="AH273" s="45"/>
      <c r="AI273" s="45">
        <v>0</v>
      </c>
      <c r="AJ273" s="45"/>
      <c r="AK273" s="45">
        <v>0</v>
      </c>
      <c r="AL273" s="45"/>
      <c r="AM273" s="49">
        <f t="shared" ref="AM273:AM305" si="31">AI273+AE273+AA273</f>
        <v>124161</v>
      </c>
      <c r="AN273" s="45"/>
      <c r="AO273" s="49">
        <f t="shared" si="30"/>
        <v>16214356</v>
      </c>
    </row>
    <row r="274" spans="1:41">
      <c r="A274" s="12" t="s">
        <v>459</v>
      </c>
      <c r="B274" s="12"/>
      <c r="C274" s="12" t="s">
        <v>458</v>
      </c>
      <c r="D274" s="12"/>
      <c r="E274" s="13">
        <v>48264</v>
      </c>
      <c r="F274" s="45"/>
      <c r="G274" s="45">
        <v>9189912</v>
      </c>
      <c r="H274" s="45"/>
      <c r="I274" s="45">
        <v>0</v>
      </c>
      <c r="J274" s="45"/>
      <c r="K274" s="45">
        <f>6081+19401866+1615904</f>
        <v>21023851</v>
      </c>
      <c r="L274" s="45"/>
      <c r="M274" s="45">
        <v>6000</v>
      </c>
      <c r="N274" s="45"/>
      <c r="O274" s="45">
        <v>793789</v>
      </c>
      <c r="P274" s="45"/>
      <c r="Q274" s="45">
        <v>426132</v>
      </c>
      <c r="R274" s="45"/>
      <c r="S274" s="45">
        <v>0</v>
      </c>
      <c r="T274" s="45"/>
      <c r="U274" s="45">
        <v>0</v>
      </c>
      <c r="V274" s="45"/>
      <c r="W274" s="45">
        <f>61689+112933+464172</f>
        <v>638794</v>
      </c>
      <c r="X274" s="45"/>
      <c r="Y274" s="49">
        <f t="shared" si="26"/>
        <v>32078478</v>
      </c>
      <c r="Z274" s="45"/>
      <c r="AA274" s="45">
        <v>589256</v>
      </c>
      <c r="AB274" s="45"/>
      <c r="AC274" s="45"/>
      <c r="AD274" s="45"/>
      <c r="AE274" s="45">
        <v>0</v>
      </c>
      <c r="AF274" s="45"/>
      <c r="AG274" s="45"/>
      <c r="AH274" s="45"/>
      <c r="AI274" s="45">
        <v>0</v>
      </c>
      <c r="AJ274" s="45"/>
      <c r="AK274" s="45">
        <v>0</v>
      </c>
      <c r="AL274" s="45"/>
      <c r="AM274" s="49">
        <f t="shared" si="31"/>
        <v>589256</v>
      </c>
      <c r="AN274" s="45"/>
      <c r="AO274" s="49">
        <f t="shared" si="30"/>
        <v>32667734</v>
      </c>
    </row>
    <row r="275" spans="1:41">
      <c r="A275" s="12" t="s">
        <v>606</v>
      </c>
      <c r="B275" s="12"/>
      <c r="C275" s="12" t="s">
        <v>64</v>
      </c>
      <c r="D275" s="12"/>
      <c r="E275" s="13">
        <v>50179</v>
      </c>
      <c r="F275" s="45"/>
      <c r="G275" s="45">
        <v>3385679</v>
      </c>
      <c r="H275" s="45"/>
      <c r="I275" s="45">
        <v>0</v>
      </c>
      <c r="J275" s="45"/>
      <c r="K275" s="45">
        <v>5708830</v>
      </c>
      <c r="L275" s="45"/>
      <c r="M275" s="45">
        <v>8026</v>
      </c>
      <c r="N275" s="45"/>
      <c r="O275" s="45">
        <v>358391</v>
      </c>
      <c r="P275" s="45"/>
      <c r="Q275" s="45">
        <v>96415</v>
      </c>
      <c r="R275" s="45"/>
      <c r="S275" s="45">
        <v>0</v>
      </c>
      <c r="T275" s="45"/>
      <c r="U275" s="45">
        <v>26787</v>
      </c>
      <c r="V275" s="45"/>
      <c r="W275" s="45">
        <f>7647+50695</f>
        <v>58342</v>
      </c>
      <c r="X275" s="45"/>
      <c r="Y275" s="49">
        <f t="shared" si="26"/>
        <v>9642470</v>
      </c>
      <c r="Z275" s="45"/>
      <c r="AA275" s="45">
        <v>60382</v>
      </c>
      <c r="AB275" s="45"/>
      <c r="AC275" s="45"/>
      <c r="AD275" s="45"/>
      <c r="AE275" s="45">
        <v>0</v>
      </c>
      <c r="AF275" s="45"/>
      <c r="AG275" s="45"/>
      <c r="AH275" s="45"/>
      <c r="AI275" s="45">
        <v>0</v>
      </c>
      <c r="AJ275" s="45"/>
      <c r="AK275" s="45">
        <v>0</v>
      </c>
      <c r="AL275" s="45"/>
      <c r="AM275" s="49">
        <f t="shared" si="31"/>
        <v>60382</v>
      </c>
      <c r="AN275" s="45"/>
      <c r="AO275" s="49">
        <f t="shared" si="30"/>
        <v>9702852</v>
      </c>
    </row>
    <row r="276" spans="1:41" hidden="1">
      <c r="A276" s="12" t="s">
        <v>316</v>
      </c>
      <c r="B276" s="12"/>
      <c r="C276" s="12" t="s">
        <v>24</v>
      </c>
      <c r="D276" s="12"/>
      <c r="E276" s="13">
        <v>46797</v>
      </c>
      <c r="F276" s="45"/>
      <c r="G276" s="45"/>
      <c r="H276" s="45"/>
      <c r="I276" s="45">
        <v>0</v>
      </c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9">
        <f t="shared" si="26"/>
        <v>0</v>
      </c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>
        <v>0</v>
      </c>
      <c r="AL276" s="45"/>
      <c r="AM276" s="49">
        <f t="shared" si="31"/>
        <v>0</v>
      </c>
      <c r="AN276" s="45"/>
      <c r="AO276" s="49">
        <f t="shared" si="30"/>
        <v>0</v>
      </c>
    </row>
    <row r="277" spans="1:41">
      <c r="A277" s="12" t="s">
        <v>353</v>
      </c>
      <c r="B277" s="12"/>
      <c r="C277" s="12" t="s">
        <v>30</v>
      </c>
      <c r="D277" s="12"/>
      <c r="E277" s="13">
        <v>47191</v>
      </c>
      <c r="F277" s="45"/>
      <c r="G277" s="45">
        <v>25332808</v>
      </c>
      <c r="H277" s="45"/>
      <c r="I277" s="45">
        <v>0</v>
      </c>
      <c r="J277" s="45"/>
      <c r="K277" s="45">
        <v>12552381</v>
      </c>
      <c r="L277" s="45"/>
      <c r="M277" s="45">
        <v>65671</v>
      </c>
      <c r="N277" s="45"/>
      <c r="O277" s="45">
        <v>153813</v>
      </c>
      <c r="P277" s="45"/>
      <c r="Q277" s="45">
        <v>726937</v>
      </c>
      <c r="R277" s="45"/>
      <c r="S277" s="45">
        <v>0</v>
      </c>
      <c r="T277" s="45"/>
      <c r="U277" s="45">
        <v>0</v>
      </c>
      <c r="V277" s="45"/>
      <c r="W277" s="45">
        <v>244835</v>
      </c>
      <c r="X277" s="45"/>
      <c r="Y277" s="49">
        <f t="shared" si="26"/>
        <v>39076445</v>
      </c>
      <c r="Z277" s="45"/>
      <c r="AA277" s="45">
        <v>116585</v>
      </c>
      <c r="AB277" s="45"/>
      <c r="AC277" s="45"/>
      <c r="AD277" s="45"/>
      <c r="AE277" s="45">
        <v>275000</v>
      </c>
      <c r="AF277" s="45"/>
      <c r="AG277" s="45"/>
      <c r="AH277" s="45"/>
      <c r="AI277" s="45">
        <v>50000</v>
      </c>
      <c r="AJ277" s="45"/>
      <c r="AK277" s="45">
        <v>0</v>
      </c>
      <c r="AL277" s="45"/>
      <c r="AM277" s="49">
        <f t="shared" si="31"/>
        <v>441585</v>
      </c>
      <c r="AN277" s="45"/>
      <c r="AO277" s="49">
        <f t="shared" si="30"/>
        <v>39518030</v>
      </c>
    </row>
    <row r="278" spans="1:41">
      <c r="A278" s="12" t="s">
        <v>535</v>
      </c>
      <c r="B278" s="12"/>
      <c r="C278" s="12" t="s">
        <v>56</v>
      </c>
      <c r="D278" s="12"/>
      <c r="E278" s="13">
        <v>44164</v>
      </c>
      <c r="F278" s="45"/>
      <c r="G278" s="45">
        <v>23884190</v>
      </c>
      <c r="H278" s="45"/>
      <c r="I278" s="45">
        <v>0</v>
      </c>
      <c r="J278" s="45"/>
      <c r="K278" s="45">
        <v>22477648</v>
      </c>
      <c r="L278" s="45"/>
      <c r="M278" s="45">
        <v>66770</v>
      </c>
      <c r="N278" s="45"/>
      <c r="O278" s="45">
        <v>2857679</v>
      </c>
      <c r="P278" s="45"/>
      <c r="Q278" s="45">
        <v>304753</v>
      </c>
      <c r="R278" s="45"/>
      <c r="S278" s="45">
        <v>0</v>
      </c>
      <c r="T278" s="45"/>
      <c r="U278" s="45">
        <v>80207</v>
      </c>
      <c r="V278" s="45"/>
      <c r="W278" s="45">
        <f>707096+179276+146692</f>
        <v>1033064</v>
      </c>
      <c r="X278" s="45"/>
      <c r="Y278" s="49">
        <f t="shared" si="26"/>
        <v>50704311</v>
      </c>
      <c r="Z278" s="45"/>
      <c r="AA278" s="45">
        <v>613403</v>
      </c>
      <c r="AB278" s="45"/>
      <c r="AC278" s="45"/>
      <c r="AD278" s="45"/>
      <c r="AE278" s="45">
        <v>0</v>
      </c>
      <c r="AF278" s="45"/>
      <c r="AG278" s="45"/>
      <c r="AH278" s="45"/>
      <c r="AI278" s="45">
        <v>0</v>
      </c>
      <c r="AJ278" s="45"/>
      <c r="AK278" s="45">
        <v>0</v>
      </c>
      <c r="AL278" s="45"/>
      <c r="AM278" s="49">
        <f t="shared" si="31"/>
        <v>613403</v>
      </c>
      <c r="AN278" s="45"/>
      <c r="AO278" s="49">
        <f t="shared" si="30"/>
        <v>51317714</v>
      </c>
    </row>
    <row r="279" spans="1:41">
      <c r="A279" s="12" t="s">
        <v>385</v>
      </c>
      <c r="B279" s="12"/>
      <c r="C279" s="12" t="s">
        <v>383</v>
      </c>
      <c r="D279" s="12"/>
      <c r="E279" s="13">
        <v>44172</v>
      </c>
      <c r="F279" s="45"/>
      <c r="G279" s="45">
        <v>3487699</v>
      </c>
      <c r="H279" s="45"/>
      <c r="I279" s="45">
        <v>1611921</v>
      </c>
      <c r="J279" s="45"/>
      <c r="K279" s="45">
        <v>12307300</v>
      </c>
      <c r="L279" s="45"/>
      <c r="M279" s="45">
        <v>33173</v>
      </c>
      <c r="N279" s="45"/>
      <c r="O279" s="45">
        <v>716843</v>
      </c>
      <c r="P279" s="45"/>
      <c r="Q279" s="45">
        <v>183120</v>
      </c>
      <c r="R279" s="45"/>
      <c r="S279" s="45">
        <v>0</v>
      </c>
      <c r="T279" s="45"/>
      <c r="U279" s="45">
        <v>7734</v>
      </c>
      <c r="V279" s="45"/>
      <c r="W279" s="45">
        <f>344278+131301</f>
        <v>475579</v>
      </c>
      <c r="X279" s="45"/>
      <c r="Y279" s="49">
        <f t="shared" si="26"/>
        <v>18823369</v>
      </c>
      <c r="Z279" s="45"/>
      <c r="AA279" s="45">
        <v>0</v>
      </c>
      <c r="AB279" s="45"/>
      <c r="AC279" s="45"/>
      <c r="AD279" s="45"/>
      <c r="AE279" s="45">
        <v>135876</v>
      </c>
      <c r="AF279" s="45"/>
      <c r="AG279" s="45"/>
      <c r="AH279" s="45"/>
      <c r="AI279" s="45">
        <v>0</v>
      </c>
      <c r="AJ279" s="45"/>
      <c r="AK279" s="45">
        <v>0</v>
      </c>
      <c r="AL279" s="45"/>
      <c r="AM279" s="49">
        <f t="shared" si="31"/>
        <v>135876</v>
      </c>
      <c r="AN279" s="45"/>
      <c r="AO279" s="49">
        <f t="shared" si="30"/>
        <v>18959245</v>
      </c>
    </row>
    <row r="280" spans="1:41">
      <c r="A280" s="12" t="s">
        <v>499</v>
      </c>
      <c r="B280" s="12"/>
      <c r="C280" s="12" t="s">
        <v>50</v>
      </c>
      <c r="D280" s="12"/>
      <c r="E280" s="13">
        <v>44180</v>
      </c>
      <c r="F280" s="45"/>
      <c r="G280" s="45">
        <v>52813987</v>
      </c>
      <c r="H280" s="45"/>
      <c r="I280" s="45">
        <v>0</v>
      </c>
      <c r="J280" s="45"/>
      <c r="K280" s="45">
        <v>37499623</v>
      </c>
      <c r="L280" s="45"/>
      <c r="M280" s="45">
        <v>184639</v>
      </c>
      <c r="N280" s="45"/>
      <c r="O280" s="45">
        <v>763831</v>
      </c>
      <c r="P280" s="45"/>
      <c r="Q280" s="45">
        <v>683015</v>
      </c>
      <c r="R280" s="45"/>
      <c r="S280" s="45">
        <v>0</v>
      </c>
      <c r="T280" s="45"/>
      <c r="U280" s="45">
        <v>0</v>
      </c>
      <c r="V280" s="45"/>
      <c r="W280" s="45">
        <f>34700+1687589+181273+1303659</f>
        <v>3207221</v>
      </c>
      <c r="X280" s="45"/>
      <c r="Y280" s="49">
        <f t="shared" si="26"/>
        <v>95152316</v>
      </c>
      <c r="Z280" s="45"/>
      <c r="AA280" s="45">
        <v>343500</v>
      </c>
      <c r="AB280" s="45"/>
      <c r="AC280" s="45"/>
      <c r="AD280" s="45"/>
      <c r="AE280" s="45">
        <v>0</v>
      </c>
      <c r="AF280" s="45"/>
      <c r="AG280" s="45"/>
      <c r="AH280" s="45"/>
      <c r="AI280" s="45">
        <v>0</v>
      </c>
      <c r="AJ280" s="45"/>
      <c r="AK280" s="45">
        <v>0</v>
      </c>
      <c r="AL280" s="45"/>
      <c r="AM280" s="49">
        <f t="shared" si="31"/>
        <v>343500</v>
      </c>
      <c r="AN280" s="45"/>
      <c r="AO280" s="49">
        <f t="shared" si="30"/>
        <v>95495816</v>
      </c>
    </row>
    <row r="281" spans="1:41">
      <c r="A281" s="12" t="s">
        <v>442</v>
      </c>
      <c r="B281" s="12"/>
      <c r="C281" s="12" t="s">
        <v>44</v>
      </c>
      <c r="D281" s="12"/>
      <c r="E281" s="13">
        <v>48165</v>
      </c>
      <c r="F281" s="45"/>
      <c r="G281" s="45">
        <v>6273572</v>
      </c>
      <c r="H281" s="45"/>
      <c r="I281" s="45">
        <v>0</v>
      </c>
      <c r="J281" s="45"/>
      <c r="K281" s="45">
        <f>5902+7885218+1361162</f>
        <v>9252282</v>
      </c>
      <c r="L281" s="45"/>
      <c r="M281" s="45">
        <v>28962</v>
      </c>
      <c r="N281" s="45"/>
      <c r="O281" s="45">
        <v>454021</v>
      </c>
      <c r="P281" s="45"/>
      <c r="Q281" s="45">
        <v>72030</v>
      </c>
      <c r="R281" s="45"/>
      <c r="S281" s="45">
        <v>0</v>
      </c>
      <c r="T281" s="45"/>
      <c r="U281" s="45">
        <v>16820</v>
      </c>
      <c r="V281" s="45"/>
      <c r="W281" s="45">
        <f>341006+67492+6269+7197+336753</f>
        <v>758717</v>
      </c>
      <c r="X281" s="45"/>
      <c r="Y281" s="49">
        <f t="shared" si="26"/>
        <v>16856404</v>
      </c>
      <c r="Z281" s="45"/>
      <c r="AA281" s="45">
        <v>25000</v>
      </c>
      <c r="AB281" s="45"/>
      <c r="AC281" s="45"/>
      <c r="AD281" s="45"/>
      <c r="AE281" s="45">
        <v>0</v>
      </c>
      <c r="AF281" s="45"/>
      <c r="AG281" s="45"/>
      <c r="AH281" s="45"/>
      <c r="AI281" s="45">
        <v>1807</v>
      </c>
      <c r="AJ281" s="45"/>
      <c r="AK281" s="45">
        <v>0</v>
      </c>
      <c r="AL281" s="45"/>
      <c r="AM281" s="49">
        <f t="shared" si="31"/>
        <v>26807</v>
      </c>
      <c r="AN281" s="45"/>
      <c r="AO281" s="49">
        <f t="shared" si="30"/>
        <v>16883211</v>
      </c>
    </row>
    <row r="282" spans="1:41">
      <c r="A282" s="12" t="s">
        <v>633</v>
      </c>
      <c r="B282" s="12"/>
      <c r="C282" s="12" t="s">
        <v>69</v>
      </c>
      <c r="D282" s="12"/>
      <c r="E282" s="13">
        <v>50435</v>
      </c>
      <c r="F282" s="45"/>
      <c r="G282" s="45">
        <v>23057666</v>
      </c>
      <c r="H282" s="45"/>
      <c r="I282" s="45">
        <v>0</v>
      </c>
      <c r="J282" s="45"/>
      <c r="K282" s="45">
        <v>16579392</v>
      </c>
      <c r="L282" s="45"/>
      <c r="M282" s="45">
        <v>33318</v>
      </c>
      <c r="N282" s="45"/>
      <c r="O282" s="45">
        <v>632254</v>
      </c>
      <c r="P282" s="45"/>
      <c r="Q282" s="45">
        <v>116184</v>
      </c>
      <c r="R282" s="45"/>
      <c r="S282" s="45">
        <v>934393</v>
      </c>
      <c r="T282" s="45"/>
      <c r="U282" s="45">
        <v>0</v>
      </c>
      <c r="V282" s="45"/>
      <c r="W282" s="45">
        <v>592530</v>
      </c>
      <c r="X282" s="45"/>
      <c r="Y282" s="49">
        <f t="shared" si="26"/>
        <v>41945737</v>
      </c>
      <c r="Z282" s="45"/>
      <c r="AA282" s="45">
        <v>0</v>
      </c>
      <c r="AB282" s="45"/>
      <c r="AC282" s="45"/>
      <c r="AD282" s="45"/>
      <c r="AE282" s="45">
        <v>0</v>
      </c>
      <c r="AF282" s="45"/>
      <c r="AG282" s="45"/>
      <c r="AH282" s="45"/>
      <c r="AI282" s="45">
        <v>1100</v>
      </c>
      <c r="AJ282" s="45"/>
      <c r="AK282" s="45">
        <v>0</v>
      </c>
      <c r="AL282" s="45"/>
      <c r="AM282" s="49">
        <f t="shared" si="31"/>
        <v>1100</v>
      </c>
      <c r="AN282" s="45"/>
      <c r="AO282" s="49">
        <f t="shared" si="30"/>
        <v>41946837</v>
      </c>
    </row>
    <row r="283" spans="1:41" hidden="1">
      <c r="A283" s="17" t="s">
        <v>863</v>
      </c>
      <c r="B283" s="12"/>
      <c r="C283" s="12" t="s">
        <v>41</v>
      </c>
      <c r="D283" s="12"/>
      <c r="E283" s="13">
        <v>47878</v>
      </c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9">
        <f t="shared" si="26"/>
        <v>0</v>
      </c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>
        <v>0</v>
      </c>
      <c r="AL283" s="45"/>
      <c r="AM283" s="49">
        <f t="shared" si="31"/>
        <v>0</v>
      </c>
      <c r="AN283" s="45"/>
      <c r="AO283" s="49">
        <f t="shared" si="30"/>
        <v>0</v>
      </c>
    </row>
    <row r="284" spans="1:41">
      <c r="A284" s="12" t="s">
        <v>607</v>
      </c>
      <c r="B284" s="12"/>
      <c r="C284" s="12" t="s">
        <v>64</v>
      </c>
      <c r="D284" s="12"/>
      <c r="E284" s="13">
        <v>50245</v>
      </c>
      <c r="F284" s="45"/>
      <c r="G284" s="45">
        <v>3275525</v>
      </c>
      <c r="H284" s="45"/>
      <c r="I284" s="45">
        <v>0</v>
      </c>
      <c r="J284" s="45"/>
      <c r="K284" s="45">
        <f>8318726+1981181</f>
        <v>10299907</v>
      </c>
      <c r="L284" s="45"/>
      <c r="M284" s="45">
        <v>22862</v>
      </c>
      <c r="N284" s="45"/>
      <c r="O284" s="45">
        <v>1193534</v>
      </c>
      <c r="P284" s="45"/>
      <c r="Q284" s="45">
        <v>202196</v>
      </c>
      <c r="R284" s="45"/>
      <c r="S284" s="45">
        <v>0</v>
      </c>
      <c r="T284" s="45"/>
      <c r="U284" s="45">
        <v>0</v>
      </c>
      <c r="V284" s="45"/>
      <c r="W284" s="45">
        <f>217323+32301+110180</f>
        <v>359804</v>
      </c>
      <c r="X284" s="45"/>
      <c r="Y284" s="49">
        <f t="shared" si="26"/>
        <v>15353828</v>
      </c>
      <c r="Z284" s="45"/>
      <c r="AA284" s="45">
        <v>0</v>
      </c>
      <c r="AB284" s="45"/>
      <c r="AC284" s="45"/>
      <c r="AD284" s="45"/>
      <c r="AE284" s="45">
        <v>0</v>
      </c>
      <c r="AF284" s="45"/>
      <c r="AG284" s="45"/>
      <c r="AH284" s="45"/>
      <c r="AI284" s="45">
        <v>0</v>
      </c>
      <c r="AJ284" s="45"/>
      <c r="AK284" s="45">
        <v>0</v>
      </c>
      <c r="AL284" s="45"/>
      <c r="AM284" s="49">
        <f t="shared" si="31"/>
        <v>0</v>
      </c>
      <c r="AN284" s="45"/>
      <c r="AO284" s="49">
        <f t="shared" si="30"/>
        <v>15353828</v>
      </c>
    </row>
    <row r="285" spans="1:41">
      <c r="A285" s="12" t="s">
        <v>577</v>
      </c>
      <c r="B285" s="12"/>
      <c r="C285" s="12" t="s">
        <v>62</v>
      </c>
      <c r="D285" s="12"/>
      <c r="E285" s="13">
        <v>49866</v>
      </c>
      <c r="F285" s="45"/>
      <c r="G285" s="45">
        <v>14120128</v>
      </c>
      <c r="H285" s="45"/>
      <c r="I285" s="45">
        <v>0</v>
      </c>
      <c r="J285" s="45"/>
      <c r="K285" s="45">
        <v>19201234</v>
      </c>
      <c r="L285" s="45"/>
      <c r="M285" s="45">
        <v>13582</v>
      </c>
      <c r="N285" s="45"/>
      <c r="O285" s="45">
        <v>181240</v>
      </c>
      <c r="P285" s="45"/>
      <c r="Q285" s="45">
        <v>413607</v>
      </c>
      <c r="R285" s="45"/>
      <c r="S285" s="45">
        <v>0</v>
      </c>
      <c r="T285" s="45"/>
      <c r="U285" s="45">
        <v>58081</v>
      </c>
      <c r="V285" s="45"/>
      <c r="W285" s="45">
        <f>137924+16980</f>
        <v>154904</v>
      </c>
      <c r="X285" s="45"/>
      <c r="Y285" s="49">
        <f t="shared" si="26"/>
        <v>34142776</v>
      </c>
      <c r="Z285" s="45"/>
      <c r="AA285" s="45">
        <v>13716</v>
      </c>
      <c r="AB285" s="45"/>
      <c r="AC285" s="45"/>
      <c r="AD285" s="45"/>
      <c r="AE285" s="45">
        <v>0</v>
      </c>
      <c r="AF285" s="45"/>
      <c r="AG285" s="45"/>
      <c r="AH285" s="45"/>
      <c r="AI285" s="45">
        <v>0</v>
      </c>
      <c r="AJ285" s="45"/>
      <c r="AK285" s="45">
        <v>0</v>
      </c>
      <c r="AL285" s="45"/>
      <c r="AM285" s="49">
        <f t="shared" si="31"/>
        <v>13716</v>
      </c>
      <c r="AN285" s="45"/>
      <c r="AO285" s="49">
        <f t="shared" si="30"/>
        <v>34156492</v>
      </c>
    </row>
    <row r="286" spans="1:41" hidden="1">
      <c r="A286" s="12" t="s">
        <v>939</v>
      </c>
      <c r="B286" s="12"/>
      <c r="C286" s="12" t="s">
        <v>72</v>
      </c>
      <c r="D286" s="12"/>
      <c r="E286" s="13">
        <v>50690</v>
      </c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9">
        <f t="shared" si="26"/>
        <v>0</v>
      </c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>
        <v>0</v>
      </c>
      <c r="AL286" s="45"/>
      <c r="AM286" s="49">
        <f t="shared" si="31"/>
        <v>0</v>
      </c>
      <c r="AN286" s="45"/>
      <c r="AO286" s="49">
        <f t="shared" si="30"/>
        <v>0</v>
      </c>
    </row>
    <row r="287" spans="1:41">
      <c r="A287" s="12" t="s">
        <v>608</v>
      </c>
      <c r="B287" s="12"/>
      <c r="C287" s="12" t="s">
        <v>64</v>
      </c>
      <c r="D287" s="12"/>
      <c r="E287" s="13">
        <v>50187</v>
      </c>
      <c r="F287" s="45"/>
      <c r="G287" s="45">
        <v>7378859</v>
      </c>
      <c r="H287" s="45"/>
      <c r="I287" s="45">
        <v>0</v>
      </c>
      <c r="J287" s="45"/>
      <c r="K287" s="45">
        <v>10423554</v>
      </c>
      <c r="L287" s="45"/>
      <c r="M287" s="45">
        <v>14573</v>
      </c>
      <c r="N287" s="45"/>
      <c r="O287" s="45">
        <v>699336</v>
      </c>
      <c r="P287" s="45"/>
      <c r="Q287" s="45">
        <v>247036</v>
      </c>
      <c r="R287" s="45"/>
      <c r="S287" s="45">
        <v>0</v>
      </c>
      <c r="T287" s="45"/>
      <c r="U287" s="45">
        <v>22394</v>
      </c>
      <c r="V287" s="45"/>
      <c r="W287" s="45">
        <f>389127+13923+76092</f>
        <v>479142</v>
      </c>
      <c r="X287" s="45"/>
      <c r="Y287" s="49">
        <f t="shared" si="26"/>
        <v>19264894</v>
      </c>
      <c r="Z287" s="45"/>
      <c r="AA287" s="45">
        <v>104</v>
      </c>
      <c r="AB287" s="45"/>
      <c r="AC287" s="45"/>
      <c r="AD287" s="45"/>
      <c r="AE287" s="45">
        <v>0</v>
      </c>
      <c r="AF287" s="45"/>
      <c r="AG287" s="45"/>
      <c r="AH287" s="45"/>
      <c r="AI287" s="45">
        <v>0</v>
      </c>
      <c r="AJ287" s="45"/>
      <c r="AK287" s="45">
        <v>0</v>
      </c>
      <c r="AL287" s="45"/>
      <c r="AM287" s="49">
        <f t="shared" si="31"/>
        <v>104</v>
      </c>
      <c r="AN287" s="45"/>
      <c r="AO287" s="49">
        <f t="shared" si="30"/>
        <v>19264998</v>
      </c>
    </row>
    <row r="288" spans="1:41">
      <c r="A288" s="12" t="s">
        <v>293</v>
      </c>
      <c r="B288" s="12"/>
      <c r="C288" s="12" t="s">
        <v>20</v>
      </c>
      <c r="D288" s="12"/>
      <c r="E288" s="13">
        <v>44198</v>
      </c>
      <c r="F288" s="45"/>
      <c r="G288" s="45">
        <v>41252635</v>
      </c>
      <c r="H288" s="45"/>
      <c r="I288" s="45">
        <v>0</v>
      </c>
      <c r="J288" s="45"/>
      <c r="K288" s="45">
        <f>27346500+16872+7320881</f>
        <v>34684253</v>
      </c>
      <c r="L288" s="45"/>
      <c r="M288" s="45">
        <v>290414</v>
      </c>
      <c r="N288" s="45"/>
      <c r="O288" s="45">
        <v>2799397</v>
      </c>
      <c r="P288" s="45"/>
      <c r="Q288" s="45">
        <v>988988</v>
      </c>
      <c r="R288" s="45"/>
      <c r="S288" s="45">
        <v>38691</v>
      </c>
      <c r="T288" s="45"/>
      <c r="U288" s="45">
        <v>71693</v>
      </c>
      <c r="V288" s="45"/>
      <c r="W288" s="45">
        <f>207051+347157+887649+175240</f>
        <v>1617097</v>
      </c>
      <c r="X288" s="45"/>
      <c r="Y288" s="49">
        <f t="shared" si="26"/>
        <v>81743168</v>
      </c>
      <c r="Z288" s="45"/>
      <c r="AA288" s="45">
        <v>35000</v>
      </c>
      <c r="AB288" s="45"/>
      <c r="AC288" s="45"/>
      <c r="AD288" s="45"/>
      <c r="AE288" s="45">
        <v>1003756</v>
      </c>
      <c r="AF288" s="45"/>
      <c r="AG288" s="45"/>
      <c r="AH288" s="45"/>
      <c r="AI288" s="45">
        <v>0</v>
      </c>
      <c r="AJ288" s="45"/>
      <c r="AK288" s="45">
        <v>0</v>
      </c>
      <c r="AL288" s="45"/>
      <c r="AM288" s="49">
        <f t="shared" si="31"/>
        <v>1038756</v>
      </c>
      <c r="AN288" s="45"/>
      <c r="AO288" s="49">
        <f t="shared" si="30"/>
        <v>82781924</v>
      </c>
    </row>
    <row r="289" spans="1:41">
      <c r="A289" s="12" t="s">
        <v>762</v>
      </c>
      <c r="B289" s="12"/>
      <c r="C289" s="12" t="s">
        <v>42</v>
      </c>
      <c r="D289" s="12"/>
      <c r="E289" s="13">
        <v>47993</v>
      </c>
      <c r="F289" s="45"/>
      <c r="G289" s="45">
        <v>10945760</v>
      </c>
      <c r="H289" s="45"/>
      <c r="I289" s="45">
        <v>0</v>
      </c>
      <c r="J289" s="45"/>
      <c r="K289" s="45">
        <f>8694393+1693267</f>
        <v>10387660</v>
      </c>
      <c r="L289" s="45"/>
      <c r="M289" s="45">
        <v>77963</v>
      </c>
      <c r="N289" s="45"/>
      <c r="O289" s="45">
        <v>310898</v>
      </c>
      <c r="P289" s="45"/>
      <c r="Q289" s="45">
        <v>133349</v>
      </c>
      <c r="R289" s="45"/>
      <c r="S289" s="45">
        <v>0</v>
      </c>
      <c r="T289" s="45"/>
      <c r="U289" s="45">
        <v>0</v>
      </c>
      <c r="V289" s="45"/>
      <c r="W289" s="45">
        <f>51497+9156+200031</f>
        <v>260684</v>
      </c>
      <c r="X289" s="45"/>
      <c r="Y289" s="49">
        <f t="shared" si="26"/>
        <v>22116314</v>
      </c>
      <c r="Z289" s="45"/>
      <c r="AA289" s="45">
        <v>0</v>
      </c>
      <c r="AB289" s="45"/>
      <c r="AC289" s="45"/>
      <c r="AD289" s="45"/>
      <c r="AE289" s="45">
        <v>0</v>
      </c>
      <c r="AF289" s="45"/>
      <c r="AG289" s="45"/>
      <c r="AH289" s="45"/>
      <c r="AI289" s="45">
        <v>3112</v>
      </c>
      <c r="AJ289" s="45"/>
      <c r="AK289" s="45">
        <v>0</v>
      </c>
      <c r="AL289" s="45"/>
      <c r="AM289" s="49">
        <f t="shared" si="31"/>
        <v>3112</v>
      </c>
      <c r="AN289" s="45"/>
      <c r="AO289" s="49">
        <f t="shared" si="30"/>
        <v>22119426</v>
      </c>
    </row>
    <row r="290" spans="1:41">
      <c r="A290" s="12" t="s">
        <v>230</v>
      </c>
      <c r="B290" s="12"/>
      <c r="C290" s="12" t="s">
        <v>227</v>
      </c>
      <c r="D290" s="12"/>
      <c r="E290" s="13">
        <v>46110</v>
      </c>
      <c r="F290" s="45"/>
      <c r="G290" s="45">
        <v>92536437</v>
      </c>
      <c r="H290" s="45"/>
      <c r="I290" s="45">
        <v>0</v>
      </c>
      <c r="J290" s="45"/>
      <c r="K290" s="45">
        <v>71241438</v>
      </c>
      <c r="L290" s="45"/>
      <c r="M290" s="45">
        <v>158134</v>
      </c>
      <c r="N290" s="45"/>
      <c r="O290" s="45">
        <v>780464</v>
      </c>
      <c r="P290" s="45"/>
      <c r="Q290" s="45">
        <v>1949537</v>
      </c>
      <c r="R290" s="45"/>
      <c r="S290" s="45">
        <v>13164088</v>
      </c>
      <c r="T290" s="45"/>
      <c r="U290" s="45">
        <v>0</v>
      </c>
      <c r="V290" s="45"/>
      <c r="W290" s="45">
        <v>1045490</v>
      </c>
      <c r="X290" s="45"/>
      <c r="Y290" s="49">
        <f t="shared" si="26"/>
        <v>180875588</v>
      </c>
      <c r="Z290" s="45"/>
      <c r="AA290" s="45">
        <v>1974538</v>
      </c>
      <c r="AB290" s="45"/>
      <c r="AC290" s="45"/>
      <c r="AD290" s="45"/>
      <c r="AE290" s="45">
        <v>9405000</v>
      </c>
      <c r="AF290" s="45"/>
      <c r="AG290" s="45"/>
      <c r="AH290" s="45"/>
      <c r="AI290" s="45">
        <v>110234</v>
      </c>
      <c r="AJ290" s="45"/>
      <c r="AK290" s="45">
        <v>0</v>
      </c>
      <c r="AL290" s="45"/>
      <c r="AM290" s="49">
        <f t="shared" si="31"/>
        <v>11489772</v>
      </c>
      <c r="AN290" s="45"/>
      <c r="AO290" s="49">
        <f t="shared" si="30"/>
        <v>192365360</v>
      </c>
    </row>
    <row r="291" spans="1:41">
      <c r="A291" s="17" t="s">
        <v>842</v>
      </c>
      <c r="B291" s="12"/>
      <c r="C291" s="12" t="s">
        <v>79</v>
      </c>
      <c r="D291" s="12"/>
      <c r="E291" s="13">
        <v>49569</v>
      </c>
      <c r="F291" s="45"/>
      <c r="G291" s="45">
        <v>3790882</v>
      </c>
      <c r="H291" s="45"/>
      <c r="I291" s="45">
        <v>1702963</v>
      </c>
      <c r="J291" s="45"/>
      <c r="K291" s="45">
        <f>169720+14929566+1334781</f>
        <v>16434067</v>
      </c>
      <c r="L291" s="45"/>
      <c r="M291" s="45">
        <v>117916</v>
      </c>
      <c r="N291" s="45"/>
      <c r="O291" s="45">
        <v>302682</v>
      </c>
      <c r="P291" s="45"/>
      <c r="Q291" s="45">
        <v>73929</v>
      </c>
      <c r="R291" s="45"/>
      <c r="S291" s="45">
        <v>0</v>
      </c>
      <c r="T291" s="45"/>
      <c r="U291" s="45">
        <v>15226</v>
      </c>
      <c r="V291" s="45"/>
      <c r="W291" s="45">
        <f>209655+96481</f>
        <v>306136</v>
      </c>
      <c r="X291" s="45"/>
      <c r="Y291" s="49">
        <f t="shared" si="26"/>
        <v>22743801</v>
      </c>
      <c r="Z291" s="45"/>
      <c r="AA291" s="45">
        <v>348784</v>
      </c>
      <c r="AB291" s="45"/>
      <c r="AC291" s="45"/>
      <c r="AD291" s="45"/>
      <c r="AE291" s="45">
        <v>0</v>
      </c>
      <c r="AF291" s="45"/>
      <c r="AG291" s="45"/>
      <c r="AH291" s="45"/>
      <c r="AI291" s="45">
        <v>0</v>
      </c>
      <c r="AJ291" s="45"/>
      <c r="AK291" s="45">
        <v>495246</v>
      </c>
      <c r="AL291" s="45"/>
      <c r="AM291" s="49">
        <f>AI291+AE291+AA291+AK291</f>
        <v>844030</v>
      </c>
      <c r="AN291" s="45"/>
      <c r="AO291" s="49">
        <f>Y291+AM291</f>
        <v>23587831</v>
      </c>
    </row>
    <row r="292" spans="1:41">
      <c r="A292" s="12" t="s">
        <v>325</v>
      </c>
      <c r="B292" s="12"/>
      <c r="C292" s="12" t="s">
        <v>25</v>
      </c>
      <c r="D292" s="12"/>
      <c r="E292" s="13">
        <v>44206</v>
      </c>
      <c r="F292" s="45"/>
      <c r="G292" s="45">
        <v>18767854</v>
      </c>
      <c r="H292" s="45"/>
      <c r="I292" s="45">
        <v>9858713</v>
      </c>
      <c r="J292" s="45"/>
      <c r="K292" s="45">
        <v>35034320</v>
      </c>
      <c r="L292" s="45"/>
      <c r="M292" s="45">
        <v>342864</v>
      </c>
      <c r="N292" s="45"/>
      <c r="O292" s="45">
        <v>993082</v>
      </c>
      <c r="P292" s="45"/>
      <c r="Q292" s="45">
        <v>528063</v>
      </c>
      <c r="R292" s="45"/>
      <c r="S292" s="45">
        <v>166498</v>
      </c>
      <c r="T292" s="45"/>
      <c r="U292" s="45">
        <v>71277</v>
      </c>
      <c r="V292" s="45"/>
      <c r="W292" s="45">
        <f>773689+104774+96424</f>
        <v>974887</v>
      </c>
      <c r="X292" s="45"/>
      <c r="Y292" s="49">
        <f t="shared" si="26"/>
        <v>66737558</v>
      </c>
      <c r="Z292" s="45"/>
      <c r="AA292" s="45">
        <v>19007</v>
      </c>
      <c r="AB292" s="45"/>
      <c r="AC292" s="45"/>
      <c r="AD292" s="45"/>
      <c r="AE292" s="45">
        <v>757246</v>
      </c>
      <c r="AF292" s="45"/>
      <c r="AG292" s="45"/>
      <c r="AH292" s="45"/>
      <c r="AI292" s="45">
        <v>22084</v>
      </c>
      <c r="AJ292" s="45"/>
      <c r="AK292" s="45">
        <v>0</v>
      </c>
      <c r="AL292" s="45"/>
      <c r="AM292" s="49">
        <f t="shared" si="31"/>
        <v>798337</v>
      </c>
      <c r="AN292" s="45"/>
      <c r="AO292" s="49">
        <f t="shared" si="30"/>
        <v>67535895</v>
      </c>
    </row>
    <row r="293" spans="1:41" hidden="1">
      <c r="A293" s="17" t="s">
        <v>732</v>
      </c>
      <c r="B293" s="12"/>
      <c r="C293" s="12" t="s">
        <v>69</v>
      </c>
      <c r="D293" s="12"/>
      <c r="E293" s="13">
        <v>44214</v>
      </c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9">
        <f t="shared" ref="Y293:Y319" si="32">SUM(G293:W293)</f>
        <v>0</v>
      </c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>
        <v>0</v>
      </c>
      <c r="AL293" s="45"/>
      <c r="AM293" s="49">
        <f t="shared" si="31"/>
        <v>0</v>
      </c>
      <c r="AN293" s="45"/>
      <c r="AO293" s="49">
        <f t="shared" si="30"/>
        <v>0</v>
      </c>
    </row>
    <row r="294" spans="1:41">
      <c r="A294" s="12" t="s">
        <v>354</v>
      </c>
      <c r="B294" s="12"/>
      <c r="C294" s="12" t="s">
        <v>30</v>
      </c>
      <c r="D294" s="12"/>
      <c r="E294" s="12">
        <v>47209</v>
      </c>
      <c r="F294" s="45"/>
      <c r="G294" s="45">
        <v>1864466</v>
      </c>
      <c r="H294" s="45"/>
      <c r="I294" s="45">
        <v>91170</v>
      </c>
      <c r="J294" s="45"/>
      <c r="K294" s="45">
        <v>3165581</v>
      </c>
      <c r="L294" s="45"/>
      <c r="M294" s="45">
        <v>1715</v>
      </c>
      <c r="N294" s="45"/>
      <c r="O294" s="45">
        <v>184497</v>
      </c>
      <c r="P294" s="45"/>
      <c r="Q294" s="45">
        <v>38422</v>
      </c>
      <c r="R294" s="45"/>
      <c r="S294" s="45">
        <v>0</v>
      </c>
      <c r="T294" s="45"/>
      <c r="U294" s="45">
        <v>6134</v>
      </c>
      <c r="V294" s="45"/>
      <c r="W294" s="45">
        <f>105755+31167</f>
        <v>136922</v>
      </c>
      <c r="X294" s="45"/>
      <c r="Y294" s="49">
        <f t="shared" si="32"/>
        <v>5488907</v>
      </c>
      <c r="Z294" s="45"/>
      <c r="AA294" s="45">
        <v>126690</v>
      </c>
      <c r="AB294" s="45"/>
      <c r="AC294" s="45"/>
      <c r="AD294" s="45"/>
      <c r="AE294" s="45">
        <v>0</v>
      </c>
      <c r="AF294" s="45"/>
      <c r="AG294" s="45"/>
      <c r="AH294" s="45"/>
      <c r="AI294" s="45">
        <v>0</v>
      </c>
      <c r="AJ294" s="45"/>
      <c r="AK294" s="45">
        <v>0</v>
      </c>
      <c r="AL294" s="45"/>
      <c r="AM294" s="49">
        <f t="shared" si="31"/>
        <v>126690</v>
      </c>
      <c r="AN294" s="45"/>
      <c r="AO294" s="49">
        <f t="shared" si="30"/>
        <v>5615597</v>
      </c>
    </row>
    <row r="295" spans="1:41" hidden="1">
      <c r="A295" s="12" t="s">
        <v>941</v>
      </c>
      <c r="B295" s="12"/>
      <c r="C295" s="12" t="s">
        <v>114</v>
      </c>
      <c r="D295" s="12"/>
      <c r="E295" s="13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9">
        <f t="shared" ref="Y295" si="33">SUM(G295:W295)</f>
        <v>0</v>
      </c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>
        <v>0</v>
      </c>
      <c r="AL295" s="45"/>
      <c r="AM295" s="49">
        <f t="shared" ref="AM295" si="34">AI295+AE295+AA295</f>
        <v>0</v>
      </c>
      <c r="AN295" s="45"/>
      <c r="AO295" s="49">
        <f t="shared" ref="AO295" si="35">Y295+AM295</f>
        <v>0</v>
      </c>
    </row>
    <row r="296" spans="1:41" hidden="1">
      <c r="A296" s="17" t="s">
        <v>843</v>
      </c>
      <c r="B296" s="12"/>
      <c r="C296" s="12" t="s">
        <v>542</v>
      </c>
      <c r="D296" s="12"/>
      <c r="E296" s="13">
        <v>49353</v>
      </c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9">
        <f t="shared" si="32"/>
        <v>0</v>
      </c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>
        <v>0</v>
      </c>
      <c r="AL296" s="45"/>
      <c r="AM296" s="49">
        <f t="shared" si="31"/>
        <v>0</v>
      </c>
      <c r="AN296" s="45"/>
      <c r="AO296" s="49">
        <f t="shared" si="30"/>
        <v>0</v>
      </c>
    </row>
    <row r="297" spans="1:41" hidden="1">
      <c r="A297" s="12" t="s">
        <v>942</v>
      </c>
      <c r="B297" s="12"/>
      <c r="C297" s="12" t="s">
        <v>112</v>
      </c>
      <c r="D297" s="12"/>
      <c r="E297" s="13">
        <v>49437</v>
      </c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9">
        <f t="shared" si="32"/>
        <v>0</v>
      </c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>
        <v>0</v>
      </c>
      <c r="AL297" s="45"/>
      <c r="AM297" s="49">
        <f t="shared" si="31"/>
        <v>0</v>
      </c>
      <c r="AN297" s="45"/>
      <c r="AO297" s="49">
        <f t="shared" si="30"/>
        <v>0</v>
      </c>
    </row>
    <row r="298" spans="1:41">
      <c r="A298" s="12" t="s">
        <v>391</v>
      </c>
      <c r="B298" s="12"/>
      <c r="C298" s="12" t="s">
        <v>34</v>
      </c>
      <c r="D298" s="12"/>
      <c r="E298" s="13">
        <v>47589</v>
      </c>
      <c r="F298" s="45"/>
      <c r="G298" s="45">
        <v>2796064</v>
      </c>
      <c r="H298" s="45"/>
      <c r="I298" s="45">
        <v>1899127</v>
      </c>
      <c r="J298" s="45"/>
      <c r="K298" s="45">
        <v>7166043</v>
      </c>
      <c r="L298" s="45"/>
      <c r="M298" s="45">
        <v>52683</v>
      </c>
      <c r="N298" s="45"/>
      <c r="O298" s="45">
        <v>1222218</v>
      </c>
      <c r="P298" s="45"/>
      <c r="Q298" s="45">
        <v>157920</v>
      </c>
      <c r="R298" s="45"/>
      <c r="S298" s="45">
        <v>0</v>
      </c>
      <c r="T298" s="45"/>
      <c r="U298" s="45">
        <v>231961</v>
      </c>
      <c r="V298" s="45"/>
      <c r="W298" s="45">
        <f>48673+259678+31457</f>
        <v>339808</v>
      </c>
      <c r="X298" s="45"/>
      <c r="Y298" s="49">
        <f t="shared" si="32"/>
        <v>13865824</v>
      </c>
      <c r="Z298" s="45"/>
      <c r="AA298" s="45">
        <v>0</v>
      </c>
      <c r="AB298" s="45"/>
      <c r="AC298" s="45"/>
      <c r="AD298" s="45"/>
      <c r="AE298" s="45">
        <v>936270</v>
      </c>
      <c r="AF298" s="45"/>
      <c r="AG298" s="45"/>
      <c r="AH298" s="45"/>
      <c r="AI298" s="45">
        <v>0</v>
      </c>
      <c r="AJ298" s="45"/>
      <c r="AK298" s="45">
        <v>0</v>
      </c>
      <c r="AL298" s="45"/>
      <c r="AM298" s="49">
        <f t="shared" si="31"/>
        <v>936270</v>
      </c>
      <c r="AN298" s="45"/>
      <c r="AO298" s="49">
        <f t="shared" si="30"/>
        <v>14802094</v>
      </c>
    </row>
    <row r="299" spans="1:41">
      <c r="A299" s="17" t="s">
        <v>844</v>
      </c>
      <c r="B299" s="12"/>
      <c r="C299" s="12" t="s">
        <v>64</v>
      </c>
      <c r="D299" s="12"/>
      <c r="E299" s="13">
        <v>50195</v>
      </c>
      <c r="F299" s="45"/>
      <c r="G299" s="45">
        <v>10107259</v>
      </c>
      <c r="H299" s="45"/>
      <c r="I299" s="45">
        <v>0</v>
      </c>
      <c r="J299" s="45"/>
      <c r="K299" s="45">
        <f>7385952+1352153</f>
        <v>8738105</v>
      </c>
      <c r="L299" s="45"/>
      <c r="M299" s="45">
        <v>9642</v>
      </c>
      <c r="N299" s="45"/>
      <c r="O299" s="45">
        <v>741980</v>
      </c>
      <c r="P299" s="45"/>
      <c r="Q299" s="45">
        <v>87740</v>
      </c>
      <c r="R299" s="45"/>
      <c r="S299" s="45">
        <v>0</v>
      </c>
      <c r="T299" s="45"/>
      <c r="U299" s="45">
        <v>5232</v>
      </c>
      <c r="V299" s="45"/>
      <c r="W299" s="45">
        <f>227922+77886+129955</f>
        <v>435763</v>
      </c>
      <c r="X299" s="45"/>
      <c r="Y299" s="49">
        <f t="shared" si="32"/>
        <v>20125721</v>
      </c>
      <c r="Z299" s="45"/>
      <c r="AA299" s="45">
        <v>24370</v>
      </c>
      <c r="AB299" s="45"/>
      <c r="AC299" s="45"/>
      <c r="AD299" s="45"/>
      <c r="AE299" s="45">
        <v>0</v>
      </c>
      <c r="AF299" s="45"/>
      <c r="AG299" s="45"/>
      <c r="AH299" s="45"/>
      <c r="AI299" s="45">
        <v>0</v>
      </c>
      <c r="AJ299" s="45"/>
      <c r="AK299" s="45">
        <v>0</v>
      </c>
      <c r="AL299" s="45"/>
      <c r="AM299" s="49">
        <f t="shared" si="31"/>
        <v>24370</v>
      </c>
      <c r="AN299" s="45"/>
      <c r="AO299" s="49">
        <f t="shared" si="30"/>
        <v>20150091</v>
      </c>
    </row>
    <row r="300" spans="1:41">
      <c r="A300" s="12" t="s">
        <v>768</v>
      </c>
      <c r="B300" s="12"/>
      <c r="C300" s="12" t="s">
        <v>25</v>
      </c>
      <c r="D300" s="12"/>
      <c r="E300" s="13">
        <v>46888</v>
      </c>
      <c r="F300" s="45"/>
      <c r="G300" s="45">
        <v>3883124</v>
      </c>
      <c r="H300" s="45"/>
      <c r="I300" s="45">
        <v>2759851</v>
      </c>
      <c r="J300" s="45"/>
      <c r="K300" s="45">
        <v>9534007</v>
      </c>
      <c r="L300" s="45"/>
      <c r="M300" s="45">
        <v>202050</v>
      </c>
      <c r="N300" s="45"/>
      <c r="O300" s="45">
        <v>313153</v>
      </c>
      <c r="P300" s="45"/>
      <c r="Q300" s="45">
        <v>248519</v>
      </c>
      <c r="R300" s="45"/>
      <c r="S300" s="45">
        <v>0</v>
      </c>
      <c r="T300" s="45"/>
      <c r="U300" s="45">
        <v>98481</v>
      </c>
      <c r="V300" s="45"/>
      <c r="W300" s="45">
        <f>35+318054+178318</f>
        <v>496407</v>
      </c>
      <c r="X300" s="45"/>
      <c r="Y300" s="49">
        <f t="shared" si="32"/>
        <v>17535592</v>
      </c>
      <c r="Z300" s="45"/>
      <c r="AA300" s="45">
        <v>0</v>
      </c>
      <c r="AB300" s="45"/>
      <c r="AC300" s="45"/>
      <c r="AD300" s="45"/>
      <c r="AE300" s="45">
        <v>0</v>
      </c>
      <c r="AF300" s="45"/>
      <c r="AG300" s="45"/>
      <c r="AH300" s="45"/>
      <c r="AI300" s="45">
        <v>0</v>
      </c>
      <c r="AJ300" s="45"/>
      <c r="AK300" s="45">
        <v>0</v>
      </c>
      <c r="AL300" s="45"/>
      <c r="AM300" s="49">
        <f t="shared" si="31"/>
        <v>0</v>
      </c>
      <c r="AN300" s="45"/>
      <c r="AO300" s="49">
        <f t="shared" si="30"/>
        <v>17535592</v>
      </c>
    </row>
    <row r="301" spans="1:41">
      <c r="A301" s="12" t="s">
        <v>381</v>
      </c>
      <c r="B301" s="12"/>
      <c r="C301" s="12" t="s">
        <v>33</v>
      </c>
      <c r="D301" s="12"/>
      <c r="E301" s="13">
        <v>47449</v>
      </c>
      <c r="F301" s="45"/>
      <c r="G301" s="45">
        <v>4226864</v>
      </c>
      <c r="H301" s="45"/>
      <c r="I301" s="45">
        <v>1237418</v>
      </c>
      <c r="J301" s="45"/>
      <c r="K301" s="45">
        <v>7009298</v>
      </c>
      <c r="L301" s="45"/>
      <c r="M301" s="45">
        <v>23834</v>
      </c>
      <c r="N301" s="45"/>
      <c r="O301" s="45">
        <v>580109</v>
      </c>
      <c r="P301" s="45"/>
      <c r="Q301" s="45">
        <v>121191</v>
      </c>
      <c r="R301" s="45"/>
      <c r="S301" s="45">
        <v>6289</v>
      </c>
      <c r="T301" s="45"/>
      <c r="U301" s="45">
        <v>10504</v>
      </c>
      <c r="V301" s="45"/>
      <c r="W301" s="45">
        <f>82863+328607</f>
        <v>411470</v>
      </c>
      <c r="X301" s="45"/>
      <c r="Y301" s="49">
        <f t="shared" si="32"/>
        <v>13626977</v>
      </c>
      <c r="Z301" s="45"/>
      <c r="AA301" s="45">
        <v>208908</v>
      </c>
      <c r="AB301" s="45"/>
      <c r="AC301" s="45"/>
      <c r="AD301" s="45"/>
      <c r="AE301" s="45">
        <f>1570000+48032</f>
        <v>1618032</v>
      </c>
      <c r="AF301" s="45"/>
      <c r="AG301" s="45"/>
      <c r="AH301" s="45"/>
      <c r="AI301" s="45">
        <v>5000</v>
      </c>
      <c r="AJ301" s="45"/>
      <c r="AK301" s="45">
        <v>0</v>
      </c>
      <c r="AL301" s="45"/>
      <c r="AM301" s="49">
        <f t="shared" si="31"/>
        <v>1831940</v>
      </c>
      <c r="AN301" s="45"/>
      <c r="AO301" s="49">
        <f t="shared" si="30"/>
        <v>15458917</v>
      </c>
    </row>
    <row r="302" spans="1:41">
      <c r="A302" s="12" t="s">
        <v>429</v>
      </c>
      <c r="B302" s="12"/>
      <c r="C302" s="12" t="s">
        <v>42</v>
      </c>
      <c r="D302" s="12"/>
      <c r="E302" s="13">
        <v>48009</v>
      </c>
      <c r="F302" s="45"/>
      <c r="G302" s="45">
        <v>18195739</v>
      </c>
      <c r="H302" s="45"/>
      <c r="I302" s="45">
        <v>0</v>
      </c>
      <c r="J302" s="45"/>
      <c r="K302" s="45">
        <v>12709801</v>
      </c>
      <c r="L302" s="45"/>
      <c r="M302" s="45">
        <v>27333</v>
      </c>
      <c r="N302" s="45"/>
      <c r="O302" s="45">
        <v>427164</v>
      </c>
      <c r="P302" s="45"/>
      <c r="Q302" s="45">
        <v>229490</v>
      </c>
      <c r="R302" s="45"/>
      <c r="S302" s="45">
        <v>1680765</v>
      </c>
      <c r="T302" s="45"/>
      <c r="U302" s="45">
        <v>45253</v>
      </c>
      <c r="V302" s="45"/>
      <c r="W302" s="45">
        <f>24087+613114+54633</f>
        <v>691834</v>
      </c>
      <c r="X302" s="45"/>
      <c r="Y302" s="49">
        <f t="shared" si="32"/>
        <v>34007379</v>
      </c>
      <c r="Z302" s="45"/>
      <c r="AA302" s="45">
        <v>0</v>
      </c>
      <c r="AB302" s="45"/>
      <c r="AC302" s="45"/>
      <c r="AD302" s="45"/>
      <c r="AE302" s="45">
        <v>0</v>
      </c>
      <c r="AF302" s="45"/>
      <c r="AG302" s="45"/>
      <c r="AH302" s="45"/>
      <c r="AI302" s="45">
        <f>17301+15410</f>
        <v>32711</v>
      </c>
      <c r="AJ302" s="45"/>
      <c r="AK302" s="45">
        <v>0</v>
      </c>
      <c r="AL302" s="45"/>
      <c r="AM302" s="49">
        <f t="shared" si="31"/>
        <v>32711</v>
      </c>
      <c r="AN302" s="45"/>
      <c r="AO302" s="49">
        <f t="shared" si="30"/>
        <v>34040090</v>
      </c>
    </row>
    <row r="303" spans="1:41">
      <c r="A303" s="12" t="s">
        <v>430</v>
      </c>
      <c r="B303" s="12"/>
      <c r="C303" s="12" t="s">
        <v>42</v>
      </c>
      <c r="D303" s="12"/>
      <c r="E303" s="13">
        <v>48017</v>
      </c>
      <c r="F303" s="45"/>
      <c r="G303" s="45">
        <v>5053285</v>
      </c>
      <c r="H303" s="45"/>
      <c r="I303" s="45">
        <v>1798957</v>
      </c>
      <c r="J303" s="45"/>
      <c r="K303" s="45">
        <v>12323171</v>
      </c>
      <c r="L303" s="45"/>
      <c r="M303" s="45">
        <v>25242</v>
      </c>
      <c r="N303" s="45"/>
      <c r="O303" s="45">
        <v>657695</v>
      </c>
      <c r="P303" s="45"/>
      <c r="Q303" s="45">
        <v>272871</v>
      </c>
      <c r="R303" s="45"/>
      <c r="S303" s="45">
        <v>40415</v>
      </c>
      <c r="T303" s="45"/>
      <c r="U303" s="45">
        <v>0</v>
      </c>
      <c r="V303" s="45"/>
      <c r="W303" s="45">
        <f>497516+248820</f>
        <v>746336</v>
      </c>
      <c r="X303" s="45"/>
      <c r="Y303" s="49">
        <f t="shared" si="32"/>
        <v>20917972</v>
      </c>
      <c r="Z303" s="45"/>
      <c r="AA303" s="45">
        <v>572058</v>
      </c>
      <c r="AB303" s="45"/>
      <c r="AC303" s="45"/>
      <c r="AD303" s="45"/>
      <c r="AE303" s="45">
        <v>0</v>
      </c>
      <c r="AF303" s="45"/>
      <c r="AG303" s="45"/>
      <c r="AH303" s="45"/>
      <c r="AI303" s="45">
        <v>3825</v>
      </c>
      <c r="AJ303" s="45"/>
      <c r="AK303" s="45">
        <v>0</v>
      </c>
      <c r="AL303" s="45"/>
      <c r="AM303" s="49">
        <f t="shared" si="31"/>
        <v>575883</v>
      </c>
      <c r="AN303" s="45"/>
      <c r="AO303" s="49">
        <f t="shared" ref="AO303:AO354" si="36">Y303+AM303</f>
        <v>21493855</v>
      </c>
    </row>
    <row r="304" spans="1:41" hidden="1">
      <c r="A304" s="12" t="s">
        <v>845</v>
      </c>
      <c r="B304" s="12"/>
      <c r="C304" s="12" t="s">
        <v>10</v>
      </c>
      <c r="D304" s="12"/>
      <c r="E304" s="13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9">
        <f t="shared" si="32"/>
        <v>0</v>
      </c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9">
        <f t="shared" si="31"/>
        <v>0</v>
      </c>
      <c r="AN304" s="45"/>
      <c r="AO304" s="49">
        <f t="shared" si="36"/>
        <v>0</v>
      </c>
    </row>
    <row r="305" spans="1:41">
      <c r="A305" s="12" t="s">
        <v>628</v>
      </c>
      <c r="B305" s="12"/>
      <c r="C305" s="12" t="s">
        <v>67</v>
      </c>
      <c r="D305" s="12"/>
      <c r="E305" s="13">
        <v>50369</v>
      </c>
      <c r="F305" s="45"/>
      <c r="G305" s="45">
        <v>2882981</v>
      </c>
      <c r="H305" s="45"/>
      <c r="I305" s="45">
        <v>0</v>
      </c>
      <c r="J305" s="45"/>
      <c r="K305" s="45">
        <f>2315+4414205+894136</f>
        <v>5310656</v>
      </c>
      <c r="L305" s="45"/>
      <c r="M305" s="45">
        <v>175352</v>
      </c>
      <c r="N305" s="45"/>
      <c r="O305" s="45">
        <v>1952791</v>
      </c>
      <c r="P305" s="45"/>
      <c r="Q305" s="45">
        <v>89654</v>
      </c>
      <c r="R305" s="45"/>
      <c r="S305" s="45">
        <v>0</v>
      </c>
      <c r="T305" s="45"/>
      <c r="U305" s="45">
        <v>0</v>
      </c>
      <c r="V305" s="45"/>
      <c r="W305" s="45">
        <f>183735+45158+205947</f>
        <v>434840</v>
      </c>
      <c r="X305" s="45"/>
      <c r="Y305" s="49">
        <f t="shared" si="32"/>
        <v>10846274</v>
      </c>
      <c r="Z305" s="45"/>
      <c r="AA305" s="45">
        <v>340078</v>
      </c>
      <c r="AB305" s="45"/>
      <c r="AC305" s="45"/>
      <c r="AD305" s="45"/>
      <c r="AE305" s="45">
        <v>0</v>
      </c>
      <c r="AF305" s="45"/>
      <c r="AG305" s="45"/>
      <c r="AH305" s="45"/>
      <c r="AI305" s="45">
        <v>0</v>
      </c>
      <c r="AJ305" s="45"/>
      <c r="AK305" s="45">
        <v>0</v>
      </c>
      <c r="AL305" s="45"/>
      <c r="AM305" s="49">
        <f t="shared" si="31"/>
        <v>340078</v>
      </c>
      <c r="AN305" s="45"/>
      <c r="AO305" s="49">
        <f t="shared" si="36"/>
        <v>11186352</v>
      </c>
    </row>
    <row r="306" spans="1:41">
      <c r="A306" s="12" t="s">
        <v>268</v>
      </c>
      <c r="B306" s="12"/>
      <c r="C306" s="12" t="s">
        <v>114</v>
      </c>
      <c r="D306" s="12"/>
      <c r="E306" s="13">
        <v>45450</v>
      </c>
      <c r="F306" s="45"/>
      <c r="G306" s="45">
        <v>2201831</v>
      </c>
      <c r="H306" s="45"/>
      <c r="I306" s="45">
        <v>0</v>
      </c>
      <c r="J306" s="45"/>
      <c r="K306" s="45">
        <v>7140325</v>
      </c>
      <c r="L306" s="45"/>
      <c r="M306" s="45">
        <v>83241</v>
      </c>
      <c r="N306" s="45"/>
      <c r="O306" s="45">
        <v>1222252</v>
      </c>
      <c r="P306" s="45"/>
      <c r="Q306" s="45">
        <v>106151</v>
      </c>
      <c r="R306" s="45"/>
      <c r="S306" s="45">
        <v>0</v>
      </c>
      <c r="T306" s="45"/>
      <c r="U306" s="45">
        <v>34353</v>
      </c>
      <c r="V306" s="45"/>
      <c r="W306" s="45">
        <f>379985+18945</f>
        <v>398930</v>
      </c>
      <c r="X306" s="45"/>
      <c r="Y306" s="49">
        <f t="shared" si="32"/>
        <v>11187083</v>
      </c>
      <c r="Z306" s="45"/>
      <c r="AA306" s="45">
        <v>0</v>
      </c>
      <c r="AB306" s="45"/>
      <c r="AC306" s="45"/>
      <c r="AD306" s="45"/>
      <c r="AE306" s="45">
        <v>0</v>
      </c>
      <c r="AF306" s="45"/>
      <c r="AG306" s="45"/>
      <c r="AH306" s="45"/>
      <c r="AI306" s="45">
        <v>0</v>
      </c>
      <c r="AJ306" s="45"/>
      <c r="AK306" s="45">
        <v>0</v>
      </c>
      <c r="AL306" s="45"/>
      <c r="AM306" s="49">
        <f t="shared" ref="AM306:AM322" si="37">AI306+AE306+AA306</f>
        <v>0</v>
      </c>
      <c r="AN306" s="45"/>
      <c r="AO306" s="49">
        <f t="shared" si="36"/>
        <v>11187083</v>
      </c>
    </row>
    <row r="307" spans="1:41">
      <c r="A307" s="12" t="s">
        <v>634</v>
      </c>
      <c r="B307" s="12"/>
      <c r="C307" s="12" t="s">
        <v>69</v>
      </c>
      <c r="D307" s="12"/>
      <c r="E307" s="13">
        <v>50443</v>
      </c>
      <c r="F307" s="45"/>
      <c r="G307" s="45">
        <v>19953984</v>
      </c>
      <c r="H307" s="45"/>
      <c r="I307" s="45">
        <v>0</v>
      </c>
      <c r="J307" s="45"/>
      <c r="K307" s="45">
        <v>15385702</v>
      </c>
      <c r="L307" s="45"/>
      <c r="M307" s="45">
        <v>26794</v>
      </c>
      <c r="N307" s="45"/>
      <c r="O307" s="45">
        <v>494148</v>
      </c>
      <c r="P307" s="45"/>
      <c r="Q307" s="45">
        <v>661129</v>
      </c>
      <c r="R307" s="45"/>
      <c r="S307" s="45">
        <v>0</v>
      </c>
      <c r="T307" s="45"/>
      <c r="U307" s="45">
        <v>0</v>
      </c>
      <c r="V307" s="45"/>
      <c r="W307" s="45">
        <f>1126976+452132</f>
        <v>1579108</v>
      </c>
      <c r="X307" s="45"/>
      <c r="Y307" s="49">
        <f t="shared" si="32"/>
        <v>38100865</v>
      </c>
      <c r="Z307" s="45"/>
      <c r="AA307" s="45">
        <v>67500</v>
      </c>
      <c r="AB307" s="45"/>
      <c r="AC307" s="45"/>
      <c r="AD307" s="45"/>
      <c r="AE307" s="45">
        <v>0</v>
      </c>
      <c r="AF307" s="45"/>
      <c r="AG307" s="45"/>
      <c r="AH307" s="45"/>
      <c r="AI307" s="45">
        <v>0</v>
      </c>
      <c r="AJ307" s="45"/>
      <c r="AK307" s="45">
        <v>0</v>
      </c>
      <c r="AL307" s="45"/>
      <c r="AM307" s="49">
        <f t="shared" si="37"/>
        <v>67500</v>
      </c>
      <c r="AN307" s="45"/>
      <c r="AO307" s="49">
        <f t="shared" si="36"/>
        <v>38168365</v>
      </c>
    </row>
    <row r="308" spans="1:41" hidden="1">
      <c r="A308" s="17" t="s">
        <v>944</v>
      </c>
      <c r="B308" s="12"/>
      <c r="C308" s="12" t="s">
        <v>32</v>
      </c>
      <c r="D308" s="12"/>
      <c r="E308" s="13">
        <v>44230</v>
      </c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9">
        <f t="shared" si="32"/>
        <v>0</v>
      </c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>
        <v>0</v>
      </c>
      <c r="AL308" s="45"/>
      <c r="AM308" s="49">
        <f t="shared" si="37"/>
        <v>0</v>
      </c>
      <c r="AN308" s="45"/>
      <c r="AO308" s="49">
        <f t="shared" si="36"/>
        <v>0</v>
      </c>
    </row>
    <row r="309" spans="1:41">
      <c r="A309" s="12" t="s">
        <v>526</v>
      </c>
      <c r="B309" s="12"/>
      <c r="C309" s="12" t="s">
        <v>54</v>
      </c>
      <c r="D309" s="12"/>
      <c r="E309" s="13">
        <v>49080</v>
      </c>
      <c r="F309" s="45"/>
      <c r="G309" s="45">
        <v>7950157</v>
      </c>
      <c r="H309" s="45"/>
      <c r="I309" s="45">
        <v>0</v>
      </c>
      <c r="J309" s="45"/>
      <c r="K309" s="45">
        <f>9936642+2327896</f>
        <v>12264538</v>
      </c>
      <c r="L309" s="45"/>
      <c r="M309" s="45">
        <v>25756</v>
      </c>
      <c r="N309" s="45"/>
      <c r="O309" s="45">
        <v>592737</v>
      </c>
      <c r="P309" s="45"/>
      <c r="Q309" s="45">
        <v>303444</v>
      </c>
      <c r="R309" s="45"/>
      <c r="S309" s="45">
        <v>0</v>
      </c>
      <c r="T309" s="45"/>
      <c r="U309" s="45">
        <v>0</v>
      </c>
      <c r="V309" s="45"/>
      <c r="W309" s="45">
        <f>452201+54477+92223</f>
        <v>598901</v>
      </c>
      <c r="X309" s="45"/>
      <c r="Y309" s="49">
        <f t="shared" si="32"/>
        <v>21735533</v>
      </c>
      <c r="Z309" s="45"/>
      <c r="AA309" s="45">
        <v>2013909</v>
      </c>
      <c r="AB309" s="45"/>
      <c r="AC309" s="45"/>
      <c r="AD309" s="45"/>
      <c r="AE309" s="45">
        <v>0</v>
      </c>
      <c r="AF309" s="45"/>
      <c r="AG309" s="45"/>
      <c r="AH309" s="45"/>
      <c r="AI309" s="45">
        <v>0</v>
      </c>
      <c r="AJ309" s="45"/>
      <c r="AK309" s="45">
        <v>0</v>
      </c>
      <c r="AL309" s="45"/>
      <c r="AM309" s="49">
        <f t="shared" si="37"/>
        <v>2013909</v>
      </c>
      <c r="AN309" s="45"/>
      <c r="AO309" s="49">
        <f t="shared" si="36"/>
        <v>23749442</v>
      </c>
    </row>
    <row r="310" spans="1:41">
      <c r="A310" s="12" t="s">
        <v>400</v>
      </c>
      <c r="B310" s="12"/>
      <c r="C310" s="12" t="s">
        <v>35</v>
      </c>
      <c r="D310" s="12"/>
      <c r="E310" s="13">
        <v>44248</v>
      </c>
      <c r="F310" s="45"/>
      <c r="G310" s="45">
        <v>12929984</v>
      </c>
      <c r="H310" s="45"/>
      <c r="I310" s="45">
        <v>0</v>
      </c>
      <c r="J310" s="45"/>
      <c r="K310" s="45">
        <f>23612413+4988592</f>
        <v>28601005</v>
      </c>
      <c r="L310" s="45"/>
      <c r="M310" s="45">
        <v>641260</v>
      </c>
      <c r="N310" s="45"/>
      <c r="O310" s="45">
        <v>1153146</v>
      </c>
      <c r="P310" s="45"/>
      <c r="Q310" s="45">
        <v>322503</v>
      </c>
      <c r="R310" s="45"/>
      <c r="S310" s="45">
        <v>0</v>
      </c>
      <c r="T310" s="45"/>
      <c r="U310" s="45">
        <v>0</v>
      </c>
      <c r="V310" s="45"/>
      <c r="W310" s="45">
        <f>98651+86923</f>
        <v>185574</v>
      </c>
      <c r="X310" s="45"/>
      <c r="Y310" s="49">
        <f t="shared" si="32"/>
        <v>43833472</v>
      </c>
      <c r="Z310" s="45"/>
      <c r="AA310" s="45">
        <v>340210</v>
      </c>
      <c r="AB310" s="45"/>
      <c r="AC310" s="45"/>
      <c r="AD310" s="45"/>
      <c r="AE310" s="45">
        <v>0</v>
      </c>
      <c r="AF310" s="45"/>
      <c r="AG310" s="45"/>
      <c r="AH310" s="45"/>
      <c r="AI310" s="45">
        <v>140677</v>
      </c>
      <c r="AJ310" s="45"/>
      <c r="AK310" s="45">
        <v>0</v>
      </c>
      <c r="AL310" s="45"/>
      <c r="AM310" s="49">
        <f t="shared" si="37"/>
        <v>480887</v>
      </c>
      <c r="AN310" s="45"/>
      <c r="AO310" s="49">
        <f t="shared" si="36"/>
        <v>44314359</v>
      </c>
    </row>
    <row r="311" spans="1:41">
      <c r="A311" s="12" t="s">
        <v>460</v>
      </c>
      <c r="B311" s="12"/>
      <c r="C311" s="12" t="s">
        <v>458</v>
      </c>
      <c r="D311" s="12"/>
      <c r="E311" s="13">
        <v>44255</v>
      </c>
      <c r="F311" s="45"/>
      <c r="G311" s="45">
        <v>10305149</v>
      </c>
      <c r="H311" s="45"/>
      <c r="I311" s="45">
        <v>2783518</v>
      </c>
      <c r="J311" s="45"/>
      <c r="K311" s="45">
        <v>20833749</v>
      </c>
      <c r="L311" s="45"/>
      <c r="M311" s="45">
        <v>19470</v>
      </c>
      <c r="N311" s="45"/>
      <c r="O311" s="45">
        <v>479758</v>
      </c>
      <c r="P311" s="45"/>
      <c r="Q311" s="45">
        <v>187869</v>
      </c>
      <c r="R311" s="45"/>
      <c r="S311" s="45">
        <v>183955</v>
      </c>
      <c r="T311" s="45"/>
      <c r="U311" s="45">
        <v>111496</v>
      </c>
      <c r="V311" s="45"/>
      <c r="W311" s="45">
        <f>2175587+3885+62530</f>
        <v>2242002</v>
      </c>
      <c r="X311" s="45"/>
      <c r="Y311" s="49">
        <f t="shared" si="32"/>
        <v>37146966</v>
      </c>
      <c r="Z311" s="45"/>
      <c r="AA311" s="45">
        <v>642003</v>
      </c>
      <c r="AB311" s="45"/>
      <c r="AC311" s="45"/>
      <c r="AD311" s="45"/>
      <c r="AE311" s="45">
        <v>257337</v>
      </c>
      <c r="AF311" s="45"/>
      <c r="AG311" s="45"/>
      <c r="AH311" s="45"/>
      <c r="AI311" s="45">
        <v>0</v>
      </c>
      <c r="AJ311" s="45"/>
      <c r="AK311" s="45">
        <v>0</v>
      </c>
      <c r="AL311" s="45"/>
      <c r="AM311" s="49">
        <f t="shared" si="37"/>
        <v>899340</v>
      </c>
      <c r="AN311" s="45"/>
      <c r="AO311" s="49">
        <f t="shared" si="36"/>
        <v>38046306</v>
      </c>
    </row>
    <row r="312" spans="1:41">
      <c r="A312" s="14" t="s">
        <v>443</v>
      </c>
      <c r="B312" s="14"/>
      <c r="C312" s="14" t="s">
        <v>44</v>
      </c>
      <c r="D312" s="14"/>
      <c r="E312" s="14">
        <v>44263</v>
      </c>
      <c r="F312" s="47"/>
      <c r="G312" s="45">
        <v>18726286</v>
      </c>
      <c r="H312" s="45"/>
      <c r="I312" s="45">
        <v>0</v>
      </c>
      <c r="J312" s="45"/>
      <c r="K312" s="45">
        <v>112253786</v>
      </c>
      <c r="L312" s="45"/>
      <c r="M312" s="45">
        <v>843342</v>
      </c>
      <c r="N312" s="45"/>
      <c r="O312" s="45">
        <v>1365960</v>
      </c>
      <c r="P312" s="45"/>
      <c r="Q312" s="45">
        <v>240376</v>
      </c>
      <c r="R312" s="45"/>
      <c r="S312" s="45">
        <v>0</v>
      </c>
      <c r="T312" s="45"/>
      <c r="U312" s="45">
        <v>297848</v>
      </c>
      <c r="V312" s="45"/>
      <c r="W312" s="45">
        <f>563734+71930+850577</f>
        <v>1486241</v>
      </c>
      <c r="X312" s="45"/>
      <c r="Y312" s="49">
        <f t="shared" si="32"/>
        <v>135213839</v>
      </c>
      <c r="Z312" s="45"/>
      <c r="AA312" s="45">
        <v>521416</v>
      </c>
      <c r="AB312" s="45"/>
      <c r="AC312" s="45"/>
      <c r="AD312" s="45"/>
      <c r="AE312" s="45">
        <v>0</v>
      </c>
      <c r="AF312" s="45"/>
      <c r="AG312" s="45"/>
      <c r="AH312" s="45"/>
      <c r="AI312" s="45">
        <v>0</v>
      </c>
      <c r="AJ312" s="45"/>
      <c r="AK312" s="45">
        <v>0</v>
      </c>
      <c r="AL312" s="45"/>
      <c r="AM312" s="49">
        <f t="shared" si="37"/>
        <v>521416</v>
      </c>
      <c r="AN312" s="45"/>
      <c r="AO312" s="49">
        <f t="shared" si="36"/>
        <v>135735255</v>
      </c>
    </row>
    <row r="313" spans="1:41">
      <c r="A313" s="12" t="s">
        <v>610</v>
      </c>
      <c r="B313" s="12"/>
      <c r="C313" s="12" t="s">
        <v>64</v>
      </c>
      <c r="D313" s="12"/>
      <c r="E313" s="13">
        <v>50203</v>
      </c>
      <c r="F313" s="45"/>
      <c r="G313" s="45">
        <v>3359276</v>
      </c>
      <c r="H313" s="45"/>
      <c r="I313" s="45">
        <v>0</v>
      </c>
      <c r="J313" s="45"/>
      <c r="K313" s="45">
        <f>2692696+383775</f>
        <v>3076471</v>
      </c>
      <c r="L313" s="45"/>
      <c r="M313" s="45">
        <v>3539</v>
      </c>
      <c r="N313" s="45"/>
      <c r="O313" s="45">
        <v>330782</v>
      </c>
      <c r="P313" s="45"/>
      <c r="Q313" s="45">
        <v>18332</v>
      </c>
      <c r="R313" s="45"/>
      <c r="S313" s="45">
        <v>393647</v>
      </c>
      <c r="T313" s="45"/>
      <c r="U313" s="45">
        <v>284</v>
      </c>
      <c r="V313" s="45"/>
      <c r="W313" s="45">
        <f>115113+13817+74446+1352+185513</f>
        <v>390241</v>
      </c>
      <c r="X313" s="45"/>
      <c r="Y313" s="49">
        <f t="shared" si="32"/>
        <v>7572572</v>
      </c>
      <c r="Z313" s="45"/>
      <c r="AA313" s="45">
        <v>0</v>
      </c>
      <c r="AB313" s="45"/>
      <c r="AC313" s="45"/>
      <c r="AD313" s="45"/>
      <c r="AE313" s="45">
        <v>0</v>
      </c>
      <c r="AF313" s="45"/>
      <c r="AG313" s="45"/>
      <c r="AH313" s="45"/>
      <c r="AI313" s="45">
        <v>0</v>
      </c>
      <c r="AJ313" s="45"/>
      <c r="AK313" s="45">
        <v>0</v>
      </c>
      <c r="AL313" s="45"/>
      <c r="AM313" s="49">
        <f t="shared" si="37"/>
        <v>0</v>
      </c>
      <c r="AN313" s="45"/>
      <c r="AO313" s="49">
        <f t="shared" si="36"/>
        <v>7572572</v>
      </c>
    </row>
    <row r="314" spans="1:41">
      <c r="A314" s="17" t="s">
        <v>846</v>
      </c>
      <c r="B314" s="12"/>
      <c r="C314" s="12" t="s">
        <v>11</v>
      </c>
      <c r="D314" s="12"/>
      <c r="E314" s="13">
        <v>45468</v>
      </c>
      <c r="F314" s="45"/>
      <c r="G314" s="45">
        <v>4678604</v>
      </c>
      <c r="H314" s="45"/>
      <c r="I314" s="45">
        <v>1431796</v>
      </c>
      <c r="J314" s="45"/>
      <c r="K314" s="45">
        <f>5220062+1531257</f>
        <v>6751319</v>
      </c>
      <c r="L314" s="45"/>
      <c r="M314" s="45">
        <v>31439</v>
      </c>
      <c r="N314" s="45"/>
      <c r="O314" s="45">
        <v>473241</v>
      </c>
      <c r="P314" s="45"/>
      <c r="Q314" s="45">
        <v>160038</v>
      </c>
      <c r="R314" s="45"/>
      <c r="S314" s="45">
        <v>0</v>
      </c>
      <c r="T314" s="45"/>
      <c r="U314" s="45">
        <v>0</v>
      </c>
      <c r="V314" s="45"/>
      <c r="W314" s="45">
        <f>4087+223347+36797+106035</f>
        <v>370266</v>
      </c>
      <c r="X314" s="45"/>
      <c r="Y314" s="49">
        <f t="shared" si="32"/>
        <v>13896703</v>
      </c>
      <c r="Z314" s="45"/>
      <c r="AA314" s="45">
        <v>0</v>
      </c>
      <c r="AB314" s="45"/>
      <c r="AC314" s="45"/>
      <c r="AD314" s="45"/>
      <c r="AE314" s="45">
        <v>256714</v>
      </c>
      <c r="AF314" s="45"/>
      <c r="AG314" s="45"/>
      <c r="AH314" s="45"/>
      <c r="AI314" s="45">
        <v>792</v>
      </c>
      <c r="AJ314" s="45"/>
      <c r="AK314" s="45">
        <v>0</v>
      </c>
      <c r="AL314" s="45"/>
      <c r="AM314" s="49">
        <f t="shared" si="37"/>
        <v>257506</v>
      </c>
      <c r="AN314" s="45"/>
      <c r="AO314" s="49">
        <f t="shared" si="36"/>
        <v>14154209</v>
      </c>
    </row>
    <row r="315" spans="1:41">
      <c r="A315" s="12" t="s">
        <v>578</v>
      </c>
      <c r="B315" s="12"/>
      <c r="C315" s="12" t="s">
        <v>62</v>
      </c>
      <c r="D315" s="12"/>
      <c r="E315" s="13">
        <v>49874</v>
      </c>
      <c r="F315" s="45"/>
      <c r="G315" s="45">
        <v>7949825</v>
      </c>
      <c r="H315" s="45"/>
      <c r="I315" s="45">
        <v>0</v>
      </c>
      <c r="J315" s="45"/>
      <c r="K315" s="45">
        <v>33577646</v>
      </c>
      <c r="L315" s="45"/>
      <c r="M315" s="45">
        <v>108057</v>
      </c>
      <c r="N315" s="45"/>
      <c r="O315" s="45">
        <v>307800</v>
      </c>
      <c r="P315" s="45"/>
      <c r="Q315" s="45">
        <v>652326</v>
      </c>
      <c r="R315" s="45"/>
      <c r="S315" s="45">
        <v>31412</v>
      </c>
      <c r="T315" s="45"/>
      <c r="U315" s="45">
        <v>60909</v>
      </c>
      <c r="V315" s="45"/>
      <c r="W315" s="45">
        <f>768390+53119+72419</f>
        <v>893928</v>
      </c>
      <c r="X315" s="45"/>
      <c r="Y315" s="49">
        <f t="shared" si="32"/>
        <v>43581903</v>
      </c>
      <c r="Z315" s="45"/>
      <c r="AA315" s="45">
        <v>1048746</v>
      </c>
      <c r="AB315" s="45"/>
      <c r="AC315" s="45"/>
      <c r="AD315" s="45"/>
      <c r="AE315" s="45">
        <f>1050300+8500000+346820</f>
        <v>9897120</v>
      </c>
      <c r="AF315" s="45"/>
      <c r="AG315" s="45"/>
      <c r="AH315" s="45"/>
      <c r="AI315" s="45">
        <v>0</v>
      </c>
      <c r="AJ315" s="45"/>
      <c r="AK315" s="45">
        <v>0</v>
      </c>
      <c r="AL315" s="45"/>
      <c r="AM315" s="49">
        <f t="shared" si="37"/>
        <v>10945866</v>
      </c>
      <c r="AN315" s="45"/>
      <c r="AO315" s="49">
        <f t="shared" si="36"/>
        <v>54527769</v>
      </c>
    </row>
    <row r="316" spans="1:41">
      <c r="A316" s="12" t="s">
        <v>366</v>
      </c>
      <c r="B316" s="12"/>
      <c r="C316" s="12" t="s">
        <v>32</v>
      </c>
      <c r="D316" s="12"/>
      <c r="E316" s="13">
        <v>44271</v>
      </c>
      <c r="F316" s="45"/>
      <c r="G316" s="45">
        <v>28577250</v>
      </c>
      <c r="H316" s="45"/>
      <c r="I316" s="45">
        <v>0</v>
      </c>
      <c r="J316" s="45"/>
      <c r="K316" s="45">
        <v>18935085</v>
      </c>
      <c r="L316" s="45"/>
      <c r="M316" s="45">
        <v>102019</v>
      </c>
      <c r="N316" s="45"/>
      <c r="O316" s="45">
        <v>645392</v>
      </c>
      <c r="P316" s="45"/>
      <c r="Q316" s="45">
        <v>454879</v>
      </c>
      <c r="R316" s="45"/>
      <c r="S316" s="45">
        <v>180054</v>
      </c>
      <c r="T316" s="45"/>
      <c r="U316" s="45">
        <v>0</v>
      </c>
      <c r="V316" s="45"/>
      <c r="W316" s="45">
        <f>1152089+153078</f>
        <v>1305167</v>
      </c>
      <c r="X316" s="45"/>
      <c r="Y316" s="49">
        <f t="shared" si="32"/>
        <v>50199846</v>
      </c>
      <c r="Z316" s="45"/>
      <c r="AA316" s="45">
        <v>0</v>
      </c>
      <c r="AB316" s="45"/>
      <c r="AC316" s="45"/>
      <c r="AD316" s="45"/>
      <c r="AE316" s="45">
        <f>6015000+4366007+263865</f>
        <v>10644872</v>
      </c>
      <c r="AF316" s="45"/>
      <c r="AG316" s="45"/>
      <c r="AH316" s="45"/>
      <c r="AI316" s="45">
        <v>1045</v>
      </c>
      <c r="AJ316" s="45"/>
      <c r="AK316" s="45">
        <v>0</v>
      </c>
      <c r="AL316" s="45"/>
      <c r="AM316" s="49">
        <f t="shared" si="37"/>
        <v>10645917</v>
      </c>
      <c r="AN316" s="45"/>
      <c r="AO316" s="49">
        <f t="shared" si="36"/>
        <v>60845763</v>
      </c>
    </row>
    <row r="317" spans="1:41">
      <c r="A317" s="12" t="s">
        <v>466</v>
      </c>
      <c r="B317" s="12"/>
      <c r="C317" s="12" t="s">
        <v>45</v>
      </c>
      <c r="D317" s="12"/>
      <c r="E317" s="13">
        <v>48330</v>
      </c>
      <c r="F317" s="45"/>
      <c r="G317" s="45">
        <v>1004354</v>
      </c>
      <c r="H317" s="45"/>
      <c r="I317" s="45">
        <v>0</v>
      </c>
      <c r="J317" s="45"/>
      <c r="K317" s="45">
        <f>2530001+519580</f>
        <v>3049581</v>
      </c>
      <c r="L317" s="45"/>
      <c r="M317" s="45">
        <v>109137</v>
      </c>
      <c r="N317" s="45"/>
      <c r="O317" s="45">
        <v>1332868</v>
      </c>
      <c r="P317" s="45"/>
      <c r="Q317" s="45">
        <v>104110</v>
      </c>
      <c r="R317" s="45"/>
      <c r="S317" s="45">
        <v>0</v>
      </c>
      <c r="T317" s="45"/>
      <c r="U317" s="45">
        <v>27466</v>
      </c>
      <c r="V317" s="45"/>
      <c r="W317" s="45">
        <f>138944+480+5254</f>
        <v>144678</v>
      </c>
      <c r="X317" s="45"/>
      <c r="Y317" s="49">
        <f t="shared" si="32"/>
        <v>5772194</v>
      </c>
      <c r="Z317" s="45"/>
      <c r="AA317" s="45">
        <v>26344</v>
      </c>
      <c r="AB317" s="45"/>
      <c r="AC317" s="45"/>
      <c r="AD317" s="45"/>
      <c r="AE317" s="45">
        <v>0</v>
      </c>
      <c r="AF317" s="45"/>
      <c r="AG317" s="45"/>
      <c r="AH317" s="45"/>
      <c r="AI317" s="45">
        <v>0</v>
      </c>
      <c r="AJ317" s="45"/>
      <c r="AK317" s="45">
        <v>0</v>
      </c>
      <c r="AL317" s="45"/>
      <c r="AM317" s="49">
        <f t="shared" si="37"/>
        <v>26344</v>
      </c>
      <c r="AN317" s="45"/>
      <c r="AO317" s="49">
        <f t="shared" si="36"/>
        <v>5798538</v>
      </c>
    </row>
    <row r="318" spans="1:41">
      <c r="A318" s="12" t="s">
        <v>544</v>
      </c>
      <c r="B318" s="12"/>
      <c r="C318" s="12" t="s">
        <v>112</v>
      </c>
      <c r="D318" s="12"/>
      <c r="E318" s="13">
        <v>49445</v>
      </c>
      <c r="F318" s="45"/>
      <c r="G318" s="45">
        <v>2493429</v>
      </c>
      <c r="H318" s="45"/>
      <c r="I318" s="45">
        <v>0</v>
      </c>
      <c r="J318" s="45"/>
      <c r="K318" s="45">
        <f>12001+2585832+322167</f>
        <v>2920000</v>
      </c>
      <c r="L318" s="45"/>
      <c r="M318" s="45">
        <v>22870</v>
      </c>
      <c r="N318" s="45"/>
      <c r="O318" s="45">
        <v>135413</v>
      </c>
      <c r="P318" s="45"/>
      <c r="Q318" s="45">
        <v>104051</v>
      </c>
      <c r="R318" s="45"/>
      <c r="S318" s="45">
        <v>0</v>
      </c>
      <c r="T318" s="45"/>
      <c r="U318" s="45">
        <v>6672</v>
      </c>
      <c r="V318" s="45"/>
      <c r="W318" s="45">
        <f>125536+19664+1625+21615</f>
        <v>168440</v>
      </c>
      <c r="X318" s="45"/>
      <c r="Y318" s="49">
        <f t="shared" si="32"/>
        <v>5850875</v>
      </c>
      <c r="Z318" s="45"/>
      <c r="AA318" s="45">
        <v>25000</v>
      </c>
      <c r="AB318" s="45"/>
      <c r="AC318" s="45"/>
      <c r="AD318" s="45"/>
      <c r="AE318" s="45">
        <v>0</v>
      </c>
      <c r="AF318" s="45"/>
      <c r="AG318" s="45"/>
      <c r="AH318" s="45"/>
      <c r="AI318" s="45">
        <v>0</v>
      </c>
      <c r="AJ318" s="45"/>
      <c r="AK318" s="45">
        <v>0</v>
      </c>
      <c r="AL318" s="45"/>
      <c r="AM318" s="49">
        <f t="shared" si="37"/>
        <v>25000</v>
      </c>
      <c r="AN318" s="45"/>
      <c r="AO318" s="49">
        <f t="shared" si="36"/>
        <v>5875875</v>
      </c>
    </row>
    <row r="319" spans="1:41">
      <c r="A319" s="12" t="s">
        <v>399</v>
      </c>
      <c r="B319" s="12"/>
      <c r="C319" s="12" t="s">
        <v>395</v>
      </c>
      <c r="D319" s="12"/>
      <c r="E319" s="13">
        <v>47639</v>
      </c>
      <c r="F319" s="45"/>
      <c r="G319" s="45">
        <v>1988503</v>
      </c>
      <c r="H319" s="45"/>
      <c r="I319" s="45">
        <v>0</v>
      </c>
      <c r="J319" s="45"/>
      <c r="K319" s="45">
        <v>9712353</v>
      </c>
      <c r="L319" s="45"/>
      <c r="M319" s="45">
        <v>117646</v>
      </c>
      <c r="N319" s="45"/>
      <c r="O319" s="45">
        <v>726299</v>
      </c>
      <c r="P319" s="45"/>
      <c r="Q319" s="45">
        <v>74673</v>
      </c>
      <c r="R319" s="45"/>
      <c r="S319" s="45">
        <v>0</v>
      </c>
      <c r="T319" s="45"/>
      <c r="U319" s="45">
        <v>19275</v>
      </c>
      <c r="V319" s="45"/>
      <c r="W319" s="45">
        <f>865+282820+97471</f>
        <v>381156</v>
      </c>
      <c r="X319" s="45"/>
      <c r="Y319" s="49">
        <f t="shared" si="32"/>
        <v>13019905</v>
      </c>
      <c r="Z319" s="45"/>
      <c r="AA319" s="45">
        <v>106938</v>
      </c>
      <c r="AB319" s="45"/>
      <c r="AC319" s="45"/>
      <c r="AD319" s="45"/>
      <c r="AE319" s="45">
        <v>0</v>
      </c>
      <c r="AF319" s="45"/>
      <c r="AG319" s="45"/>
      <c r="AH319" s="45"/>
      <c r="AI319" s="45">
        <v>0</v>
      </c>
      <c r="AJ319" s="45"/>
      <c r="AK319" s="45">
        <v>0</v>
      </c>
      <c r="AL319" s="45"/>
      <c r="AM319" s="49">
        <f t="shared" si="37"/>
        <v>106938</v>
      </c>
      <c r="AN319" s="45"/>
      <c r="AO319" s="49">
        <f t="shared" si="36"/>
        <v>13126843</v>
      </c>
    </row>
    <row r="320" spans="1:41">
      <c r="A320" s="12" t="s">
        <v>892</v>
      </c>
      <c r="B320" s="12"/>
      <c r="C320" s="12" t="s">
        <v>50</v>
      </c>
      <c r="D320" s="12"/>
      <c r="E320" s="13">
        <v>48702</v>
      </c>
      <c r="F320" s="45"/>
      <c r="G320" s="45">
        <v>9389763</v>
      </c>
      <c r="H320" s="45"/>
      <c r="I320" s="45">
        <v>0</v>
      </c>
      <c r="J320" s="45"/>
      <c r="K320" s="45">
        <v>30862028</v>
      </c>
      <c r="L320" s="45"/>
      <c r="M320" s="45">
        <v>141998</v>
      </c>
      <c r="N320" s="45"/>
      <c r="O320" s="45">
        <v>601680</v>
      </c>
      <c r="P320" s="45"/>
      <c r="Q320" s="45">
        <v>253379</v>
      </c>
      <c r="R320" s="45"/>
      <c r="S320" s="45">
        <v>0</v>
      </c>
      <c r="T320" s="45"/>
      <c r="U320" s="45">
        <v>0</v>
      </c>
      <c r="V320" s="45"/>
      <c r="W320" s="45">
        <f>1115876+295731</f>
        <v>1411607</v>
      </c>
      <c r="X320" s="45"/>
      <c r="Y320" s="49">
        <f t="shared" ref="Y320:Y363" si="38">SUM(G320:W320)</f>
        <v>42660455</v>
      </c>
      <c r="Z320" s="45"/>
      <c r="AA320" s="45">
        <v>200000</v>
      </c>
      <c r="AB320" s="45"/>
      <c r="AC320" s="45"/>
      <c r="AD320" s="45"/>
      <c r="AE320" s="45">
        <v>78790</v>
      </c>
      <c r="AF320" s="45"/>
      <c r="AG320" s="45"/>
      <c r="AH320" s="45"/>
      <c r="AI320" s="45">
        <v>3027</v>
      </c>
      <c r="AJ320" s="45"/>
      <c r="AK320" s="45">
        <v>0</v>
      </c>
      <c r="AL320" s="45"/>
      <c r="AM320" s="49">
        <f t="shared" si="37"/>
        <v>281817</v>
      </c>
      <c r="AN320" s="45"/>
      <c r="AO320" s="49">
        <f t="shared" si="36"/>
        <v>42942272</v>
      </c>
    </row>
    <row r="321" spans="1:41">
      <c r="A321" s="12" t="s">
        <v>367</v>
      </c>
      <c r="B321" s="12"/>
      <c r="C321" s="12" t="s">
        <v>32</v>
      </c>
      <c r="D321" s="12"/>
      <c r="E321" s="13">
        <v>44289</v>
      </c>
      <c r="F321" s="45"/>
      <c r="G321" s="45">
        <v>12855165</v>
      </c>
      <c r="H321" s="45"/>
      <c r="I321" s="45">
        <v>0</v>
      </c>
      <c r="J321" s="45"/>
      <c r="K321" s="45">
        <v>5962500</v>
      </c>
      <c r="L321" s="45"/>
      <c r="M321" s="45">
        <v>29094</v>
      </c>
      <c r="N321" s="45"/>
      <c r="O321" s="45">
        <v>158586</v>
      </c>
      <c r="P321" s="45"/>
      <c r="Q321" s="45">
        <v>339260</v>
      </c>
      <c r="R321" s="45"/>
      <c r="S321" s="45">
        <v>76070</v>
      </c>
      <c r="T321" s="45"/>
      <c r="U321" s="45">
        <v>0</v>
      </c>
      <c r="V321" s="45"/>
      <c r="W321" s="45">
        <f>549313+1695618</f>
        <v>2244931</v>
      </c>
      <c r="X321" s="45"/>
      <c r="Y321" s="49">
        <f t="shared" si="38"/>
        <v>21665606</v>
      </c>
      <c r="Z321" s="45"/>
      <c r="AA321" s="45">
        <v>2500</v>
      </c>
      <c r="AB321" s="45"/>
      <c r="AC321" s="45"/>
      <c r="AD321" s="45"/>
      <c r="AE321" s="45">
        <v>219946</v>
      </c>
      <c r="AF321" s="45"/>
      <c r="AG321" s="45"/>
      <c r="AH321" s="45"/>
      <c r="AI321" s="45">
        <v>0</v>
      </c>
      <c r="AJ321" s="45"/>
      <c r="AK321" s="45">
        <v>0</v>
      </c>
      <c r="AL321" s="45"/>
      <c r="AM321" s="49">
        <f t="shared" si="37"/>
        <v>222446</v>
      </c>
      <c r="AN321" s="45"/>
      <c r="AO321" s="49">
        <f t="shared" si="36"/>
        <v>21888052</v>
      </c>
    </row>
    <row r="322" spans="1:41">
      <c r="A322" s="12" t="s">
        <v>231</v>
      </c>
      <c r="B322" s="12"/>
      <c r="C322" s="12" t="s">
        <v>227</v>
      </c>
      <c r="D322" s="12"/>
      <c r="E322" s="13">
        <v>46128</v>
      </c>
      <c r="F322" s="45"/>
      <c r="G322" s="45">
        <v>5944087</v>
      </c>
      <c r="H322" s="45"/>
      <c r="I322" s="45">
        <v>0</v>
      </c>
      <c r="J322" s="45"/>
      <c r="K322" s="45">
        <f>15382194+1392286</f>
        <v>16774480</v>
      </c>
      <c r="L322" s="45"/>
      <c r="M322" s="45">
        <v>71029</v>
      </c>
      <c r="N322" s="45"/>
      <c r="O322" s="45">
        <f>864591+62160</f>
        <v>926751</v>
      </c>
      <c r="P322" s="45"/>
      <c r="Q322" s="45">
        <v>171690</v>
      </c>
      <c r="R322" s="45"/>
      <c r="S322" s="45">
        <v>0</v>
      </c>
      <c r="T322" s="45"/>
      <c r="U322" s="45">
        <v>0</v>
      </c>
      <c r="V322" s="45"/>
      <c r="W322" s="45">
        <f>16405+273057+502290</f>
        <v>791752</v>
      </c>
      <c r="X322" s="45"/>
      <c r="Y322" s="49">
        <f t="shared" si="38"/>
        <v>24679789</v>
      </c>
      <c r="Z322" s="45"/>
      <c r="AA322" s="45">
        <v>162</v>
      </c>
      <c r="AB322" s="45"/>
      <c r="AC322" s="45"/>
      <c r="AD322" s="45"/>
      <c r="AE322" s="45">
        <v>0</v>
      </c>
      <c r="AF322" s="45"/>
      <c r="AG322" s="45"/>
      <c r="AH322" s="45"/>
      <c r="AI322" s="45">
        <v>0</v>
      </c>
      <c r="AJ322" s="45"/>
      <c r="AK322" s="45">
        <v>0</v>
      </c>
      <c r="AL322" s="45"/>
      <c r="AM322" s="49">
        <f t="shared" si="37"/>
        <v>162</v>
      </c>
      <c r="AN322" s="45"/>
      <c r="AO322" s="49">
        <f t="shared" si="36"/>
        <v>24679951</v>
      </c>
    </row>
    <row r="323" spans="1:41" hidden="1">
      <c r="A323" s="17" t="s">
        <v>848</v>
      </c>
      <c r="B323" s="17"/>
      <c r="C323" s="17" t="s">
        <v>41</v>
      </c>
      <c r="D323" s="12"/>
      <c r="E323" s="13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9">
        <f t="shared" si="38"/>
        <v>0</v>
      </c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9"/>
      <c r="AN323" s="45"/>
      <c r="AO323" s="49">
        <f t="shared" si="36"/>
        <v>0</v>
      </c>
    </row>
    <row r="324" spans="1:41">
      <c r="A324" s="12" t="s">
        <v>231</v>
      </c>
      <c r="B324" s="12"/>
      <c r="C324" s="12" t="s">
        <v>112</v>
      </c>
      <c r="D324" s="12"/>
      <c r="E324" s="13">
        <v>49452</v>
      </c>
      <c r="F324" s="45"/>
      <c r="G324" s="45">
        <v>9710687</v>
      </c>
      <c r="H324" s="45"/>
      <c r="I324" s="45">
        <v>0</v>
      </c>
      <c r="J324" s="45"/>
      <c r="K324" s="45">
        <f>17502556+4312525</f>
        <v>21815081</v>
      </c>
      <c r="L324" s="45"/>
      <c r="M324" s="45">
        <v>187074</v>
      </c>
      <c r="N324" s="45"/>
      <c r="O324" s="45">
        <f>1611991+15111+137837</f>
        <v>1764939</v>
      </c>
      <c r="P324" s="45"/>
      <c r="Q324" s="45">
        <v>108736</v>
      </c>
      <c r="R324" s="45"/>
      <c r="S324" s="45">
        <v>207646</v>
      </c>
      <c r="T324" s="45"/>
      <c r="U324" s="45">
        <v>32184</v>
      </c>
      <c r="V324" s="45"/>
      <c r="W324" s="45">
        <f>409481+2610+84666+93949</f>
        <v>590706</v>
      </c>
      <c r="X324" s="45"/>
      <c r="Y324" s="49">
        <f t="shared" si="38"/>
        <v>34417053</v>
      </c>
      <c r="Z324" s="45"/>
      <c r="AA324" s="45">
        <v>179725</v>
      </c>
      <c r="AB324" s="45"/>
      <c r="AC324" s="45"/>
      <c r="AD324" s="45"/>
      <c r="AE324" s="45">
        <v>0</v>
      </c>
      <c r="AF324" s="45"/>
      <c r="AG324" s="45"/>
      <c r="AH324" s="45"/>
      <c r="AI324" s="45">
        <v>0</v>
      </c>
      <c r="AJ324" s="45"/>
      <c r="AK324" s="45">
        <v>0</v>
      </c>
      <c r="AL324" s="45"/>
      <c r="AM324" s="49">
        <f t="shared" ref="AM324:AM334" si="39">AI324+AE324+AA324</f>
        <v>179725</v>
      </c>
      <c r="AN324" s="45"/>
      <c r="AO324" s="49">
        <f t="shared" si="36"/>
        <v>34596778</v>
      </c>
    </row>
    <row r="325" spans="1:41">
      <c r="A325" s="17" t="s">
        <v>864</v>
      </c>
      <c r="B325" s="17"/>
      <c r="C325" s="17" t="s">
        <v>458</v>
      </c>
      <c r="D325" s="12"/>
      <c r="E325" s="13"/>
      <c r="F325" s="45"/>
      <c r="G325" s="45">
        <v>8636137</v>
      </c>
      <c r="H325" s="45"/>
      <c r="I325" s="45">
        <v>0</v>
      </c>
      <c r="J325" s="45"/>
      <c r="K325" s="45">
        <v>7948433</v>
      </c>
      <c r="L325" s="45"/>
      <c r="M325" s="45">
        <v>103816</v>
      </c>
      <c r="N325" s="45"/>
      <c r="O325" s="45">
        <v>909105</v>
      </c>
      <c r="P325" s="45"/>
      <c r="Q325" s="45">
        <v>191964</v>
      </c>
      <c r="R325" s="45"/>
      <c r="S325" s="45">
        <v>10574</v>
      </c>
      <c r="T325" s="45"/>
      <c r="U325" s="45">
        <v>62111</v>
      </c>
      <c r="V325" s="45"/>
      <c r="W325" s="45">
        <f>37719+368914</f>
        <v>406633</v>
      </c>
      <c r="X325" s="45"/>
      <c r="Y325" s="49">
        <f t="shared" si="38"/>
        <v>18268773</v>
      </c>
      <c r="Z325" s="45"/>
      <c r="AA325" s="45">
        <v>0</v>
      </c>
      <c r="AB325" s="45"/>
      <c r="AC325" s="45"/>
      <c r="AD325" s="45"/>
      <c r="AE325" s="45">
        <v>0</v>
      </c>
      <c r="AF325" s="45"/>
      <c r="AG325" s="45"/>
      <c r="AH325" s="45"/>
      <c r="AI325" s="45">
        <v>4000</v>
      </c>
      <c r="AJ325" s="45"/>
      <c r="AK325" s="45">
        <v>0</v>
      </c>
      <c r="AL325" s="45"/>
      <c r="AM325" s="49">
        <f t="shared" si="39"/>
        <v>4000</v>
      </c>
      <c r="AN325" s="45"/>
      <c r="AO325" s="49">
        <f t="shared" si="36"/>
        <v>18272773</v>
      </c>
    </row>
    <row r="326" spans="1:41">
      <c r="A326" s="12" t="s">
        <v>722</v>
      </c>
      <c r="B326" s="12"/>
      <c r="C326" s="12" t="s">
        <v>203</v>
      </c>
      <c r="D326" s="12"/>
      <c r="E326" s="13"/>
      <c r="F326" s="45"/>
      <c r="G326" s="45">
        <v>7565633</v>
      </c>
      <c r="H326" s="45"/>
      <c r="I326" s="45">
        <v>0</v>
      </c>
      <c r="J326" s="45"/>
      <c r="K326" s="45">
        <v>8477353</v>
      </c>
      <c r="L326" s="45"/>
      <c r="M326" s="45">
        <v>60229</v>
      </c>
      <c r="N326" s="45"/>
      <c r="O326" s="45">
        <v>469820</v>
      </c>
      <c r="P326" s="45"/>
      <c r="Q326" s="45">
        <v>92365</v>
      </c>
      <c r="R326" s="45"/>
      <c r="S326" s="45">
        <v>0</v>
      </c>
      <c r="T326" s="45"/>
      <c r="U326" s="45">
        <v>12656</v>
      </c>
      <c r="V326" s="45"/>
      <c r="W326" s="45">
        <f>28494+146871</f>
        <v>175365</v>
      </c>
      <c r="X326" s="45"/>
      <c r="Y326" s="49">
        <f t="shared" si="38"/>
        <v>16853421</v>
      </c>
      <c r="Z326" s="45"/>
      <c r="AA326" s="45">
        <v>2670752</v>
      </c>
      <c r="AB326" s="45"/>
      <c r="AC326" s="45"/>
      <c r="AD326" s="45"/>
      <c r="AE326" s="45">
        <v>0</v>
      </c>
      <c r="AF326" s="45"/>
      <c r="AG326" s="45"/>
      <c r="AH326" s="45"/>
      <c r="AI326" s="45">
        <f>9710+889</f>
        <v>10599</v>
      </c>
      <c r="AJ326" s="45"/>
      <c r="AK326" s="45">
        <v>0</v>
      </c>
      <c r="AL326" s="45"/>
      <c r="AM326" s="49">
        <f t="shared" si="39"/>
        <v>2681351</v>
      </c>
      <c r="AN326" s="45"/>
      <c r="AO326" s="49">
        <f t="shared" si="36"/>
        <v>19534772</v>
      </c>
    </row>
    <row r="327" spans="1:41">
      <c r="A327" s="12" t="s">
        <v>545</v>
      </c>
      <c r="B327" s="12"/>
      <c r="C327" s="12" t="s">
        <v>112</v>
      </c>
      <c r="D327" s="12"/>
      <c r="E327" s="13">
        <v>44297</v>
      </c>
      <c r="F327" s="45"/>
      <c r="G327" s="45">
        <v>16425069</v>
      </c>
      <c r="H327" s="45"/>
      <c r="I327" s="45">
        <v>0</v>
      </c>
      <c r="J327" s="45"/>
      <c r="K327" s="45">
        <f>9984156+35807852</f>
        <v>45792008</v>
      </c>
      <c r="L327" s="45"/>
      <c r="M327" s="45">
        <v>393606</v>
      </c>
      <c r="N327" s="45"/>
      <c r="O327" s="45">
        <f>636957+71304+66108</f>
        <v>774369</v>
      </c>
      <c r="P327" s="45"/>
      <c r="Q327" s="45">
        <v>246021</v>
      </c>
      <c r="R327" s="45"/>
      <c r="S327" s="45">
        <v>0</v>
      </c>
      <c r="T327" s="45"/>
      <c r="U327" s="45">
        <v>30120</v>
      </c>
      <c r="V327" s="45"/>
      <c r="W327" s="45">
        <f>331150+8347+78245+1814729</f>
        <v>2232471</v>
      </c>
      <c r="X327" s="45"/>
      <c r="Y327" s="49">
        <f t="shared" si="38"/>
        <v>65893664</v>
      </c>
      <c r="Z327" s="45"/>
      <c r="AA327" s="45">
        <v>37279</v>
      </c>
      <c r="AB327" s="45"/>
      <c r="AC327" s="45"/>
      <c r="AD327" s="45"/>
      <c r="AE327" s="45">
        <v>0</v>
      </c>
      <c r="AF327" s="45"/>
      <c r="AG327" s="45"/>
      <c r="AH327" s="45"/>
      <c r="AI327" s="45">
        <v>8830</v>
      </c>
      <c r="AJ327" s="45"/>
      <c r="AK327" s="45">
        <v>0</v>
      </c>
      <c r="AL327" s="45"/>
      <c r="AM327" s="49">
        <f t="shared" si="39"/>
        <v>46109</v>
      </c>
      <c r="AN327" s="45"/>
      <c r="AO327" s="49">
        <f t="shared" si="36"/>
        <v>65939773</v>
      </c>
    </row>
    <row r="328" spans="1:41">
      <c r="A328" s="17" t="s">
        <v>907</v>
      </c>
      <c r="B328" s="12"/>
      <c r="C328" s="12" t="s">
        <v>20</v>
      </c>
      <c r="D328" s="12"/>
      <c r="E328" s="12">
        <v>44305</v>
      </c>
      <c r="F328" s="45"/>
      <c r="G328" s="45">
        <v>15699600</v>
      </c>
      <c r="H328" s="45"/>
      <c r="I328" s="45">
        <v>0</v>
      </c>
      <c r="J328" s="45"/>
      <c r="K328" s="45">
        <v>65538759</v>
      </c>
      <c r="L328" s="45"/>
      <c r="M328" s="45">
        <v>1473595</v>
      </c>
      <c r="N328" s="45"/>
      <c r="O328" s="45">
        <v>660937</v>
      </c>
      <c r="P328" s="45"/>
      <c r="Q328" s="45">
        <v>81935</v>
      </c>
      <c r="R328" s="45"/>
      <c r="S328" s="45">
        <v>0</v>
      </c>
      <c r="T328" s="45"/>
      <c r="U328" s="45">
        <v>43138</v>
      </c>
      <c r="V328" s="45"/>
      <c r="W328" s="45">
        <f>499753+1003+535662</f>
        <v>1036418</v>
      </c>
      <c r="X328" s="45"/>
      <c r="Y328" s="49">
        <f t="shared" si="38"/>
        <v>84534382</v>
      </c>
      <c r="Z328" s="45"/>
      <c r="AA328" s="45">
        <v>371903</v>
      </c>
      <c r="AB328" s="45"/>
      <c r="AC328" s="45"/>
      <c r="AD328" s="45"/>
      <c r="AE328" s="45">
        <f>55734932+4309858</f>
        <v>60044790</v>
      </c>
      <c r="AF328" s="45"/>
      <c r="AG328" s="45"/>
      <c r="AH328" s="45"/>
      <c r="AI328" s="45">
        <v>0</v>
      </c>
      <c r="AJ328" s="45"/>
      <c r="AK328" s="45">
        <v>0</v>
      </c>
      <c r="AL328" s="45"/>
      <c r="AM328" s="49">
        <f t="shared" si="39"/>
        <v>60416693</v>
      </c>
      <c r="AN328" s="45"/>
      <c r="AO328" s="49">
        <f t="shared" si="36"/>
        <v>144951075</v>
      </c>
    </row>
    <row r="329" spans="1:41">
      <c r="A329" s="12" t="s">
        <v>208</v>
      </c>
      <c r="B329" s="12"/>
      <c r="C329" s="12" t="s">
        <v>11</v>
      </c>
      <c r="D329" s="12"/>
      <c r="E329" s="13">
        <v>45831</v>
      </c>
      <c r="F329" s="45"/>
      <c r="G329" s="45">
        <v>2837146</v>
      </c>
      <c r="H329" s="45"/>
      <c r="I329" s="45">
        <v>0</v>
      </c>
      <c r="J329" s="45"/>
      <c r="K329" s="45">
        <f>20215+4955283+867646</f>
        <v>5843144</v>
      </c>
      <c r="L329" s="45"/>
      <c r="M329" s="45">
        <v>4626</v>
      </c>
      <c r="N329" s="45"/>
      <c r="O329" s="45">
        <f>572060+17124+27474</f>
        <v>616658</v>
      </c>
      <c r="P329" s="45"/>
      <c r="Q329" s="45">
        <v>110661</v>
      </c>
      <c r="R329" s="45"/>
      <c r="S329" s="45">
        <v>0</v>
      </c>
      <c r="T329" s="45"/>
      <c r="U329" s="45">
        <v>17612</v>
      </c>
      <c r="V329" s="45"/>
      <c r="W329" s="45">
        <f>74807+161844</f>
        <v>236651</v>
      </c>
      <c r="X329" s="45"/>
      <c r="Y329" s="49">
        <f t="shared" si="38"/>
        <v>9666498</v>
      </c>
      <c r="Z329" s="45"/>
      <c r="AA329" s="45">
        <v>25000</v>
      </c>
      <c r="AB329" s="45"/>
      <c r="AC329" s="45"/>
      <c r="AD329" s="45"/>
      <c r="AE329" s="45">
        <v>0</v>
      </c>
      <c r="AF329" s="45"/>
      <c r="AG329" s="45"/>
      <c r="AH329" s="45"/>
      <c r="AI329" s="45">
        <v>0</v>
      </c>
      <c r="AJ329" s="45"/>
      <c r="AK329" s="45">
        <v>0</v>
      </c>
      <c r="AL329" s="45"/>
      <c r="AM329" s="49">
        <f t="shared" si="39"/>
        <v>25000</v>
      </c>
      <c r="AN329" s="45"/>
      <c r="AO329" s="49">
        <f t="shared" si="36"/>
        <v>9691498</v>
      </c>
    </row>
    <row r="330" spans="1:41">
      <c r="A330" s="12" t="s">
        <v>611</v>
      </c>
      <c r="B330" s="12"/>
      <c r="C330" s="12" t="s">
        <v>64</v>
      </c>
      <c r="D330" s="12"/>
      <c r="E330" s="13">
        <v>50211</v>
      </c>
      <c r="F330" s="45"/>
      <c r="G330" s="45">
        <v>2701925</v>
      </c>
      <c r="H330" s="45"/>
      <c r="I330" s="45">
        <v>0</v>
      </c>
      <c r="J330" s="45"/>
      <c r="K330" s="45">
        <f>5743270+1167551</f>
        <v>6910821</v>
      </c>
      <c r="L330" s="45"/>
      <c r="M330" s="45">
        <v>20681</v>
      </c>
      <c r="N330" s="45"/>
      <c r="O330" s="45">
        <f>277371+7747+22683</f>
        <v>307801</v>
      </c>
      <c r="P330" s="45"/>
      <c r="Q330" s="45">
        <v>81984</v>
      </c>
      <c r="R330" s="45"/>
      <c r="S330" s="45">
        <v>0</v>
      </c>
      <c r="T330" s="45"/>
      <c r="U330" s="1">
        <v>1745</v>
      </c>
      <c r="V330" s="45"/>
      <c r="W330" s="45">
        <f>85+76353+152253</f>
        <v>228691</v>
      </c>
      <c r="X330" s="45"/>
      <c r="Y330" s="49">
        <f>SUM(G330:W330)</f>
        <v>10253648</v>
      </c>
      <c r="Z330" s="45"/>
      <c r="AA330" s="45">
        <v>0</v>
      </c>
      <c r="AB330" s="45"/>
      <c r="AC330" s="45"/>
      <c r="AD330" s="45"/>
      <c r="AE330" s="45">
        <v>0</v>
      </c>
      <c r="AF330" s="45"/>
      <c r="AG330" s="45"/>
      <c r="AH330" s="45"/>
      <c r="AI330" s="45">
        <v>0</v>
      </c>
      <c r="AJ330" s="45"/>
      <c r="AK330" s="45">
        <v>0</v>
      </c>
      <c r="AL330" s="45"/>
      <c r="AM330" s="49">
        <f t="shared" si="39"/>
        <v>0</v>
      </c>
      <c r="AN330" s="45"/>
      <c r="AO330" s="49">
        <f t="shared" si="36"/>
        <v>10253648</v>
      </c>
    </row>
    <row r="331" spans="1:41">
      <c r="A331" s="12" t="s">
        <v>317</v>
      </c>
      <c r="B331" s="12"/>
      <c r="C331" s="12" t="s">
        <v>24</v>
      </c>
      <c r="D331" s="12"/>
      <c r="E331" s="13">
        <v>46805</v>
      </c>
      <c r="F331" s="45"/>
      <c r="G331" s="45">
        <v>4512684</v>
      </c>
      <c r="H331" s="45"/>
      <c r="I331" s="45">
        <v>0</v>
      </c>
      <c r="J331" s="45"/>
      <c r="K331" s="45">
        <f>6447549+1239368</f>
        <v>7686917</v>
      </c>
      <c r="L331" s="45"/>
      <c r="M331" s="45">
        <v>8456</v>
      </c>
      <c r="N331" s="45"/>
      <c r="O331" s="45">
        <f>448021+48041</f>
        <v>496062</v>
      </c>
      <c r="P331" s="45"/>
      <c r="Q331" s="45">
        <v>302427</v>
      </c>
      <c r="R331" s="45"/>
      <c r="S331" s="45">
        <v>0</v>
      </c>
      <c r="T331" s="45"/>
      <c r="U331" s="45">
        <v>1600</v>
      </c>
      <c r="V331" s="45"/>
      <c r="W331" s="45">
        <f>345823+46915+20811+45605</f>
        <v>459154</v>
      </c>
      <c r="X331" s="45"/>
      <c r="Y331" s="49">
        <f t="shared" si="38"/>
        <v>13467300</v>
      </c>
      <c r="Z331" s="45"/>
      <c r="AA331" s="45">
        <v>81841</v>
      </c>
      <c r="AB331" s="45"/>
      <c r="AC331" s="45"/>
      <c r="AD331" s="45"/>
      <c r="AE331" s="45">
        <v>0</v>
      </c>
      <c r="AF331" s="45"/>
      <c r="AG331" s="45"/>
      <c r="AH331" s="45"/>
      <c r="AI331" s="45">
        <v>0</v>
      </c>
      <c r="AJ331" s="45"/>
      <c r="AK331" s="45">
        <v>0</v>
      </c>
      <c r="AL331" s="45"/>
      <c r="AM331" s="49">
        <f t="shared" si="39"/>
        <v>81841</v>
      </c>
      <c r="AN331" s="45"/>
      <c r="AO331" s="49">
        <f t="shared" si="36"/>
        <v>13549141</v>
      </c>
    </row>
    <row r="332" spans="1:41">
      <c r="A332" s="12" t="s">
        <v>368</v>
      </c>
      <c r="B332" s="12"/>
      <c r="C332" s="12" t="s">
        <v>32</v>
      </c>
      <c r="D332" s="12"/>
      <c r="E332" s="13">
        <v>44313</v>
      </c>
      <c r="F332" s="45"/>
      <c r="G332" s="45">
        <v>14364375</v>
      </c>
      <c r="H332" s="45"/>
      <c r="I332" s="45">
        <v>0</v>
      </c>
      <c r="J332" s="45"/>
      <c r="K332" s="45">
        <v>8224618</v>
      </c>
      <c r="L332" s="45"/>
      <c r="M332" s="45">
        <v>48930</v>
      </c>
      <c r="N332" s="45"/>
      <c r="O332" s="45">
        <v>352893</v>
      </c>
      <c r="P332" s="45"/>
      <c r="Q332" s="45">
        <v>215442</v>
      </c>
      <c r="R332" s="45"/>
      <c r="S332" s="45">
        <v>0</v>
      </c>
      <c r="T332" s="45"/>
      <c r="U332" s="45">
        <v>0</v>
      </c>
      <c r="V332" s="45"/>
      <c r="W332" s="45">
        <f>150400+77824</f>
        <v>228224</v>
      </c>
      <c r="X332" s="45"/>
      <c r="Y332" s="49">
        <f t="shared" si="38"/>
        <v>23434482</v>
      </c>
      <c r="Z332" s="45"/>
      <c r="AA332" s="45">
        <v>449060</v>
      </c>
      <c r="AB332" s="45"/>
      <c r="AC332" s="45"/>
      <c r="AD332" s="45"/>
      <c r="AE332" s="45">
        <v>0</v>
      </c>
      <c r="AF332" s="45"/>
      <c r="AG332" s="45"/>
      <c r="AH332" s="45"/>
      <c r="AI332" s="45">
        <v>0</v>
      </c>
      <c r="AJ332" s="45"/>
      <c r="AK332" s="45">
        <v>0</v>
      </c>
      <c r="AL332" s="45"/>
      <c r="AM332" s="49">
        <f t="shared" si="39"/>
        <v>449060</v>
      </c>
      <c r="AN332" s="45"/>
      <c r="AO332" s="49">
        <f t="shared" si="36"/>
        <v>23883542</v>
      </c>
    </row>
    <row r="333" spans="1:41" hidden="1">
      <c r="A333" s="17" t="s">
        <v>733</v>
      </c>
      <c r="B333" s="12"/>
      <c r="C333" s="12" t="s">
        <v>70</v>
      </c>
      <c r="D333" s="12"/>
      <c r="E333" s="13">
        <v>44321</v>
      </c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9">
        <f t="shared" si="38"/>
        <v>0</v>
      </c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>
        <v>0</v>
      </c>
      <c r="AL333" s="45"/>
      <c r="AM333" s="49">
        <f t="shared" si="39"/>
        <v>0</v>
      </c>
      <c r="AN333" s="45"/>
      <c r="AO333" s="49">
        <f t="shared" si="36"/>
        <v>0</v>
      </c>
    </row>
    <row r="334" spans="1:41" ht="11.25" customHeight="1">
      <c r="A334" s="12" t="s">
        <v>474</v>
      </c>
      <c r="B334" s="12"/>
      <c r="C334" s="12" t="s">
        <v>46</v>
      </c>
      <c r="D334" s="12"/>
      <c r="E334" s="13">
        <v>44339</v>
      </c>
      <c r="F334" s="45"/>
      <c r="G334" s="45">
        <v>9342521</v>
      </c>
      <c r="H334" s="45"/>
      <c r="I334" s="45">
        <v>0</v>
      </c>
      <c r="J334" s="45"/>
      <c r="K334" s="45">
        <v>41362460</v>
      </c>
      <c r="L334" s="45"/>
      <c r="M334" s="45">
        <v>205423</v>
      </c>
      <c r="N334" s="45"/>
      <c r="O334" s="45">
        <v>2092110</v>
      </c>
      <c r="P334" s="45"/>
      <c r="Q334" s="45">
        <v>158098</v>
      </c>
      <c r="R334" s="45"/>
      <c r="S334" s="45">
        <v>92433</v>
      </c>
      <c r="T334" s="45"/>
      <c r="U334" s="45">
        <v>6729</v>
      </c>
      <c r="V334" s="45"/>
      <c r="W334" s="45">
        <v>865190</v>
      </c>
      <c r="X334" s="45"/>
      <c r="Y334" s="49">
        <f t="shared" si="38"/>
        <v>54124964</v>
      </c>
      <c r="Z334" s="45"/>
      <c r="AA334" s="45">
        <v>75000</v>
      </c>
      <c r="AB334" s="45"/>
      <c r="AC334" s="45"/>
      <c r="AD334" s="45"/>
      <c r="AE334" s="45">
        <v>77317</v>
      </c>
      <c r="AF334" s="45"/>
      <c r="AG334" s="45"/>
      <c r="AH334" s="45"/>
      <c r="AI334" s="45">
        <v>0</v>
      </c>
      <c r="AJ334" s="45"/>
      <c r="AK334" s="45">
        <v>0</v>
      </c>
      <c r="AL334" s="45"/>
      <c r="AM334" s="49">
        <f t="shared" si="39"/>
        <v>152317</v>
      </c>
      <c r="AN334" s="45"/>
      <c r="AO334" s="49">
        <f t="shared" si="36"/>
        <v>54277281</v>
      </c>
    </row>
    <row r="335" spans="1:41" ht="11.25" hidden="1" customHeight="1">
      <c r="A335" s="17" t="s">
        <v>850</v>
      </c>
      <c r="B335" s="17"/>
      <c r="C335" s="17" t="s">
        <v>486</v>
      </c>
      <c r="D335" s="12"/>
      <c r="E335" s="13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9">
        <f t="shared" si="38"/>
        <v>0</v>
      </c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9"/>
      <c r="AN335" s="45"/>
      <c r="AO335" s="49">
        <f t="shared" si="36"/>
        <v>0</v>
      </c>
    </row>
    <row r="336" spans="1:41">
      <c r="A336" s="12" t="s">
        <v>579</v>
      </c>
      <c r="B336" s="12"/>
      <c r="C336" s="12" t="s">
        <v>62</v>
      </c>
      <c r="D336" s="12"/>
      <c r="E336" s="13">
        <v>49882</v>
      </c>
      <c r="F336" s="45"/>
      <c r="G336" s="45">
        <v>8348604</v>
      </c>
      <c r="H336" s="45"/>
      <c r="I336" s="45">
        <v>0</v>
      </c>
      <c r="J336" s="45"/>
      <c r="K336" s="45">
        <f>270+12261275+2582865</f>
        <v>14844410</v>
      </c>
      <c r="L336" s="45"/>
      <c r="M336" s="45">
        <v>54287</v>
      </c>
      <c r="N336" s="45"/>
      <c r="O336" s="45">
        <f>98515+116721</f>
        <v>215236</v>
      </c>
      <c r="P336" s="45"/>
      <c r="Q336" s="45">
        <v>421729</v>
      </c>
      <c r="R336" s="45"/>
      <c r="S336" s="45">
        <v>0</v>
      </c>
      <c r="T336" s="45"/>
      <c r="U336" s="45">
        <v>29381</v>
      </c>
      <c r="V336" s="45"/>
      <c r="W336" s="45">
        <f>515668+18900+118889</f>
        <v>653457</v>
      </c>
      <c r="X336" s="45"/>
      <c r="Y336" s="49">
        <f t="shared" si="38"/>
        <v>24567104</v>
      </c>
      <c r="Z336" s="45"/>
      <c r="AA336" s="45">
        <v>285879</v>
      </c>
      <c r="AB336" s="45"/>
      <c r="AC336" s="45"/>
      <c r="AD336" s="45"/>
      <c r="AE336" s="45">
        <v>0</v>
      </c>
      <c r="AF336" s="45"/>
      <c r="AG336" s="45"/>
      <c r="AH336" s="45"/>
      <c r="AI336" s="45">
        <v>7433</v>
      </c>
      <c r="AJ336" s="45"/>
      <c r="AK336" s="45">
        <v>0</v>
      </c>
      <c r="AL336" s="45"/>
      <c r="AM336" s="49">
        <f t="shared" ref="AM336:AM354" si="40">AI336+AE336+AA336</f>
        <v>293312</v>
      </c>
      <c r="AN336" s="45"/>
      <c r="AO336" s="49">
        <f t="shared" si="36"/>
        <v>24860416</v>
      </c>
    </row>
    <row r="337" spans="1:41">
      <c r="A337" s="12" t="s">
        <v>221</v>
      </c>
      <c r="B337" s="12"/>
      <c r="C337" s="12" t="s">
        <v>15</v>
      </c>
      <c r="D337" s="12"/>
      <c r="E337" s="13">
        <v>44347</v>
      </c>
      <c r="F337" s="45"/>
      <c r="G337" s="45">
        <v>2731202</v>
      </c>
      <c r="H337" s="45"/>
      <c r="I337" s="45">
        <v>0</v>
      </c>
      <c r="J337" s="45"/>
      <c r="K337" s="45">
        <v>11734674</v>
      </c>
      <c r="L337" s="45"/>
      <c r="M337" s="45">
        <v>1124</v>
      </c>
      <c r="N337" s="45"/>
      <c r="O337" s="45">
        <v>975716</v>
      </c>
      <c r="P337" s="45"/>
      <c r="Q337" s="45">
        <v>90693</v>
      </c>
      <c r="R337" s="45"/>
      <c r="S337" s="45">
        <v>0</v>
      </c>
      <c r="T337" s="45"/>
      <c r="U337" s="45">
        <v>10300</v>
      </c>
      <c r="V337" s="45"/>
      <c r="W337" s="45">
        <f>264105+6204</f>
        <v>270309</v>
      </c>
      <c r="X337" s="45"/>
      <c r="Y337" s="49">
        <f t="shared" si="38"/>
        <v>15814018</v>
      </c>
      <c r="Z337" s="45"/>
      <c r="AA337" s="45">
        <v>0</v>
      </c>
      <c r="AB337" s="45"/>
      <c r="AC337" s="45"/>
      <c r="AD337" s="45"/>
      <c r="AE337" s="45">
        <v>0</v>
      </c>
      <c r="AF337" s="45"/>
      <c r="AG337" s="45"/>
      <c r="AH337" s="45"/>
      <c r="AI337" s="45">
        <v>0</v>
      </c>
      <c r="AJ337" s="45"/>
      <c r="AK337" s="45">
        <v>0</v>
      </c>
      <c r="AL337" s="45"/>
      <c r="AM337" s="49">
        <f t="shared" si="40"/>
        <v>0</v>
      </c>
      <c r="AN337" s="45"/>
      <c r="AO337" s="49">
        <f t="shared" si="36"/>
        <v>15814018</v>
      </c>
    </row>
    <row r="338" spans="1:41">
      <c r="A338" s="12" t="s">
        <v>626</v>
      </c>
      <c r="B338" s="12"/>
      <c r="C338" s="12" t="s">
        <v>66</v>
      </c>
      <c r="D338" s="12"/>
      <c r="E338" s="13">
        <v>45476</v>
      </c>
      <c r="F338" s="45"/>
      <c r="G338" s="45">
        <v>28737115</v>
      </c>
      <c r="H338" s="45"/>
      <c r="I338" s="45">
        <v>0</v>
      </c>
      <c r="J338" s="45"/>
      <c r="K338" s="45">
        <f>27056499+3133391</f>
        <v>30189890</v>
      </c>
      <c r="L338" s="45"/>
      <c r="M338" s="45">
        <v>61497</v>
      </c>
      <c r="N338" s="45"/>
      <c r="O338" s="45">
        <f>304043+27694</f>
        <v>331737</v>
      </c>
      <c r="P338" s="45"/>
      <c r="Q338" s="45">
        <v>499576</v>
      </c>
      <c r="R338" s="45"/>
      <c r="S338" s="45">
        <v>0</v>
      </c>
      <c r="T338" s="45"/>
      <c r="U338" s="45">
        <v>0</v>
      </c>
      <c r="V338" s="45"/>
      <c r="W338" s="45">
        <f>1072341+520335</f>
        <v>1592676</v>
      </c>
      <c r="X338" s="45"/>
      <c r="Y338" s="49">
        <f t="shared" si="38"/>
        <v>61412491</v>
      </c>
      <c r="Z338" s="45"/>
      <c r="AA338" s="45">
        <v>74712</v>
      </c>
      <c r="AB338" s="45"/>
      <c r="AC338" s="45"/>
      <c r="AD338" s="45"/>
      <c r="AE338" s="45">
        <v>0</v>
      </c>
      <c r="AF338" s="45"/>
      <c r="AG338" s="45"/>
      <c r="AH338" s="45"/>
      <c r="AI338" s="45">
        <v>1503</v>
      </c>
      <c r="AJ338" s="45"/>
      <c r="AK338" s="45">
        <v>0</v>
      </c>
      <c r="AL338" s="45"/>
      <c r="AM338" s="49">
        <f t="shared" si="40"/>
        <v>76215</v>
      </c>
      <c r="AN338" s="45"/>
      <c r="AO338" s="49">
        <f t="shared" si="36"/>
        <v>61488706</v>
      </c>
    </row>
    <row r="339" spans="1:41">
      <c r="A339" s="12" t="s">
        <v>635</v>
      </c>
      <c r="B339" s="12"/>
      <c r="C339" s="12" t="s">
        <v>69</v>
      </c>
      <c r="D339" s="12"/>
      <c r="E339" s="13">
        <v>50450</v>
      </c>
      <c r="F339" s="45"/>
      <c r="G339" s="45">
        <v>57194629</v>
      </c>
      <c r="H339" s="45"/>
      <c r="I339" s="45">
        <v>0</v>
      </c>
      <c r="J339" s="45"/>
      <c r="K339" s="45">
        <v>52871835</v>
      </c>
      <c r="L339" s="45"/>
      <c r="M339" s="45">
        <v>406189</v>
      </c>
      <c r="N339" s="45"/>
      <c r="O339" s="45">
        <v>1509382</v>
      </c>
      <c r="P339" s="45"/>
      <c r="Q339" s="45">
        <v>1329655</v>
      </c>
      <c r="R339" s="45"/>
      <c r="S339" s="45">
        <v>3246149</v>
      </c>
      <c r="T339" s="45"/>
      <c r="U339" s="45">
        <v>0</v>
      </c>
      <c r="V339" s="45"/>
      <c r="W339" s="45">
        <f>5643348+1589710</f>
        <v>7233058</v>
      </c>
      <c r="X339" s="45"/>
      <c r="Y339" s="49">
        <f t="shared" si="38"/>
        <v>123790897</v>
      </c>
      <c r="Z339" s="45"/>
      <c r="AA339" s="45">
        <v>18513505</v>
      </c>
      <c r="AB339" s="45"/>
      <c r="AC339" s="45"/>
      <c r="AD339" s="45"/>
      <c r="AE339" s="45">
        <v>0</v>
      </c>
      <c r="AF339" s="45"/>
      <c r="AG339" s="45"/>
      <c r="AH339" s="45"/>
      <c r="AI339" s="45">
        <v>378104</v>
      </c>
      <c r="AJ339" s="45"/>
      <c r="AK339" s="45">
        <v>0</v>
      </c>
      <c r="AL339" s="45"/>
      <c r="AM339" s="49">
        <f t="shared" si="40"/>
        <v>18891609</v>
      </c>
      <c r="AN339" s="45"/>
      <c r="AO339" s="49">
        <f t="shared" si="36"/>
        <v>142682506</v>
      </c>
    </row>
    <row r="340" spans="1:41">
      <c r="A340" s="12" t="s">
        <v>580</v>
      </c>
      <c r="B340" s="12"/>
      <c r="C340" s="12" t="s">
        <v>62</v>
      </c>
      <c r="D340" s="12"/>
      <c r="E340" s="13">
        <v>44354</v>
      </c>
      <c r="F340" s="45"/>
      <c r="G340" s="45">
        <v>14291681</v>
      </c>
      <c r="H340" s="45"/>
      <c r="I340" s="45">
        <v>46407</v>
      </c>
      <c r="J340" s="45"/>
      <c r="K340" s="45">
        <v>31465710</v>
      </c>
      <c r="L340" s="45"/>
      <c r="M340" s="45">
        <v>75053</v>
      </c>
      <c r="N340" s="45"/>
      <c r="O340" s="45">
        <v>1781794</v>
      </c>
      <c r="P340" s="45"/>
      <c r="Q340" s="45">
        <v>591156</v>
      </c>
      <c r="R340" s="45"/>
      <c r="S340" s="45">
        <v>0</v>
      </c>
      <c r="T340" s="45"/>
      <c r="U340" s="45">
        <v>106748</v>
      </c>
      <c r="V340" s="45"/>
      <c r="W340" s="45">
        <f>44707+845811+134849</f>
        <v>1025367</v>
      </c>
      <c r="X340" s="45"/>
      <c r="Y340" s="49">
        <f t="shared" si="38"/>
        <v>49383916</v>
      </c>
      <c r="Z340" s="45"/>
      <c r="AA340" s="45">
        <v>58678</v>
      </c>
      <c r="AB340" s="45"/>
      <c r="AC340" s="45"/>
      <c r="AD340" s="45"/>
      <c r="AE340" s="45">
        <v>2000000</v>
      </c>
      <c r="AF340" s="45"/>
      <c r="AG340" s="45"/>
      <c r="AH340" s="45"/>
      <c r="AI340" s="45">
        <v>489</v>
      </c>
      <c r="AJ340" s="45"/>
      <c r="AK340" s="45">
        <v>0</v>
      </c>
      <c r="AL340" s="45"/>
      <c r="AM340" s="49">
        <f t="shared" si="40"/>
        <v>2059167</v>
      </c>
      <c r="AN340" s="45"/>
      <c r="AO340" s="49">
        <f t="shared" si="36"/>
        <v>51443083</v>
      </c>
    </row>
    <row r="341" spans="1:41">
      <c r="A341" s="12"/>
      <c r="B341" s="12"/>
      <c r="C341" s="12"/>
      <c r="D341" s="12"/>
      <c r="E341" s="13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9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9"/>
      <c r="AN341" s="45"/>
      <c r="AO341" s="49"/>
    </row>
    <row r="342" spans="1:41">
      <c r="A342" s="12"/>
      <c r="B342" s="12"/>
      <c r="C342" s="12"/>
      <c r="D342" s="12"/>
      <c r="E342" s="13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9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9"/>
      <c r="AN342" s="45"/>
      <c r="AO342" s="49" t="s">
        <v>709</v>
      </c>
    </row>
    <row r="343" spans="1:41">
      <c r="A343" s="12"/>
      <c r="B343" s="12"/>
      <c r="C343" s="12"/>
      <c r="D343" s="12"/>
      <c r="E343" s="13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9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9"/>
      <c r="AN343" s="45"/>
      <c r="AO343" s="49"/>
    </row>
    <row r="344" spans="1:41" ht="11.25" customHeight="1">
      <c r="A344" s="12" t="s">
        <v>612</v>
      </c>
      <c r="B344" s="12"/>
      <c r="C344" s="12" t="s">
        <v>64</v>
      </c>
      <c r="D344" s="12"/>
      <c r="E344" s="12">
        <v>50153</v>
      </c>
      <c r="F344" s="45"/>
      <c r="G344" s="47">
        <v>4271282</v>
      </c>
      <c r="H344" s="47"/>
      <c r="I344" s="47">
        <v>0</v>
      </c>
      <c r="J344" s="47"/>
      <c r="K344" s="47">
        <f>3243+3782605+721850</f>
        <v>4507698</v>
      </c>
      <c r="L344" s="47"/>
      <c r="M344" s="47">
        <v>18498</v>
      </c>
      <c r="N344" s="47"/>
      <c r="O344" s="47">
        <f>426559+2995+20976</f>
        <v>450530</v>
      </c>
      <c r="P344" s="47"/>
      <c r="Q344" s="47">
        <v>75813</v>
      </c>
      <c r="R344" s="47"/>
      <c r="S344" s="47">
        <v>0</v>
      </c>
      <c r="T344" s="47"/>
      <c r="U344" s="47">
        <v>0</v>
      </c>
      <c r="V344" s="47"/>
      <c r="W344" s="47">
        <f>178948+7407</f>
        <v>186355</v>
      </c>
      <c r="X344" s="47"/>
      <c r="Y344" s="48">
        <f t="shared" si="38"/>
        <v>9510176</v>
      </c>
      <c r="Z344" s="47"/>
      <c r="AA344" s="47">
        <v>235917</v>
      </c>
      <c r="AB344" s="47"/>
      <c r="AC344" s="47"/>
      <c r="AD344" s="47"/>
      <c r="AE344" s="47">
        <v>0</v>
      </c>
      <c r="AF344" s="47"/>
      <c r="AG344" s="47"/>
      <c r="AH344" s="47"/>
      <c r="AI344" s="47">
        <v>0</v>
      </c>
      <c r="AJ344" s="47"/>
      <c r="AK344" s="47">
        <v>0</v>
      </c>
      <c r="AL344" s="47"/>
      <c r="AM344" s="48">
        <f t="shared" si="40"/>
        <v>235917</v>
      </c>
      <c r="AN344" s="47"/>
      <c r="AO344" s="48">
        <f t="shared" si="36"/>
        <v>9746093</v>
      </c>
    </row>
    <row r="345" spans="1:41">
      <c r="A345" s="12" t="s">
        <v>450</v>
      </c>
      <c r="B345" s="12"/>
      <c r="C345" s="12" t="s">
        <v>117</v>
      </c>
      <c r="D345" s="12"/>
      <c r="E345" s="13">
        <v>44362</v>
      </c>
      <c r="F345" s="45"/>
      <c r="G345" s="45">
        <v>18726903</v>
      </c>
      <c r="H345" s="45"/>
      <c r="I345" s="45">
        <v>0</v>
      </c>
      <c r="J345" s="45"/>
      <c r="K345" s="45">
        <f>11275072+2225160</f>
        <v>13500232</v>
      </c>
      <c r="L345" s="45"/>
      <c r="M345" s="45">
        <v>31028</v>
      </c>
      <c r="N345" s="45"/>
      <c r="O345" s="45">
        <f>407826+193333</f>
        <v>601159</v>
      </c>
      <c r="P345" s="45"/>
      <c r="Q345" s="45">
        <v>178359</v>
      </c>
      <c r="R345" s="45"/>
      <c r="S345" s="45">
        <v>0</v>
      </c>
      <c r="T345" s="45"/>
      <c r="U345" s="45">
        <v>0</v>
      </c>
      <c r="V345" s="45"/>
      <c r="W345" s="45">
        <f>475706+581762</f>
        <v>1057468</v>
      </c>
      <c r="X345" s="45"/>
      <c r="Y345" s="49">
        <f t="shared" si="38"/>
        <v>34095149</v>
      </c>
      <c r="Z345" s="45"/>
      <c r="AA345" s="45">
        <v>88352</v>
      </c>
      <c r="AB345" s="45"/>
      <c r="AC345" s="45"/>
      <c r="AD345" s="45"/>
      <c r="AE345" s="45">
        <v>0</v>
      </c>
      <c r="AF345" s="45"/>
      <c r="AG345" s="45"/>
      <c r="AH345" s="45"/>
      <c r="AI345" s="45">
        <v>341</v>
      </c>
      <c r="AJ345" s="45"/>
      <c r="AK345" s="45">
        <v>0</v>
      </c>
      <c r="AL345" s="45"/>
      <c r="AM345" s="49">
        <f t="shared" si="40"/>
        <v>88693</v>
      </c>
      <c r="AN345" s="45"/>
      <c r="AO345" s="49">
        <f t="shared" si="36"/>
        <v>34183842</v>
      </c>
    </row>
    <row r="346" spans="1:41">
      <c r="A346" s="17" t="s">
        <v>893</v>
      </c>
      <c r="B346" s="12"/>
      <c r="C346" s="12" t="s">
        <v>20</v>
      </c>
      <c r="D346" s="12"/>
      <c r="E346" s="13">
        <v>44370</v>
      </c>
      <c r="F346" s="45"/>
      <c r="G346" s="45">
        <v>47201539</v>
      </c>
      <c r="H346" s="45"/>
      <c r="I346" s="45">
        <v>0</v>
      </c>
      <c r="J346" s="45"/>
      <c r="K346" s="45">
        <v>21734365</v>
      </c>
      <c r="L346" s="45"/>
      <c r="M346" s="45">
        <v>360391</v>
      </c>
      <c r="N346" s="45"/>
      <c r="O346" s="45">
        <v>8737526</v>
      </c>
      <c r="P346" s="45"/>
      <c r="Q346" s="45">
        <v>139992</v>
      </c>
      <c r="R346" s="45"/>
      <c r="S346" s="45">
        <v>2977840</v>
      </c>
      <c r="T346" s="45"/>
      <c r="U346" s="45">
        <v>54047</v>
      </c>
      <c r="V346" s="45"/>
      <c r="W346" s="45">
        <f>1280695+75608+525103</f>
        <v>1881406</v>
      </c>
      <c r="X346" s="45"/>
      <c r="Y346" s="49">
        <f t="shared" si="38"/>
        <v>83087106</v>
      </c>
      <c r="Z346" s="45"/>
      <c r="AA346" s="45">
        <v>1450352</v>
      </c>
      <c r="AB346" s="45"/>
      <c r="AC346" s="45"/>
      <c r="AD346" s="45"/>
      <c r="AE346" s="45">
        <f>3825000+179736+23210775+103661</f>
        <v>27319172</v>
      </c>
      <c r="AF346" s="45"/>
      <c r="AG346" s="45"/>
      <c r="AH346" s="45"/>
      <c r="AI346" s="45">
        <v>0</v>
      </c>
      <c r="AJ346" s="45"/>
      <c r="AK346" s="45">
        <v>0</v>
      </c>
      <c r="AL346" s="45"/>
      <c r="AM346" s="49">
        <f t="shared" si="40"/>
        <v>28769524</v>
      </c>
      <c r="AN346" s="45"/>
      <c r="AO346" s="49">
        <f t="shared" si="36"/>
        <v>111856630</v>
      </c>
    </row>
    <row r="347" spans="1:41">
      <c r="A347" s="12" t="s">
        <v>513</v>
      </c>
      <c r="B347" s="12"/>
      <c r="C347" s="12" t="s">
        <v>51</v>
      </c>
      <c r="D347" s="12"/>
      <c r="E347" s="13">
        <v>48850</v>
      </c>
      <c r="F347" s="45"/>
      <c r="G347" s="45">
        <v>3146086</v>
      </c>
      <c r="H347" s="45"/>
      <c r="I347" s="45">
        <v>0</v>
      </c>
      <c r="J347" s="45"/>
      <c r="K347" s="45">
        <v>15233476</v>
      </c>
      <c r="L347" s="45"/>
      <c r="M347" s="45">
        <v>223200</v>
      </c>
      <c r="N347" s="45"/>
      <c r="O347" s="45">
        <v>2351636</v>
      </c>
      <c r="P347" s="45"/>
      <c r="Q347" s="45">
        <v>220294</v>
      </c>
      <c r="R347" s="45"/>
      <c r="S347" s="45">
        <v>2864</v>
      </c>
      <c r="T347" s="45"/>
      <c r="U347" s="45">
        <v>16050</v>
      </c>
      <c r="V347" s="45"/>
      <c r="W347" s="45">
        <f>10645+919900+98364</f>
        <v>1028909</v>
      </c>
      <c r="X347" s="45"/>
      <c r="Y347" s="49">
        <f t="shared" si="38"/>
        <v>22222515</v>
      </c>
      <c r="Z347" s="45"/>
      <c r="AA347" s="45">
        <v>300000</v>
      </c>
      <c r="AB347" s="45"/>
      <c r="AC347" s="45"/>
      <c r="AD347" s="45"/>
      <c r="AE347" s="45">
        <v>0</v>
      </c>
      <c r="AF347" s="45"/>
      <c r="AG347" s="45"/>
      <c r="AH347" s="45"/>
      <c r="AI347" s="45">
        <v>1000</v>
      </c>
      <c r="AJ347" s="45"/>
      <c r="AK347" s="45">
        <v>0</v>
      </c>
      <c r="AL347" s="45"/>
      <c r="AM347" s="49">
        <f t="shared" si="40"/>
        <v>301000</v>
      </c>
      <c r="AN347" s="45"/>
      <c r="AO347" s="49">
        <f t="shared" si="36"/>
        <v>22523515</v>
      </c>
    </row>
    <row r="348" spans="1:41" hidden="1">
      <c r="A348" s="17" t="s">
        <v>783</v>
      </c>
      <c r="B348" s="12"/>
      <c r="C348" s="12" t="s">
        <v>33</v>
      </c>
      <c r="D348" s="12"/>
      <c r="E348" s="13">
        <v>47456</v>
      </c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9">
        <f t="shared" si="38"/>
        <v>0</v>
      </c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>
        <v>0</v>
      </c>
      <c r="AL348" s="45"/>
      <c r="AM348" s="49">
        <f t="shared" si="40"/>
        <v>0</v>
      </c>
      <c r="AN348" s="45"/>
      <c r="AO348" s="49">
        <f t="shared" si="36"/>
        <v>0</v>
      </c>
    </row>
    <row r="349" spans="1:41">
      <c r="A349" s="12" t="s">
        <v>780</v>
      </c>
      <c r="B349" s="12"/>
      <c r="C349" s="12" t="s">
        <v>64</v>
      </c>
      <c r="D349" s="12"/>
      <c r="E349" s="13">
        <v>50229</v>
      </c>
      <c r="F349" s="45"/>
      <c r="G349" s="45">
        <v>1450944</v>
      </c>
      <c r="H349" s="45"/>
      <c r="I349" s="45">
        <v>0</v>
      </c>
      <c r="J349" s="45"/>
      <c r="K349" s="45">
        <v>4549380</v>
      </c>
      <c r="L349" s="45"/>
      <c r="M349" s="45">
        <v>3132</v>
      </c>
      <c r="N349" s="45"/>
      <c r="O349" s="45">
        <v>1044731</v>
      </c>
      <c r="P349" s="45"/>
      <c r="Q349" s="45">
        <v>109212</v>
      </c>
      <c r="R349" s="45"/>
      <c r="S349" s="45">
        <v>0</v>
      </c>
      <c r="T349" s="45"/>
      <c r="U349" s="45">
        <v>4796</v>
      </c>
      <c r="V349" s="45"/>
      <c r="W349" s="45">
        <f>77086+873</f>
        <v>77959</v>
      </c>
      <c r="X349" s="45"/>
      <c r="Y349" s="49">
        <f t="shared" si="38"/>
        <v>7240154</v>
      </c>
      <c r="Z349" s="45"/>
      <c r="AA349" s="45">
        <v>0</v>
      </c>
      <c r="AB349" s="45"/>
      <c r="AC349" s="45"/>
      <c r="AD349" s="45"/>
      <c r="AE349" s="45">
        <v>0</v>
      </c>
      <c r="AF349" s="45"/>
      <c r="AG349" s="45"/>
      <c r="AH349" s="45"/>
      <c r="AI349" s="45">
        <v>0</v>
      </c>
      <c r="AJ349" s="45"/>
      <c r="AK349" s="45">
        <v>0</v>
      </c>
      <c r="AL349" s="45"/>
      <c r="AM349" s="49">
        <f t="shared" si="40"/>
        <v>0</v>
      </c>
      <c r="AN349" s="45"/>
      <c r="AO349" s="49">
        <f t="shared" si="36"/>
        <v>7240154</v>
      </c>
    </row>
    <row r="350" spans="1:41">
      <c r="A350" s="12" t="s">
        <v>241</v>
      </c>
      <c r="B350" s="12"/>
      <c r="C350" s="12" t="s">
        <v>240</v>
      </c>
      <c r="D350" s="12"/>
      <c r="E350" s="13">
        <v>45484</v>
      </c>
      <c r="F350" s="45"/>
      <c r="G350" s="45">
        <v>3677575</v>
      </c>
      <c r="H350" s="45"/>
      <c r="I350" s="45">
        <v>0</v>
      </c>
      <c r="J350" s="45"/>
      <c r="K350" s="45">
        <f>4607056+971885</f>
        <v>5578941</v>
      </c>
      <c r="L350" s="45"/>
      <c r="M350" s="45">
        <v>10791</v>
      </c>
      <c r="N350" s="45"/>
      <c r="O350" s="45">
        <f>614609+29254</f>
        <v>643863</v>
      </c>
      <c r="P350" s="45"/>
      <c r="Q350" s="45">
        <v>94268</v>
      </c>
      <c r="R350" s="45"/>
      <c r="S350" s="45">
        <v>0</v>
      </c>
      <c r="T350" s="45"/>
      <c r="U350" s="45">
        <v>0</v>
      </c>
      <c r="V350" s="45"/>
      <c r="W350" s="45">
        <f>165816+345387</f>
        <v>511203</v>
      </c>
      <c r="X350" s="45"/>
      <c r="Y350" s="49">
        <f t="shared" si="38"/>
        <v>10516641</v>
      </c>
      <c r="Z350" s="45"/>
      <c r="AA350" s="45">
        <v>39204</v>
      </c>
      <c r="AB350" s="45"/>
      <c r="AC350" s="45"/>
      <c r="AD350" s="45"/>
      <c r="AE350" s="45">
        <v>0</v>
      </c>
      <c r="AF350" s="45"/>
      <c r="AG350" s="45"/>
      <c r="AH350" s="45"/>
      <c r="AI350" s="45">
        <v>0</v>
      </c>
      <c r="AJ350" s="45"/>
      <c r="AK350" s="45">
        <v>0</v>
      </c>
      <c r="AL350" s="45"/>
      <c r="AM350" s="49">
        <f t="shared" si="40"/>
        <v>39204</v>
      </c>
      <c r="AN350" s="45"/>
      <c r="AO350" s="49">
        <f t="shared" si="36"/>
        <v>10555845</v>
      </c>
    </row>
    <row r="351" spans="1:41">
      <c r="A351" s="12" t="s">
        <v>482</v>
      </c>
      <c r="B351" s="12"/>
      <c r="C351" s="12" t="s">
        <v>47</v>
      </c>
      <c r="D351" s="12"/>
      <c r="E351" s="13">
        <v>44388</v>
      </c>
      <c r="F351" s="45"/>
      <c r="G351" s="45">
        <v>50086333</v>
      </c>
      <c r="H351" s="45"/>
      <c r="I351" s="45">
        <v>0</v>
      </c>
      <c r="J351" s="45"/>
      <c r="K351" s="45">
        <v>36253102</v>
      </c>
      <c r="L351" s="45"/>
      <c r="M351" s="45">
        <v>37468</v>
      </c>
      <c r="N351" s="45"/>
      <c r="O351" s="45">
        <v>1384576</v>
      </c>
      <c r="P351" s="45"/>
      <c r="Q351" s="45">
        <v>1139549</v>
      </c>
      <c r="R351" s="45"/>
      <c r="S351" s="45">
        <v>0</v>
      </c>
      <c r="T351" s="45"/>
      <c r="U351" s="45">
        <v>66279</v>
      </c>
      <c r="V351" s="45"/>
      <c r="W351" s="45">
        <f>1516067+455926+1329467</f>
        <v>3301460</v>
      </c>
      <c r="X351" s="45"/>
      <c r="Y351" s="49">
        <f t="shared" si="38"/>
        <v>92268767</v>
      </c>
      <c r="Z351" s="45"/>
      <c r="AA351" s="45">
        <v>406630</v>
      </c>
      <c r="AB351" s="45"/>
      <c r="AC351" s="45"/>
      <c r="AD351" s="45"/>
      <c r="AE351" s="45">
        <v>376474</v>
      </c>
      <c r="AF351" s="45"/>
      <c r="AG351" s="45"/>
      <c r="AH351" s="45"/>
      <c r="AI351" s="45">
        <v>0</v>
      </c>
      <c r="AJ351" s="45"/>
      <c r="AK351" s="45">
        <v>0</v>
      </c>
      <c r="AL351" s="45"/>
      <c r="AM351" s="49">
        <f t="shared" si="40"/>
        <v>783104</v>
      </c>
      <c r="AN351" s="45"/>
      <c r="AO351" s="49">
        <f t="shared" si="36"/>
        <v>93051871</v>
      </c>
    </row>
    <row r="352" spans="1:41">
      <c r="A352" s="12" t="s">
        <v>485</v>
      </c>
      <c r="B352" s="12"/>
      <c r="C352" s="12" t="s">
        <v>484</v>
      </c>
      <c r="D352" s="12"/>
      <c r="E352" s="13">
        <v>48520</v>
      </c>
      <c r="F352" s="45"/>
      <c r="G352" s="45">
        <v>2883942</v>
      </c>
      <c r="H352" s="45"/>
      <c r="I352" s="45">
        <v>0</v>
      </c>
      <c r="J352" s="45"/>
      <c r="K352" s="45">
        <v>19319195</v>
      </c>
      <c r="L352" s="45"/>
      <c r="M352" s="45">
        <v>27343</v>
      </c>
      <c r="N352" s="45"/>
      <c r="O352" s="45">
        <v>565190</v>
      </c>
      <c r="P352" s="45"/>
      <c r="Q352" s="45">
        <v>107220</v>
      </c>
      <c r="R352" s="45"/>
      <c r="S352" s="45">
        <v>0</v>
      </c>
      <c r="T352" s="45"/>
      <c r="U352" s="45">
        <v>35123</v>
      </c>
      <c r="V352" s="45"/>
      <c r="W352" s="45">
        <f>4038+308126+10349</f>
        <v>322513</v>
      </c>
      <c r="X352" s="45"/>
      <c r="Y352" s="49">
        <f t="shared" si="38"/>
        <v>23260526</v>
      </c>
      <c r="Z352" s="45"/>
      <c r="AA352" s="45">
        <v>55000</v>
      </c>
      <c r="AB352" s="45"/>
      <c r="AC352" s="45"/>
      <c r="AD352" s="45"/>
      <c r="AE352" s="45">
        <v>0</v>
      </c>
      <c r="AF352" s="45"/>
      <c r="AG352" s="45"/>
      <c r="AH352" s="45"/>
      <c r="AI352" s="45">
        <f>3150+6201</f>
        <v>9351</v>
      </c>
      <c r="AJ352" s="45"/>
      <c r="AK352" s="45">
        <v>0</v>
      </c>
      <c r="AL352" s="45"/>
      <c r="AM352" s="49">
        <f t="shared" si="40"/>
        <v>64351</v>
      </c>
      <c r="AN352" s="45"/>
      <c r="AO352" s="49">
        <f t="shared" si="36"/>
        <v>23324877</v>
      </c>
    </row>
    <row r="353" spans="1:41">
      <c r="A353" s="12" t="s">
        <v>416</v>
      </c>
      <c r="B353" s="12"/>
      <c r="C353" s="12" t="s">
        <v>41</v>
      </c>
      <c r="D353" s="12"/>
      <c r="E353" s="13">
        <v>45492</v>
      </c>
      <c r="F353" s="45"/>
      <c r="G353" s="45">
        <v>67177217</v>
      </c>
      <c r="H353" s="45"/>
      <c r="I353" s="45">
        <v>0</v>
      </c>
      <c r="J353" s="45"/>
      <c r="K353" s="45">
        <v>42170509</v>
      </c>
      <c r="L353" s="45"/>
      <c r="M353" s="45">
        <v>620196</v>
      </c>
      <c r="N353" s="45"/>
      <c r="O353" s="45">
        <v>1930434</v>
      </c>
      <c r="P353" s="45"/>
      <c r="Q353" s="45">
        <v>1339049</v>
      </c>
      <c r="R353" s="45"/>
      <c r="S353" s="45">
        <v>281912</v>
      </c>
      <c r="T353" s="45"/>
      <c r="U353" s="45">
        <v>216810</v>
      </c>
      <c r="V353" s="45"/>
      <c r="W353" s="45">
        <f>2072129+98927+220343</f>
        <v>2391399</v>
      </c>
      <c r="X353" s="45"/>
      <c r="Y353" s="49">
        <f t="shared" si="38"/>
        <v>116127526</v>
      </c>
      <c r="Z353" s="45"/>
      <c r="AA353" s="45">
        <v>1008373</v>
      </c>
      <c r="AB353" s="45"/>
      <c r="AC353" s="45"/>
      <c r="AD353" s="45"/>
      <c r="AE353" s="45">
        <v>618667</v>
      </c>
      <c r="AF353" s="45"/>
      <c r="AG353" s="45"/>
      <c r="AH353" s="45"/>
      <c r="AI353" s="45">
        <v>33446</v>
      </c>
      <c r="AJ353" s="45"/>
      <c r="AK353" s="45">
        <v>0</v>
      </c>
      <c r="AL353" s="45"/>
      <c r="AM353" s="49">
        <f t="shared" si="40"/>
        <v>1660486</v>
      </c>
      <c r="AN353" s="45"/>
      <c r="AO353" s="49">
        <f t="shared" si="36"/>
        <v>117788012</v>
      </c>
    </row>
    <row r="354" spans="1:41">
      <c r="A354" s="12" t="s">
        <v>488</v>
      </c>
      <c r="B354" s="12"/>
      <c r="C354" s="12" t="s">
        <v>48</v>
      </c>
      <c r="D354" s="12"/>
      <c r="E354" s="13">
        <v>48629</v>
      </c>
      <c r="F354" s="45"/>
      <c r="G354" s="45">
        <v>4815853</v>
      </c>
      <c r="H354" s="45"/>
      <c r="I354" s="45">
        <v>1625738</v>
      </c>
      <c r="J354" s="45"/>
      <c r="K354" s="45">
        <v>16264147</v>
      </c>
      <c r="L354" s="45"/>
      <c r="M354" s="45">
        <v>106374</v>
      </c>
      <c r="N354" s="45"/>
      <c r="O354" s="45">
        <v>619633</v>
      </c>
      <c r="P354" s="45"/>
      <c r="Q354" s="45">
        <v>139497</v>
      </c>
      <c r="R354" s="45"/>
      <c r="S354" s="45">
        <v>0</v>
      </c>
      <c r="T354" s="45"/>
      <c r="U354" s="45">
        <v>34213</v>
      </c>
      <c r="V354" s="45"/>
      <c r="W354" s="45">
        <f>274907+11770+72033</f>
        <v>358710</v>
      </c>
      <c r="X354" s="45"/>
      <c r="Y354" s="49">
        <f t="shared" si="38"/>
        <v>23964165</v>
      </c>
      <c r="Z354" s="45"/>
      <c r="AA354" s="45">
        <v>7147118</v>
      </c>
      <c r="AB354" s="45"/>
      <c r="AC354" s="45"/>
      <c r="AD354" s="45"/>
      <c r="AE354" s="45">
        <v>0</v>
      </c>
      <c r="AF354" s="45"/>
      <c r="AG354" s="45"/>
      <c r="AH354" s="45"/>
      <c r="AI354" s="45">
        <v>0</v>
      </c>
      <c r="AJ354" s="45"/>
      <c r="AK354" s="45">
        <v>0</v>
      </c>
      <c r="AL354" s="45"/>
      <c r="AM354" s="49">
        <f t="shared" si="40"/>
        <v>7147118</v>
      </c>
      <c r="AN354" s="45"/>
      <c r="AO354" s="49">
        <f t="shared" si="36"/>
        <v>31111283</v>
      </c>
    </row>
    <row r="355" spans="1:41">
      <c r="A355" s="12" t="s">
        <v>327</v>
      </c>
      <c r="B355" s="12"/>
      <c r="C355" s="12" t="s">
        <v>26</v>
      </c>
      <c r="D355" s="12"/>
      <c r="E355" s="13">
        <v>46920</v>
      </c>
      <c r="F355" s="45"/>
      <c r="G355" s="45">
        <v>10723859</v>
      </c>
      <c r="H355" s="45"/>
      <c r="I355" s="45">
        <v>0</v>
      </c>
      <c r="J355" s="45"/>
      <c r="K355" s="45">
        <v>15694586</v>
      </c>
      <c r="L355" s="45"/>
      <c r="M355" s="45">
        <v>152916</v>
      </c>
      <c r="N355" s="45"/>
      <c r="O355" s="45">
        <v>1476793</v>
      </c>
      <c r="P355" s="45"/>
      <c r="Q355" s="45">
        <v>391005</v>
      </c>
      <c r="R355" s="45"/>
      <c r="S355" s="45">
        <v>341183</v>
      </c>
      <c r="T355" s="45"/>
      <c r="U355" s="45">
        <v>0</v>
      </c>
      <c r="V355" s="45"/>
      <c r="W355" s="45">
        <f>532015+176321</f>
        <v>708336</v>
      </c>
      <c r="X355" s="45"/>
      <c r="Y355" s="49">
        <f t="shared" si="38"/>
        <v>29488678</v>
      </c>
      <c r="Z355" s="45"/>
      <c r="AA355" s="45">
        <v>2957388</v>
      </c>
      <c r="AB355" s="45"/>
      <c r="AC355" s="45"/>
      <c r="AD355" s="45"/>
      <c r="AE355" s="45">
        <v>0</v>
      </c>
      <c r="AF355" s="45"/>
      <c r="AG355" s="45"/>
      <c r="AH355" s="45"/>
      <c r="AI355" s="45">
        <v>76946</v>
      </c>
      <c r="AJ355" s="45"/>
      <c r="AK355" s="45">
        <v>0</v>
      </c>
      <c r="AL355" s="45"/>
      <c r="AM355" s="49">
        <f t="shared" ref="AM355:AM375" si="41">AI355+AE355+AA355</f>
        <v>3034334</v>
      </c>
      <c r="AN355" s="45"/>
      <c r="AO355" s="49">
        <f t="shared" ref="AO355:AO375" si="42">Y355+AM355</f>
        <v>32523012</v>
      </c>
    </row>
    <row r="356" spans="1:41">
      <c r="A356" s="12" t="s">
        <v>501</v>
      </c>
      <c r="B356" s="12"/>
      <c r="C356" s="12" t="s">
        <v>50</v>
      </c>
      <c r="D356" s="12"/>
      <c r="E356" s="13">
        <v>44396</v>
      </c>
      <c r="F356" s="45"/>
      <c r="G356" s="45">
        <v>30466307</v>
      </c>
      <c r="H356" s="45"/>
      <c r="I356" s="45">
        <v>0</v>
      </c>
      <c r="J356" s="45"/>
      <c r="K356" s="45">
        <v>24222753</v>
      </c>
      <c r="L356" s="45"/>
      <c r="M356" s="45">
        <v>1048148</v>
      </c>
      <c r="N356" s="45"/>
      <c r="O356" s="45">
        <v>285480</v>
      </c>
      <c r="P356" s="45"/>
      <c r="Q356" s="45">
        <v>210444</v>
      </c>
      <c r="R356" s="45"/>
      <c r="S356" s="45">
        <v>127766</v>
      </c>
      <c r="T356" s="45"/>
      <c r="U356" s="45">
        <v>48245</v>
      </c>
      <c r="V356" s="45"/>
      <c r="W356" s="45">
        <f>1259587+161030+267548</f>
        <v>1688165</v>
      </c>
      <c r="X356" s="45"/>
      <c r="Y356" s="49">
        <f t="shared" si="38"/>
        <v>58097308</v>
      </c>
      <c r="Z356" s="45"/>
      <c r="AA356" s="45">
        <v>713350</v>
      </c>
      <c r="AB356" s="45"/>
      <c r="AC356" s="45"/>
      <c r="AD356" s="45"/>
      <c r="AE356" s="45">
        <f>16500000+16575</f>
        <v>16516575</v>
      </c>
      <c r="AF356" s="45"/>
      <c r="AG356" s="45"/>
      <c r="AH356" s="45"/>
      <c r="AI356" s="45">
        <v>0</v>
      </c>
      <c r="AJ356" s="45"/>
      <c r="AK356" s="45">
        <v>0</v>
      </c>
      <c r="AL356" s="45"/>
      <c r="AM356" s="49">
        <f t="shared" si="41"/>
        <v>17229925</v>
      </c>
      <c r="AN356" s="45"/>
      <c r="AO356" s="49">
        <f t="shared" si="42"/>
        <v>75327233</v>
      </c>
    </row>
    <row r="357" spans="1:41">
      <c r="A357" s="12" t="s">
        <v>232</v>
      </c>
      <c r="B357" s="12"/>
      <c r="C357" s="12" t="s">
        <v>227</v>
      </c>
      <c r="D357" s="12"/>
      <c r="E357" s="13">
        <v>44404</v>
      </c>
      <c r="F357" s="45"/>
      <c r="G357" s="45">
        <v>31981033</v>
      </c>
      <c r="H357" s="45"/>
      <c r="I357" s="45">
        <v>0</v>
      </c>
      <c r="J357" s="45"/>
      <c r="K357" s="45">
        <f>37982547+15213813+36700</f>
        <v>53233060</v>
      </c>
      <c r="L357" s="45"/>
      <c r="M357" s="45">
        <v>31260</v>
      </c>
      <c r="N357" s="45"/>
      <c r="O357" s="45">
        <f>144614+516322+109042</f>
        <v>769978</v>
      </c>
      <c r="P357" s="45"/>
      <c r="Q357" s="45">
        <v>308493</v>
      </c>
      <c r="R357" s="45"/>
      <c r="S357" s="45">
        <v>511536</v>
      </c>
      <c r="T357" s="45"/>
      <c r="U357" s="45">
        <v>67090</v>
      </c>
      <c r="V357" s="45"/>
      <c r="W357" s="45">
        <f>614698+3395+82276+48138</f>
        <v>748507</v>
      </c>
      <c r="X357" s="45"/>
      <c r="Y357" s="49">
        <f t="shared" si="38"/>
        <v>87650957</v>
      </c>
      <c r="Z357" s="45"/>
      <c r="AA357" s="45">
        <v>699567</v>
      </c>
      <c r="AB357" s="45"/>
      <c r="AC357" s="45"/>
      <c r="AD357" s="45"/>
      <c r="AE357" s="45">
        <v>62461</v>
      </c>
      <c r="AF357" s="45"/>
      <c r="AG357" s="45"/>
      <c r="AH357" s="45"/>
      <c r="AI357" s="45">
        <v>0</v>
      </c>
      <c r="AJ357" s="45"/>
      <c r="AK357" s="45">
        <v>0</v>
      </c>
      <c r="AL357" s="45"/>
      <c r="AM357" s="49">
        <f t="shared" si="41"/>
        <v>762028</v>
      </c>
      <c r="AN357" s="45"/>
      <c r="AO357" s="49">
        <f t="shared" si="42"/>
        <v>88412985</v>
      </c>
    </row>
    <row r="358" spans="1:41">
      <c r="A358" s="12" t="s">
        <v>444</v>
      </c>
      <c r="B358" s="12"/>
      <c r="C358" s="12" t="s">
        <v>44</v>
      </c>
      <c r="D358" s="12"/>
      <c r="E358" s="13">
        <v>48173</v>
      </c>
      <c r="F358" s="45"/>
      <c r="G358" s="45">
        <v>11768263</v>
      </c>
      <c r="H358" s="45"/>
      <c r="I358" s="45">
        <v>0</v>
      </c>
      <c r="J358" s="45"/>
      <c r="K358" s="45">
        <v>21562030</v>
      </c>
      <c r="L358" s="45"/>
      <c r="M358" s="45">
        <v>20450</v>
      </c>
      <c r="N358" s="45"/>
      <c r="O358" s="45">
        <v>41468</v>
      </c>
      <c r="P358" s="45"/>
      <c r="Q358" s="45">
        <v>438108</v>
      </c>
      <c r="R358" s="45"/>
      <c r="S358" s="45">
        <v>0</v>
      </c>
      <c r="T358" s="45"/>
      <c r="U358" s="45">
        <v>0</v>
      </c>
      <c r="V358" s="45"/>
      <c r="W358" s="45">
        <v>414878</v>
      </c>
      <c r="X358" s="45"/>
      <c r="Y358" s="49">
        <f t="shared" si="38"/>
        <v>34245197</v>
      </c>
      <c r="Z358" s="45"/>
      <c r="AA358" s="45">
        <v>589316</v>
      </c>
      <c r="AB358" s="45"/>
      <c r="AC358" s="45"/>
      <c r="AD358" s="45"/>
      <c r="AE358" s="45">
        <v>0</v>
      </c>
      <c r="AF358" s="45"/>
      <c r="AG358" s="45"/>
      <c r="AH358" s="45"/>
      <c r="AI358" s="45">
        <f>8007+22284</f>
        <v>30291</v>
      </c>
      <c r="AJ358" s="45"/>
      <c r="AK358" s="45">
        <v>0</v>
      </c>
      <c r="AL358" s="45"/>
      <c r="AM358" s="49">
        <f t="shared" si="41"/>
        <v>619607</v>
      </c>
      <c r="AN358" s="45"/>
      <c r="AO358" s="49">
        <f t="shared" si="42"/>
        <v>34864804</v>
      </c>
    </row>
    <row r="359" spans="1:41">
      <c r="A359" s="12" t="s">
        <v>255</v>
      </c>
      <c r="B359" s="12"/>
      <c r="C359" s="12" t="s">
        <v>115</v>
      </c>
      <c r="D359" s="12"/>
      <c r="E359" s="13">
        <v>45500</v>
      </c>
      <c r="F359" s="45"/>
      <c r="G359" s="45">
        <v>37753667</v>
      </c>
      <c r="H359" s="45"/>
      <c r="I359" s="45">
        <v>0</v>
      </c>
      <c r="J359" s="45"/>
      <c r="K359" s="45">
        <v>28765606</v>
      </c>
      <c r="L359" s="45"/>
      <c r="M359" s="45">
        <v>367083</v>
      </c>
      <c r="N359" s="45"/>
      <c r="O359" s="45">
        <v>2333909</v>
      </c>
      <c r="P359" s="45"/>
      <c r="Q359" s="45">
        <v>328941</v>
      </c>
      <c r="R359" s="45"/>
      <c r="S359" s="45">
        <v>1264208</v>
      </c>
      <c r="T359" s="45"/>
      <c r="U359" s="45">
        <v>0</v>
      </c>
      <c r="V359" s="45"/>
      <c r="W359" s="45">
        <f>2093889+697621</f>
        <v>2791510</v>
      </c>
      <c r="X359" s="45"/>
      <c r="Y359" s="49">
        <f t="shared" si="38"/>
        <v>73604924</v>
      </c>
      <c r="Z359" s="45"/>
      <c r="AA359" s="45">
        <v>15298</v>
      </c>
      <c r="AB359" s="45"/>
      <c r="AC359" s="45"/>
      <c r="AD359" s="45"/>
      <c r="AE359" s="45">
        <v>0</v>
      </c>
      <c r="AF359" s="45"/>
      <c r="AG359" s="45"/>
      <c r="AH359" s="45"/>
      <c r="AI359" s="45">
        <v>167161</v>
      </c>
      <c r="AJ359" s="45"/>
      <c r="AK359" s="45">
        <v>0</v>
      </c>
      <c r="AL359" s="45"/>
      <c r="AM359" s="49">
        <f t="shared" si="41"/>
        <v>182459</v>
      </c>
      <c r="AN359" s="45"/>
      <c r="AO359" s="49">
        <f t="shared" si="42"/>
        <v>73787383</v>
      </c>
    </row>
    <row r="360" spans="1:41" hidden="1">
      <c r="A360" s="17" t="s">
        <v>734</v>
      </c>
      <c r="B360" s="12"/>
      <c r="C360" s="12" t="s">
        <v>643</v>
      </c>
      <c r="D360" s="12"/>
      <c r="E360" s="13">
        <v>50633</v>
      </c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9">
        <f t="shared" si="38"/>
        <v>0</v>
      </c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>
        <v>0</v>
      </c>
      <c r="AL360" s="45"/>
      <c r="AM360" s="49">
        <f t="shared" si="41"/>
        <v>0</v>
      </c>
      <c r="AN360" s="45"/>
      <c r="AO360" s="49">
        <f t="shared" si="42"/>
        <v>0</v>
      </c>
    </row>
    <row r="361" spans="1:41" hidden="1">
      <c r="A361" s="12" t="s">
        <v>851</v>
      </c>
      <c r="B361" s="12"/>
      <c r="C361" s="12" t="s">
        <v>542</v>
      </c>
      <c r="D361" s="12"/>
      <c r="E361" s="13">
        <v>49361</v>
      </c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9">
        <f t="shared" si="38"/>
        <v>0</v>
      </c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>
        <v>0</v>
      </c>
      <c r="AL361" s="45"/>
      <c r="AM361" s="49">
        <f t="shared" si="41"/>
        <v>0</v>
      </c>
      <c r="AN361" s="45"/>
      <c r="AO361" s="49">
        <f t="shared" si="42"/>
        <v>0</v>
      </c>
    </row>
    <row r="362" spans="1:41">
      <c r="A362" s="12" t="s">
        <v>489</v>
      </c>
      <c r="B362" s="12"/>
      <c r="C362" s="12" t="s">
        <v>48</v>
      </c>
      <c r="D362" s="12"/>
      <c r="E362" s="13">
        <v>45518</v>
      </c>
      <c r="F362" s="45"/>
      <c r="G362" s="45">
        <v>7160839</v>
      </c>
      <c r="H362" s="45"/>
      <c r="I362" s="45">
        <v>0</v>
      </c>
      <c r="J362" s="45"/>
      <c r="K362" s="45">
        <f>18451525+1564944</f>
        <v>20016469</v>
      </c>
      <c r="L362" s="45"/>
      <c r="M362" s="45">
        <v>423851</v>
      </c>
      <c r="N362" s="45"/>
      <c r="O362" s="45">
        <v>891845</v>
      </c>
      <c r="P362" s="45"/>
      <c r="Q362" s="45">
        <v>170986</v>
      </c>
      <c r="R362" s="45"/>
      <c r="S362" s="45">
        <v>0</v>
      </c>
      <c r="T362" s="45"/>
      <c r="U362" s="45">
        <v>0</v>
      </c>
      <c r="V362" s="45"/>
      <c r="W362" s="45">
        <f>307778+96929</f>
        <v>404707</v>
      </c>
      <c r="X362" s="45"/>
      <c r="Y362" s="49">
        <f t="shared" si="38"/>
        <v>29068697</v>
      </c>
      <c r="Z362" s="45"/>
      <c r="AA362" s="45">
        <v>1616864</v>
      </c>
      <c r="AB362" s="45"/>
      <c r="AC362" s="45"/>
      <c r="AD362" s="45"/>
      <c r="AE362" s="45">
        <f>4999997+997776+1885000+327756</f>
        <v>8210529</v>
      </c>
      <c r="AF362" s="45"/>
      <c r="AG362" s="45"/>
      <c r="AH362" s="45"/>
      <c r="AI362" s="45">
        <v>0</v>
      </c>
      <c r="AJ362" s="45"/>
      <c r="AK362" s="45">
        <v>0</v>
      </c>
      <c r="AL362" s="45"/>
      <c r="AM362" s="49">
        <f t="shared" si="41"/>
        <v>9827393</v>
      </c>
      <c r="AN362" s="45"/>
      <c r="AO362" s="49">
        <f t="shared" si="42"/>
        <v>38896090</v>
      </c>
    </row>
    <row r="363" spans="1:41">
      <c r="A363" s="12" t="s">
        <v>581</v>
      </c>
      <c r="B363" s="12"/>
      <c r="C363" s="12" t="s">
        <v>62</v>
      </c>
      <c r="D363" s="12"/>
      <c r="E363" s="13">
        <v>49890</v>
      </c>
      <c r="F363" s="45"/>
      <c r="G363" s="45">
        <v>5646205</v>
      </c>
      <c r="H363" s="45"/>
      <c r="I363" s="45">
        <v>0</v>
      </c>
      <c r="J363" s="45"/>
      <c r="K363" s="45">
        <v>13134661</v>
      </c>
      <c r="L363" s="45"/>
      <c r="M363" s="45">
        <v>9936</v>
      </c>
      <c r="N363" s="45"/>
      <c r="O363" s="45">
        <v>893391</v>
      </c>
      <c r="P363" s="45"/>
      <c r="Q363" s="45">
        <v>288293</v>
      </c>
      <c r="R363" s="45"/>
      <c r="S363" s="45">
        <v>0</v>
      </c>
      <c r="T363" s="45"/>
      <c r="U363" s="45">
        <v>112052</v>
      </c>
      <c r="V363" s="45"/>
      <c r="W363" s="45">
        <f>20182+254461+46501</f>
        <v>321144</v>
      </c>
      <c r="X363" s="45"/>
      <c r="Y363" s="49">
        <f t="shared" si="38"/>
        <v>20405682</v>
      </c>
      <c r="Z363" s="45"/>
      <c r="AA363" s="45">
        <v>38224</v>
      </c>
      <c r="AB363" s="45"/>
      <c r="AC363" s="45"/>
      <c r="AD363" s="45"/>
      <c r="AE363" s="45">
        <v>223325</v>
      </c>
      <c r="AF363" s="45"/>
      <c r="AG363" s="45"/>
      <c r="AH363" s="45"/>
      <c r="AI363" s="45">
        <v>76146</v>
      </c>
      <c r="AJ363" s="45"/>
      <c r="AK363" s="45">
        <v>0</v>
      </c>
      <c r="AL363" s="45"/>
      <c r="AM363" s="49">
        <f t="shared" si="41"/>
        <v>337695</v>
      </c>
      <c r="AN363" s="45"/>
      <c r="AO363" s="49">
        <f t="shared" si="42"/>
        <v>20743377</v>
      </c>
    </row>
    <row r="364" spans="1:41">
      <c r="A364" s="12" t="s">
        <v>562</v>
      </c>
      <c r="B364" s="12"/>
      <c r="C364" s="12" t="s">
        <v>59</v>
      </c>
      <c r="D364" s="12"/>
      <c r="E364" s="13">
        <v>49627</v>
      </c>
      <c r="F364" s="45"/>
      <c r="G364" s="45">
        <v>1774357</v>
      </c>
      <c r="H364" s="45"/>
      <c r="I364" s="45">
        <v>0</v>
      </c>
      <c r="J364" s="45"/>
      <c r="K364" s="45">
        <v>11882299</v>
      </c>
      <c r="L364" s="45"/>
      <c r="M364" s="45">
        <v>2393</v>
      </c>
      <c r="N364" s="45"/>
      <c r="O364" s="45">
        <v>1796528</v>
      </c>
      <c r="P364" s="45"/>
      <c r="Q364" s="45">
        <v>173299</v>
      </c>
      <c r="R364" s="45"/>
      <c r="S364" s="45">
        <v>0</v>
      </c>
      <c r="T364" s="45"/>
      <c r="U364" s="45">
        <v>7257</v>
      </c>
      <c r="V364" s="45"/>
      <c r="W364" s="45">
        <f>533350+125692+263272</f>
        <v>922314</v>
      </c>
      <c r="X364" s="45"/>
      <c r="Y364" s="49">
        <f t="shared" ref="Y364:Y375" si="43">SUM(G364:W364)</f>
        <v>16558447</v>
      </c>
      <c r="Z364" s="45"/>
      <c r="AA364" s="45">
        <v>0</v>
      </c>
      <c r="AB364" s="45"/>
      <c r="AC364" s="45"/>
      <c r="AD364" s="45"/>
      <c r="AE364" s="45">
        <f>610000+940000+58230</f>
        <v>1608230</v>
      </c>
      <c r="AF364" s="45"/>
      <c r="AG364" s="45"/>
      <c r="AH364" s="45"/>
      <c r="AI364" s="45">
        <v>0</v>
      </c>
      <c r="AJ364" s="45"/>
      <c r="AK364" s="45">
        <v>0</v>
      </c>
      <c r="AL364" s="45"/>
      <c r="AM364" s="49">
        <f t="shared" si="41"/>
        <v>1608230</v>
      </c>
      <c r="AN364" s="45"/>
      <c r="AO364" s="49">
        <f t="shared" si="42"/>
        <v>18166677</v>
      </c>
    </row>
    <row r="365" spans="1:41">
      <c r="A365" s="12" t="s">
        <v>217</v>
      </c>
      <c r="B365" s="12"/>
      <c r="C365" s="12" t="s">
        <v>14</v>
      </c>
      <c r="D365" s="12"/>
      <c r="E365" s="13">
        <v>45948</v>
      </c>
      <c r="F365" s="45"/>
      <c r="G365" s="45">
        <v>4290409</v>
      </c>
      <c r="H365" s="45"/>
      <c r="I365" s="45">
        <v>495617</v>
      </c>
      <c r="J365" s="45"/>
      <c r="K365" s="45">
        <v>4739456</v>
      </c>
      <c r="L365" s="45"/>
      <c r="M365" s="45">
        <v>12360</v>
      </c>
      <c r="N365" s="45"/>
      <c r="O365" s="45">
        <v>84520</v>
      </c>
      <c r="P365" s="45"/>
      <c r="Q365" s="45">
        <v>98797</v>
      </c>
      <c r="R365" s="45"/>
      <c r="S365" s="45">
        <v>0</v>
      </c>
      <c r="T365" s="45"/>
      <c r="U365" s="45">
        <v>20442</v>
      </c>
      <c r="V365" s="45"/>
      <c r="W365" s="45">
        <f>255227+128155</f>
        <v>383382</v>
      </c>
      <c r="X365" s="45"/>
      <c r="Y365" s="49">
        <f t="shared" si="43"/>
        <v>10124983</v>
      </c>
      <c r="Z365" s="45"/>
      <c r="AA365" s="45">
        <v>134681</v>
      </c>
      <c r="AB365" s="45"/>
      <c r="AC365" s="45"/>
      <c r="AD365" s="45"/>
      <c r="AE365" s="45">
        <v>0</v>
      </c>
      <c r="AF365" s="45"/>
      <c r="AG365" s="45"/>
      <c r="AH365" s="45"/>
      <c r="AI365" s="45">
        <v>0</v>
      </c>
      <c r="AJ365" s="45"/>
      <c r="AK365" s="45">
        <v>0</v>
      </c>
      <c r="AL365" s="45"/>
      <c r="AM365" s="49">
        <f t="shared" si="41"/>
        <v>134681</v>
      </c>
      <c r="AN365" s="45"/>
      <c r="AO365" s="49">
        <f t="shared" si="42"/>
        <v>10259664</v>
      </c>
    </row>
    <row r="366" spans="1:41" hidden="1">
      <c r="A366" s="17" t="s">
        <v>782</v>
      </c>
      <c r="B366" s="12"/>
      <c r="C366" s="12" t="s">
        <v>21</v>
      </c>
      <c r="D366" s="12"/>
      <c r="E366" s="13">
        <v>46672</v>
      </c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9">
        <f t="shared" si="43"/>
        <v>0</v>
      </c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>
        <v>0</v>
      </c>
      <c r="AL366" s="45"/>
      <c r="AM366" s="49">
        <f t="shared" si="41"/>
        <v>0</v>
      </c>
      <c r="AN366" s="45"/>
      <c r="AO366" s="49">
        <f t="shared" si="42"/>
        <v>0</v>
      </c>
    </row>
    <row r="367" spans="1:41">
      <c r="A367" s="12" t="s">
        <v>591</v>
      </c>
      <c r="B367" s="12"/>
      <c r="C367" s="12" t="s">
        <v>63</v>
      </c>
      <c r="D367" s="12"/>
      <c r="E367" s="13">
        <v>50039</v>
      </c>
      <c r="F367" s="45"/>
      <c r="G367" s="45">
        <v>3030512</v>
      </c>
      <c r="H367" s="45"/>
      <c r="I367" s="45">
        <v>0</v>
      </c>
      <c r="J367" s="45"/>
      <c r="K367" s="45">
        <v>5383068</v>
      </c>
      <c r="L367" s="45"/>
      <c r="M367" s="45">
        <v>185676</v>
      </c>
      <c r="N367" s="45"/>
      <c r="O367" s="45">
        <v>1226834</v>
      </c>
      <c r="P367" s="45"/>
      <c r="Q367" s="45">
        <v>136454</v>
      </c>
      <c r="R367" s="45"/>
      <c r="S367" s="45">
        <v>0</v>
      </c>
      <c r="T367" s="45"/>
      <c r="U367" s="45">
        <v>30379</v>
      </c>
      <c r="V367" s="45"/>
      <c r="W367" s="45">
        <f>175645+20711</f>
        <v>196356</v>
      </c>
      <c r="X367" s="45"/>
      <c r="Y367" s="49">
        <f t="shared" si="43"/>
        <v>10189279</v>
      </c>
      <c r="Z367" s="45"/>
      <c r="AA367" s="45">
        <v>175496</v>
      </c>
      <c r="AB367" s="45"/>
      <c r="AC367" s="45"/>
      <c r="AD367" s="45"/>
      <c r="AE367" s="45">
        <v>0</v>
      </c>
      <c r="AF367" s="45"/>
      <c r="AG367" s="45"/>
      <c r="AH367" s="45"/>
      <c r="AI367" s="45">
        <v>0</v>
      </c>
      <c r="AJ367" s="45"/>
      <c r="AK367" s="45">
        <v>0</v>
      </c>
      <c r="AL367" s="45"/>
      <c r="AM367" s="49">
        <f t="shared" si="41"/>
        <v>175496</v>
      </c>
      <c r="AN367" s="45"/>
      <c r="AO367" s="49">
        <f t="shared" si="42"/>
        <v>10364775</v>
      </c>
    </row>
    <row r="368" spans="1:41" hidden="1">
      <c r="A368" s="17" t="s">
        <v>743</v>
      </c>
      <c r="B368" s="12"/>
      <c r="C368" s="12" t="s">
        <v>653</v>
      </c>
      <c r="D368" s="12"/>
      <c r="E368" s="13">
        <v>50740</v>
      </c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9">
        <f t="shared" si="43"/>
        <v>0</v>
      </c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>
        <v>0</v>
      </c>
      <c r="AL368" s="45"/>
      <c r="AM368" s="49">
        <f t="shared" si="41"/>
        <v>0</v>
      </c>
      <c r="AN368" s="45"/>
      <c r="AO368" s="49">
        <f t="shared" si="42"/>
        <v>0</v>
      </c>
    </row>
    <row r="369" spans="1:41">
      <c r="A369" s="12" t="s">
        <v>233</v>
      </c>
      <c r="B369" s="12"/>
      <c r="C369" s="12" t="s">
        <v>227</v>
      </c>
      <c r="D369" s="12"/>
      <c r="E369" s="13">
        <v>139303</v>
      </c>
      <c r="F369" s="45"/>
      <c r="G369" s="45">
        <v>10186733</v>
      </c>
      <c r="H369" s="45"/>
      <c r="I369" s="45">
        <v>0</v>
      </c>
      <c r="J369" s="45"/>
      <c r="K369" s="45">
        <v>9309032</v>
      </c>
      <c r="L369" s="45"/>
      <c r="M369" s="45">
        <v>14841</v>
      </c>
      <c r="N369" s="45"/>
      <c r="O369" s="45">
        <v>707492</v>
      </c>
      <c r="P369" s="45"/>
      <c r="Q369" s="45">
        <v>311791</v>
      </c>
      <c r="R369" s="45"/>
      <c r="S369" s="45">
        <v>1182678</v>
      </c>
      <c r="T369" s="45"/>
      <c r="U369" s="45">
        <v>28883</v>
      </c>
      <c r="V369" s="45"/>
      <c r="W369" s="45">
        <f>606140+6312+100357</f>
        <v>712809</v>
      </c>
      <c r="X369" s="45"/>
      <c r="Y369" s="49">
        <f t="shared" si="43"/>
        <v>22454259</v>
      </c>
      <c r="Z369" s="45"/>
      <c r="AA369" s="1">
        <v>2295041</v>
      </c>
      <c r="AB369" s="45"/>
      <c r="AC369" s="45"/>
      <c r="AD369" s="45"/>
      <c r="AE369" s="45">
        <f>980000+6104+188395</f>
        <v>1174499</v>
      </c>
      <c r="AF369" s="45"/>
      <c r="AG369" s="45"/>
      <c r="AH369" s="45"/>
      <c r="AI369" s="45">
        <v>0</v>
      </c>
      <c r="AJ369" s="45"/>
      <c r="AK369" s="45">
        <v>0</v>
      </c>
      <c r="AL369" s="45"/>
      <c r="AM369" s="49">
        <f t="shared" si="41"/>
        <v>3469540</v>
      </c>
      <c r="AN369" s="45"/>
      <c r="AO369" s="49">
        <f t="shared" si="42"/>
        <v>25923799</v>
      </c>
    </row>
    <row r="370" spans="1:41">
      <c r="A370" s="12" t="s">
        <v>404</v>
      </c>
      <c r="B370" s="12"/>
      <c r="C370" s="12" t="s">
        <v>37</v>
      </c>
      <c r="D370" s="12"/>
      <c r="E370" s="13">
        <v>47712</v>
      </c>
      <c r="F370" s="45"/>
      <c r="G370" s="45">
        <v>2372665</v>
      </c>
      <c r="H370" s="45"/>
      <c r="I370" s="45">
        <v>0</v>
      </c>
      <c r="J370" s="45"/>
      <c r="K370" s="45">
        <f>2860519+611207</f>
        <v>3471726</v>
      </c>
      <c r="L370" s="45"/>
      <c r="M370" s="45">
        <v>15457</v>
      </c>
      <c r="N370" s="45"/>
      <c r="O370" s="45">
        <f>44852+240894</f>
        <v>285746</v>
      </c>
      <c r="P370" s="45"/>
      <c r="Q370" s="45">
        <v>76482</v>
      </c>
      <c r="R370" s="45"/>
      <c r="S370" s="45">
        <v>0</v>
      </c>
      <c r="T370" s="45"/>
      <c r="U370" s="45">
        <v>0</v>
      </c>
      <c r="V370" s="45"/>
      <c r="W370" s="45">
        <f>158344+61685</f>
        <v>220029</v>
      </c>
      <c r="X370" s="45"/>
      <c r="Y370" s="49">
        <f t="shared" si="43"/>
        <v>6442105</v>
      </c>
      <c r="Z370" s="45"/>
      <c r="AA370" s="45">
        <v>141</v>
      </c>
      <c r="AB370" s="45"/>
      <c r="AC370" s="45"/>
      <c r="AD370" s="45"/>
      <c r="AE370" s="45">
        <v>0</v>
      </c>
      <c r="AF370" s="45"/>
      <c r="AG370" s="45"/>
      <c r="AH370" s="45"/>
      <c r="AI370" s="45">
        <v>0</v>
      </c>
      <c r="AJ370" s="45"/>
      <c r="AK370" s="45">
        <v>0</v>
      </c>
      <c r="AL370" s="45"/>
      <c r="AM370" s="49">
        <f t="shared" si="41"/>
        <v>141</v>
      </c>
      <c r="AN370" s="45"/>
      <c r="AO370" s="49">
        <f t="shared" si="42"/>
        <v>6442246</v>
      </c>
    </row>
    <row r="371" spans="1:41" hidden="1">
      <c r="A371" s="12" t="s">
        <v>949</v>
      </c>
      <c r="B371" s="12"/>
      <c r="C371" s="12" t="s">
        <v>643</v>
      </c>
      <c r="D371" s="12"/>
      <c r="E371" s="13">
        <v>45526</v>
      </c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9">
        <f t="shared" si="43"/>
        <v>0</v>
      </c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>
        <v>0</v>
      </c>
      <c r="AL371" s="45"/>
      <c r="AM371" s="49">
        <f t="shared" si="41"/>
        <v>0</v>
      </c>
      <c r="AN371" s="45"/>
      <c r="AO371" s="49">
        <f t="shared" si="42"/>
        <v>0</v>
      </c>
    </row>
    <row r="372" spans="1:41">
      <c r="A372" s="12" t="s">
        <v>508</v>
      </c>
      <c r="B372" s="12"/>
      <c r="C372" s="12" t="s">
        <v>509</v>
      </c>
      <c r="D372" s="12"/>
      <c r="E372" s="13">
        <v>48777</v>
      </c>
      <c r="F372" s="45"/>
      <c r="G372" s="45">
        <v>4952658</v>
      </c>
      <c r="H372" s="45"/>
      <c r="I372" s="45">
        <v>0</v>
      </c>
      <c r="J372" s="45"/>
      <c r="K372" s="45">
        <v>20014286</v>
      </c>
      <c r="L372" s="45"/>
      <c r="M372" s="45">
        <v>389006</v>
      </c>
      <c r="N372" s="45"/>
      <c r="O372" s="45">
        <v>314395</v>
      </c>
      <c r="P372" s="45"/>
      <c r="Q372" s="45">
        <v>60502</v>
      </c>
      <c r="R372" s="45"/>
      <c r="S372" s="45">
        <v>0</v>
      </c>
      <c r="T372" s="45"/>
      <c r="U372" s="45">
        <v>6577</v>
      </c>
      <c r="V372" s="45"/>
      <c r="W372" s="45">
        <f>370174+444+197468</f>
        <v>568086</v>
      </c>
      <c r="X372" s="45"/>
      <c r="Y372" s="49">
        <f t="shared" si="43"/>
        <v>26305510</v>
      </c>
      <c r="Z372" s="45"/>
      <c r="AA372" s="45">
        <v>32607</v>
      </c>
      <c r="AB372" s="45"/>
      <c r="AC372" s="45"/>
      <c r="AD372" s="45"/>
      <c r="AE372" s="45">
        <v>284049</v>
      </c>
      <c r="AF372" s="45"/>
      <c r="AG372" s="45"/>
      <c r="AH372" s="45"/>
      <c r="AI372" s="45">
        <v>2950</v>
      </c>
      <c r="AJ372" s="45"/>
      <c r="AK372" s="45">
        <v>0</v>
      </c>
      <c r="AL372" s="45"/>
      <c r="AM372" s="49">
        <f t="shared" si="41"/>
        <v>319606</v>
      </c>
      <c r="AN372" s="45"/>
      <c r="AO372" s="49">
        <f t="shared" si="42"/>
        <v>26625116</v>
      </c>
    </row>
    <row r="373" spans="1:41">
      <c r="A373" s="12" t="s">
        <v>757</v>
      </c>
      <c r="B373" s="12"/>
      <c r="C373" s="12" t="s">
        <v>78</v>
      </c>
      <c r="D373" s="12"/>
      <c r="E373" s="13">
        <v>45534</v>
      </c>
      <c r="F373" s="45"/>
      <c r="G373" s="45">
        <v>3644991</v>
      </c>
      <c r="H373" s="45"/>
      <c r="I373" s="45">
        <v>971532</v>
      </c>
      <c r="J373" s="45"/>
      <c r="K373" s="45">
        <f>8216148+1343581</f>
        <v>9559729</v>
      </c>
      <c r="L373" s="45"/>
      <c r="M373" s="45">
        <v>32930</v>
      </c>
      <c r="N373" s="45"/>
      <c r="O373" s="45">
        <f>693860+30785</f>
        <v>724645</v>
      </c>
      <c r="P373" s="45"/>
      <c r="Q373" s="45">
        <v>203101</v>
      </c>
      <c r="R373" s="45"/>
      <c r="S373" s="45">
        <v>0</v>
      </c>
      <c r="T373" s="45"/>
      <c r="U373" s="45">
        <v>14850</v>
      </c>
      <c r="V373" s="45"/>
      <c r="W373" s="45">
        <f>210201+61759+406175</f>
        <v>678135</v>
      </c>
      <c r="X373" s="45"/>
      <c r="Y373" s="49">
        <f t="shared" si="43"/>
        <v>15829913</v>
      </c>
      <c r="Z373" s="45"/>
      <c r="AA373" s="45">
        <v>693826</v>
      </c>
      <c r="AB373" s="45"/>
      <c r="AC373" s="45"/>
      <c r="AD373" s="45"/>
      <c r="AE373" s="45">
        <v>0</v>
      </c>
      <c r="AF373" s="45"/>
      <c r="AG373" s="45"/>
      <c r="AH373" s="45"/>
      <c r="AI373" s="45">
        <v>0</v>
      </c>
      <c r="AJ373" s="45"/>
      <c r="AK373" s="45">
        <v>0</v>
      </c>
      <c r="AL373" s="45"/>
      <c r="AM373" s="49">
        <f t="shared" si="41"/>
        <v>693826</v>
      </c>
      <c r="AN373" s="45"/>
      <c r="AO373" s="49">
        <f t="shared" si="42"/>
        <v>16523739</v>
      </c>
    </row>
    <row r="374" spans="1:41">
      <c r="A374" s="12" t="s">
        <v>415</v>
      </c>
      <c r="B374" s="12"/>
      <c r="C374" s="12" t="s">
        <v>40</v>
      </c>
      <c r="D374" s="12"/>
      <c r="E374" s="13">
        <v>44420</v>
      </c>
      <c r="F374" s="45"/>
      <c r="G374" s="45">
        <v>13613104</v>
      </c>
      <c r="H374" s="45"/>
      <c r="I374" s="45">
        <v>0</v>
      </c>
      <c r="J374" s="45"/>
      <c r="K374" s="45">
        <f>16286479+4659302</f>
        <v>20945781</v>
      </c>
      <c r="L374" s="45"/>
      <c r="M374" s="45">
        <v>20321</v>
      </c>
      <c r="N374" s="45"/>
      <c r="O374" s="45">
        <f>1287692+2167+112534</f>
        <v>1402393</v>
      </c>
      <c r="P374" s="45"/>
      <c r="Q374" s="45">
        <v>223824</v>
      </c>
      <c r="R374" s="45"/>
      <c r="S374" s="45">
        <v>540091</v>
      </c>
      <c r="T374" s="45"/>
      <c r="U374" s="45">
        <v>22507</v>
      </c>
      <c r="V374" s="45"/>
      <c r="W374" s="45">
        <f>502880+14593+29035</f>
        <v>546508</v>
      </c>
      <c r="X374" s="45"/>
      <c r="Y374" s="49">
        <f t="shared" si="43"/>
        <v>37314529</v>
      </c>
      <c r="Z374" s="45"/>
      <c r="AA374" s="45">
        <v>207350</v>
      </c>
      <c r="AB374" s="45"/>
      <c r="AC374" s="45"/>
      <c r="AD374" s="45"/>
      <c r="AE374" s="45">
        <v>0</v>
      </c>
      <c r="AF374" s="45"/>
      <c r="AG374" s="45"/>
      <c r="AH374" s="45"/>
      <c r="AI374" s="45">
        <v>0</v>
      </c>
      <c r="AJ374" s="45"/>
      <c r="AK374" s="45">
        <v>0</v>
      </c>
      <c r="AL374" s="45"/>
      <c r="AM374" s="49">
        <f t="shared" si="41"/>
        <v>207350</v>
      </c>
      <c r="AN374" s="45"/>
      <c r="AO374" s="49">
        <f t="shared" si="42"/>
        <v>37521879</v>
      </c>
    </row>
    <row r="375" spans="1:41">
      <c r="A375" s="12" t="s">
        <v>913</v>
      </c>
      <c r="B375" s="12"/>
      <c r="C375" s="12" t="s">
        <v>32</v>
      </c>
      <c r="D375" s="12"/>
      <c r="E375" s="13">
        <v>44412</v>
      </c>
      <c r="F375" s="45"/>
      <c r="G375" s="45">
        <v>13935729</v>
      </c>
      <c r="H375" s="45"/>
      <c r="I375" s="45">
        <v>0</v>
      </c>
      <c r="J375" s="45"/>
      <c r="K375" s="45">
        <v>58753251</v>
      </c>
      <c r="L375" s="45"/>
      <c r="M375" s="45">
        <v>1988290</v>
      </c>
      <c r="N375" s="45"/>
      <c r="O375" s="45">
        <v>857821</v>
      </c>
      <c r="P375" s="45"/>
      <c r="Q375" s="45">
        <v>126760</v>
      </c>
      <c r="R375" s="45"/>
      <c r="S375" s="45">
        <v>0</v>
      </c>
      <c r="T375" s="45"/>
      <c r="U375" s="45">
        <v>0</v>
      </c>
      <c r="V375" s="45"/>
      <c r="W375" s="45">
        <f>332370+178724</f>
        <v>511094</v>
      </c>
      <c r="X375" s="45"/>
      <c r="Y375" s="49">
        <f t="shared" si="43"/>
        <v>76172945</v>
      </c>
      <c r="Z375" s="45"/>
      <c r="AA375" s="45">
        <v>144605</v>
      </c>
      <c r="AB375" s="45"/>
      <c r="AC375" s="45"/>
      <c r="AD375" s="45"/>
      <c r="AE375" s="45">
        <v>0</v>
      </c>
      <c r="AF375" s="45"/>
      <c r="AG375" s="45"/>
      <c r="AH375" s="45"/>
      <c r="AI375" s="45">
        <v>0</v>
      </c>
      <c r="AJ375" s="45"/>
      <c r="AK375" s="45">
        <v>0</v>
      </c>
      <c r="AL375" s="45"/>
      <c r="AM375" s="49">
        <f t="shared" si="41"/>
        <v>144605</v>
      </c>
      <c r="AN375" s="45"/>
      <c r="AO375" s="49">
        <f t="shared" si="42"/>
        <v>76317550</v>
      </c>
    </row>
    <row r="376" spans="1:41">
      <c r="A376" s="12" t="s">
        <v>392</v>
      </c>
      <c r="B376" s="12"/>
      <c r="C376" s="12" t="s">
        <v>34</v>
      </c>
      <c r="D376" s="12"/>
      <c r="E376" s="13">
        <v>44438</v>
      </c>
      <c r="F376" s="45"/>
      <c r="G376" s="45">
        <v>8468005</v>
      </c>
      <c r="H376" s="45"/>
      <c r="I376" s="45">
        <v>0</v>
      </c>
      <c r="J376" s="45"/>
      <c r="K376" s="45">
        <v>14485603</v>
      </c>
      <c r="L376" s="45"/>
      <c r="M376" s="45">
        <v>100443</v>
      </c>
      <c r="N376" s="45"/>
      <c r="O376" s="45">
        <v>720169</v>
      </c>
      <c r="P376" s="45"/>
      <c r="Q376" s="45">
        <v>260890</v>
      </c>
      <c r="R376" s="45"/>
      <c r="S376" s="45">
        <v>373579</v>
      </c>
      <c r="T376" s="45"/>
      <c r="U376" s="45">
        <v>70470</v>
      </c>
      <c r="V376" s="45"/>
      <c r="W376" s="45">
        <f>9175+491235+57229</f>
        <v>557639</v>
      </c>
      <c r="X376" s="45"/>
      <c r="Y376" s="49">
        <f t="shared" ref="Y376:Y403" si="44">SUM(G376:W376)</f>
        <v>25036798</v>
      </c>
      <c r="Z376" s="45"/>
      <c r="AA376" s="45">
        <v>251338</v>
      </c>
      <c r="AB376" s="45"/>
      <c r="AC376" s="45"/>
      <c r="AD376" s="45"/>
      <c r="AE376" s="45">
        <v>0</v>
      </c>
      <c r="AF376" s="45"/>
      <c r="AG376" s="45"/>
      <c r="AH376" s="45"/>
      <c r="AI376" s="45">
        <v>1250</v>
      </c>
      <c r="AJ376" s="45"/>
      <c r="AK376" s="45">
        <v>0</v>
      </c>
      <c r="AL376" s="45"/>
      <c r="AM376" s="49">
        <f t="shared" ref="AM376:AM387" si="45">AI376+AE376+AA376</f>
        <v>252588</v>
      </c>
      <c r="AN376" s="45"/>
      <c r="AO376" s="49">
        <f t="shared" ref="AO376:AO387" si="46">Y376+AM376</f>
        <v>25289386</v>
      </c>
    </row>
    <row r="377" spans="1:41" hidden="1">
      <c r="A377" s="12" t="s">
        <v>945</v>
      </c>
      <c r="B377" s="12"/>
      <c r="C377" s="12" t="s">
        <v>57</v>
      </c>
      <c r="D377" s="12"/>
      <c r="E377" s="13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9">
        <f t="shared" ref="Y377" si="47">SUM(G377:W377)</f>
        <v>0</v>
      </c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>
        <v>0</v>
      </c>
      <c r="AL377" s="45"/>
      <c r="AM377" s="49">
        <f t="shared" ref="AM377" si="48">AI377+AE377+AA377</f>
        <v>0</v>
      </c>
      <c r="AN377" s="45"/>
      <c r="AO377" s="49">
        <f t="shared" ref="AO377" si="49">Y377+AM377</f>
        <v>0</v>
      </c>
    </row>
    <row r="378" spans="1:41">
      <c r="A378" s="12" t="s">
        <v>215</v>
      </c>
      <c r="B378" s="12"/>
      <c r="C378" s="12" t="s">
        <v>13</v>
      </c>
      <c r="D378" s="12"/>
      <c r="E378" s="13">
        <v>44446</v>
      </c>
      <c r="F378" s="45"/>
      <c r="G378" s="45">
        <v>2444306</v>
      </c>
      <c r="H378" s="45"/>
      <c r="I378" s="45">
        <v>0</v>
      </c>
      <c r="J378" s="45"/>
      <c r="K378" s="45">
        <v>13538134</v>
      </c>
      <c r="L378" s="45"/>
      <c r="M378" s="45">
        <v>39149</v>
      </c>
      <c r="N378" s="45"/>
      <c r="O378" s="45">
        <v>687842</v>
      </c>
      <c r="P378" s="45"/>
      <c r="Q378" s="45">
        <v>61267</v>
      </c>
      <c r="R378" s="45"/>
      <c r="S378" s="45">
        <v>0</v>
      </c>
      <c r="T378" s="45"/>
      <c r="U378" s="45">
        <v>169200</v>
      </c>
      <c r="V378" s="45"/>
      <c r="W378" s="45">
        <f>152033+66429</f>
        <v>218462</v>
      </c>
      <c r="X378" s="45"/>
      <c r="Y378" s="49">
        <f t="shared" si="44"/>
        <v>17158360</v>
      </c>
      <c r="Z378" s="45"/>
      <c r="AA378" s="45">
        <v>204172</v>
      </c>
      <c r="AB378" s="45"/>
      <c r="AC378" s="45"/>
      <c r="AD378" s="45"/>
      <c r="AE378" s="45">
        <v>0</v>
      </c>
      <c r="AF378" s="45"/>
      <c r="AG378" s="45"/>
      <c r="AH378" s="45"/>
      <c r="AI378" s="45">
        <v>0</v>
      </c>
      <c r="AJ378" s="45"/>
      <c r="AK378" s="45">
        <v>0</v>
      </c>
      <c r="AL378" s="45"/>
      <c r="AM378" s="49">
        <f t="shared" si="45"/>
        <v>204172</v>
      </c>
      <c r="AN378" s="45"/>
      <c r="AO378" s="49">
        <f t="shared" si="46"/>
        <v>17362532</v>
      </c>
    </row>
    <row r="379" spans="1:41">
      <c r="A379" s="12" t="s">
        <v>728</v>
      </c>
      <c r="B379" s="12"/>
      <c r="C379" s="12" t="s">
        <v>27</v>
      </c>
      <c r="D379" s="12"/>
      <c r="E379" s="13"/>
      <c r="F379" s="45"/>
      <c r="G379" s="45">
        <v>46928454</v>
      </c>
      <c r="H379" s="45"/>
      <c r="I379" s="45">
        <v>0</v>
      </c>
      <c r="J379" s="45"/>
      <c r="K379" s="45">
        <f>1286887+8441937+87425</f>
        <v>9816249</v>
      </c>
      <c r="L379" s="45"/>
      <c r="M379" s="45">
        <v>180761</v>
      </c>
      <c r="N379" s="45"/>
      <c r="O379" s="45">
        <v>546656</v>
      </c>
      <c r="P379" s="45"/>
      <c r="Q379" s="45">
        <v>531502</v>
      </c>
      <c r="R379" s="45"/>
      <c r="S379" s="45">
        <v>0</v>
      </c>
      <c r="T379" s="45"/>
      <c r="U379" s="45">
        <v>0</v>
      </c>
      <c r="V379" s="45"/>
      <c r="W379" s="45">
        <f>1469868+1008952</f>
        <v>2478820</v>
      </c>
      <c r="X379" s="45"/>
      <c r="Y379" s="49">
        <f t="shared" si="44"/>
        <v>60482442</v>
      </c>
      <c r="Z379" s="45"/>
      <c r="AA379" s="45">
        <v>308688</v>
      </c>
      <c r="AB379" s="45"/>
      <c r="AC379" s="45"/>
      <c r="AD379" s="45"/>
      <c r="AE379" s="45">
        <v>0</v>
      </c>
      <c r="AF379" s="45"/>
      <c r="AG379" s="45"/>
      <c r="AH379" s="45"/>
      <c r="AI379" s="45">
        <v>0</v>
      </c>
      <c r="AJ379" s="45"/>
      <c r="AK379" s="45">
        <v>0</v>
      </c>
      <c r="AL379" s="45"/>
      <c r="AM379" s="49">
        <f t="shared" si="45"/>
        <v>308688</v>
      </c>
      <c r="AN379" s="45"/>
      <c r="AO379" s="49">
        <f t="shared" si="46"/>
        <v>60791130</v>
      </c>
    </row>
    <row r="380" spans="1:41">
      <c r="A380" s="12" t="s">
        <v>563</v>
      </c>
      <c r="B380" s="12"/>
      <c r="C380" s="12" t="s">
        <v>59</v>
      </c>
      <c r="D380" s="12"/>
      <c r="E380" s="13">
        <v>44461</v>
      </c>
      <c r="F380" s="45"/>
      <c r="G380" s="45">
        <v>1164986</v>
      </c>
      <c r="H380" s="45"/>
      <c r="I380" s="45">
        <v>0</v>
      </c>
      <c r="J380" s="45"/>
      <c r="K380" s="45">
        <v>4601051</v>
      </c>
      <c r="L380" s="45"/>
      <c r="M380" s="45">
        <v>216197</v>
      </c>
      <c r="N380" s="45"/>
      <c r="O380" s="45">
        <v>979612</v>
      </c>
      <c r="P380" s="45"/>
      <c r="Q380" s="45">
        <v>33074</v>
      </c>
      <c r="R380" s="45"/>
      <c r="S380" s="45">
        <v>0</v>
      </c>
      <c r="T380" s="45"/>
      <c r="U380" s="45">
        <v>11533</v>
      </c>
      <c r="V380" s="45"/>
      <c r="W380" s="45">
        <f>533000+12820+188487</f>
        <v>734307</v>
      </c>
      <c r="X380" s="45"/>
      <c r="Y380" s="49">
        <f t="shared" si="44"/>
        <v>7740760</v>
      </c>
      <c r="Z380" s="45"/>
      <c r="AA380" s="45">
        <v>92975</v>
      </c>
      <c r="AB380" s="45"/>
      <c r="AC380" s="45"/>
      <c r="AD380" s="45"/>
      <c r="AE380" s="45">
        <f>3462336+79961</f>
        <v>3542297</v>
      </c>
      <c r="AF380" s="45"/>
      <c r="AG380" s="45"/>
      <c r="AH380" s="45"/>
      <c r="AI380" s="45">
        <v>0</v>
      </c>
      <c r="AJ380" s="45"/>
      <c r="AK380" s="45">
        <v>0</v>
      </c>
      <c r="AL380" s="45"/>
      <c r="AM380" s="49">
        <f t="shared" si="45"/>
        <v>3635272</v>
      </c>
      <c r="AN380" s="45"/>
      <c r="AO380" s="49">
        <f t="shared" si="46"/>
        <v>11376032</v>
      </c>
    </row>
    <row r="381" spans="1:41">
      <c r="A381" s="12" t="s">
        <v>218</v>
      </c>
      <c r="B381" s="12"/>
      <c r="C381" s="12" t="s">
        <v>14</v>
      </c>
      <c r="D381" s="12"/>
      <c r="E381" s="13">
        <v>45955</v>
      </c>
      <c r="F381" s="45"/>
      <c r="G381" s="45">
        <v>2937616</v>
      </c>
      <c r="H381" s="45"/>
      <c r="I381" s="45">
        <v>1260338</v>
      </c>
      <c r="J381" s="45"/>
      <c r="K381" s="45">
        <v>5358889</v>
      </c>
      <c r="L381" s="45"/>
      <c r="M381" s="45">
        <v>152705</v>
      </c>
      <c r="N381" s="45"/>
      <c r="O381" s="45">
        <v>235703</v>
      </c>
      <c r="P381" s="45"/>
      <c r="Q381" s="45">
        <v>183751</v>
      </c>
      <c r="R381" s="45"/>
      <c r="S381" s="45">
        <v>30952</v>
      </c>
      <c r="T381" s="45"/>
      <c r="U381" s="45">
        <v>119984</v>
      </c>
      <c r="V381" s="45"/>
      <c r="W381" s="45">
        <f>215849+36064</f>
        <v>251913</v>
      </c>
      <c r="X381" s="45"/>
      <c r="Y381" s="49">
        <f t="shared" si="44"/>
        <v>10531851</v>
      </c>
      <c r="Z381" s="45"/>
      <c r="AA381" s="45">
        <v>45000</v>
      </c>
      <c r="AB381" s="45"/>
      <c r="AC381" s="45"/>
      <c r="AD381" s="45"/>
      <c r="AE381" s="45">
        <v>0</v>
      </c>
      <c r="AF381" s="45"/>
      <c r="AG381" s="45"/>
      <c r="AH381" s="45"/>
      <c r="AI381" s="45">
        <v>0</v>
      </c>
      <c r="AJ381" s="45"/>
      <c r="AK381" s="45">
        <v>0</v>
      </c>
      <c r="AL381" s="45"/>
      <c r="AM381" s="49">
        <f t="shared" si="45"/>
        <v>45000</v>
      </c>
      <c r="AN381" s="45"/>
      <c r="AO381" s="49">
        <f t="shared" si="46"/>
        <v>10576851</v>
      </c>
    </row>
    <row r="382" spans="1:41" hidden="1">
      <c r="A382" s="17" t="s">
        <v>879</v>
      </c>
      <c r="B382" s="12"/>
      <c r="C382" s="12" t="s">
        <v>14</v>
      </c>
      <c r="D382" s="12"/>
      <c r="E382" s="13">
        <v>45963</v>
      </c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9">
        <f t="shared" si="44"/>
        <v>0</v>
      </c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>
        <v>0</v>
      </c>
      <c r="AL382" s="45"/>
      <c r="AM382" s="49">
        <f t="shared" si="45"/>
        <v>0</v>
      </c>
      <c r="AN382" s="45"/>
      <c r="AO382" s="49">
        <f t="shared" si="46"/>
        <v>0</v>
      </c>
    </row>
    <row r="383" spans="1:41">
      <c r="A383" s="12" t="s">
        <v>502</v>
      </c>
      <c r="B383" s="12"/>
      <c r="C383" s="12" t="s">
        <v>50</v>
      </c>
      <c r="D383" s="12"/>
      <c r="E383" s="13">
        <v>48710</v>
      </c>
      <c r="F383" s="45"/>
      <c r="G383" s="45">
        <v>3991097</v>
      </c>
      <c r="H383" s="45"/>
      <c r="I383" s="45">
        <v>0</v>
      </c>
      <c r="J383" s="45"/>
      <c r="K383" s="45">
        <f>10587+6135170+1464573</f>
        <v>7610330</v>
      </c>
      <c r="L383" s="45"/>
      <c r="M383" s="45">
        <v>10623</v>
      </c>
      <c r="N383" s="45"/>
      <c r="O383" s="45">
        <v>303020</v>
      </c>
      <c r="P383" s="45"/>
      <c r="Q383" s="45">
        <v>99408</v>
      </c>
      <c r="R383" s="45"/>
      <c r="S383" s="45">
        <v>0</v>
      </c>
      <c r="T383" s="45"/>
      <c r="U383" s="45">
        <v>0</v>
      </c>
      <c r="V383" s="45"/>
      <c r="W383" s="45">
        <f>208600+37057+83457</f>
        <v>329114</v>
      </c>
      <c r="X383" s="45"/>
      <c r="Y383" s="49">
        <f t="shared" si="44"/>
        <v>12343592</v>
      </c>
      <c r="Z383" s="45"/>
      <c r="AA383" s="45">
        <v>1961810</v>
      </c>
      <c r="AB383" s="45"/>
      <c r="AC383" s="45"/>
      <c r="AD383" s="45"/>
      <c r="AE383" s="45">
        <v>0</v>
      </c>
      <c r="AF383" s="45"/>
      <c r="AG383" s="45"/>
      <c r="AH383" s="45"/>
      <c r="AI383" s="45">
        <v>0</v>
      </c>
      <c r="AJ383" s="45"/>
      <c r="AK383" s="45">
        <v>0</v>
      </c>
      <c r="AL383" s="45"/>
      <c r="AM383" s="49">
        <f t="shared" si="45"/>
        <v>1961810</v>
      </c>
      <c r="AN383" s="45"/>
      <c r="AO383" s="49">
        <f t="shared" si="46"/>
        <v>14305402</v>
      </c>
    </row>
    <row r="384" spans="1:41" hidden="1">
      <c r="A384" s="12" t="s">
        <v>889</v>
      </c>
      <c r="B384" s="12"/>
      <c r="C384" s="12" t="s">
        <v>524</v>
      </c>
      <c r="D384" s="12"/>
      <c r="E384" s="13">
        <v>44479</v>
      </c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9">
        <f t="shared" si="44"/>
        <v>0</v>
      </c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>
        <v>0</v>
      </c>
      <c r="AL384" s="45"/>
      <c r="AM384" s="49">
        <f t="shared" si="45"/>
        <v>0</v>
      </c>
      <c r="AN384" s="45"/>
      <c r="AO384" s="49">
        <f t="shared" si="46"/>
        <v>0</v>
      </c>
    </row>
    <row r="385" spans="1:41">
      <c r="A385" s="12" t="s">
        <v>405</v>
      </c>
      <c r="B385" s="12"/>
      <c r="C385" s="12" t="s">
        <v>37</v>
      </c>
      <c r="D385" s="12"/>
      <c r="E385" s="13">
        <v>47720</v>
      </c>
      <c r="F385" s="45"/>
      <c r="G385" s="45">
        <v>3041288</v>
      </c>
      <c r="H385" s="45"/>
      <c r="I385" s="45">
        <v>347640</v>
      </c>
      <c r="J385" s="45"/>
      <c r="K385" s="45">
        <f>5748124+1179453</f>
        <v>6927577</v>
      </c>
      <c r="L385" s="45"/>
      <c r="M385" s="45">
        <v>35621</v>
      </c>
      <c r="N385" s="45"/>
      <c r="O385" s="45">
        <v>0</v>
      </c>
      <c r="P385" s="45"/>
      <c r="Q385" s="45">
        <v>210492</v>
      </c>
      <c r="R385" s="45"/>
      <c r="S385" s="45">
        <v>0</v>
      </c>
      <c r="T385" s="45"/>
      <c r="U385" s="45">
        <v>0</v>
      </c>
      <c r="V385" s="45"/>
      <c r="W385" s="45">
        <f>153716+29985+35572</f>
        <v>219273</v>
      </c>
      <c r="X385" s="45"/>
      <c r="Y385" s="49">
        <f t="shared" si="44"/>
        <v>10781891</v>
      </c>
      <c r="Z385" s="45"/>
      <c r="AA385" s="45">
        <v>0</v>
      </c>
      <c r="AB385" s="45"/>
      <c r="AC385" s="45"/>
      <c r="AD385" s="45"/>
      <c r="AE385" s="45">
        <v>0</v>
      </c>
      <c r="AF385" s="45"/>
      <c r="AG385" s="45"/>
      <c r="AH385" s="45"/>
      <c r="AI385" s="45">
        <v>0</v>
      </c>
      <c r="AJ385" s="45"/>
      <c r="AK385" s="45">
        <v>0</v>
      </c>
      <c r="AL385" s="45"/>
      <c r="AM385" s="49">
        <f t="shared" si="45"/>
        <v>0</v>
      </c>
      <c r="AN385" s="45"/>
      <c r="AO385" s="49">
        <f t="shared" si="46"/>
        <v>10781891</v>
      </c>
    </row>
    <row r="386" spans="1:41">
      <c r="A386" s="12" t="s">
        <v>234</v>
      </c>
      <c r="B386" s="12"/>
      <c r="C386" s="12" t="s">
        <v>227</v>
      </c>
      <c r="D386" s="12"/>
      <c r="E386" s="13">
        <v>46136</v>
      </c>
      <c r="F386" s="45"/>
      <c r="G386" s="45">
        <v>1574422</v>
      </c>
      <c r="H386" s="45"/>
      <c r="I386" s="45">
        <v>0</v>
      </c>
      <c r="J386" s="45"/>
      <c r="K386" s="45">
        <v>6051286</v>
      </c>
      <c r="L386" s="45"/>
      <c r="M386" s="45">
        <v>7102</v>
      </c>
      <c r="N386" s="45"/>
      <c r="O386" s="45">
        <v>25581</v>
      </c>
      <c r="P386" s="45"/>
      <c r="Q386" s="45">
        <v>0</v>
      </c>
      <c r="R386" s="45"/>
      <c r="S386" s="45">
        <v>0</v>
      </c>
      <c r="T386" s="45"/>
      <c r="U386" s="45">
        <v>0</v>
      </c>
      <c r="V386" s="45"/>
      <c r="W386" s="45">
        <f>100318+162646</f>
        <v>262964</v>
      </c>
      <c r="X386" s="45"/>
      <c r="Y386" s="49">
        <f t="shared" si="44"/>
        <v>7921355</v>
      </c>
      <c r="Z386" s="45"/>
      <c r="AA386" s="45">
        <v>74912</v>
      </c>
      <c r="AB386" s="45"/>
      <c r="AC386" s="45"/>
      <c r="AD386" s="45"/>
      <c r="AE386" s="45">
        <f>1234997+117750+124000+177150</f>
        <v>1653897</v>
      </c>
      <c r="AF386" s="45"/>
      <c r="AG386" s="45"/>
      <c r="AH386" s="45"/>
      <c r="AI386" s="45">
        <v>0</v>
      </c>
      <c r="AJ386" s="45"/>
      <c r="AK386" s="45">
        <v>0</v>
      </c>
      <c r="AL386" s="45"/>
      <c r="AM386" s="49">
        <f t="shared" si="45"/>
        <v>1728809</v>
      </c>
      <c r="AN386" s="45"/>
      <c r="AO386" s="49">
        <f t="shared" si="46"/>
        <v>9650164</v>
      </c>
    </row>
    <row r="387" spans="1:41">
      <c r="A387" s="12" t="s">
        <v>622</v>
      </c>
      <c r="B387" s="12"/>
      <c r="C387" s="12" t="s">
        <v>65</v>
      </c>
      <c r="D387" s="12"/>
      <c r="E387" s="13">
        <v>44487</v>
      </c>
      <c r="F387" s="45"/>
      <c r="G387" s="45">
        <v>11811608</v>
      </c>
      <c r="H387" s="45"/>
      <c r="I387" s="45">
        <v>0</v>
      </c>
      <c r="J387" s="45"/>
      <c r="K387" s="45">
        <v>13915416</v>
      </c>
      <c r="L387" s="45"/>
      <c r="M387" s="45">
        <v>67598</v>
      </c>
      <c r="N387" s="45"/>
      <c r="O387" s="45">
        <v>398152</v>
      </c>
      <c r="P387" s="45"/>
      <c r="Q387" s="45">
        <v>592966</v>
      </c>
      <c r="R387" s="45"/>
      <c r="S387" s="45">
        <v>0</v>
      </c>
      <c r="T387" s="45"/>
      <c r="U387" s="45">
        <v>71786</v>
      </c>
      <c r="V387" s="45"/>
      <c r="W387" s="45">
        <f>341994+475447</f>
        <v>817441</v>
      </c>
      <c r="X387" s="45"/>
      <c r="Y387" s="49">
        <f t="shared" si="44"/>
        <v>27674967</v>
      </c>
      <c r="Z387" s="45"/>
      <c r="AA387" s="45">
        <v>455000</v>
      </c>
      <c r="AB387" s="45"/>
      <c r="AC387" s="45"/>
      <c r="AD387" s="45"/>
      <c r="AE387" s="45">
        <v>0</v>
      </c>
      <c r="AF387" s="45"/>
      <c r="AG387" s="45"/>
      <c r="AH387" s="45"/>
      <c r="AI387" s="45">
        <v>0</v>
      </c>
      <c r="AJ387" s="45"/>
      <c r="AK387" s="45">
        <v>0</v>
      </c>
      <c r="AL387" s="45"/>
      <c r="AM387" s="49">
        <f t="shared" si="45"/>
        <v>455000</v>
      </c>
      <c r="AN387" s="45"/>
      <c r="AO387" s="49">
        <f t="shared" si="46"/>
        <v>28129967</v>
      </c>
    </row>
    <row r="388" spans="1:41">
      <c r="A388" s="12" t="s">
        <v>256</v>
      </c>
      <c r="B388" s="12"/>
      <c r="C388" s="12" t="s">
        <v>115</v>
      </c>
      <c r="D388" s="12"/>
      <c r="E388" s="13">
        <v>45559</v>
      </c>
      <c r="F388" s="45"/>
      <c r="G388" s="45">
        <v>12848309</v>
      </c>
      <c r="H388" s="45"/>
      <c r="I388" s="45">
        <v>0</v>
      </c>
      <c r="J388" s="45"/>
      <c r="K388" s="45">
        <v>14666971</v>
      </c>
      <c r="L388" s="45"/>
      <c r="M388" s="45">
        <v>335124</v>
      </c>
      <c r="N388" s="45"/>
      <c r="O388" s="45">
        <v>920395</v>
      </c>
      <c r="P388" s="45"/>
      <c r="Q388" s="45">
        <v>0</v>
      </c>
      <c r="R388" s="45"/>
      <c r="S388" s="45">
        <v>0</v>
      </c>
      <c r="T388" s="45"/>
      <c r="U388" s="45">
        <v>0</v>
      </c>
      <c r="V388" s="45"/>
      <c r="W388" s="45">
        <v>699547</v>
      </c>
      <c r="X388" s="45"/>
      <c r="Y388" s="49">
        <f t="shared" si="44"/>
        <v>29470346</v>
      </c>
      <c r="Z388" s="45"/>
      <c r="AA388" s="45">
        <v>2410000</v>
      </c>
      <c r="AB388" s="45"/>
      <c r="AC388" s="45"/>
      <c r="AD388" s="45"/>
      <c r="AE388" s="45">
        <v>0</v>
      </c>
      <c r="AF388" s="45"/>
      <c r="AG388" s="45"/>
      <c r="AH388" s="45"/>
      <c r="AI388" s="45">
        <v>0</v>
      </c>
      <c r="AJ388" s="45"/>
      <c r="AK388" s="45">
        <v>0</v>
      </c>
      <c r="AL388" s="45"/>
      <c r="AM388" s="49">
        <f t="shared" ref="AM388:AM407" si="50">AI388+AE388+AA388</f>
        <v>2410000</v>
      </c>
      <c r="AN388" s="45"/>
      <c r="AO388" s="49">
        <f t="shared" ref="AO388:AO420" si="51">Y388+AM388</f>
        <v>31880346</v>
      </c>
    </row>
    <row r="389" spans="1:41" hidden="1">
      <c r="A389" s="12" t="s">
        <v>888</v>
      </c>
      <c r="B389" s="12"/>
      <c r="C389" s="12" t="s">
        <v>60</v>
      </c>
      <c r="D389" s="12"/>
      <c r="E389" s="13">
        <v>49718</v>
      </c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9">
        <f t="shared" si="44"/>
        <v>0</v>
      </c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>
        <v>0</v>
      </c>
      <c r="AL389" s="45"/>
      <c r="AM389" s="49">
        <f t="shared" si="50"/>
        <v>0</v>
      </c>
      <c r="AN389" s="45"/>
      <c r="AO389" s="49">
        <f t="shared" si="51"/>
        <v>0</v>
      </c>
    </row>
    <row r="390" spans="1:41">
      <c r="A390" s="12" t="s">
        <v>431</v>
      </c>
      <c r="B390" s="12"/>
      <c r="C390" s="12" t="s">
        <v>42</v>
      </c>
      <c r="D390" s="12"/>
      <c r="E390" s="12">
        <v>44453</v>
      </c>
      <c r="F390" s="45"/>
      <c r="G390" s="45">
        <v>25121896</v>
      </c>
      <c r="H390" s="45"/>
      <c r="I390" s="45">
        <v>7124975</v>
      </c>
      <c r="J390" s="45"/>
      <c r="K390" s="45">
        <f>8028+47200320+9957222</f>
        <v>57165570</v>
      </c>
      <c r="L390" s="45"/>
      <c r="M390" s="45">
        <v>240642</v>
      </c>
      <c r="N390" s="45"/>
      <c r="O390" s="45">
        <v>643778</v>
      </c>
      <c r="P390" s="45"/>
      <c r="Q390" s="45">
        <v>352173</v>
      </c>
      <c r="R390" s="45"/>
      <c r="S390" s="45">
        <v>0</v>
      </c>
      <c r="T390" s="45"/>
      <c r="U390" s="45">
        <v>0</v>
      </c>
      <c r="V390" s="45"/>
      <c r="W390" s="45">
        <f>94614+565092+159170+1269631</f>
        <v>2088507</v>
      </c>
      <c r="X390" s="45"/>
      <c r="Y390" s="49">
        <f t="shared" si="44"/>
        <v>92737541</v>
      </c>
      <c r="Z390" s="45"/>
      <c r="AA390" s="45">
        <v>1794890</v>
      </c>
      <c r="AB390" s="45"/>
      <c r="AC390" s="45"/>
      <c r="AD390" s="45"/>
      <c r="AE390" s="45">
        <v>0</v>
      </c>
      <c r="AF390" s="45"/>
      <c r="AG390" s="45"/>
      <c r="AH390" s="45"/>
      <c r="AI390" s="45">
        <v>170782</v>
      </c>
      <c r="AJ390" s="45"/>
      <c r="AK390" s="45">
        <v>0</v>
      </c>
      <c r="AL390" s="45"/>
      <c r="AM390" s="49">
        <f t="shared" si="50"/>
        <v>1965672</v>
      </c>
      <c r="AN390" s="45"/>
      <c r="AO390" s="49">
        <f t="shared" si="51"/>
        <v>94703213</v>
      </c>
    </row>
    <row r="391" spans="1:41">
      <c r="A391" s="12" t="s">
        <v>355</v>
      </c>
      <c r="B391" s="12"/>
      <c r="C391" s="12" t="s">
        <v>30</v>
      </c>
      <c r="D391" s="12"/>
      <c r="E391" s="13">
        <v>47217</v>
      </c>
      <c r="F391" s="45"/>
      <c r="G391" s="45">
        <v>5002781</v>
      </c>
      <c r="H391" s="45"/>
      <c r="I391" s="45">
        <v>0</v>
      </c>
      <c r="J391" s="45"/>
      <c r="K391" s="45">
        <v>2989465</v>
      </c>
      <c r="L391" s="45"/>
      <c r="M391" s="45">
        <v>34564</v>
      </c>
      <c r="N391" s="45"/>
      <c r="O391" s="45">
        <v>285632</v>
      </c>
      <c r="P391" s="45"/>
      <c r="Q391" s="45">
        <v>87141</v>
      </c>
      <c r="R391" s="45"/>
      <c r="S391" s="45">
        <v>0</v>
      </c>
      <c r="T391" s="45"/>
      <c r="U391" s="45">
        <v>1333</v>
      </c>
      <c r="V391" s="45"/>
      <c r="W391" s="45">
        <f>83198+77038</f>
        <v>160236</v>
      </c>
      <c r="X391" s="45"/>
      <c r="Y391" s="49">
        <f t="shared" si="44"/>
        <v>8561152</v>
      </c>
      <c r="Z391" s="45"/>
      <c r="AA391" s="45">
        <v>78478</v>
      </c>
      <c r="AB391" s="45"/>
      <c r="AC391" s="45"/>
      <c r="AD391" s="45"/>
      <c r="AE391" s="45">
        <v>0</v>
      </c>
      <c r="AF391" s="45"/>
      <c r="AG391" s="45"/>
      <c r="AH391" s="45"/>
      <c r="AI391" s="45">
        <v>0</v>
      </c>
      <c r="AJ391" s="45"/>
      <c r="AK391" s="45">
        <v>0</v>
      </c>
      <c r="AL391" s="45"/>
      <c r="AM391" s="49">
        <f t="shared" si="50"/>
        <v>78478</v>
      </c>
      <c r="AN391" s="45"/>
      <c r="AO391" s="49">
        <f t="shared" si="51"/>
        <v>8639630</v>
      </c>
    </row>
    <row r="392" spans="1:41">
      <c r="A392" s="12" t="s">
        <v>623</v>
      </c>
      <c r="B392" s="12"/>
      <c r="C392" s="12" t="s">
        <v>65</v>
      </c>
      <c r="D392" s="12"/>
      <c r="E392" s="13">
        <v>45542</v>
      </c>
      <c r="F392" s="45"/>
      <c r="G392" s="45">
        <v>2781788</v>
      </c>
      <c r="H392" s="45"/>
      <c r="I392" s="45">
        <v>0</v>
      </c>
      <c r="J392" s="45"/>
      <c r="K392" s="45">
        <f>6458508+1901449</f>
        <v>8359957</v>
      </c>
      <c r="L392" s="45"/>
      <c r="M392" s="45">
        <v>214</v>
      </c>
      <c r="N392" s="45"/>
      <c r="O392" s="45">
        <v>794488</v>
      </c>
      <c r="P392" s="45"/>
      <c r="Q392" s="45">
        <v>149936</v>
      </c>
      <c r="R392" s="45"/>
      <c r="S392" s="45">
        <v>0</v>
      </c>
      <c r="T392" s="45"/>
      <c r="U392" s="45">
        <v>0</v>
      </c>
      <c r="V392" s="45"/>
      <c r="W392" s="45">
        <f>152124+18528+216633</f>
        <v>387285</v>
      </c>
      <c r="X392" s="45"/>
      <c r="Y392" s="49">
        <f t="shared" si="44"/>
        <v>12473668</v>
      </c>
      <c r="Z392" s="45"/>
      <c r="AA392" s="45">
        <v>2297</v>
      </c>
      <c r="AB392" s="45"/>
      <c r="AC392" s="45"/>
      <c r="AD392" s="45"/>
      <c r="AE392" s="45">
        <v>0</v>
      </c>
      <c r="AF392" s="45"/>
      <c r="AG392" s="45"/>
      <c r="AH392" s="45"/>
      <c r="AI392" s="45">
        <v>0</v>
      </c>
      <c r="AJ392" s="45"/>
      <c r="AK392" s="45">
        <v>0</v>
      </c>
      <c r="AL392" s="45"/>
      <c r="AM392" s="49">
        <f t="shared" si="50"/>
        <v>2297</v>
      </c>
      <c r="AN392" s="45"/>
      <c r="AO392" s="49">
        <f t="shared" si="51"/>
        <v>12475965</v>
      </c>
    </row>
    <row r="393" spans="1:41">
      <c r="A393" s="12" t="s">
        <v>614</v>
      </c>
      <c r="B393" s="12"/>
      <c r="C393" s="12" t="s">
        <v>64</v>
      </c>
      <c r="D393" s="12"/>
      <c r="E393" s="13">
        <v>45567</v>
      </c>
      <c r="F393" s="45"/>
      <c r="G393" s="45">
        <v>3193415</v>
      </c>
      <c r="H393" s="45"/>
      <c r="I393" s="45">
        <v>0</v>
      </c>
      <c r="J393" s="45"/>
      <c r="K393" s="45">
        <v>9609849</v>
      </c>
      <c r="L393" s="45"/>
      <c r="M393" s="45">
        <v>15261</v>
      </c>
      <c r="N393" s="45"/>
      <c r="O393" s="45">
        <v>325550</v>
      </c>
      <c r="P393" s="45"/>
      <c r="Q393" s="45">
        <v>166949</v>
      </c>
      <c r="R393" s="45"/>
      <c r="S393" s="45">
        <v>0</v>
      </c>
      <c r="T393" s="45"/>
      <c r="U393" s="45">
        <v>1000</v>
      </c>
      <c r="V393" s="45"/>
      <c r="W393" s="45">
        <f>181196+775+172753</f>
        <v>354724</v>
      </c>
      <c r="X393" s="45"/>
      <c r="Y393" s="49">
        <f t="shared" si="44"/>
        <v>13666748</v>
      </c>
      <c r="Z393" s="45"/>
      <c r="AA393" s="45">
        <v>2721</v>
      </c>
      <c r="AB393" s="45"/>
      <c r="AC393" s="45"/>
      <c r="AD393" s="45"/>
      <c r="AE393" s="45">
        <v>0</v>
      </c>
      <c r="AF393" s="45"/>
      <c r="AG393" s="45"/>
      <c r="AH393" s="45"/>
      <c r="AI393" s="45">
        <v>0</v>
      </c>
      <c r="AJ393" s="45"/>
      <c r="AK393" s="45">
        <v>0</v>
      </c>
      <c r="AL393" s="45"/>
      <c r="AM393" s="49">
        <f t="shared" si="50"/>
        <v>2721</v>
      </c>
      <c r="AN393" s="45"/>
      <c r="AO393" s="49">
        <f t="shared" si="51"/>
        <v>13669469</v>
      </c>
    </row>
    <row r="394" spans="1:41" hidden="1">
      <c r="A394" s="12" t="s">
        <v>946</v>
      </c>
      <c r="B394" s="12"/>
      <c r="C394" s="12" t="s">
        <v>48</v>
      </c>
      <c r="D394" s="12"/>
      <c r="E394" s="13">
        <v>48637</v>
      </c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9">
        <f t="shared" si="44"/>
        <v>0</v>
      </c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>
        <v>0</v>
      </c>
      <c r="AL394" s="45"/>
      <c r="AM394" s="49">
        <f t="shared" si="50"/>
        <v>0</v>
      </c>
      <c r="AN394" s="45"/>
      <c r="AO394" s="49">
        <f t="shared" si="51"/>
        <v>0</v>
      </c>
    </row>
    <row r="395" spans="1:41">
      <c r="A395" s="12" t="s">
        <v>724</v>
      </c>
      <c r="B395" s="12"/>
      <c r="C395" s="12" t="s">
        <v>64</v>
      </c>
      <c r="D395" s="12"/>
      <c r="E395" s="13"/>
      <c r="F395" s="45"/>
      <c r="G395" s="45">
        <v>8816686</v>
      </c>
      <c r="H395" s="45"/>
      <c r="I395" s="45">
        <v>0</v>
      </c>
      <c r="J395" s="45"/>
      <c r="K395" s="45">
        <f>20880096+3876728</f>
        <v>24756824</v>
      </c>
      <c r="L395" s="45"/>
      <c r="M395" s="45">
        <v>160081</v>
      </c>
      <c r="N395" s="45"/>
      <c r="O395" s="45">
        <v>787325</v>
      </c>
      <c r="P395" s="45"/>
      <c r="Q395" s="45">
        <v>158891</v>
      </c>
      <c r="R395" s="45"/>
      <c r="S395" s="45">
        <v>0</v>
      </c>
      <c r="T395" s="45"/>
      <c r="U395" s="45">
        <v>32220</v>
      </c>
      <c r="V395" s="45"/>
      <c r="W395" s="45">
        <f>90315+362237+16088+24100+323756</f>
        <v>816496</v>
      </c>
      <c r="X395" s="45"/>
      <c r="Y395" s="49">
        <f t="shared" si="44"/>
        <v>35528523</v>
      </c>
      <c r="Z395" s="45"/>
      <c r="AA395" s="45">
        <v>311</v>
      </c>
      <c r="AB395" s="45"/>
      <c r="AC395" s="45"/>
      <c r="AD395" s="45"/>
      <c r="AE395" s="45">
        <v>0</v>
      </c>
      <c r="AF395" s="45"/>
      <c r="AG395" s="45"/>
      <c r="AH395" s="45"/>
      <c r="AI395" s="45">
        <v>0</v>
      </c>
      <c r="AJ395" s="45"/>
      <c r="AK395" s="45">
        <v>0</v>
      </c>
      <c r="AL395" s="45"/>
      <c r="AM395" s="49">
        <f t="shared" si="50"/>
        <v>311</v>
      </c>
      <c r="AN395" s="45"/>
      <c r="AO395" s="49">
        <f t="shared" si="51"/>
        <v>35528834</v>
      </c>
    </row>
    <row r="396" spans="1:41">
      <c r="A396" s="12" t="s">
        <v>518</v>
      </c>
      <c r="B396" s="12"/>
      <c r="C396" s="12" t="s">
        <v>52</v>
      </c>
      <c r="D396" s="12"/>
      <c r="E396" s="13">
        <v>48900</v>
      </c>
      <c r="F396" s="45"/>
      <c r="G396" s="45">
        <v>2617221</v>
      </c>
      <c r="H396" s="45"/>
      <c r="I396" s="45">
        <v>0</v>
      </c>
      <c r="J396" s="45"/>
      <c r="K396" s="45">
        <v>7255494</v>
      </c>
      <c r="L396" s="45"/>
      <c r="M396" s="45">
        <v>16462</v>
      </c>
      <c r="N396" s="45"/>
      <c r="O396" s="45">
        <v>729895</v>
      </c>
      <c r="P396" s="45"/>
      <c r="Q396" s="45">
        <v>80754</v>
      </c>
      <c r="R396" s="45"/>
      <c r="S396" s="45">
        <v>0</v>
      </c>
      <c r="T396" s="45"/>
      <c r="U396" s="45">
        <v>11945</v>
      </c>
      <c r="V396" s="45"/>
      <c r="W396" s="45">
        <f>185289+1540+20071</f>
        <v>206900</v>
      </c>
      <c r="X396" s="45"/>
      <c r="Y396" s="49">
        <f t="shared" si="44"/>
        <v>10918671</v>
      </c>
      <c r="Z396" s="45"/>
      <c r="AA396" s="45">
        <v>253231</v>
      </c>
      <c r="AB396" s="45"/>
      <c r="AC396" s="45"/>
      <c r="AD396" s="45"/>
      <c r="AE396" s="45">
        <v>0</v>
      </c>
      <c r="AF396" s="45"/>
      <c r="AG396" s="45"/>
      <c r="AH396" s="45"/>
      <c r="AI396" s="45">
        <v>0</v>
      </c>
      <c r="AJ396" s="45"/>
      <c r="AK396" s="45">
        <v>0</v>
      </c>
      <c r="AL396" s="45"/>
      <c r="AM396" s="49">
        <f t="shared" si="50"/>
        <v>253231</v>
      </c>
      <c r="AN396" s="45"/>
      <c r="AO396" s="49">
        <f t="shared" si="51"/>
        <v>11171902</v>
      </c>
    </row>
    <row r="397" spans="1:41">
      <c r="A397" s="12" t="s">
        <v>592</v>
      </c>
      <c r="B397" s="12"/>
      <c r="C397" s="12" t="s">
        <v>63</v>
      </c>
      <c r="D397" s="12"/>
      <c r="E397" s="13">
        <v>50047</v>
      </c>
      <c r="F397" s="45"/>
      <c r="G397" s="45">
        <v>26949636</v>
      </c>
      <c r="H397" s="45"/>
      <c r="I397" s="45">
        <v>0</v>
      </c>
      <c r="J397" s="45"/>
      <c r="K397" s="45">
        <v>15140010</v>
      </c>
      <c r="L397" s="45"/>
      <c r="M397" s="45">
        <v>113340</v>
      </c>
      <c r="N397" s="45"/>
      <c r="O397" s="45">
        <v>396038</v>
      </c>
      <c r="P397" s="45"/>
      <c r="Q397" s="45">
        <v>678783</v>
      </c>
      <c r="R397" s="45"/>
      <c r="S397" s="45">
        <v>0</v>
      </c>
      <c r="T397" s="45"/>
      <c r="U397" s="45">
        <v>26215</v>
      </c>
      <c r="V397" s="45"/>
      <c r="W397" s="45">
        <f>971663+100331+152490</f>
        <v>1224484</v>
      </c>
      <c r="X397" s="45"/>
      <c r="Y397" s="49">
        <f t="shared" si="44"/>
        <v>44528506</v>
      </c>
      <c r="Z397" s="45"/>
      <c r="AA397" s="45">
        <v>35520</v>
      </c>
      <c r="AB397" s="45"/>
      <c r="AC397" s="45"/>
      <c r="AD397" s="45"/>
      <c r="AE397" s="45">
        <v>0</v>
      </c>
      <c r="AF397" s="45"/>
      <c r="AG397" s="45"/>
      <c r="AH397" s="45"/>
      <c r="AI397" s="45">
        <v>0</v>
      </c>
      <c r="AJ397" s="45"/>
      <c r="AK397" s="45">
        <v>0</v>
      </c>
      <c r="AL397" s="45"/>
      <c r="AM397" s="49">
        <f t="shared" si="50"/>
        <v>35520</v>
      </c>
      <c r="AN397" s="45"/>
      <c r="AO397" s="49">
        <f t="shared" si="51"/>
        <v>44564026</v>
      </c>
    </row>
    <row r="398" spans="1:41">
      <c r="A398" s="12" t="s">
        <v>648</v>
      </c>
      <c r="B398" s="12"/>
      <c r="C398" s="12" t="s">
        <v>72</v>
      </c>
      <c r="D398" s="12"/>
      <c r="E398" s="13">
        <v>50708</v>
      </c>
      <c r="F398" s="45"/>
      <c r="G398" s="45">
        <v>3059157</v>
      </c>
      <c r="H398" s="45"/>
      <c r="I398" s="45">
        <v>0</v>
      </c>
      <c r="J398" s="45"/>
      <c r="K398" s="45">
        <v>9900337</v>
      </c>
      <c r="L398" s="45"/>
      <c r="M398" s="45">
        <v>25440</v>
      </c>
      <c r="N398" s="45"/>
      <c r="O398" s="45">
        <v>144486</v>
      </c>
      <c r="P398" s="45"/>
      <c r="Q398" s="45">
        <v>0</v>
      </c>
      <c r="R398" s="45"/>
      <c r="S398" s="45">
        <v>0</v>
      </c>
      <c r="T398" s="45"/>
      <c r="U398" s="45">
        <v>0</v>
      </c>
      <c r="V398" s="45"/>
      <c r="W398" s="45">
        <f>235637+131992</f>
        <v>367629</v>
      </c>
      <c r="X398" s="45"/>
      <c r="Y398" s="49">
        <f t="shared" si="44"/>
        <v>13497049</v>
      </c>
      <c r="Z398" s="45"/>
      <c r="AA398" s="45">
        <v>4271</v>
      </c>
      <c r="AB398" s="45"/>
      <c r="AC398" s="45"/>
      <c r="AD398" s="45"/>
      <c r="AE398" s="45">
        <f>11649776+454959</f>
        <v>12104735</v>
      </c>
      <c r="AF398" s="45"/>
      <c r="AG398" s="45"/>
      <c r="AH398" s="45"/>
      <c r="AI398" s="45">
        <v>0</v>
      </c>
      <c r="AJ398" s="45"/>
      <c r="AK398" s="45">
        <v>0</v>
      </c>
      <c r="AL398" s="45"/>
      <c r="AM398" s="49">
        <f t="shared" si="50"/>
        <v>12109006</v>
      </c>
      <c r="AN398" s="45"/>
      <c r="AO398" s="49">
        <f t="shared" si="51"/>
        <v>25606055</v>
      </c>
    </row>
    <row r="399" spans="1:41" hidden="1">
      <c r="A399" s="17" t="s">
        <v>887</v>
      </c>
      <c r="B399" s="12"/>
      <c r="C399" s="12" t="s">
        <v>53</v>
      </c>
      <c r="D399" s="12"/>
      <c r="E399" s="13">
        <v>48967</v>
      </c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9">
        <f t="shared" si="44"/>
        <v>0</v>
      </c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>
        <v>0</v>
      </c>
      <c r="AL399" s="45"/>
      <c r="AM399" s="49">
        <f t="shared" si="50"/>
        <v>0</v>
      </c>
      <c r="AN399" s="45"/>
      <c r="AO399" s="49">
        <f t="shared" si="51"/>
        <v>0</v>
      </c>
    </row>
    <row r="400" spans="1:41">
      <c r="A400" s="12" t="s">
        <v>582</v>
      </c>
      <c r="B400" s="12"/>
      <c r="C400" s="12" t="s">
        <v>62</v>
      </c>
      <c r="D400" s="12"/>
      <c r="E400" s="13">
        <v>44503</v>
      </c>
      <c r="F400" s="45"/>
      <c r="G400" s="45">
        <v>21149831</v>
      </c>
      <c r="H400" s="45"/>
      <c r="I400" s="45">
        <v>0</v>
      </c>
      <c r="J400" s="45"/>
      <c r="K400" s="45">
        <f>79198+18591448+3056921</f>
        <v>21727567</v>
      </c>
      <c r="L400" s="45"/>
      <c r="M400" s="45">
        <v>96396</v>
      </c>
      <c r="N400" s="45"/>
      <c r="O400" s="45">
        <v>395819</v>
      </c>
      <c r="P400" s="45"/>
      <c r="Q400" s="45">
        <v>465557</v>
      </c>
      <c r="R400" s="45"/>
      <c r="S400" s="45">
        <v>0</v>
      </c>
      <c r="T400" s="45"/>
      <c r="U400" s="45">
        <v>278147</v>
      </c>
      <c r="V400" s="45"/>
      <c r="W400" s="45">
        <f>1145495+557616+126237+42878+193435</f>
        <v>2065661</v>
      </c>
      <c r="X400" s="45"/>
      <c r="Y400" s="49">
        <f t="shared" si="44"/>
        <v>46178978</v>
      </c>
      <c r="Z400" s="45"/>
      <c r="AA400" s="45">
        <v>157211</v>
      </c>
      <c r="AB400" s="45"/>
      <c r="AC400" s="45"/>
      <c r="AD400" s="45"/>
      <c r="AE400" s="45">
        <f>306719+13435000</f>
        <v>13741719</v>
      </c>
      <c r="AF400" s="45"/>
      <c r="AG400" s="45"/>
      <c r="AH400" s="45"/>
      <c r="AI400" s="45">
        <v>0</v>
      </c>
      <c r="AJ400" s="45"/>
      <c r="AK400" s="45">
        <v>0</v>
      </c>
      <c r="AL400" s="45"/>
      <c r="AM400" s="49">
        <f t="shared" si="50"/>
        <v>13898930</v>
      </c>
      <c r="AN400" s="45"/>
      <c r="AO400" s="49">
        <f t="shared" si="51"/>
        <v>60077908</v>
      </c>
    </row>
    <row r="401" spans="1:41" hidden="1">
      <c r="A401" s="17" t="s">
        <v>886</v>
      </c>
      <c r="B401" s="12"/>
      <c r="C401" s="12" t="s">
        <v>643</v>
      </c>
      <c r="D401" s="12"/>
      <c r="E401" s="13">
        <v>50641</v>
      </c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9">
        <f t="shared" si="44"/>
        <v>0</v>
      </c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>
        <v>0</v>
      </c>
      <c r="AL401" s="45"/>
      <c r="AM401" s="49">
        <f t="shared" si="50"/>
        <v>0</v>
      </c>
      <c r="AN401" s="45"/>
      <c r="AO401" s="49">
        <f t="shared" si="51"/>
        <v>0</v>
      </c>
    </row>
    <row r="402" spans="1:41">
      <c r="A402" s="12" t="s">
        <v>369</v>
      </c>
      <c r="B402" s="12"/>
      <c r="C402" s="12" t="s">
        <v>32</v>
      </c>
      <c r="D402" s="12"/>
      <c r="E402" s="13">
        <v>44511</v>
      </c>
      <c r="F402" s="45"/>
      <c r="G402" s="45">
        <v>4966041</v>
      </c>
      <c r="H402" s="45"/>
      <c r="I402" s="45">
        <v>0</v>
      </c>
      <c r="J402" s="45"/>
      <c r="K402" s="45">
        <v>19052657</v>
      </c>
      <c r="L402" s="45"/>
      <c r="M402" s="45">
        <v>59120</v>
      </c>
      <c r="N402" s="45"/>
      <c r="O402" s="45">
        <v>134898</v>
      </c>
      <c r="P402" s="45"/>
      <c r="Q402" s="45">
        <v>58002</v>
      </c>
      <c r="R402" s="45"/>
      <c r="S402" s="45">
        <v>0</v>
      </c>
      <c r="T402" s="45"/>
      <c r="U402" s="45">
        <v>0</v>
      </c>
      <c r="V402" s="45"/>
      <c r="W402" s="45">
        <f>112392+98859</f>
        <v>211251</v>
      </c>
      <c r="X402" s="45"/>
      <c r="Y402" s="49">
        <f t="shared" si="44"/>
        <v>24481969</v>
      </c>
      <c r="Z402" s="45"/>
      <c r="AA402" s="45">
        <v>30000</v>
      </c>
      <c r="AB402" s="45"/>
      <c r="AC402" s="45"/>
      <c r="AD402" s="45"/>
      <c r="AE402" s="45">
        <v>0</v>
      </c>
      <c r="AF402" s="45"/>
      <c r="AG402" s="45"/>
      <c r="AH402" s="45"/>
      <c r="AI402" s="45">
        <v>0</v>
      </c>
      <c r="AJ402" s="45"/>
      <c r="AK402" s="45">
        <v>0</v>
      </c>
      <c r="AL402" s="45"/>
      <c r="AM402" s="49">
        <f t="shared" si="50"/>
        <v>30000</v>
      </c>
      <c r="AN402" s="45"/>
      <c r="AO402" s="49">
        <f t="shared" si="51"/>
        <v>24511969</v>
      </c>
    </row>
    <row r="403" spans="1:41">
      <c r="A403" s="12" t="s">
        <v>432</v>
      </c>
      <c r="B403" s="12"/>
      <c r="C403" s="12" t="s">
        <v>42</v>
      </c>
      <c r="D403" s="12"/>
      <c r="E403" s="13">
        <v>48025</v>
      </c>
      <c r="F403" s="45"/>
      <c r="G403" s="45">
        <v>6311716</v>
      </c>
      <c r="H403" s="45"/>
      <c r="I403" s="45">
        <v>0</v>
      </c>
      <c r="J403" s="45"/>
      <c r="K403" s="45">
        <f>10521+9049399+1747433</f>
        <v>10807353</v>
      </c>
      <c r="L403" s="45"/>
      <c r="M403" s="45">
        <v>28801</v>
      </c>
      <c r="N403" s="45"/>
      <c r="O403" s="45">
        <v>718751</v>
      </c>
      <c r="P403" s="45"/>
      <c r="Q403" s="45">
        <v>193188</v>
      </c>
      <c r="R403" s="45"/>
      <c r="S403" s="45">
        <v>0</v>
      </c>
      <c r="T403" s="45"/>
      <c r="U403" s="45">
        <v>31942</v>
      </c>
      <c r="V403" s="45"/>
      <c r="W403" s="45">
        <f>334610+72465+15418+154185</f>
        <v>576678</v>
      </c>
      <c r="X403" s="45"/>
      <c r="Y403" s="49">
        <f t="shared" si="44"/>
        <v>18668429</v>
      </c>
      <c r="Z403" s="45"/>
      <c r="AA403" s="45">
        <v>192340</v>
      </c>
      <c r="AB403" s="45"/>
      <c r="AC403" s="45"/>
      <c r="AD403" s="45"/>
      <c r="AE403" s="45">
        <v>0</v>
      </c>
      <c r="AF403" s="45"/>
      <c r="AG403" s="45"/>
      <c r="AH403" s="45"/>
      <c r="AI403" s="45">
        <v>4098</v>
      </c>
      <c r="AJ403" s="45"/>
      <c r="AK403" s="45">
        <v>0</v>
      </c>
      <c r="AL403" s="45"/>
      <c r="AM403" s="49">
        <f t="shared" si="50"/>
        <v>196438</v>
      </c>
      <c r="AN403" s="45"/>
      <c r="AO403" s="49">
        <f t="shared" si="51"/>
        <v>18864867</v>
      </c>
    </row>
    <row r="404" spans="1:41">
      <c r="A404" s="12" t="s">
        <v>296</v>
      </c>
      <c r="B404" s="12"/>
      <c r="C404" s="12" t="s">
        <v>20</v>
      </c>
      <c r="D404" s="12"/>
      <c r="E404" s="13">
        <v>44529</v>
      </c>
      <c r="F404" s="45"/>
      <c r="G404" s="45">
        <v>33554392</v>
      </c>
      <c r="H404" s="45"/>
      <c r="I404" s="45">
        <v>0</v>
      </c>
      <c r="J404" s="45"/>
      <c r="K404" s="45">
        <v>18012818</v>
      </c>
      <c r="L404" s="45"/>
      <c r="M404" s="45">
        <v>52289</v>
      </c>
      <c r="N404" s="45"/>
      <c r="O404" s="45">
        <v>732161</v>
      </c>
      <c r="P404" s="45"/>
      <c r="Q404" s="45">
        <v>380845</v>
      </c>
      <c r="R404" s="45"/>
      <c r="S404" s="45">
        <v>0</v>
      </c>
      <c r="T404" s="45"/>
      <c r="U404" s="45">
        <v>0</v>
      </c>
      <c r="V404" s="45"/>
      <c r="W404" s="45">
        <f>723844+693981</f>
        <v>1417825</v>
      </c>
      <c r="X404" s="45"/>
      <c r="Y404" s="49">
        <f t="shared" ref="Y404:Y408" si="52">SUM(G404:W404)</f>
        <v>54150330</v>
      </c>
      <c r="Z404" s="45"/>
      <c r="AA404" s="45">
        <v>948000</v>
      </c>
      <c r="AB404" s="45"/>
      <c r="AC404" s="45"/>
      <c r="AD404" s="45"/>
      <c r="AE404" s="45">
        <v>0</v>
      </c>
      <c r="AF404" s="45"/>
      <c r="AG404" s="45"/>
      <c r="AH404" s="45"/>
      <c r="AI404" s="45">
        <v>0</v>
      </c>
      <c r="AJ404" s="45"/>
      <c r="AK404" s="45">
        <v>0</v>
      </c>
      <c r="AL404" s="45"/>
      <c r="AM404" s="49">
        <f t="shared" si="50"/>
        <v>948000</v>
      </c>
      <c r="AN404" s="45"/>
      <c r="AO404" s="49">
        <f t="shared" si="51"/>
        <v>55098330</v>
      </c>
    </row>
    <row r="405" spans="1:41">
      <c r="A405" s="12" t="s">
        <v>445</v>
      </c>
      <c r="B405" s="12"/>
      <c r="C405" s="12" t="s">
        <v>44</v>
      </c>
      <c r="D405" s="12"/>
      <c r="E405" s="13">
        <v>44537</v>
      </c>
      <c r="F405" s="45"/>
      <c r="G405" s="45">
        <v>17521229</v>
      </c>
      <c r="H405" s="45"/>
      <c r="I405" s="45">
        <v>0</v>
      </c>
      <c r="J405" s="45"/>
      <c r="K405" s="45">
        <v>15164215</v>
      </c>
      <c r="L405" s="45"/>
      <c r="M405" s="45">
        <v>10609</v>
      </c>
      <c r="N405" s="45"/>
      <c r="O405" s="45">
        <v>501981</v>
      </c>
      <c r="P405" s="45"/>
      <c r="Q405" s="45">
        <v>247643</v>
      </c>
      <c r="R405" s="45"/>
      <c r="S405" s="45">
        <v>0</v>
      </c>
      <c r="T405" s="45"/>
      <c r="U405" s="45">
        <v>0</v>
      </c>
      <c r="V405" s="45"/>
      <c r="W405" s="45">
        <f>765143+460661</f>
        <v>1225804</v>
      </c>
      <c r="X405" s="45"/>
      <c r="Y405" s="49">
        <f t="shared" si="52"/>
        <v>34671481</v>
      </c>
      <c r="Z405" s="45"/>
      <c r="AA405" s="45">
        <v>108619</v>
      </c>
      <c r="AB405" s="45"/>
      <c r="AC405" s="45"/>
      <c r="AD405" s="45"/>
      <c r="AE405" s="45">
        <v>355867</v>
      </c>
      <c r="AF405" s="45"/>
      <c r="AG405" s="45"/>
      <c r="AH405" s="45"/>
      <c r="AI405" s="45">
        <v>0</v>
      </c>
      <c r="AJ405" s="45"/>
      <c r="AK405" s="45">
        <v>0</v>
      </c>
      <c r="AL405" s="45"/>
      <c r="AM405" s="49">
        <f t="shared" si="50"/>
        <v>464486</v>
      </c>
      <c r="AN405" s="45"/>
      <c r="AO405" s="49">
        <f t="shared" si="51"/>
        <v>35135967</v>
      </c>
    </row>
    <row r="406" spans="1:41">
      <c r="A406" s="12" t="s">
        <v>297</v>
      </c>
      <c r="B406" s="12"/>
      <c r="C406" s="12" t="s">
        <v>20</v>
      </c>
      <c r="D406" s="12"/>
      <c r="E406" s="13">
        <v>44545</v>
      </c>
      <c r="F406" s="45"/>
      <c r="G406" s="45">
        <v>34620543</v>
      </c>
      <c r="H406" s="45"/>
      <c r="I406" s="45">
        <v>0</v>
      </c>
      <c r="J406" s="45"/>
      <c r="K406" s="45">
        <v>14582445</v>
      </c>
      <c r="L406" s="45"/>
      <c r="M406" s="45">
        <v>160026</v>
      </c>
      <c r="N406" s="45"/>
      <c r="O406" s="45">
        <v>347196</v>
      </c>
      <c r="P406" s="45"/>
      <c r="Q406" s="45">
        <v>554175</v>
      </c>
      <c r="R406" s="45"/>
      <c r="S406" s="45">
        <v>0</v>
      </c>
      <c r="T406" s="45"/>
      <c r="U406" s="45">
        <v>115798</v>
      </c>
      <c r="V406" s="45"/>
      <c r="W406" s="45">
        <f>1078024+68603+324058</f>
        <v>1470685</v>
      </c>
      <c r="X406" s="45"/>
      <c r="Y406" s="49">
        <f t="shared" si="52"/>
        <v>51850868</v>
      </c>
      <c r="Z406" s="45"/>
      <c r="AA406" s="45">
        <v>226000</v>
      </c>
      <c r="AB406" s="45"/>
      <c r="AC406" s="45"/>
      <c r="AD406" s="45"/>
      <c r="AE406" s="45">
        <v>0</v>
      </c>
      <c r="AF406" s="45"/>
      <c r="AG406" s="45"/>
      <c r="AH406" s="45"/>
      <c r="AI406" s="45">
        <v>10625</v>
      </c>
      <c r="AJ406" s="45"/>
      <c r="AK406" s="45">
        <v>0</v>
      </c>
      <c r="AL406" s="45"/>
      <c r="AM406" s="49">
        <f t="shared" si="50"/>
        <v>236625</v>
      </c>
      <c r="AN406" s="45"/>
      <c r="AO406" s="49">
        <f t="shared" si="51"/>
        <v>52087493</v>
      </c>
    </row>
    <row r="407" spans="1:41">
      <c r="A407" s="12" t="s">
        <v>627</v>
      </c>
      <c r="B407" s="12"/>
      <c r="C407" s="12" t="s">
        <v>66</v>
      </c>
      <c r="D407" s="12"/>
      <c r="E407" s="13">
        <v>50336</v>
      </c>
      <c r="F407" s="45"/>
      <c r="G407" s="45">
        <v>4544166</v>
      </c>
      <c r="H407" s="45"/>
      <c r="I407" s="45">
        <v>1547562</v>
      </c>
      <c r="J407" s="45"/>
      <c r="K407" s="45">
        <v>9432724</v>
      </c>
      <c r="L407" s="45"/>
      <c r="M407" s="45">
        <v>458764</v>
      </c>
      <c r="N407" s="45"/>
      <c r="O407" s="45">
        <v>508893</v>
      </c>
      <c r="P407" s="45"/>
      <c r="Q407" s="45">
        <v>144928</v>
      </c>
      <c r="R407" s="45"/>
      <c r="S407" s="45">
        <v>0</v>
      </c>
      <c r="T407" s="45"/>
      <c r="U407" s="45">
        <v>12008</v>
      </c>
      <c r="V407" s="45"/>
      <c r="W407" s="45">
        <f>343787+290658</f>
        <v>634445</v>
      </c>
      <c r="X407" s="45"/>
      <c r="Y407" s="49">
        <f t="shared" si="52"/>
        <v>17283490</v>
      </c>
      <c r="Z407" s="45"/>
      <c r="AA407" s="45">
        <v>100000</v>
      </c>
      <c r="AB407" s="45"/>
      <c r="AC407" s="45"/>
      <c r="AD407" s="45"/>
      <c r="AE407" s="45">
        <v>0</v>
      </c>
      <c r="AF407" s="45"/>
      <c r="AG407" s="45"/>
      <c r="AH407" s="45"/>
      <c r="AI407" s="45">
        <v>0</v>
      </c>
      <c r="AJ407" s="45"/>
      <c r="AK407" s="45">
        <v>0</v>
      </c>
      <c r="AL407" s="45"/>
      <c r="AM407" s="49">
        <f t="shared" si="50"/>
        <v>100000</v>
      </c>
      <c r="AN407" s="45"/>
      <c r="AO407" s="49">
        <f t="shared" si="51"/>
        <v>17383490</v>
      </c>
    </row>
    <row r="408" spans="1:41">
      <c r="A408" s="12" t="s">
        <v>247</v>
      </c>
      <c r="B408" s="12"/>
      <c r="C408" s="12" t="s">
        <v>17</v>
      </c>
      <c r="D408" s="12"/>
      <c r="E408" s="13">
        <v>46250</v>
      </c>
      <c r="F408" s="45"/>
      <c r="G408" s="45">
        <v>11605181</v>
      </c>
      <c r="H408" s="45"/>
      <c r="I408" s="45">
        <v>0</v>
      </c>
      <c r="J408" s="45"/>
      <c r="K408" s="45">
        <v>19077144</v>
      </c>
      <c r="L408" s="45"/>
      <c r="M408" s="45">
        <v>48251</v>
      </c>
      <c r="N408" s="45"/>
      <c r="O408" s="45">
        <v>1997930</v>
      </c>
      <c r="P408" s="45"/>
      <c r="Q408" s="45">
        <v>198183</v>
      </c>
      <c r="R408" s="45"/>
      <c r="S408" s="45">
        <v>0</v>
      </c>
      <c r="T408" s="45"/>
      <c r="U408" s="45">
        <v>37539</v>
      </c>
      <c r="V408" s="45"/>
      <c r="W408" s="45">
        <f>1320+826533+60721</f>
        <v>888574</v>
      </c>
      <c r="X408" s="45"/>
      <c r="Y408" s="49">
        <f t="shared" si="52"/>
        <v>33852802</v>
      </c>
      <c r="Z408" s="45"/>
      <c r="AA408" s="45">
        <v>0</v>
      </c>
      <c r="AB408" s="45"/>
      <c r="AC408" s="45"/>
      <c r="AD408" s="45"/>
      <c r="AE408" s="45">
        <v>0</v>
      </c>
      <c r="AF408" s="45"/>
      <c r="AG408" s="45"/>
      <c r="AH408" s="45"/>
      <c r="AI408" s="45">
        <v>0</v>
      </c>
      <c r="AJ408" s="45"/>
      <c r="AK408" s="45">
        <v>0</v>
      </c>
      <c r="AL408" s="45"/>
      <c r="AM408" s="49">
        <f>AI408+AE408+AA408+AK408</f>
        <v>0</v>
      </c>
      <c r="AN408" s="45"/>
      <c r="AO408" s="49">
        <f t="shared" si="51"/>
        <v>33852802</v>
      </c>
    </row>
    <row r="409" spans="1:41" s="16" customFormat="1" hidden="1">
      <c r="A409" s="17" t="s">
        <v>882</v>
      </c>
      <c r="B409" s="14"/>
      <c r="C409" s="14" t="s">
        <v>22</v>
      </c>
      <c r="D409" s="14"/>
      <c r="E409" s="14">
        <v>46722</v>
      </c>
      <c r="F409" s="47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9">
        <f t="shared" ref="Y409:Y430" si="53">SUM(G409:W409)</f>
        <v>0</v>
      </c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>
        <v>0</v>
      </c>
      <c r="AL409" s="45"/>
      <c r="AM409" s="49">
        <f>AI409+AE409+AA409</f>
        <v>0</v>
      </c>
      <c r="AN409" s="45"/>
      <c r="AO409" s="49">
        <f t="shared" si="51"/>
        <v>0</v>
      </c>
    </row>
    <row r="410" spans="1:41">
      <c r="A410" s="12" t="s">
        <v>503</v>
      </c>
      <c r="B410" s="12"/>
      <c r="C410" s="12" t="s">
        <v>50</v>
      </c>
      <c r="D410" s="12"/>
      <c r="E410" s="13">
        <v>48728</v>
      </c>
      <c r="F410" s="45"/>
      <c r="G410" s="45">
        <v>22846268</v>
      </c>
      <c r="H410" s="45"/>
      <c r="I410" s="45">
        <v>0</v>
      </c>
      <c r="J410" s="45"/>
      <c r="K410" s="45">
        <v>29217277</v>
      </c>
      <c r="L410" s="45"/>
      <c r="M410" s="45">
        <v>30698</v>
      </c>
      <c r="N410" s="45"/>
      <c r="O410" s="45">
        <v>668759</v>
      </c>
      <c r="P410" s="45"/>
      <c r="Q410" s="45">
        <v>452860</v>
      </c>
      <c r="R410" s="45"/>
      <c r="S410" s="45">
        <v>0</v>
      </c>
      <c r="T410" s="45"/>
      <c r="U410" s="45">
        <v>0</v>
      </c>
      <c r="V410" s="45"/>
      <c r="W410" s="45">
        <f>2562971+238615</f>
        <v>2801586</v>
      </c>
      <c r="X410" s="45"/>
      <c r="Y410" s="49">
        <f t="shared" si="53"/>
        <v>56017448</v>
      </c>
      <c r="Z410" s="45"/>
      <c r="AA410" s="45">
        <v>5000</v>
      </c>
      <c r="AB410" s="45"/>
      <c r="AC410" s="45"/>
      <c r="AD410" s="45"/>
      <c r="AE410" s="45">
        <v>0</v>
      </c>
      <c r="AF410" s="45"/>
      <c r="AG410" s="45"/>
      <c r="AH410" s="45"/>
      <c r="AI410" s="45">
        <v>17903</v>
      </c>
      <c r="AJ410" s="45"/>
      <c r="AK410" s="45">
        <v>0</v>
      </c>
      <c r="AL410" s="45"/>
      <c r="AM410" s="49">
        <f>AE410+AA410+AI410+AK410</f>
        <v>22903</v>
      </c>
      <c r="AN410" s="45"/>
      <c r="AO410" s="49">
        <f t="shared" si="51"/>
        <v>56040351</v>
      </c>
    </row>
    <row r="411" spans="1:41">
      <c r="A411" s="12" t="s">
        <v>510</v>
      </c>
      <c r="B411" s="12"/>
      <c r="C411" s="12" t="s">
        <v>78</v>
      </c>
      <c r="D411" s="12"/>
      <c r="E411" s="13">
        <v>48819</v>
      </c>
      <c r="F411" s="45"/>
      <c r="G411" s="45">
        <v>3853327</v>
      </c>
      <c r="H411" s="45"/>
      <c r="I411" s="45">
        <v>1237323</v>
      </c>
      <c r="J411" s="45"/>
      <c r="K411" s="45">
        <f>22760946+1301419</f>
        <v>24062365</v>
      </c>
      <c r="L411" s="45"/>
      <c r="M411" s="45">
        <v>54561</v>
      </c>
      <c r="N411" s="45"/>
      <c r="O411" s="45">
        <v>555869</v>
      </c>
      <c r="P411" s="45"/>
      <c r="Q411" s="45">
        <v>83116</v>
      </c>
      <c r="R411" s="45"/>
      <c r="S411" s="45">
        <v>0</v>
      </c>
      <c r="T411" s="45"/>
      <c r="U411" s="45">
        <v>300</v>
      </c>
      <c r="V411" s="45"/>
      <c r="W411" s="45">
        <f>199692+18717+160+7638</f>
        <v>226207</v>
      </c>
      <c r="X411" s="45"/>
      <c r="Y411" s="49">
        <f t="shared" si="53"/>
        <v>30073068</v>
      </c>
      <c r="Z411" s="45"/>
      <c r="AA411" s="45">
        <v>0</v>
      </c>
      <c r="AB411" s="45"/>
      <c r="AC411" s="45"/>
      <c r="AD411" s="45"/>
      <c r="AE411" s="45">
        <v>0</v>
      </c>
      <c r="AF411" s="45"/>
      <c r="AG411" s="45"/>
      <c r="AH411" s="45"/>
      <c r="AI411" s="45">
        <v>0</v>
      </c>
      <c r="AJ411" s="45"/>
      <c r="AK411" s="45">
        <v>0</v>
      </c>
      <c r="AL411" s="45"/>
      <c r="AM411" s="49">
        <f>AG411+AE411+AA411</f>
        <v>0</v>
      </c>
      <c r="AN411" s="45"/>
      <c r="AO411" s="49">
        <f t="shared" si="51"/>
        <v>30073068</v>
      </c>
    </row>
    <row r="412" spans="1:41">
      <c r="A412" s="12" t="s">
        <v>433</v>
      </c>
      <c r="B412" s="12"/>
      <c r="C412" s="17" t="s">
        <v>50</v>
      </c>
      <c r="D412" s="12"/>
      <c r="E412" s="13">
        <v>48033</v>
      </c>
      <c r="F412" s="45"/>
      <c r="G412" s="45">
        <v>6443132</v>
      </c>
      <c r="H412" s="45"/>
      <c r="I412" s="45">
        <v>0</v>
      </c>
      <c r="J412" s="45"/>
      <c r="K412" s="45">
        <v>15110614</v>
      </c>
      <c r="L412" s="45"/>
      <c r="M412" s="45">
        <v>74034</v>
      </c>
      <c r="N412" s="45"/>
      <c r="O412" s="45">
        <v>1030347</v>
      </c>
      <c r="P412" s="45"/>
      <c r="Q412" s="45">
        <v>116888</v>
      </c>
      <c r="R412" s="45"/>
      <c r="S412" s="45">
        <v>0</v>
      </c>
      <c r="T412" s="45"/>
      <c r="U412" s="45">
        <v>25956</v>
      </c>
      <c r="V412" s="45"/>
      <c r="W412" s="45">
        <f>186703+74626+44510</f>
        <v>305839</v>
      </c>
      <c r="X412" s="45"/>
      <c r="Y412" s="49">
        <f t="shared" si="53"/>
        <v>23106810</v>
      </c>
      <c r="Z412" s="45"/>
      <c r="AA412" s="45">
        <v>567</v>
      </c>
      <c r="AB412" s="45"/>
      <c r="AC412" s="45"/>
      <c r="AD412" s="45"/>
      <c r="AE412" s="45">
        <v>0</v>
      </c>
      <c r="AF412" s="45"/>
      <c r="AG412" s="45"/>
      <c r="AH412" s="45"/>
      <c r="AI412" s="45">
        <v>0</v>
      </c>
      <c r="AJ412" s="45"/>
      <c r="AK412" s="45">
        <v>0</v>
      </c>
      <c r="AL412" s="45"/>
      <c r="AM412" s="49">
        <f t="shared" ref="AM412:AM430" si="54">AI412+AE412+AA412</f>
        <v>567</v>
      </c>
      <c r="AN412" s="45"/>
      <c r="AO412" s="49">
        <f t="shared" si="51"/>
        <v>23107377</v>
      </c>
    </row>
    <row r="413" spans="1:41">
      <c r="A413" s="12" t="s">
        <v>433</v>
      </c>
      <c r="B413" s="12"/>
      <c r="C413" s="12" t="s">
        <v>42</v>
      </c>
      <c r="D413" s="12"/>
      <c r="E413" s="13">
        <v>48736</v>
      </c>
      <c r="F413" s="45"/>
      <c r="G413" s="45">
        <v>6238724</v>
      </c>
      <c r="H413" s="45"/>
      <c r="I413" s="45">
        <v>2329395</v>
      </c>
      <c r="J413" s="45"/>
      <c r="K413" s="45">
        <v>6457338</v>
      </c>
      <c r="L413" s="45"/>
      <c r="M413" s="45">
        <v>10918</v>
      </c>
      <c r="N413" s="45"/>
      <c r="O413" s="45">
        <v>605782</v>
      </c>
      <c r="P413" s="45"/>
      <c r="Q413" s="45">
        <v>172505</v>
      </c>
      <c r="R413" s="45"/>
      <c r="S413" s="45">
        <v>0</v>
      </c>
      <c r="T413" s="45"/>
      <c r="U413" s="45">
        <v>945</v>
      </c>
      <c r="V413" s="45"/>
      <c r="W413" s="45">
        <f>54972+283085+9298</f>
        <v>347355</v>
      </c>
      <c r="X413" s="45"/>
      <c r="Y413" s="49">
        <f t="shared" si="53"/>
        <v>16162962</v>
      </c>
      <c r="Z413" s="45"/>
      <c r="AA413" s="45">
        <v>50000</v>
      </c>
      <c r="AB413" s="45"/>
      <c r="AC413" s="45"/>
      <c r="AD413" s="45"/>
      <c r="AE413" s="45">
        <v>0</v>
      </c>
      <c r="AF413" s="45"/>
      <c r="AG413" s="45"/>
      <c r="AH413" s="45"/>
      <c r="AI413" s="45">
        <v>0</v>
      </c>
      <c r="AJ413" s="45"/>
      <c r="AK413" s="45">
        <v>0</v>
      </c>
      <c r="AL413" s="45"/>
      <c r="AM413" s="49">
        <f t="shared" si="54"/>
        <v>50000</v>
      </c>
      <c r="AN413" s="45"/>
      <c r="AO413" s="49">
        <f t="shared" si="51"/>
        <v>16212962</v>
      </c>
    </row>
    <row r="414" spans="1:41">
      <c r="A414" s="12" t="s">
        <v>370</v>
      </c>
      <c r="B414" s="12"/>
      <c r="C414" s="12" t="s">
        <v>32</v>
      </c>
      <c r="D414" s="12"/>
      <c r="E414" s="13">
        <v>47365</v>
      </c>
      <c r="F414" s="45"/>
      <c r="G414" s="45">
        <v>41099173</v>
      </c>
      <c r="H414" s="45"/>
      <c r="I414" s="45">
        <v>0</v>
      </c>
      <c r="J414" s="45"/>
      <c r="K414" s="45">
        <v>50188654</v>
      </c>
      <c r="L414" s="45"/>
      <c r="M414" s="45">
        <v>202298</v>
      </c>
      <c r="N414" s="45"/>
      <c r="O414" s="45">
        <v>1615133</v>
      </c>
      <c r="P414" s="45"/>
      <c r="Q414" s="45">
        <v>524755</v>
      </c>
      <c r="R414" s="45"/>
      <c r="S414" s="45">
        <v>2983732</v>
      </c>
      <c r="T414" s="45"/>
      <c r="U414" s="45">
        <v>0</v>
      </c>
      <c r="V414" s="45"/>
      <c r="W414" s="45">
        <f>3028333+267157</f>
        <v>3295490</v>
      </c>
      <c r="X414" s="45"/>
      <c r="Y414" s="49">
        <f t="shared" si="53"/>
        <v>99909235</v>
      </c>
      <c r="Z414" s="45"/>
      <c r="AA414" s="45">
        <v>61649</v>
      </c>
      <c r="AB414" s="45"/>
      <c r="AC414" s="45"/>
      <c r="AD414" s="45"/>
      <c r="AE414" s="45">
        <v>0</v>
      </c>
      <c r="AF414" s="45"/>
      <c r="AG414" s="45"/>
      <c r="AH414" s="45"/>
      <c r="AI414" s="45">
        <v>250</v>
      </c>
      <c r="AJ414" s="45"/>
      <c r="AK414" s="45">
        <v>0</v>
      </c>
      <c r="AL414" s="45"/>
      <c r="AM414" s="49">
        <f t="shared" si="54"/>
        <v>61899</v>
      </c>
      <c r="AN414" s="45"/>
      <c r="AO414" s="49">
        <f t="shared" si="51"/>
        <v>99971134</v>
      </c>
    </row>
    <row r="415" spans="1:41">
      <c r="A415" s="12" t="s">
        <v>370</v>
      </c>
      <c r="B415" s="12"/>
      <c r="C415" s="12" t="s">
        <v>59</v>
      </c>
      <c r="D415" s="12"/>
      <c r="E415" s="13">
        <v>49635</v>
      </c>
      <c r="F415" s="45"/>
      <c r="G415" s="45">
        <v>1933972</v>
      </c>
      <c r="H415" s="45"/>
      <c r="I415" s="45">
        <v>0</v>
      </c>
      <c r="J415" s="45"/>
      <c r="K415" s="45">
        <v>15653126</v>
      </c>
      <c r="L415" s="45"/>
      <c r="M415" s="45">
        <v>1860</v>
      </c>
      <c r="N415" s="45"/>
      <c r="O415" s="45">
        <v>14102</v>
      </c>
      <c r="P415" s="45"/>
      <c r="Q415" s="45">
        <v>147127</v>
      </c>
      <c r="R415" s="45"/>
      <c r="S415" s="45">
        <v>0</v>
      </c>
      <c r="T415" s="45"/>
      <c r="U415" s="45">
        <v>169</v>
      </c>
      <c r="V415" s="45"/>
      <c r="W415" s="45">
        <f>49941+195678+1434</f>
        <v>247053</v>
      </c>
      <c r="X415" s="45"/>
      <c r="Y415" s="49">
        <f t="shared" si="53"/>
        <v>17997409</v>
      </c>
      <c r="Z415" s="45"/>
      <c r="AA415" s="45">
        <v>1156511</v>
      </c>
      <c r="AB415" s="45"/>
      <c r="AC415" s="45"/>
      <c r="AD415" s="45"/>
      <c r="AE415" s="45">
        <v>0</v>
      </c>
      <c r="AF415" s="45"/>
      <c r="AG415" s="45"/>
      <c r="AH415" s="45"/>
      <c r="AI415" s="45">
        <v>6293</v>
      </c>
      <c r="AJ415" s="45"/>
      <c r="AK415" s="45">
        <v>0</v>
      </c>
      <c r="AL415" s="45"/>
      <c r="AM415" s="49">
        <f t="shared" si="54"/>
        <v>1162804</v>
      </c>
      <c r="AN415" s="45"/>
      <c r="AO415" s="49">
        <f t="shared" si="51"/>
        <v>19160213</v>
      </c>
    </row>
    <row r="416" spans="1:41">
      <c r="A416" s="12" t="s">
        <v>370</v>
      </c>
      <c r="B416" s="12"/>
      <c r="C416" s="12" t="s">
        <v>62</v>
      </c>
      <c r="D416" s="12"/>
      <c r="E416" s="13">
        <v>49908</v>
      </c>
      <c r="F416" s="45"/>
      <c r="G416" s="45">
        <v>7513894</v>
      </c>
      <c r="H416" s="45"/>
      <c r="I416" s="45">
        <v>0</v>
      </c>
      <c r="J416" s="45"/>
      <c r="K416" s="45">
        <f>2678+12609672+1962859</f>
        <v>14575209</v>
      </c>
      <c r="L416" s="45"/>
      <c r="M416" s="45">
        <v>3559</v>
      </c>
      <c r="N416" s="45"/>
      <c r="O416" s="45">
        <v>333353</v>
      </c>
      <c r="P416" s="45"/>
      <c r="Q416" s="45">
        <v>233147</v>
      </c>
      <c r="R416" s="45"/>
      <c r="S416" s="45">
        <v>0</v>
      </c>
      <c r="T416" s="45"/>
      <c r="U416" s="45">
        <v>0</v>
      </c>
      <c r="V416" s="45"/>
      <c r="W416" s="45">
        <f>428242+273795+63223</f>
        <v>765260</v>
      </c>
      <c r="X416" s="45"/>
      <c r="Y416" s="49">
        <f t="shared" si="53"/>
        <v>23424422</v>
      </c>
      <c r="Z416" s="45"/>
      <c r="AA416" s="45">
        <v>0</v>
      </c>
      <c r="AB416" s="45"/>
      <c r="AC416" s="45"/>
      <c r="AD416" s="45"/>
      <c r="AE416" s="45">
        <v>1630000</v>
      </c>
      <c r="AF416" s="45"/>
      <c r="AG416" s="45"/>
      <c r="AH416" s="45"/>
      <c r="AI416" s="45">
        <v>13330</v>
      </c>
      <c r="AJ416" s="45"/>
      <c r="AK416" s="45">
        <v>0</v>
      </c>
      <c r="AL416" s="45"/>
      <c r="AM416" s="49">
        <f t="shared" si="54"/>
        <v>1643330</v>
      </c>
      <c r="AN416" s="45"/>
      <c r="AO416" s="49">
        <f t="shared" si="51"/>
        <v>25067752</v>
      </c>
    </row>
    <row r="417" spans="1:41">
      <c r="A417" s="12" t="s">
        <v>248</v>
      </c>
      <c r="B417" s="12"/>
      <c r="C417" s="12" t="s">
        <v>17</v>
      </c>
      <c r="D417" s="12"/>
      <c r="E417" s="13">
        <v>46268</v>
      </c>
      <c r="F417" s="45"/>
      <c r="G417" s="45">
        <v>5682212</v>
      </c>
      <c r="H417" s="45"/>
      <c r="I417" s="45">
        <v>308268</v>
      </c>
      <c r="J417" s="45"/>
      <c r="K417" s="45">
        <v>8936527</v>
      </c>
      <c r="L417" s="45"/>
      <c r="M417" s="45">
        <v>48920</v>
      </c>
      <c r="N417" s="45"/>
      <c r="O417" s="45">
        <v>1232345</v>
      </c>
      <c r="P417" s="45"/>
      <c r="Q417" s="45">
        <v>249807</v>
      </c>
      <c r="R417" s="45"/>
      <c r="S417" s="45">
        <v>0</v>
      </c>
      <c r="T417" s="45"/>
      <c r="U417" s="45">
        <v>0</v>
      </c>
      <c r="V417" s="45"/>
      <c r="W417" s="45">
        <f>684545+4208+221045</f>
        <v>909798</v>
      </c>
      <c r="X417" s="45"/>
      <c r="Y417" s="49">
        <f t="shared" si="53"/>
        <v>17367877</v>
      </c>
      <c r="Z417" s="45"/>
      <c r="AA417" s="45">
        <v>0</v>
      </c>
      <c r="AB417" s="45"/>
      <c r="AC417" s="45"/>
      <c r="AD417" s="45"/>
      <c r="AE417" s="45">
        <f>15000000+158700</f>
        <v>15158700</v>
      </c>
      <c r="AF417" s="45"/>
      <c r="AG417" s="45"/>
      <c r="AH417" s="45"/>
      <c r="AI417" s="45">
        <v>16521</v>
      </c>
      <c r="AJ417" s="45"/>
      <c r="AK417" s="45">
        <v>0</v>
      </c>
      <c r="AL417" s="45"/>
      <c r="AM417" s="49">
        <f t="shared" si="54"/>
        <v>15175221</v>
      </c>
      <c r="AN417" s="45"/>
      <c r="AO417" s="49">
        <f t="shared" si="51"/>
        <v>32543098</v>
      </c>
    </row>
    <row r="418" spans="1:41" hidden="1">
      <c r="A418" s="17" t="s">
        <v>947</v>
      </c>
      <c r="B418" s="12"/>
      <c r="C418" s="12" t="s">
        <v>71</v>
      </c>
      <c r="D418" s="12"/>
      <c r="E418" s="13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9">
        <f t="shared" ref="Y418" si="55">SUM(G418:W418)</f>
        <v>0</v>
      </c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>
        <v>0</v>
      </c>
      <c r="AL418" s="45"/>
      <c r="AM418" s="49">
        <f t="shared" ref="AM418" si="56">AI418+AE418+AA418</f>
        <v>0</v>
      </c>
      <c r="AN418" s="45"/>
      <c r="AO418" s="49">
        <f t="shared" ref="AO418" si="57">Y418+AM418</f>
        <v>0</v>
      </c>
    </row>
    <row r="419" spans="1:41">
      <c r="A419" s="12" t="s">
        <v>649</v>
      </c>
      <c r="B419" s="12"/>
      <c r="C419" s="12" t="s">
        <v>72</v>
      </c>
      <c r="D419" s="12"/>
      <c r="E419" s="13">
        <v>50716</v>
      </c>
      <c r="F419" s="45"/>
      <c r="G419" s="45">
        <v>5521966</v>
      </c>
      <c r="H419" s="45"/>
      <c r="I419" s="45">
        <v>0</v>
      </c>
      <c r="J419" s="45"/>
      <c r="K419" s="45">
        <v>4870332</v>
      </c>
      <c r="L419" s="45"/>
      <c r="M419" s="45">
        <v>9773</v>
      </c>
      <c r="N419" s="45"/>
      <c r="O419" s="45">
        <v>367853</v>
      </c>
      <c r="P419" s="45"/>
      <c r="Q419" s="45">
        <v>107842</v>
      </c>
      <c r="R419" s="45"/>
      <c r="S419" s="45">
        <v>176649</v>
      </c>
      <c r="T419" s="45"/>
      <c r="U419" s="45">
        <v>11081</v>
      </c>
      <c r="V419" s="45"/>
      <c r="W419" s="45">
        <f>172207+193632</f>
        <v>365839</v>
      </c>
      <c r="X419" s="45"/>
      <c r="Y419" s="49">
        <f t="shared" si="53"/>
        <v>11431335</v>
      </c>
      <c r="Z419" s="45"/>
      <c r="AA419" s="45">
        <v>117532</v>
      </c>
      <c r="AB419" s="45"/>
      <c r="AC419" s="45"/>
      <c r="AD419" s="45"/>
      <c r="AE419" s="45">
        <v>0</v>
      </c>
      <c r="AF419" s="45"/>
      <c r="AG419" s="45"/>
      <c r="AH419" s="45"/>
      <c r="AI419" s="45">
        <v>0</v>
      </c>
      <c r="AJ419" s="45"/>
      <c r="AK419" s="45">
        <v>0</v>
      </c>
      <c r="AL419" s="45"/>
      <c r="AM419" s="49">
        <f t="shared" si="54"/>
        <v>117532</v>
      </c>
      <c r="AN419" s="45"/>
      <c r="AO419" s="49">
        <f t="shared" si="51"/>
        <v>11548867</v>
      </c>
    </row>
    <row r="420" spans="1:41">
      <c r="A420" s="12" t="s">
        <v>593</v>
      </c>
      <c r="B420" s="12"/>
      <c r="C420" s="12" t="s">
        <v>63</v>
      </c>
      <c r="D420" s="12"/>
      <c r="E420" s="13">
        <v>44552</v>
      </c>
      <c r="F420" s="45"/>
      <c r="G420" s="45">
        <v>8300757</v>
      </c>
      <c r="H420" s="45"/>
      <c r="I420" s="45">
        <v>0</v>
      </c>
      <c r="J420" s="45"/>
      <c r="K420" s="45">
        <v>11202833</v>
      </c>
      <c r="L420" s="45"/>
      <c r="M420" s="45">
        <v>8678</v>
      </c>
      <c r="N420" s="45"/>
      <c r="O420" s="45">
        <v>2994879</v>
      </c>
      <c r="P420" s="45"/>
      <c r="Q420" s="45">
        <v>196204</v>
      </c>
      <c r="R420" s="45"/>
      <c r="S420" s="45">
        <v>0</v>
      </c>
      <c r="T420" s="45"/>
      <c r="U420" s="45">
        <v>30093</v>
      </c>
      <c r="V420" s="45"/>
      <c r="W420" s="45">
        <f>549968+5950+252412</f>
        <v>808330</v>
      </c>
      <c r="X420" s="45"/>
      <c r="Y420" s="49">
        <f t="shared" si="53"/>
        <v>23541774</v>
      </c>
      <c r="Z420" s="45"/>
      <c r="AA420" s="45">
        <v>4703</v>
      </c>
      <c r="AB420" s="45"/>
      <c r="AC420" s="45"/>
      <c r="AD420" s="45"/>
      <c r="AE420" s="45">
        <v>0</v>
      </c>
      <c r="AF420" s="45"/>
      <c r="AG420" s="45"/>
      <c r="AH420" s="45"/>
      <c r="AI420" s="45">
        <v>0</v>
      </c>
      <c r="AJ420" s="45"/>
      <c r="AK420" s="45">
        <v>0</v>
      </c>
      <c r="AL420" s="45"/>
      <c r="AM420" s="49">
        <f t="shared" si="54"/>
        <v>4703</v>
      </c>
      <c r="AN420" s="45"/>
      <c r="AO420" s="49">
        <f t="shared" si="51"/>
        <v>23546477</v>
      </c>
    </row>
    <row r="421" spans="1:41">
      <c r="A421" s="12" t="s">
        <v>406</v>
      </c>
      <c r="B421" s="12"/>
      <c r="C421" s="12" t="s">
        <v>37</v>
      </c>
      <c r="D421" s="12"/>
      <c r="E421" s="13">
        <v>44560</v>
      </c>
      <c r="F421" s="45"/>
      <c r="G421" s="45">
        <v>7129358</v>
      </c>
      <c r="H421" s="45"/>
      <c r="I421" s="45">
        <v>1560595</v>
      </c>
      <c r="J421" s="45"/>
      <c r="K421" s="45">
        <v>16860703</v>
      </c>
      <c r="L421" s="45"/>
      <c r="M421" s="45">
        <v>176973</v>
      </c>
      <c r="N421" s="45"/>
      <c r="O421" s="45">
        <v>773958</v>
      </c>
      <c r="P421" s="45"/>
      <c r="Q421" s="45">
        <v>260047</v>
      </c>
      <c r="R421" s="45"/>
      <c r="S421" s="45">
        <v>0</v>
      </c>
      <c r="T421" s="45"/>
      <c r="U421" s="45">
        <v>110763</v>
      </c>
      <c r="V421" s="45"/>
      <c r="W421" s="45">
        <f>211462+353557+36564</f>
        <v>601583</v>
      </c>
      <c r="X421" s="45"/>
      <c r="Y421" s="49">
        <f t="shared" si="53"/>
        <v>27473980</v>
      </c>
      <c r="Z421" s="45"/>
      <c r="AA421" s="45">
        <v>0</v>
      </c>
      <c r="AB421" s="45"/>
      <c r="AC421" s="45"/>
      <c r="AD421" s="45"/>
      <c r="AE421" s="45">
        <v>0</v>
      </c>
      <c r="AF421" s="45"/>
      <c r="AG421" s="45"/>
      <c r="AH421" s="45"/>
      <c r="AI421" s="45">
        <v>0</v>
      </c>
      <c r="AJ421" s="45"/>
      <c r="AK421" s="45">
        <v>0</v>
      </c>
      <c r="AL421" s="45"/>
      <c r="AM421" s="49">
        <f t="shared" si="54"/>
        <v>0</v>
      </c>
      <c r="AN421" s="45"/>
      <c r="AO421" s="49">
        <f t="shared" ref="AO421:AO430" si="58">Y421+AM421</f>
        <v>27473980</v>
      </c>
    </row>
    <row r="422" spans="1:41">
      <c r="A422" s="12" t="s">
        <v>764</v>
      </c>
      <c r="B422" s="12"/>
      <c r="C422" s="12" t="s">
        <v>32</v>
      </c>
      <c r="D422" s="12"/>
      <c r="E422" s="13">
        <v>44578</v>
      </c>
      <c r="F422" s="45"/>
      <c r="G422" s="45">
        <v>11420201</v>
      </c>
      <c r="H422" s="45"/>
      <c r="I422" s="45">
        <v>0</v>
      </c>
      <c r="J422" s="45"/>
      <c r="K422" s="45">
        <v>15533442</v>
      </c>
      <c r="L422" s="45"/>
      <c r="M422" s="45">
        <v>6094</v>
      </c>
      <c r="N422" s="45"/>
      <c r="O422" s="45">
        <v>144056</v>
      </c>
      <c r="P422" s="45"/>
      <c r="Q422" s="45">
        <v>132869</v>
      </c>
      <c r="R422" s="45"/>
      <c r="S422" s="45">
        <v>245697</v>
      </c>
      <c r="T422" s="45"/>
      <c r="U422" s="45">
        <v>0</v>
      </c>
      <c r="V422" s="45"/>
      <c r="W422" s="45">
        <f>312927+279288</f>
        <v>592215</v>
      </c>
      <c r="X422" s="45"/>
      <c r="Y422" s="49">
        <f t="shared" si="53"/>
        <v>28074574</v>
      </c>
      <c r="Z422" s="45"/>
      <c r="AA422" s="45">
        <v>377097</v>
      </c>
      <c r="AB422" s="45"/>
      <c r="AC422" s="45"/>
      <c r="AD422" s="45"/>
      <c r="AE422" s="45">
        <v>553500</v>
      </c>
      <c r="AF422" s="45"/>
      <c r="AG422" s="45"/>
      <c r="AH422" s="45"/>
      <c r="AI422" s="45">
        <v>0</v>
      </c>
      <c r="AJ422" s="45"/>
      <c r="AK422" s="45">
        <v>0</v>
      </c>
      <c r="AL422" s="45"/>
      <c r="AM422" s="49">
        <f t="shared" si="54"/>
        <v>930597</v>
      </c>
      <c r="AN422" s="45"/>
      <c r="AO422" s="49">
        <f t="shared" si="58"/>
        <v>29005171</v>
      </c>
    </row>
    <row r="423" spans="1:41" hidden="1">
      <c r="A423" s="17" t="s">
        <v>948</v>
      </c>
      <c r="B423" s="17"/>
      <c r="C423" s="17" t="s">
        <v>38</v>
      </c>
      <c r="D423" s="17"/>
      <c r="E423" s="13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9">
        <f t="shared" ref="Y423" si="59">SUM(G423:W423)</f>
        <v>0</v>
      </c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>
        <v>0</v>
      </c>
      <c r="AL423" s="45"/>
      <c r="AM423" s="49">
        <f t="shared" ref="AM423" si="60">AI423+AE423+AA423</f>
        <v>0</v>
      </c>
      <c r="AN423" s="45"/>
      <c r="AO423" s="49">
        <f t="shared" ref="AO423" si="61">Y423+AM423</f>
        <v>0</v>
      </c>
    </row>
    <row r="424" spans="1:41">
      <c r="A424" s="12" t="s">
        <v>371</v>
      </c>
      <c r="B424" s="12"/>
      <c r="C424" s="12" t="s">
        <v>32</v>
      </c>
      <c r="D424" s="12"/>
      <c r="E424" s="13">
        <v>47373</v>
      </c>
      <c r="F424" s="45"/>
      <c r="G424" s="45">
        <v>29897760</v>
      </c>
      <c r="H424" s="45"/>
      <c r="I424" s="45">
        <v>0</v>
      </c>
      <c r="J424" s="45"/>
      <c r="K424" s="45">
        <v>36952325</v>
      </c>
      <c r="L424" s="45"/>
      <c r="M424" s="45">
        <v>360629</v>
      </c>
      <c r="N424" s="45"/>
      <c r="O424" s="45">
        <v>1362830</v>
      </c>
      <c r="P424" s="45"/>
      <c r="Q424" s="45">
        <v>1486365</v>
      </c>
      <c r="R424" s="45"/>
      <c r="S424" s="45">
        <v>9861510</v>
      </c>
      <c r="T424" s="45"/>
      <c r="U424" s="45">
        <v>0</v>
      </c>
      <c r="V424" s="45"/>
      <c r="W424" s="45">
        <f>2016752+572236</f>
        <v>2588988</v>
      </c>
      <c r="X424" s="45"/>
      <c r="Y424" s="49">
        <f t="shared" si="53"/>
        <v>82510407</v>
      </c>
      <c r="Z424" s="45"/>
      <c r="AA424" s="45">
        <v>374879</v>
      </c>
      <c r="AB424" s="45"/>
      <c r="AC424" s="45"/>
      <c r="AD424" s="45"/>
      <c r="AE424" s="45">
        <v>0</v>
      </c>
      <c r="AF424" s="45"/>
      <c r="AG424" s="45"/>
      <c r="AH424" s="45"/>
      <c r="AI424" s="45">
        <v>0</v>
      </c>
      <c r="AJ424" s="45"/>
      <c r="AK424" s="45">
        <v>0</v>
      </c>
      <c r="AL424" s="45"/>
      <c r="AM424" s="49">
        <f t="shared" si="54"/>
        <v>374879</v>
      </c>
      <c r="AN424" s="45"/>
      <c r="AO424" s="49">
        <f t="shared" si="58"/>
        <v>82885286</v>
      </c>
    </row>
    <row r="425" spans="1:41">
      <c r="A425" s="12" t="s">
        <v>504</v>
      </c>
      <c r="B425" s="12"/>
      <c r="C425" s="12" t="s">
        <v>50</v>
      </c>
      <c r="D425" s="12"/>
      <c r="E425" s="13">
        <v>44586</v>
      </c>
      <c r="F425" s="45"/>
      <c r="G425" s="45">
        <v>14429219</v>
      </c>
      <c r="H425" s="45"/>
      <c r="I425" s="45">
        <v>0</v>
      </c>
      <c r="J425" s="45"/>
      <c r="K425" s="45">
        <v>8658515</v>
      </c>
      <c r="L425" s="45"/>
      <c r="M425" s="45">
        <v>57610</v>
      </c>
      <c r="N425" s="45"/>
      <c r="O425" s="45">
        <v>180885</v>
      </c>
      <c r="P425" s="45"/>
      <c r="Q425" s="45">
        <v>291393</v>
      </c>
      <c r="R425" s="45"/>
      <c r="S425" s="45">
        <v>0</v>
      </c>
      <c r="T425" s="45"/>
      <c r="U425" s="45">
        <v>116720</v>
      </c>
      <c r="V425" s="45"/>
      <c r="W425" s="45">
        <f>130581+618061+2460</f>
        <v>751102</v>
      </c>
      <c r="X425" s="45"/>
      <c r="Y425" s="49">
        <f t="shared" si="53"/>
        <v>24485444</v>
      </c>
      <c r="Z425" s="45"/>
      <c r="AA425" s="45">
        <v>1174385</v>
      </c>
      <c r="AB425" s="45"/>
      <c r="AC425" s="45"/>
      <c r="AD425" s="45"/>
      <c r="AE425" s="45">
        <v>0</v>
      </c>
      <c r="AF425" s="45"/>
      <c r="AG425" s="45"/>
      <c r="AH425" s="45"/>
      <c r="AI425" s="45">
        <v>0</v>
      </c>
      <c r="AJ425" s="45"/>
      <c r="AK425" s="45">
        <v>0</v>
      </c>
      <c r="AL425" s="45"/>
      <c r="AM425" s="49">
        <f t="shared" si="54"/>
        <v>1174385</v>
      </c>
      <c r="AN425" s="45"/>
      <c r="AO425" s="49">
        <f t="shared" si="58"/>
        <v>25659829</v>
      </c>
    </row>
    <row r="426" spans="1:41">
      <c r="A426" s="12"/>
      <c r="B426" s="12"/>
      <c r="C426" s="12"/>
      <c r="D426" s="12"/>
      <c r="E426" s="13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9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9"/>
      <c r="AN426" s="45"/>
      <c r="AO426" s="49"/>
    </row>
    <row r="427" spans="1:41">
      <c r="A427" s="12"/>
      <c r="B427" s="12"/>
      <c r="C427" s="12"/>
      <c r="D427" s="12"/>
      <c r="E427" s="13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9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9"/>
      <c r="AN427" s="45"/>
      <c r="AO427" s="49" t="s">
        <v>709</v>
      </c>
    </row>
    <row r="428" spans="1:41">
      <c r="A428" s="12"/>
      <c r="B428" s="12"/>
      <c r="C428" s="12"/>
      <c r="D428" s="12"/>
      <c r="E428" s="13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9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9"/>
      <c r="AN428" s="45"/>
      <c r="AO428" s="49"/>
    </row>
    <row r="429" spans="1:41">
      <c r="A429" s="12" t="s">
        <v>446</v>
      </c>
      <c r="B429" s="12"/>
      <c r="C429" s="12" t="s">
        <v>44</v>
      </c>
      <c r="D429" s="12"/>
      <c r="E429" s="13">
        <v>44594</v>
      </c>
      <c r="F429" s="45"/>
      <c r="G429" s="47">
        <v>7438217</v>
      </c>
      <c r="H429" s="47"/>
      <c r="I429" s="47">
        <v>0</v>
      </c>
      <c r="J429" s="47"/>
      <c r="K429" s="47">
        <v>6344199</v>
      </c>
      <c r="L429" s="47"/>
      <c r="M429" s="47">
        <v>4068</v>
      </c>
      <c r="N429" s="47"/>
      <c r="O429" s="47">
        <v>330260</v>
      </c>
      <c r="P429" s="47"/>
      <c r="Q429" s="47">
        <v>40941</v>
      </c>
      <c r="R429" s="47"/>
      <c r="S429" s="47">
        <v>0</v>
      </c>
      <c r="T429" s="47"/>
      <c r="U429" s="47">
        <v>153943</v>
      </c>
      <c r="V429" s="47"/>
      <c r="W429" s="47">
        <f>128284+118390</f>
        <v>246674</v>
      </c>
      <c r="X429" s="47"/>
      <c r="Y429" s="48">
        <f t="shared" si="53"/>
        <v>14558302</v>
      </c>
      <c r="Z429" s="47"/>
      <c r="AA429" s="47">
        <v>53467</v>
      </c>
      <c r="AB429" s="47"/>
      <c r="AC429" s="47"/>
      <c r="AD429" s="47"/>
      <c r="AE429" s="47">
        <v>147552</v>
      </c>
      <c r="AF429" s="47"/>
      <c r="AG429" s="47"/>
      <c r="AH429" s="47"/>
      <c r="AI429" s="47">
        <v>7692</v>
      </c>
      <c r="AJ429" s="47"/>
      <c r="AK429" s="47">
        <v>0</v>
      </c>
      <c r="AL429" s="47"/>
      <c r="AM429" s="48">
        <f t="shared" si="54"/>
        <v>208711</v>
      </c>
      <c r="AN429" s="47"/>
      <c r="AO429" s="48">
        <f t="shared" si="58"/>
        <v>14767013</v>
      </c>
    </row>
    <row r="430" spans="1:41" hidden="1">
      <c r="A430" s="12" t="s">
        <v>735</v>
      </c>
      <c r="B430" s="12"/>
      <c r="C430" s="12" t="s">
        <v>60</v>
      </c>
      <c r="D430" s="12"/>
      <c r="E430" s="13">
        <v>49726</v>
      </c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9">
        <f t="shared" si="53"/>
        <v>0</v>
      </c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>
        <v>0</v>
      </c>
      <c r="AL430" s="45"/>
      <c r="AM430" s="49">
        <f t="shared" si="54"/>
        <v>0</v>
      </c>
      <c r="AN430" s="45"/>
      <c r="AO430" s="49">
        <f t="shared" si="58"/>
        <v>0</v>
      </c>
    </row>
    <row r="431" spans="1:41">
      <c r="A431" s="12" t="s">
        <v>313</v>
      </c>
      <c r="B431" s="12"/>
      <c r="C431" s="12" t="s">
        <v>23</v>
      </c>
      <c r="D431" s="12"/>
      <c r="E431" s="13">
        <v>46763</v>
      </c>
      <c r="F431" s="45"/>
      <c r="G431" s="49">
        <v>132605075</v>
      </c>
      <c r="H431" s="49"/>
      <c r="I431" s="49">
        <v>0</v>
      </c>
      <c r="J431" s="49"/>
      <c r="K431" s="49">
        <f>5909751+25753930+462468</f>
        <v>32126149</v>
      </c>
      <c r="L431" s="49"/>
      <c r="M431" s="49">
        <v>415746</v>
      </c>
      <c r="N431" s="49"/>
      <c r="O431" s="49">
        <v>1439510</v>
      </c>
      <c r="P431" s="49"/>
      <c r="Q431" s="49">
        <v>533173</v>
      </c>
      <c r="R431" s="49"/>
      <c r="S431" s="49">
        <v>8014579</v>
      </c>
      <c r="T431" s="49"/>
      <c r="U431" s="49">
        <v>0</v>
      </c>
      <c r="V431" s="49"/>
      <c r="W431" s="49">
        <f>5245079+933532</f>
        <v>6178611</v>
      </c>
      <c r="X431" s="49"/>
      <c r="Y431" s="49">
        <f t="shared" ref="Y431:Y490" si="62">SUM(G431:W431)</f>
        <v>181312843</v>
      </c>
      <c r="Z431" s="49"/>
      <c r="AA431" s="49">
        <v>12200000</v>
      </c>
      <c r="AB431" s="49"/>
      <c r="AC431" s="49"/>
      <c r="AD431" s="49"/>
      <c r="AE431" s="49">
        <f>41589998+1209119+25249999+743473</f>
        <v>68792589</v>
      </c>
      <c r="AF431" s="49"/>
      <c r="AG431" s="49"/>
      <c r="AH431" s="49"/>
      <c r="AI431" s="49">
        <v>0</v>
      </c>
      <c r="AJ431" s="49"/>
      <c r="AK431" s="49">
        <v>0</v>
      </c>
      <c r="AL431" s="49"/>
      <c r="AM431" s="49">
        <f t="shared" ref="AM431:AM461" si="63">AI431+AE431+AA431+AK431</f>
        <v>80992589</v>
      </c>
      <c r="AN431" s="49"/>
      <c r="AO431" s="49">
        <f t="shared" ref="AO431:AO494" si="64">Y431+AM431</f>
        <v>262305432</v>
      </c>
    </row>
    <row r="432" spans="1:41">
      <c r="A432" s="12" t="s">
        <v>298</v>
      </c>
      <c r="B432" s="12"/>
      <c r="C432" s="12" t="s">
        <v>20</v>
      </c>
      <c r="D432" s="12"/>
      <c r="E432" s="12">
        <v>46573</v>
      </c>
      <c r="F432" s="45"/>
      <c r="G432" s="45">
        <v>20688129</v>
      </c>
      <c r="H432" s="45"/>
      <c r="I432" s="45">
        <v>0</v>
      </c>
      <c r="J432" s="45"/>
      <c r="K432" s="45">
        <v>17410751</v>
      </c>
      <c r="L432" s="45"/>
      <c r="M432" s="45">
        <v>132366</v>
      </c>
      <c r="N432" s="45"/>
      <c r="O432" s="45">
        <v>367552</v>
      </c>
      <c r="P432" s="45"/>
      <c r="Q432" s="45">
        <v>440994</v>
      </c>
      <c r="R432" s="45"/>
      <c r="S432" s="45">
        <v>0</v>
      </c>
      <c r="T432" s="45"/>
      <c r="U432" s="45">
        <v>53116</v>
      </c>
      <c r="V432" s="45"/>
      <c r="W432" s="45">
        <f>1007295+13299+222791</f>
        <v>1243385</v>
      </c>
      <c r="X432" s="45"/>
      <c r="Y432" s="49">
        <f t="shared" si="62"/>
        <v>40336293</v>
      </c>
      <c r="Z432" s="45"/>
      <c r="AA432" s="45">
        <v>419058</v>
      </c>
      <c r="AB432" s="45"/>
      <c r="AC432" s="45"/>
      <c r="AD432" s="45"/>
      <c r="AE432" s="45">
        <v>0</v>
      </c>
      <c r="AF432" s="45"/>
      <c r="AG432" s="45"/>
      <c r="AH432" s="45"/>
      <c r="AI432" s="45">
        <v>0</v>
      </c>
      <c r="AJ432" s="45"/>
      <c r="AK432" s="45">
        <v>0</v>
      </c>
      <c r="AL432" s="45"/>
      <c r="AM432" s="49">
        <f t="shared" si="63"/>
        <v>419058</v>
      </c>
      <c r="AN432" s="45"/>
      <c r="AO432" s="49">
        <f t="shared" si="64"/>
        <v>40755351</v>
      </c>
    </row>
    <row r="433" spans="1:41">
      <c r="A433" s="12" t="s">
        <v>546</v>
      </c>
      <c r="B433" s="12"/>
      <c r="C433" s="12" t="s">
        <v>112</v>
      </c>
      <c r="D433" s="12"/>
      <c r="E433" s="13">
        <v>49478</v>
      </c>
      <c r="F433" s="45"/>
      <c r="G433" s="45">
        <v>9358327</v>
      </c>
      <c r="H433" s="45"/>
      <c r="I433" s="45">
        <v>0</v>
      </c>
      <c r="J433" s="45"/>
      <c r="K433" s="45">
        <f>24788+5867848+1260391</f>
        <v>7153027</v>
      </c>
      <c r="L433" s="45"/>
      <c r="M433" s="45">
        <v>155503</v>
      </c>
      <c r="N433" s="45"/>
      <c r="O433" s="45">
        <v>63370</v>
      </c>
      <c r="P433" s="45"/>
      <c r="Q433" s="45">
        <v>235587</v>
      </c>
      <c r="R433" s="45"/>
      <c r="S433" s="45">
        <v>0</v>
      </c>
      <c r="T433" s="45"/>
      <c r="U433" s="45">
        <v>60498</v>
      </c>
      <c r="V433" s="45"/>
      <c r="W433" s="45">
        <f>430868+144093+27226+24294</f>
        <v>626481</v>
      </c>
      <c r="X433" s="45"/>
      <c r="Y433" s="49">
        <f t="shared" si="62"/>
        <v>17652793</v>
      </c>
      <c r="Z433" s="45"/>
      <c r="AA433" s="45">
        <v>45328</v>
      </c>
      <c r="AB433" s="45"/>
      <c r="AC433" s="45"/>
      <c r="AD433" s="45"/>
      <c r="AE433" s="45">
        <v>0</v>
      </c>
      <c r="AF433" s="45"/>
      <c r="AG433" s="45"/>
      <c r="AH433" s="45"/>
      <c r="AI433" s="45">
        <v>1010</v>
      </c>
      <c r="AJ433" s="45"/>
      <c r="AK433" s="45">
        <v>0</v>
      </c>
      <c r="AL433" s="45"/>
      <c r="AM433" s="49">
        <f t="shared" si="63"/>
        <v>46338</v>
      </c>
      <c r="AN433" s="45"/>
      <c r="AO433" s="49">
        <f t="shared" si="64"/>
        <v>17699131</v>
      </c>
    </row>
    <row r="434" spans="1:41">
      <c r="A434" s="12" t="s">
        <v>299</v>
      </c>
      <c r="B434" s="12"/>
      <c r="C434" s="12" t="s">
        <v>20</v>
      </c>
      <c r="D434" s="12"/>
      <c r="E434" s="13">
        <v>46581</v>
      </c>
      <c r="F434" s="45"/>
      <c r="G434" s="45">
        <v>36258491</v>
      </c>
      <c r="H434" s="45"/>
      <c r="I434" s="45">
        <v>0</v>
      </c>
      <c r="J434" s="45"/>
      <c r="K434" s="45">
        <f>39916+9930048+1252659</f>
        <v>11222623</v>
      </c>
      <c r="L434" s="45"/>
      <c r="M434" s="45">
        <v>650832</v>
      </c>
      <c r="N434" s="45"/>
      <c r="O434" s="45">
        <v>3706766</v>
      </c>
      <c r="P434" s="45"/>
      <c r="Q434" s="45">
        <v>334765</v>
      </c>
      <c r="R434" s="45"/>
      <c r="S434" s="45">
        <v>0</v>
      </c>
      <c r="T434" s="45"/>
      <c r="U434" s="45">
        <v>14643</v>
      </c>
      <c r="V434" s="45"/>
      <c r="W434" s="45">
        <f>524298+85028+7210+43909+153446</f>
        <v>813891</v>
      </c>
      <c r="X434" s="45"/>
      <c r="Y434" s="49">
        <f t="shared" si="62"/>
        <v>53002011</v>
      </c>
      <c r="Z434" s="45"/>
      <c r="AA434" s="45">
        <v>2115000</v>
      </c>
      <c r="AB434" s="45"/>
      <c r="AC434" s="45"/>
      <c r="AD434" s="45"/>
      <c r="AE434" s="45">
        <v>30255</v>
      </c>
      <c r="AF434" s="45"/>
      <c r="AG434" s="45"/>
      <c r="AH434" s="45"/>
      <c r="AI434" s="45">
        <v>924</v>
      </c>
      <c r="AJ434" s="45"/>
      <c r="AK434" s="45">
        <v>0</v>
      </c>
      <c r="AL434" s="45"/>
      <c r="AM434" s="49">
        <f t="shared" si="63"/>
        <v>2146179</v>
      </c>
      <c r="AN434" s="45"/>
      <c r="AO434" s="49">
        <f t="shared" si="64"/>
        <v>55148190</v>
      </c>
    </row>
    <row r="435" spans="1:41">
      <c r="A435" s="12" t="s">
        <v>451</v>
      </c>
      <c r="B435" s="12"/>
      <c r="C435" s="12" t="s">
        <v>117</v>
      </c>
      <c r="D435" s="12"/>
      <c r="E435" s="13">
        <v>44602</v>
      </c>
      <c r="F435" s="45"/>
      <c r="G435" s="45">
        <v>22617218</v>
      </c>
      <c r="H435" s="45"/>
      <c r="I435" s="45">
        <v>0</v>
      </c>
      <c r="J435" s="45"/>
      <c r="K435" s="45">
        <f>19920593+3184367</f>
        <v>23104960</v>
      </c>
      <c r="L435" s="45"/>
      <c r="M435" s="45">
        <v>81471</v>
      </c>
      <c r="N435" s="45"/>
      <c r="O435" s="45">
        <v>1451925</v>
      </c>
      <c r="P435" s="45"/>
      <c r="Q435" s="45">
        <v>302492</v>
      </c>
      <c r="R435" s="45"/>
      <c r="S435" s="45">
        <v>231091</v>
      </c>
      <c r="T435" s="45"/>
      <c r="U435" s="45">
        <v>0</v>
      </c>
      <c r="V435" s="45"/>
      <c r="W435" s="45">
        <f>861601+164081+163106</f>
        <v>1188788</v>
      </c>
      <c r="X435" s="45"/>
      <c r="Y435" s="49">
        <f t="shared" si="62"/>
        <v>48977945</v>
      </c>
      <c r="Z435" s="45"/>
      <c r="AA435" s="45">
        <v>99086</v>
      </c>
      <c r="AB435" s="45"/>
      <c r="AC435" s="45"/>
      <c r="AD435" s="45"/>
      <c r="AE435" s="45">
        <v>0</v>
      </c>
      <c r="AF435" s="45"/>
      <c r="AG435" s="45"/>
      <c r="AH435" s="45"/>
      <c r="AI435" s="45">
        <v>0</v>
      </c>
      <c r="AJ435" s="45"/>
      <c r="AK435" s="45">
        <v>0</v>
      </c>
      <c r="AL435" s="45"/>
      <c r="AM435" s="49">
        <f t="shared" si="63"/>
        <v>99086</v>
      </c>
      <c r="AN435" s="45"/>
      <c r="AO435" s="49">
        <f t="shared" si="64"/>
        <v>49077031</v>
      </c>
    </row>
    <row r="436" spans="1:41">
      <c r="A436" s="12" t="s">
        <v>641</v>
      </c>
      <c r="B436" s="12"/>
      <c r="C436" s="12" t="s">
        <v>71</v>
      </c>
      <c r="D436" s="12"/>
      <c r="E436" s="13">
        <v>44610</v>
      </c>
      <c r="F436" s="45"/>
      <c r="G436" s="45">
        <v>7212118</v>
      </c>
      <c r="H436" s="45"/>
      <c r="I436" s="45">
        <v>0</v>
      </c>
      <c r="J436" s="45"/>
      <c r="K436" s="45">
        <v>10763764</v>
      </c>
      <c r="L436" s="45"/>
      <c r="M436" s="45">
        <v>13535</v>
      </c>
      <c r="N436" s="45"/>
      <c r="O436" s="45">
        <v>280357</v>
      </c>
      <c r="P436" s="45"/>
      <c r="Q436" s="45">
        <v>298002</v>
      </c>
      <c r="R436" s="45"/>
      <c r="S436" s="45">
        <v>0</v>
      </c>
      <c r="T436" s="45"/>
      <c r="U436" s="45">
        <v>37977</v>
      </c>
      <c r="V436" s="45"/>
      <c r="W436" s="45">
        <f>76757+4710+280036</f>
        <v>361503</v>
      </c>
      <c r="X436" s="45"/>
      <c r="Y436" s="49">
        <f t="shared" si="62"/>
        <v>18967256</v>
      </c>
      <c r="Z436" s="45"/>
      <c r="AA436" s="45">
        <v>442596</v>
      </c>
      <c r="AB436" s="45"/>
      <c r="AC436" s="45"/>
      <c r="AD436" s="45"/>
      <c r="AE436" s="45">
        <v>0</v>
      </c>
      <c r="AF436" s="45"/>
      <c r="AG436" s="45"/>
      <c r="AH436" s="45"/>
      <c r="AI436" s="45">
        <v>0</v>
      </c>
      <c r="AJ436" s="45"/>
      <c r="AK436" s="45">
        <v>0</v>
      </c>
      <c r="AL436" s="45"/>
      <c r="AM436" s="49">
        <f t="shared" si="63"/>
        <v>442596</v>
      </c>
      <c r="AN436" s="45"/>
      <c r="AO436" s="49">
        <f t="shared" si="64"/>
        <v>19409852</v>
      </c>
    </row>
    <row r="437" spans="1:41">
      <c r="A437" s="12" t="s">
        <v>583</v>
      </c>
      <c r="B437" s="12"/>
      <c r="C437" s="12" t="s">
        <v>62</v>
      </c>
      <c r="D437" s="12"/>
      <c r="E437" s="13">
        <v>49916</v>
      </c>
      <c r="F437" s="45"/>
      <c r="G437" s="45">
        <v>2679082</v>
      </c>
      <c r="H437" s="45"/>
      <c r="I437" s="45">
        <v>0</v>
      </c>
      <c r="J437" s="45"/>
      <c r="K437" s="45">
        <f>400+5214814+915064</f>
        <v>6130278</v>
      </c>
      <c r="L437" s="45"/>
      <c r="M437" s="45">
        <v>151191</v>
      </c>
      <c r="N437" s="45"/>
      <c r="O437" s="45">
        <v>525251</v>
      </c>
      <c r="P437" s="45"/>
      <c r="Q437" s="45">
        <v>171389</v>
      </c>
      <c r="R437" s="45"/>
      <c r="S437" s="45">
        <v>0</v>
      </c>
      <c r="T437" s="45"/>
      <c r="U437" s="45">
        <v>0</v>
      </c>
      <c r="V437" s="45"/>
      <c r="W437" s="45">
        <f>209596+27429+64731</f>
        <v>301756</v>
      </c>
      <c r="X437" s="45"/>
      <c r="Y437" s="49">
        <f t="shared" si="62"/>
        <v>9958947</v>
      </c>
      <c r="Z437" s="45"/>
      <c r="AA437" s="45">
        <v>0</v>
      </c>
      <c r="AB437" s="45"/>
      <c r="AC437" s="45"/>
      <c r="AD437" s="45"/>
      <c r="AE437" s="45">
        <v>0</v>
      </c>
      <c r="AF437" s="45"/>
      <c r="AG437" s="45"/>
      <c r="AH437" s="45"/>
      <c r="AI437" s="45">
        <v>4351</v>
      </c>
      <c r="AJ437" s="45"/>
      <c r="AK437" s="45">
        <v>0</v>
      </c>
      <c r="AL437" s="45"/>
      <c r="AM437" s="49">
        <f t="shared" si="63"/>
        <v>4351</v>
      </c>
      <c r="AN437" s="45"/>
      <c r="AO437" s="49">
        <f t="shared" si="64"/>
        <v>9963298</v>
      </c>
    </row>
    <row r="438" spans="1:41">
      <c r="A438" s="12" t="s">
        <v>650</v>
      </c>
      <c r="B438" s="12"/>
      <c r="C438" s="12" t="s">
        <v>72</v>
      </c>
      <c r="D438" s="12"/>
      <c r="E438" s="13">
        <v>50724</v>
      </c>
      <c r="F438" s="45"/>
      <c r="G438" s="45">
        <v>4875146</v>
      </c>
      <c r="H438" s="45"/>
      <c r="I438" s="45">
        <v>2237575</v>
      </c>
      <c r="J438" s="45"/>
      <c r="K438" s="45">
        <v>9921490</v>
      </c>
      <c r="L438" s="45"/>
      <c r="M438" s="45">
        <v>11064</v>
      </c>
      <c r="N438" s="45"/>
      <c r="O438" s="45">
        <v>539709</v>
      </c>
      <c r="P438" s="45"/>
      <c r="Q438" s="45">
        <v>149249</v>
      </c>
      <c r="R438" s="45"/>
      <c r="S438" s="45">
        <v>0</v>
      </c>
      <c r="T438" s="45"/>
      <c r="U438" s="45">
        <v>16142</v>
      </c>
      <c r="V438" s="45"/>
      <c r="W438" s="45">
        <f>384772+84522</f>
        <v>469294</v>
      </c>
      <c r="X438" s="45"/>
      <c r="Y438" s="49">
        <f t="shared" si="62"/>
        <v>18219669</v>
      </c>
      <c r="Z438" s="45"/>
      <c r="AA438" s="45">
        <v>60000</v>
      </c>
      <c r="AB438" s="45"/>
      <c r="AC438" s="45"/>
      <c r="AD438" s="45"/>
      <c r="AE438" s="45">
        <v>4000000</v>
      </c>
      <c r="AF438" s="45"/>
      <c r="AG438" s="45"/>
      <c r="AH438" s="45"/>
      <c r="AI438" s="45">
        <v>0</v>
      </c>
      <c r="AJ438" s="45"/>
      <c r="AK438" s="45">
        <v>0</v>
      </c>
      <c r="AL438" s="45"/>
      <c r="AM438" s="49">
        <f t="shared" si="63"/>
        <v>4060000</v>
      </c>
      <c r="AN438" s="45"/>
      <c r="AO438" s="49">
        <f t="shared" si="64"/>
        <v>22279669</v>
      </c>
    </row>
    <row r="439" spans="1:41">
      <c r="A439" s="12" t="s">
        <v>452</v>
      </c>
      <c r="B439" s="12"/>
      <c r="C439" s="12" t="s">
        <v>117</v>
      </c>
      <c r="D439" s="12"/>
      <c r="E439" s="13">
        <v>48215</v>
      </c>
      <c r="F439" s="45"/>
      <c r="G439" s="45">
        <v>9537195</v>
      </c>
      <c r="H439" s="45"/>
      <c r="I439" s="45">
        <v>0</v>
      </c>
      <c r="J439" s="45"/>
      <c r="K439" s="45">
        <f>3501055+464730</f>
        <v>3965785</v>
      </c>
      <c r="L439" s="45"/>
      <c r="M439" s="45">
        <v>88781</v>
      </c>
      <c r="N439" s="45"/>
      <c r="O439" s="45">
        <v>117064</v>
      </c>
      <c r="P439" s="45"/>
      <c r="Q439" s="45">
        <v>230902</v>
      </c>
      <c r="R439" s="45"/>
      <c r="S439" s="45">
        <v>0</v>
      </c>
      <c r="T439" s="45"/>
      <c r="U439" s="45">
        <v>0</v>
      </c>
      <c r="V439" s="45"/>
      <c r="W439" s="45">
        <f>2326+75639+118604</f>
        <v>196569</v>
      </c>
      <c r="X439" s="45"/>
      <c r="Y439" s="49">
        <f t="shared" si="62"/>
        <v>14136296</v>
      </c>
      <c r="Z439" s="45"/>
      <c r="AA439" s="45">
        <v>207500</v>
      </c>
      <c r="AB439" s="45"/>
      <c r="AC439" s="45"/>
      <c r="AD439" s="45"/>
      <c r="AE439" s="45">
        <f>2955000+34903</f>
        <v>2989903</v>
      </c>
      <c r="AF439" s="45"/>
      <c r="AG439" s="45"/>
      <c r="AH439" s="45"/>
      <c r="AI439" s="45">
        <v>27884</v>
      </c>
      <c r="AJ439" s="45"/>
      <c r="AK439" s="45">
        <v>0</v>
      </c>
      <c r="AL439" s="45"/>
      <c r="AM439" s="49">
        <f t="shared" si="63"/>
        <v>3225287</v>
      </c>
      <c r="AN439" s="45"/>
      <c r="AO439" s="49">
        <f t="shared" si="64"/>
        <v>17361583</v>
      </c>
    </row>
    <row r="440" spans="1:41" hidden="1">
      <c r="A440" s="12" t="s">
        <v>885</v>
      </c>
      <c r="B440" s="12"/>
      <c r="C440" s="12" t="s">
        <v>542</v>
      </c>
      <c r="D440" s="12"/>
      <c r="E440" s="13">
        <v>49379</v>
      </c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9">
        <f t="shared" si="62"/>
        <v>0</v>
      </c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>
        <v>0</v>
      </c>
      <c r="AL440" s="45"/>
      <c r="AM440" s="49">
        <f t="shared" si="63"/>
        <v>0</v>
      </c>
      <c r="AN440" s="45"/>
      <c r="AO440" s="49">
        <f t="shared" si="64"/>
        <v>0</v>
      </c>
    </row>
    <row r="441" spans="1:41" hidden="1">
      <c r="A441" s="12" t="s">
        <v>884</v>
      </c>
      <c r="B441" s="12"/>
      <c r="C441" s="12" t="s">
        <v>542</v>
      </c>
      <c r="D441" s="12"/>
      <c r="E441" s="13">
        <v>49387</v>
      </c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9">
        <f t="shared" si="62"/>
        <v>0</v>
      </c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>
        <v>0</v>
      </c>
      <c r="AL441" s="45"/>
      <c r="AM441" s="49">
        <f t="shared" si="63"/>
        <v>0</v>
      </c>
      <c r="AN441" s="45"/>
      <c r="AO441" s="49">
        <f t="shared" si="64"/>
        <v>0</v>
      </c>
    </row>
    <row r="442" spans="1:41">
      <c r="A442" s="12" t="s">
        <v>417</v>
      </c>
      <c r="B442" s="12"/>
      <c r="C442" s="12" t="s">
        <v>41</v>
      </c>
      <c r="D442" s="12"/>
      <c r="E442" s="13">
        <v>44628</v>
      </c>
      <c r="F442" s="45"/>
      <c r="G442" s="45">
        <v>10256330</v>
      </c>
      <c r="H442" s="45"/>
      <c r="I442" s="45">
        <v>0</v>
      </c>
      <c r="J442" s="45"/>
      <c r="K442" s="45">
        <v>27784270</v>
      </c>
      <c r="L442" s="45"/>
      <c r="M442" s="45">
        <v>66341</v>
      </c>
      <c r="N442" s="45"/>
      <c r="O442" s="45">
        <v>1131562</v>
      </c>
      <c r="P442" s="45"/>
      <c r="Q442" s="45">
        <v>138388</v>
      </c>
      <c r="R442" s="45"/>
      <c r="S442" s="45">
        <v>0</v>
      </c>
      <c r="T442" s="45"/>
      <c r="U442" s="45">
        <v>0</v>
      </c>
      <c r="V442" s="45"/>
      <c r="W442" s="45">
        <f>185715+1983045</f>
        <v>2168760</v>
      </c>
      <c r="X442" s="45"/>
      <c r="Y442" s="49">
        <f t="shared" si="62"/>
        <v>41545651</v>
      </c>
      <c r="Z442" s="45"/>
      <c r="AA442" s="45">
        <v>230576</v>
      </c>
      <c r="AB442" s="45"/>
      <c r="AC442" s="45"/>
      <c r="AD442" s="45"/>
      <c r="AE442" s="45">
        <v>0</v>
      </c>
      <c r="AF442" s="45"/>
      <c r="AG442" s="45"/>
      <c r="AH442" s="45"/>
      <c r="AI442" s="45">
        <v>364576</v>
      </c>
      <c r="AJ442" s="45"/>
      <c r="AK442" s="45">
        <v>0</v>
      </c>
      <c r="AL442" s="45"/>
      <c r="AM442" s="49">
        <f t="shared" si="63"/>
        <v>595152</v>
      </c>
      <c r="AN442" s="45"/>
      <c r="AO442" s="49">
        <f t="shared" si="64"/>
        <v>42140803</v>
      </c>
    </row>
    <row r="443" spans="1:41" hidden="1">
      <c r="A443" s="17" t="s">
        <v>852</v>
      </c>
      <c r="B443" s="12"/>
      <c r="C443" s="12" t="s">
        <v>41</v>
      </c>
      <c r="D443" s="12"/>
      <c r="E443" s="13">
        <v>47894</v>
      </c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9">
        <f t="shared" si="62"/>
        <v>0</v>
      </c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>
        <v>0</v>
      </c>
      <c r="AL443" s="45"/>
      <c r="AM443" s="49">
        <f t="shared" si="63"/>
        <v>0</v>
      </c>
      <c r="AN443" s="45"/>
      <c r="AO443" s="49">
        <f t="shared" si="64"/>
        <v>0</v>
      </c>
    </row>
    <row r="444" spans="1:41">
      <c r="A444" s="12" t="s">
        <v>552</v>
      </c>
      <c r="B444" s="12"/>
      <c r="C444" s="12" t="s">
        <v>58</v>
      </c>
      <c r="D444" s="12"/>
      <c r="E444" s="13">
        <v>49510</v>
      </c>
      <c r="F444" s="45"/>
      <c r="G444" s="45">
        <v>1829775</v>
      </c>
      <c r="H444" s="45"/>
      <c r="I444" s="45">
        <v>0</v>
      </c>
      <c r="J444" s="45"/>
      <c r="K444" s="45">
        <v>8271810</v>
      </c>
      <c r="L444" s="45"/>
      <c r="M444" s="45">
        <v>9553</v>
      </c>
      <c r="N444" s="45"/>
      <c r="O444" s="45">
        <v>615947</v>
      </c>
      <c r="P444" s="45"/>
      <c r="Q444" s="45">
        <v>141257</v>
      </c>
      <c r="R444" s="45"/>
      <c r="S444" s="45">
        <v>0</v>
      </c>
      <c r="T444" s="45"/>
      <c r="U444" s="45">
        <v>42000</v>
      </c>
      <c r="V444" s="45"/>
      <c r="W444" s="45">
        <f>100+82063+20720</f>
        <v>102883</v>
      </c>
      <c r="X444" s="45"/>
      <c r="Y444" s="49">
        <f t="shared" si="62"/>
        <v>11013225</v>
      </c>
      <c r="Z444" s="45"/>
      <c r="AA444" s="45">
        <v>1309618</v>
      </c>
      <c r="AB444" s="45"/>
      <c r="AC444" s="45"/>
      <c r="AD444" s="45"/>
      <c r="AE444" s="45">
        <v>86359</v>
      </c>
      <c r="AF444" s="45"/>
      <c r="AG444" s="45"/>
      <c r="AH444" s="45"/>
      <c r="AI444" s="45">
        <v>2800</v>
      </c>
      <c r="AJ444" s="45"/>
      <c r="AK444" s="45">
        <v>0</v>
      </c>
      <c r="AL444" s="45"/>
      <c r="AM444" s="49">
        <f t="shared" si="63"/>
        <v>1398777</v>
      </c>
      <c r="AN444" s="45"/>
      <c r="AO444" s="49">
        <f t="shared" si="64"/>
        <v>12412002</v>
      </c>
    </row>
    <row r="445" spans="1:41" hidden="1">
      <c r="A445" s="17" t="s">
        <v>853</v>
      </c>
      <c r="B445" s="12"/>
      <c r="C445" s="12" t="s">
        <v>542</v>
      </c>
      <c r="D445" s="12"/>
      <c r="E445" s="13">
        <v>49395</v>
      </c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9">
        <f t="shared" si="62"/>
        <v>0</v>
      </c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>
        <v>0</v>
      </c>
      <c r="AL445" s="45"/>
      <c r="AM445" s="49">
        <f t="shared" si="63"/>
        <v>0</v>
      </c>
      <c r="AN445" s="45"/>
      <c r="AO445" s="49">
        <f t="shared" si="64"/>
        <v>0</v>
      </c>
    </row>
    <row r="446" spans="1:41" hidden="1">
      <c r="A446" s="17" t="s">
        <v>854</v>
      </c>
      <c r="B446" s="12"/>
      <c r="C446" s="12" t="s">
        <v>486</v>
      </c>
      <c r="D446" s="12"/>
      <c r="E446" s="13">
        <v>48579</v>
      </c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9">
        <f t="shared" si="62"/>
        <v>0</v>
      </c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>
        <v>0</v>
      </c>
      <c r="AL446" s="45"/>
      <c r="AM446" s="49">
        <f t="shared" si="63"/>
        <v>0</v>
      </c>
      <c r="AN446" s="45"/>
      <c r="AO446" s="49">
        <f t="shared" si="64"/>
        <v>0</v>
      </c>
    </row>
    <row r="447" spans="1:41">
      <c r="A447" s="12" t="s">
        <v>300</v>
      </c>
      <c r="B447" s="12"/>
      <c r="C447" s="12" t="s">
        <v>20</v>
      </c>
      <c r="D447" s="12"/>
      <c r="E447" s="13">
        <v>44636</v>
      </c>
      <c r="F447" s="45"/>
      <c r="G447" s="45">
        <v>82878609</v>
      </c>
      <c r="H447" s="45"/>
      <c r="I447" s="45">
        <v>0</v>
      </c>
      <c r="J447" s="45"/>
      <c r="K447" s="45">
        <v>60218560</v>
      </c>
      <c r="L447" s="45"/>
      <c r="M447" s="45">
        <v>56734</v>
      </c>
      <c r="N447" s="45"/>
      <c r="O447" s="45">
        <v>2131356</v>
      </c>
      <c r="P447" s="45"/>
      <c r="Q447" s="45">
        <v>1650978</v>
      </c>
      <c r="R447" s="45"/>
      <c r="S447" s="45">
        <v>0</v>
      </c>
      <c r="T447" s="45"/>
      <c r="U447" s="45">
        <v>170572</v>
      </c>
      <c r="V447" s="45"/>
      <c r="W447" s="45">
        <f>97911+1648141+1229563</f>
        <v>2975615</v>
      </c>
      <c r="X447" s="45"/>
      <c r="Y447" s="49">
        <f t="shared" si="62"/>
        <v>150082424</v>
      </c>
      <c r="Z447" s="45"/>
      <c r="AA447" s="45">
        <v>267821</v>
      </c>
      <c r="AB447" s="45"/>
      <c r="AC447" s="45"/>
      <c r="AD447" s="45"/>
      <c r="AE447" s="45">
        <v>0</v>
      </c>
      <c r="AF447" s="45"/>
      <c r="AG447" s="45"/>
      <c r="AH447" s="45"/>
      <c r="AI447" s="45">
        <v>22734</v>
      </c>
      <c r="AJ447" s="45"/>
      <c r="AK447" s="45">
        <v>0</v>
      </c>
      <c r="AL447" s="45"/>
      <c r="AM447" s="49">
        <f t="shared" si="63"/>
        <v>290555</v>
      </c>
      <c r="AN447" s="45"/>
      <c r="AO447" s="49">
        <f t="shared" si="64"/>
        <v>150372979</v>
      </c>
    </row>
    <row r="448" spans="1:41">
      <c r="A448" s="17" t="s">
        <v>393</v>
      </c>
      <c r="B448" s="12"/>
      <c r="C448" s="12" t="s">
        <v>34</v>
      </c>
      <c r="D448" s="12"/>
      <c r="E448" s="13">
        <v>47597</v>
      </c>
      <c r="F448" s="45"/>
      <c r="G448" s="45">
        <v>2620788</v>
      </c>
      <c r="H448" s="45"/>
      <c r="I448" s="45">
        <v>1676584</v>
      </c>
      <c r="J448" s="45"/>
      <c r="K448" s="45">
        <v>6543056</v>
      </c>
      <c r="L448" s="45"/>
      <c r="M448" s="45">
        <v>10262</v>
      </c>
      <c r="N448" s="45"/>
      <c r="O448" s="45">
        <v>478586</v>
      </c>
      <c r="P448" s="45"/>
      <c r="Q448" s="45">
        <v>209630</v>
      </c>
      <c r="R448" s="45"/>
      <c r="S448" s="45">
        <v>0</v>
      </c>
      <c r="T448" s="45"/>
      <c r="U448" s="45">
        <v>500</v>
      </c>
      <c r="V448" s="45"/>
      <c r="W448" s="45">
        <f>256532+151767</f>
        <v>408299</v>
      </c>
      <c r="X448" s="45"/>
      <c r="Y448" s="49">
        <f t="shared" si="62"/>
        <v>11947705</v>
      </c>
      <c r="Z448" s="45"/>
      <c r="AA448" s="45">
        <v>71264</v>
      </c>
      <c r="AB448" s="45"/>
      <c r="AC448" s="45"/>
      <c r="AD448" s="45"/>
      <c r="AE448" s="45">
        <v>0</v>
      </c>
      <c r="AF448" s="45"/>
      <c r="AG448" s="45"/>
      <c r="AH448" s="45"/>
      <c r="AI448" s="45">
        <v>8215</v>
      </c>
      <c r="AJ448" s="45"/>
      <c r="AK448" s="45">
        <v>0</v>
      </c>
      <c r="AL448" s="45"/>
      <c r="AM448" s="49">
        <f t="shared" si="63"/>
        <v>79479</v>
      </c>
      <c r="AN448" s="45"/>
      <c r="AO448" s="49">
        <f t="shared" si="64"/>
        <v>12027184</v>
      </c>
    </row>
    <row r="449" spans="1:41" hidden="1">
      <c r="A449" s="17" t="s">
        <v>855</v>
      </c>
      <c r="B449" s="12"/>
      <c r="C449" s="12" t="s">
        <v>523</v>
      </c>
      <c r="D449" s="12"/>
      <c r="E449" s="13">
        <v>45575</v>
      </c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9">
        <f t="shared" si="62"/>
        <v>0</v>
      </c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>
        <v>0</v>
      </c>
      <c r="AL449" s="45"/>
      <c r="AM449" s="49">
        <f t="shared" si="63"/>
        <v>0</v>
      </c>
      <c r="AN449" s="45"/>
      <c r="AO449" s="49">
        <f t="shared" si="64"/>
        <v>0</v>
      </c>
    </row>
    <row r="450" spans="1:41">
      <c r="A450" s="12" t="s">
        <v>318</v>
      </c>
      <c r="B450" s="12"/>
      <c r="C450" s="12" t="s">
        <v>24</v>
      </c>
      <c r="D450" s="12"/>
      <c r="E450" s="13">
        <v>46813</v>
      </c>
      <c r="F450" s="45"/>
      <c r="G450" s="45">
        <v>12667153</v>
      </c>
      <c r="H450" s="45"/>
      <c r="I450" s="45">
        <v>0</v>
      </c>
      <c r="J450" s="45"/>
      <c r="K450" s="45">
        <f>8188335+1543376</f>
        <v>9731711</v>
      </c>
      <c r="L450" s="45"/>
      <c r="M450" s="45">
        <v>20583</v>
      </c>
      <c r="N450" s="45"/>
      <c r="O450" s="45">
        <v>2279207</v>
      </c>
      <c r="P450" s="45"/>
      <c r="Q450" s="45">
        <v>223095</v>
      </c>
      <c r="R450" s="45"/>
      <c r="S450" s="45">
        <v>0</v>
      </c>
      <c r="T450" s="45"/>
      <c r="U450" s="45">
        <v>0</v>
      </c>
      <c r="V450" s="45"/>
      <c r="W450" s="45">
        <f>8615+641929+205743+396608</f>
        <v>1252895</v>
      </c>
      <c r="X450" s="45"/>
      <c r="Y450" s="49">
        <f t="shared" si="62"/>
        <v>26174644</v>
      </c>
      <c r="Z450" s="45"/>
      <c r="AA450" s="45">
        <v>950883</v>
      </c>
      <c r="AB450" s="45"/>
      <c r="AC450" s="45"/>
      <c r="AD450" s="45"/>
      <c r="AE450" s="45">
        <v>0</v>
      </c>
      <c r="AF450" s="45"/>
      <c r="AG450" s="45"/>
      <c r="AH450" s="45"/>
      <c r="AI450" s="45">
        <v>0</v>
      </c>
      <c r="AJ450" s="45"/>
      <c r="AK450" s="45">
        <v>0</v>
      </c>
      <c r="AL450" s="45"/>
      <c r="AM450" s="49">
        <f t="shared" si="63"/>
        <v>950883</v>
      </c>
      <c r="AN450" s="45"/>
      <c r="AO450" s="49">
        <f t="shared" si="64"/>
        <v>27125527</v>
      </c>
    </row>
    <row r="451" spans="1:41" hidden="1">
      <c r="A451" s="17" t="s">
        <v>856</v>
      </c>
      <c r="B451" s="17"/>
      <c r="C451" s="17" t="s">
        <v>10</v>
      </c>
      <c r="D451" s="12"/>
      <c r="E451" s="13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9">
        <f t="shared" si="62"/>
        <v>0</v>
      </c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>
        <v>0</v>
      </c>
      <c r="AL451" s="45"/>
      <c r="AM451" s="49">
        <f t="shared" si="63"/>
        <v>0</v>
      </c>
      <c r="AN451" s="45"/>
      <c r="AO451" s="49">
        <f t="shared" si="64"/>
        <v>0</v>
      </c>
    </row>
    <row r="452" spans="1:41">
      <c r="A452" s="12" t="s">
        <v>205</v>
      </c>
      <c r="B452" s="12"/>
      <c r="C452" s="12" t="s">
        <v>41</v>
      </c>
      <c r="D452" s="12"/>
      <c r="E452" s="13">
        <v>47902</v>
      </c>
      <c r="F452" s="45"/>
      <c r="G452" s="45">
        <v>14763706</v>
      </c>
      <c r="H452" s="45"/>
      <c r="I452" s="45">
        <v>0</v>
      </c>
      <c r="J452" s="45"/>
      <c r="K452" s="45">
        <v>12921816</v>
      </c>
      <c r="L452" s="45"/>
      <c r="M452" s="45">
        <v>176980</v>
      </c>
      <c r="N452" s="45"/>
      <c r="O452" s="45">
        <v>31311</v>
      </c>
      <c r="P452" s="45"/>
      <c r="Q452" s="45">
        <v>278447</v>
      </c>
      <c r="R452" s="45"/>
      <c r="S452" s="45">
        <v>0</v>
      </c>
      <c r="T452" s="45"/>
      <c r="U452" s="45">
        <v>66788</v>
      </c>
      <c r="V452" s="45"/>
      <c r="W452" s="45">
        <f>89873+14684+567862+8404+483529</f>
        <v>1164352</v>
      </c>
      <c r="X452" s="45"/>
      <c r="Y452" s="49">
        <f t="shared" si="62"/>
        <v>29403400</v>
      </c>
      <c r="Z452" s="45"/>
      <c r="AA452" s="45">
        <v>2180479</v>
      </c>
      <c r="AB452" s="45"/>
      <c r="AC452" s="45"/>
      <c r="AD452" s="45"/>
      <c r="AE452" s="45">
        <v>0</v>
      </c>
      <c r="AF452" s="45"/>
      <c r="AG452" s="45"/>
      <c r="AH452" s="45"/>
      <c r="AI452" s="45">
        <v>0</v>
      </c>
      <c r="AJ452" s="45"/>
      <c r="AK452" s="45">
        <v>0</v>
      </c>
      <c r="AL452" s="45"/>
      <c r="AM452" s="49">
        <f t="shared" si="63"/>
        <v>2180479</v>
      </c>
      <c r="AN452" s="45"/>
      <c r="AO452" s="49">
        <f t="shared" si="64"/>
        <v>31583879</v>
      </c>
    </row>
    <row r="453" spans="1:41">
      <c r="A453" s="12" t="s">
        <v>205</v>
      </c>
      <c r="B453" s="12"/>
      <c r="C453" s="12" t="s">
        <v>62</v>
      </c>
      <c r="D453" s="12"/>
      <c r="E453" s="13">
        <v>49924</v>
      </c>
      <c r="F453" s="45"/>
      <c r="G453" s="45">
        <v>18432660</v>
      </c>
      <c r="H453" s="45"/>
      <c r="I453" s="45">
        <v>0</v>
      </c>
      <c r="J453" s="45"/>
      <c r="K453" s="45">
        <v>24412859</v>
      </c>
      <c r="L453" s="45"/>
      <c r="M453" s="45">
        <v>292223</v>
      </c>
      <c r="N453" s="45"/>
      <c r="O453" s="45">
        <v>1978297</v>
      </c>
      <c r="P453" s="45"/>
      <c r="Q453" s="45">
        <v>442983</v>
      </c>
      <c r="R453" s="45"/>
      <c r="S453" s="45">
        <v>0</v>
      </c>
      <c r="T453" s="45"/>
      <c r="U453" s="45">
        <v>921240</v>
      </c>
      <c r="V453" s="45"/>
      <c r="W453" s="45">
        <f>21023+87539+257265</f>
        <v>365827</v>
      </c>
      <c r="X453" s="45"/>
      <c r="Y453" s="49">
        <f t="shared" si="62"/>
        <v>46846089</v>
      </c>
      <c r="Z453" s="45"/>
      <c r="AA453" s="45">
        <v>0</v>
      </c>
      <c r="AB453" s="45"/>
      <c r="AC453" s="45"/>
      <c r="AD453" s="45"/>
      <c r="AE453" s="45">
        <v>0</v>
      </c>
      <c r="AF453" s="45"/>
      <c r="AG453" s="45"/>
      <c r="AH453" s="45"/>
      <c r="AI453" s="45">
        <v>0</v>
      </c>
      <c r="AJ453" s="45"/>
      <c r="AK453" s="45">
        <v>0</v>
      </c>
      <c r="AL453" s="45"/>
      <c r="AM453" s="49">
        <f t="shared" si="63"/>
        <v>0</v>
      </c>
      <c r="AN453" s="45"/>
      <c r="AO453" s="49">
        <f t="shared" si="64"/>
        <v>46846089</v>
      </c>
    </row>
    <row r="454" spans="1:41">
      <c r="A454" s="12" t="s">
        <v>651</v>
      </c>
      <c r="B454" s="12"/>
      <c r="C454" s="12" t="s">
        <v>72</v>
      </c>
      <c r="D454" s="12"/>
      <c r="E454" s="12">
        <v>45583</v>
      </c>
      <c r="F454" s="45"/>
      <c r="G454" s="45">
        <v>25129572</v>
      </c>
      <c r="H454" s="45"/>
      <c r="I454" s="45">
        <v>4551324</v>
      </c>
      <c r="J454" s="45"/>
      <c r="K454" s="45">
        <f>4251+13806728+2246958</f>
        <v>16057937</v>
      </c>
      <c r="L454" s="45"/>
      <c r="M454" s="45">
        <v>29460</v>
      </c>
      <c r="N454" s="45"/>
      <c r="O454" s="45">
        <v>392359</v>
      </c>
      <c r="P454" s="45"/>
      <c r="Q454" s="45">
        <v>661399</v>
      </c>
      <c r="R454" s="45"/>
      <c r="S454" s="45">
        <v>360100</v>
      </c>
      <c r="T454" s="45"/>
      <c r="U454" s="45">
        <v>0</v>
      </c>
      <c r="V454" s="45"/>
      <c r="W454" s="45">
        <f>1338080+224608+470608</f>
        <v>2033296</v>
      </c>
      <c r="X454" s="45"/>
      <c r="Y454" s="49">
        <f t="shared" si="62"/>
        <v>49215447</v>
      </c>
      <c r="Z454" s="45"/>
      <c r="AA454" s="45">
        <v>0</v>
      </c>
      <c r="AB454" s="45"/>
      <c r="AC454" s="45"/>
      <c r="AD454" s="45"/>
      <c r="AE454" s="45">
        <v>655000</v>
      </c>
      <c r="AF454" s="45"/>
      <c r="AG454" s="45"/>
      <c r="AH454" s="45"/>
      <c r="AI454" s="45">
        <v>0</v>
      </c>
      <c r="AJ454" s="45"/>
      <c r="AK454" s="45">
        <v>0</v>
      </c>
      <c r="AL454" s="45"/>
      <c r="AM454" s="49">
        <f t="shared" si="63"/>
        <v>655000</v>
      </c>
      <c r="AN454" s="45"/>
      <c r="AO454" s="49">
        <f t="shared" si="64"/>
        <v>49870447</v>
      </c>
    </row>
    <row r="455" spans="1:41">
      <c r="A455" s="12" t="s">
        <v>345</v>
      </c>
      <c r="B455" s="12"/>
      <c r="C455" s="12" t="s">
        <v>28</v>
      </c>
      <c r="D455" s="12"/>
      <c r="E455" s="13">
        <v>47076</v>
      </c>
      <c r="F455" s="45"/>
      <c r="G455" s="45">
        <v>1419845</v>
      </c>
      <c r="H455" s="45"/>
      <c r="I455" s="45">
        <v>388139</v>
      </c>
      <c r="J455" s="45"/>
      <c r="K455" s="45">
        <v>6591761</v>
      </c>
      <c r="L455" s="45"/>
      <c r="M455" s="45">
        <v>35035</v>
      </c>
      <c r="N455" s="45"/>
      <c r="O455" s="45">
        <v>1063511</v>
      </c>
      <c r="P455" s="45"/>
      <c r="Q455" s="45">
        <v>117103</v>
      </c>
      <c r="R455" s="45"/>
      <c r="S455" s="45">
        <v>0</v>
      </c>
      <c r="T455" s="45"/>
      <c r="U455" s="45">
        <v>13287</v>
      </c>
      <c r="V455" s="45"/>
      <c r="W455" s="45">
        <f>158960+5292988</f>
        <v>5451948</v>
      </c>
      <c r="X455" s="45"/>
      <c r="Y455" s="49">
        <f t="shared" si="62"/>
        <v>15080629</v>
      </c>
      <c r="Z455" s="45"/>
      <c r="AA455" s="45">
        <v>0</v>
      </c>
      <c r="AB455" s="45"/>
      <c r="AC455" s="45"/>
      <c r="AD455" s="45"/>
      <c r="AE455" s="45">
        <v>0</v>
      </c>
      <c r="AF455" s="45"/>
      <c r="AG455" s="45"/>
      <c r="AH455" s="45"/>
      <c r="AI455" s="45">
        <f>103+7596</f>
        <v>7699</v>
      </c>
      <c r="AJ455" s="45"/>
      <c r="AK455" s="45">
        <v>0</v>
      </c>
      <c r="AL455" s="45"/>
      <c r="AM455" s="49">
        <f t="shared" si="63"/>
        <v>7699</v>
      </c>
      <c r="AN455" s="45"/>
      <c r="AO455" s="49">
        <f t="shared" si="64"/>
        <v>15088328</v>
      </c>
    </row>
    <row r="456" spans="1:41">
      <c r="A456" s="12" t="s">
        <v>326</v>
      </c>
      <c r="B456" s="12"/>
      <c r="C456" s="12" t="s">
        <v>25</v>
      </c>
      <c r="D456" s="12"/>
      <c r="E456" s="13">
        <v>46896</v>
      </c>
      <c r="F456" s="45"/>
      <c r="G456" s="45">
        <v>41103153</v>
      </c>
      <c r="H456" s="45"/>
      <c r="I456" s="45">
        <v>12328783</v>
      </c>
      <c r="J456" s="45"/>
      <c r="K456" s="45">
        <f>59931199+7685262</f>
        <v>67616461</v>
      </c>
      <c r="L456" s="45"/>
      <c r="M456" s="45">
        <v>379180</v>
      </c>
      <c r="N456" s="45"/>
      <c r="O456" s="45">
        <v>431780</v>
      </c>
      <c r="P456" s="45"/>
      <c r="Q456" s="45">
        <v>1015191</v>
      </c>
      <c r="R456" s="45"/>
      <c r="S456" s="45">
        <v>93764</v>
      </c>
      <c r="T456" s="45"/>
      <c r="U456" s="45">
        <v>115477</v>
      </c>
      <c r="V456" s="45"/>
      <c r="W456" s="45">
        <f>2625572+498254+212066+315056</f>
        <v>3650948</v>
      </c>
      <c r="X456" s="45"/>
      <c r="Y456" s="49">
        <f t="shared" si="62"/>
        <v>126734737</v>
      </c>
      <c r="Z456" s="45"/>
      <c r="AA456" s="45">
        <v>2000000</v>
      </c>
      <c r="AB456" s="45"/>
      <c r="AC456" s="45"/>
      <c r="AD456" s="45"/>
      <c r="AE456" s="45">
        <v>0</v>
      </c>
      <c r="AF456" s="45"/>
      <c r="AG456" s="45"/>
      <c r="AH456" s="45"/>
      <c r="AI456" s="45">
        <v>0</v>
      </c>
      <c r="AJ456" s="45"/>
      <c r="AK456" s="45">
        <v>0</v>
      </c>
      <c r="AL456" s="45"/>
      <c r="AM456" s="49">
        <f t="shared" si="63"/>
        <v>2000000</v>
      </c>
      <c r="AN456" s="45"/>
      <c r="AO456" s="49">
        <f t="shared" si="64"/>
        <v>128734737</v>
      </c>
    </row>
    <row r="457" spans="1:41">
      <c r="A457" s="12" t="s">
        <v>346</v>
      </c>
      <c r="B457" s="12"/>
      <c r="C457" s="12" t="s">
        <v>28</v>
      </c>
      <c r="D457" s="12"/>
      <c r="E457" s="13">
        <v>47084</v>
      </c>
      <c r="F457" s="45"/>
      <c r="G457" s="45">
        <v>4270771</v>
      </c>
      <c r="H457" s="45"/>
      <c r="I457" s="45">
        <v>0</v>
      </c>
      <c r="J457" s="45"/>
      <c r="K457" s="45">
        <v>17062883</v>
      </c>
      <c r="L457" s="45"/>
      <c r="M457" s="45">
        <v>146915</v>
      </c>
      <c r="N457" s="45"/>
      <c r="O457" s="45">
        <v>675527</v>
      </c>
      <c r="P457" s="45"/>
      <c r="Q457" s="45">
        <v>204665</v>
      </c>
      <c r="R457" s="45"/>
      <c r="S457" s="45">
        <v>60538</v>
      </c>
      <c r="T457" s="45"/>
      <c r="U457" s="45">
        <v>27764</v>
      </c>
      <c r="V457" s="45"/>
      <c r="W457" s="45">
        <f>255438+144548</f>
        <v>399986</v>
      </c>
      <c r="X457" s="45"/>
      <c r="Y457" s="49">
        <f t="shared" si="62"/>
        <v>22849049</v>
      </c>
      <c r="Z457" s="45"/>
      <c r="AA457" s="45">
        <v>11000</v>
      </c>
      <c r="AB457" s="45"/>
      <c r="AC457" s="45"/>
      <c r="AD457" s="45"/>
      <c r="AE457" s="45">
        <v>0</v>
      </c>
      <c r="AF457" s="45"/>
      <c r="AG457" s="45"/>
      <c r="AH457" s="45"/>
      <c r="AI457" s="45">
        <v>3225</v>
      </c>
      <c r="AJ457" s="45"/>
      <c r="AK457" s="45">
        <v>0</v>
      </c>
      <c r="AL457" s="45"/>
      <c r="AM457" s="49">
        <f t="shared" si="63"/>
        <v>14225</v>
      </c>
      <c r="AN457" s="45"/>
      <c r="AO457" s="49">
        <f t="shared" si="64"/>
        <v>22863274</v>
      </c>
    </row>
    <row r="458" spans="1:41">
      <c r="A458" s="12" t="s">
        <v>490</v>
      </c>
      <c r="B458" s="12"/>
      <c r="C458" s="12" t="s">
        <v>48</v>
      </c>
      <c r="D458" s="12"/>
      <c r="E458" s="13">
        <v>44644</v>
      </c>
      <c r="F458" s="45"/>
      <c r="G458" s="45">
        <v>15142143</v>
      </c>
      <c r="H458" s="45"/>
      <c r="I458" s="45">
        <v>0</v>
      </c>
      <c r="J458" s="45"/>
      <c r="K458" s="45">
        <f>14051556+3993343</f>
        <v>18044899</v>
      </c>
      <c r="L458" s="45"/>
      <c r="M458" s="45">
        <v>-165964</v>
      </c>
      <c r="N458" s="45"/>
      <c r="O458" s="45">
        <v>3625</v>
      </c>
      <c r="P458" s="45"/>
      <c r="Q458" s="45">
        <v>588007</v>
      </c>
      <c r="R458" s="45"/>
      <c r="S458" s="45">
        <v>0</v>
      </c>
      <c r="T458" s="45"/>
      <c r="U458" s="45">
        <v>0</v>
      </c>
      <c r="V458" s="45"/>
      <c r="W458" s="45">
        <f>49100+128420+46692+314520</f>
        <v>538732</v>
      </c>
      <c r="X458" s="45"/>
      <c r="Y458" s="49">
        <f t="shared" si="62"/>
        <v>34151442</v>
      </c>
      <c r="Z458" s="45"/>
      <c r="AA458" s="45">
        <v>0</v>
      </c>
      <c r="AB458" s="45"/>
      <c r="AC458" s="45"/>
      <c r="AD458" s="45"/>
      <c r="AE458" s="45">
        <v>0</v>
      </c>
      <c r="AF458" s="45"/>
      <c r="AG458" s="45"/>
      <c r="AH458" s="45"/>
      <c r="AI458" s="45">
        <v>0</v>
      </c>
      <c r="AJ458" s="45"/>
      <c r="AK458" s="45">
        <v>0</v>
      </c>
      <c r="AL458" s="45"/>
      <c r="AM458" s="49">
        <f t="shared" si="63"/>
        <v>0</v>
      </c>
      <c r="AN458" s="45"/>
      <c r="AO458" s="49">
        <f t="shared" si="64"/>
        <v>34151442</v>
      </c>
    </row>
    <row r="459" spans="1:41" hidden="1">
      <c r="A459" s="17" t="s">
        <v>857</v>
      </c>
      <c r="B459" s="12"/>
      <c r="C459" s="12" t="s">
        <v>27</v>
      </c>
      <c r="D459" s="12"/>
      <c r="E459" s="13">
        <v>46995</v>
      </c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9">
        <f t="shared" si="62"/>
        <v>0</v>
      </c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>
        <v>0</v>
      </c>
      <c r="AL459" s="45"/>
      <c r="AM459" s="49">
        <f t="shared" si="63"/>
        <v>0</v>
      </c>
      <c r="AN459" s="45"/>
      <c r="AO459" s="49">
        <f t="shared" si="64"/>
        <v>0</v>
      </c>
    </row>
    <row r="460" spans="1:41">
      <c r="A460" s="12" t="s">
        <v>338</v>
      </c>
      <c r="B460" s="12"/>
      <c r="C460" s="12" t="s">
        <v>62</v>
      </c>
      <c r="D460" s="12"/>
      <c r="E460" s="13">
        <v>49932</v>
      </c>
      <c r="F460" s="45"/>
      <c r="G460" s="45">
        <v>27315669</v>
      </c>
      <c r="H460" s="45"/>
      <c r="I460" s="45">
        <v>0</v>
      </c>
      <c r="J460" s="45"/>
      <c r="K460" s="45">
        <f>22216565+5633358</f>
        <v>27849923</v>
      </c>
      <c r="L460" s="45"/>
      <c r="M460" s="45">
        <v>124169</v>
      </c>
      <c r="N460" s="45"/>
      <c r="O460" s="45">
        <v>755514</v>
      </c>
      <c r="P460" s="45"/>
      <c r="Q460" s="45">
        <v>612999</v>
      </c>
      <c r="R460" s="45"/>
      <c r="S460" s="45">
        <v>0</v>
      </c>
      <c r="T460" s="45"/>
      <c r="U460" s="45">
        <v>153852</v>
      </c>
      <c r="V460" s="45"/>
      <c r="W460" s="45">
        <f>104965+1107315+200198+280311+4010</f>
        <v>1696799</v>
      </c>
      <c r="X460" s="45"/>
      <c r="Y460" s="49">
        <f t="shared" si="62"/>
        <v>58508925</v>
      </c>
      <c r="Z460" s="45"/>
      <c r="AA460" s="45">
        <v>53038</v>
      </c>
      <c r="AB460" s="45"/>
      <c r="AC460" s="45"/>
      <c r="AD460" s="45"/>
      <c r="AE460" s="45">
        <v>0</v>
      </c>
      <c r="AF460" s="45"/>
      <c r="AG460" s="45"/>
      <c r="AH460" s="45"/>
      <c r="AI460" s="45">
        <v>1034</v>
      </c>
      <c r="AJ460" s="45"/>
      <c r="AK460" s="45">
        <v>0</v>
      </c>
      <c r="AL460" s="45"/>
      <c r="AM460" s="49">
        <f t="shared" si="63"/>
        <v>54072</v>
      </c>
      <c r="AN460" s="45"/>
      <c r="AO460" s="49">
        <f t="shared" si="64"/>
        <v>58562997</v>
      </c>
    </row>
    <row r="461" spans="1:41">
      <c r="A461" s="12" t="s">
        <v>475</v>
      </c>
      <c r="B461" s="12"/>
      <c r="C461" s="12" t="s">
        <v>46</v>
      </c>
      <c r="D461" s="12"/>
      <c r="E461" s="13">
        <v>48421</v>
      </c>
      <c r="F461" s="45"/>
      <c r="G461" s="45">
        <v>4487605</v>
      </c>
      <c r="H461" s="45"/>
      <c r="I461" s="45">
        <v>0</v>
      </c>
      <c r="J461" s="45"/>
      <c r="K461" s="45">
        <v>6378334</v>
      </c>
      <c r="L461" s="45"/>
      <c r="M461" s="45">
        <v>85030</v>
      </c>
      <c r="N461" s="45"/>
      <c r="O461" s="45">
        <v>2053520</v>
      </c>
      <c r="P461" s="45"/>
      <c r="Q461" s="45">
        <v>214469</v>
      </c>
      <c r="R461" s="45"/>
      <c r="S461" s="45">
        <v>0</v>
      </c>
      <c r="T461" s="45"/>
      <c r="U461" s="45">
        <v>29865</v>
      </c>
      <c r="V461" s="45"/>
      <c r="W461" s="45">
        <f>389550+29703</f>
        <v>419253</v>
      </c>
      <c r="X461" s="45"/>
      <c r="Y461" s="49">
        <f t="shared" si="62"/>
        <v>13668076</v>
      </c>
      <c r="Z461" s="45"/>
      <c r="AA461" s="45">
        <v>18362</v>
      </c>
      <c r="AB461" s="45"/>
      <c r="AC461" s="45"/>
      <c r="AD461" s="45"/>
      <c r="AE461" s="45">
        <v>0</v>
      </c>
      <c r="AF461" s="45"/>
      <c r="AG461" s="45"/>
      <c r="AH461" s="45"/>
      <c r="AI461" s="45">
        <v>0</v>
      </c>
      <c r="AJ461" s="45"/>
      <c r="AK461" s="45">
        <v>0</v>
      </c>
      <c r="AL461" s="45"/>
      <c r="AM461" s="49">
        <f t="shared" si="63"/>
        <v>18362</v>
      </c>
      <c r="AN461" s="45"/>
      <c r="AO461" s="49">
        <f t="shared" si="64"/>
        <v>13686438</v>
      </c>
    </row>
    <row r="462" spans="1:41">
      <c r="A462" s="12" t="s">
        <v>547</v>
      </c>
      <c r="B462" s="12"/>
      <c r="C462" s="12" t="s">
        <v>112</v>
      </c>
      <c r="D462" s="12"/>
      <c r="E462" s="13">
        <v>49460</v>
      </c>
      <c r="F462" s="45"/>
      <c r="G462" s="45">
        <v>1514954</v>
      </c>
      <c r="H462" s="45"/>
      <c r="I462" s="45">
        <v>688721</v>
      </c>
      <c r="J462" s="45"/>
      <c r="K462" s="45">
        <f>5257623+1380417</f>
        <v>6638040</v>
      </c>
      <c r="L462" s="45"/>
      <c r="M462" s="45">
        <v>11325</v>
      </c>
      <c r="N462" s="45"/>
      <c r="O462" s="45">
        <v>398339</v>
      </c>
      <c r="P462" s="45"/>
      <c r="Q462" s="45">
        <v>101857</v>
      </c>
      <c r="R462" s="45"/>
      <c r="S462" s="45">
        <v>0</v>
      </c>
      <c r="T462" s="45"/>
      <c r="U462" s="45">
        <v>504</v>
      </c>
      <c r="V462" s="45"/>
      <c r="W462" s="45">
        <f>164478+21250+125+67133</f>
        <v>252986</v>
      </c>
      <c r="X462" s="45"/>
      <c r="Y462" s="49">
        <f t="shared" si="62"/>
        <v>9606726</v>
      </c>
      <c r="Z462" s="45"/>
      <c r="AA462" s="45">
        <v>98000</v>
      </c>
      <c r="AB462" s="45"/>
      <c r="AC462" s="45"/>
      <c r="AD462" s="45"/>
      <c r="AE462" s="45">
        <v>0</v>
      </c>
      <c r="AF462" s="45"/>
      <c r="AG462" s="45"/>
      <c r="AH462" s="45"/>
      <c r="AI462" s="45">
        <v>0</v>
      </c>
      <c r="AJ462" s="45"/>
      <c r="AK462" s="45">
        <v>799775</v>
      </c>
      <c r="AL462" s="45"/>
      <c r="AM462" s="49">
        <f>AI462+AE462+AA462+AK462</f>
        <v>897775</v>
      </c>
      <c r="AN462" s="45"/>
      <c r="AO462" s="49">
        <f t="shared" si="64"/>
        <v>10504501</v>
      </c>
    </row>
    <row r="463" spans="1:41">
      <c r="A463" s="17" t="s">
        <v>467</v>
      </c>
      <c r="B463" s="12"/>
      <c r="C463" s="12" t="s">
        <v>45</v>
      </c>
      <c r="D463" s="12"/>
      <c r="E463" s="13">
        <v>48348</v>
      </c>
      <c r="F463" s="45"/>
      <c r="G463" s="45">
        <v>11836294</v>
      </c>
      <c r="H463" s="45"/>
      <c r="I463" s="45">
        <v>0</v>
      </c>
      <c r="J463" s="45"/>
      <c r="K463" s="45">
        <v>9514158</v>
      </c>
      <c r="L463" s="45"/>
      <c r="M463" s="45">
        <v>53211</v>
      </c>
      <c r="N463" s="45"/>
      <c r="O463" s="45">
        <v>211665</v>
      </c>
      <c r="P463" s="45"/>
      <c r="Q463" s="45">
        <v>390972</v>
      </c>
      <c r="R463" s="45"/>
      <c r="S463" s="45">
        <v>0</v>
      </c>
      <c r="T463" s="45"/>
      <c r="U463" s="45">
        <v>11970</v>
      </c>
      <c r="V463" s="45"/>
      <c r="W463" s="45">
        <f>672269+19428+37462</f>
        <v>729159</v>
      </c>
      <c r="X463" s="45"/>
      <c r="Y463" s="49">
        <f t="shared" si="62"/>
        <v>22747429</v>
      </c>
      <c r="Z463" s="45"/>
      <c r="AA463" s="45">
        <v>0</v>
      </c>
      <c r="AB463" s="45"/>
      <c r="AC463" s="45"/>
      <c r="AD463" s="45"/>
      <c r="AE463" s="45">
        <v>1743000</v>
      </c>
      <c r="AF463" s="45"/>
      <c r="AG463" s="45"/>
      <c r="AH463" s="45"/>
      <c r="AI463" s="45">
        <v>3450</v>
      </c>
      <c r="AJ463" s="45"/>
      <c r="AK463" s="45">
        <v>0</v>
      </c>
      <c r="AL463" s="45"/>
      <c r="AM463" s="49">
        <f t="shared" ref="AM463:AM465" si="65">AI463+AE463+AA463+AK463</f>
        <v>1746450</v>
      </c>
      <c r="AN463" s="45"/>
      <c r="AO463" s="49">
        <f t="shared" si="64"/>
        <v>24493879</v>
      </c>
    </row>
    <row r="464" spans="1:41">
      <c r="A464" s="12" t="s">
        <v>522</v>
      </c>
      <c r="B464" s="12"/>
      <c r="C464" s="12" t="s">
        <v>53</v>
      </c>
      <c r="D464" s="12"/>
      <c r="E464" s="13">
        <v>44651</v>
      </c>
      <c r="F464" s="45"/>
      <c r="G464" s="45">
        <v>15120697</v>
      </c>
      <c r="H464" s="45"/>
      <c r="I464" s="45">
        <v>0</v>
      </c>
      <c r="J464" s="45"/>
      <c r="K464" s="45">
        <f>25200+6882061+1906245</f>
        <v>8813506</v>
      </c>
      <c r="L464" s="45"/>
      <c r="M464" s="45">
        <v>269039</v>
      </c>
      <c r="N464" s="45"/>
      <c r="O464" s="45">
        <v>310050</v>
      </c>
      <c r="P464" s="45"/>
      <c r="Q464" s="45">
        <v>153978</v>
      </c>
      <c r="R464" s="45"/>
      <c r="S464" s="45">
        <v>0</v>
      </c>
      <c r="T464" s="45"/>
      <c r="U464" s="45">
        <v>43058</v>
      </c>
      <c r="V464" s="45"/>
      <c r="W464" s="45">
        <f>274990+52109+9540+120623</f>
        <v>457262</v>
      </c>
      <c r="X464" s="45"/>
      <c r="Y464" s="49">
        <f t="shared" si="62"/>
        <v>25167590</v>
      </c>
      <c r="Z464" s="45"/>
      <c r="AA464" s="45">
        <v>361169</v>
      </c>
      <c r="AB464" s="45"/>
      <c r="AC464" s="45"/>
      <c r="AD464" s="45"/>
      <c r="AE464" s="45">
        <f>480377+41999900</f>
        <v>42480277</v>
      </c>
      <c r="AF464" s="45"/>
      <c r="AG464" s="45"/>
      <c r="AH464" s="45"/>
      <c r="AI464" s="45">
        <v>0</v>
      </c>
      <c r="AJ464" s="45"/>
      <c r="AK464" s="45">
        <v>0</v>
      </c>
      <c r="AL464" s="45"/>
      <c r="AM464" s="49">
        <f t="shared" si="65"/>
        <v>42841446</v>
      </c>
      <c r="AN464" s="45"/>
      <c r="AO464" s="49">
        <f t="shared" si="64"/>
        <v>68009036</v>
      </c>
    </row>
    <row r="465" spans="1:41">
      <c r="A465" s="12" t="s">
        <v>564</v>
      </c>
      <c r="B465" s="12"/>
      <c r="C465" s="12" t="s">
        <v>59</v>
      </c>
      <c r="D465" s="12"/>
      <c r="E465" s="13">
        <v>44669</v>
      </c>
      <c r="F465" s="45"/>
      <c r="G465" s="45">
        <v>5490584</v>
      </c>
      <c r="H465" s="45"/>
      <c r="I465" s="45">
        <v>0</v>
      </c>
      <c r="J465" s="45"/>
      <c r="K465" s="45">
        <v>26442427</v>
      </c>
      <c r="L465" s="45"/>
      <c r="M465" s="45">
        <v>27295</v>
      </c>
      <c r="N465" s="45"/>
      <c r="O465" s="45">
        <v>835597</v>
      </c>
      <c r="P465" s="45"/>
      <c r="Q465" s="45">
        <v>170000</v>
      </c>
      <c r="R465" s="45"/>
      <c r="S465" s="45">
        <v>0</v>
      </c>
      <c r="T465" s="45"/>
      <c r="U465" s="45">
        <v>103294</v>
      </c>
      <c r="V465" s="45"/>
      <c r="W465" s="45">
        <f>4580+295598+74004</f>
        <v>374182</v>
      </c>
      <c r="X465" s="45"/>
      <c r="Y465" s="49">
        <f t="shared" si="62"/>
        <v>33443379</v>
      </c>
      <c r="Z465" s="45"/>
      <c r="AA465" s="45">
        <v>2233098</v>
      </c>
      <c r="AB465" s="45"/>
      <c r="AC465" s="45"/>
      <c r="AD465" s="45"/>
      <c r="AE465" s="45">
        <v>0</v>
      </c>
      <c r="AF465" s="45"/>
      <c r="AG465" s="45"/>
      <c r="AH465" s="45"/>
      <c r="AI465" s="45">
        <v>325000</v>
      </c>
      <c r="AJ465" s="45"/>
      <c r="AK465" s="45">
        <v>0</v>
      </c>
      <c r="AL465" s="45"/>
      <c r="AM465" s="49">
        <f t="shared" si="65"/>
        <v>2558098</v>
      </c>
      <c r="AN465" s="45"/>
      <c r="AO465" s="49">
        <f t="shared" si="64"/>
        <v>36001477</v>
      </c>
    </row>
    <row r="466" spans="1:41" hidden="1">
      <c r="A466" s="17" t="s">
        <v>858</v>
      </c>
      <c r="B466" s="12"/>
      <c r="C466" s="12" t="s">
        <v>57</v>
      </c>
      <c r="D466" s="12"/>
      <c r="E466" s="13">
        <v>49288</v>
      </c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9">
        <f t="shared" si="62"/>
        <v>0</v>
      </c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>
        <v>0</v>
      </c>
      <c r="AL466" s="45"/>
      <c r="AM466" s="49">
        <f t="shared" ref="AM466:AM496" si="66">AI466+AE466+AA466</f>
        <v>0</v>
      </c>
      <c r="AN466" s="45"/>
      <c r="AO466" s="49">
        <f t="shared" si="64"/>
        <v>0</v>
      </c>
    </row>
    <row r="467" spans="1:41">
      <c r="A467" s="12" t="s">
        <v>372</v>
      </c>
      <c r="B467" s="12"/>
      <c r="C467" s="12" t="s">
        <v>32</v>
      </c>
      <c r="D467" s="12"/>
      <c r="E467" s="13">
        <v>44677</v>
      </c>
      <c r="F467" s="45"/>
      <c r="G467" s="45">
        <v>44164544</v>
      </c>
      <c r="H467" s="45"/>
      <c r="I467" s="45">
        <v>0</v>
      </c>
      <c r="J467" s="45"/>
      <c r="K467" s="45">
        <v>34438786</v>
      </c>
      <c r="L467" s="45"/>
      <c r="M467" s="45">
        <v>116602</v>
      </c>
      <c r="N467" s="45"/>
      <c r="O467" s="45">
        <v>1539478</v>
      </c>
      <c r="P467" s="45"/>
      <c r="Q467" s="45">
        <v>0</v>
      </c>
      <c r="R467" s="45"/>
      <c r="S467" s="45">
        <v>0</v>
      </c>
      <c r="T467" s="45"/>
      <c r="U467" s="45">
        <v>0</v>
      </c>
      <c r="V467" s="45"/>
      <c r="W467" s="45">
        <f>788858+1598430</f>
        <v>2387288</v>
      </c>
      <c r="X467" s="45"/>
      <c r="Y467" s="49">
        <f t="shared" si="62"/>
        <v>82646698</v>
      </c>
      <c r="Z467" s="45"/>
      <c r="AA467" s="45">
        <v>1839536</v>
      </c>
      <c r="AB467" s="45"/>
      <c r="AC467" s="45"/>
      <c r="AD467" s="45"/>
      <c r="AE467" s="45">
        <v>3628000</v>
      </c>
      <c r="AF467" s="45"/>
      <c r="AG467" s="45"/>
      <c r="AH467" s="45"/>
      <c r="AI467" s="45">
        <v>69514</v>
      </c>
      <c r="AJ467" s="45"/>
      <c r="AK467" s="45">
        <v>0</v>
      </c>
      <c r="AL467" s="45"/>
      <c r="AM467" s="49">
        <f t="shared" si="66"/>
        <v>5537050</v>
      </c>
      <c r="AN467" s="45"/>
      <c r="AO467" s="49">
        <f t="shared" si="64"/>
        <v>88183748</v>
      </c>
    </row>
    <row r="468" spans="1:41">
      <c r="A468" s="12" t="s">
        <v>213</v>
      </c>
      <c r="B468" s="12"/>
      <c r="C468" s="12" t="s">
        <v>12</v>
      </c>
      <c r="D468" s="12"/>
      <c r="E468" s="13">
        <v>45880</v>
      </c>
      <c r="F468" s="45"/>
      <c r="G468" s="45">
        <v>3652696</v>
      </c>
      <c r="H468" s="45"/>
      <c r="I468" s="45">
        <v>0</v>
      </c>
      <c r="J468" s="45"/>
      <c r="K468" s="45">
        <v>9115128</v>
      </c>
      <c r="L468" s="45"/>
      <c r="M468" s="45">
        <v>8895</v>
      </c>
      <c r="N468" s="45"/>
      <c r="O468" s="45">
        <v>606897</v>
      </c>
      <c r="P468" s="45"/>
      <c r="Q468" s="45">
        <v>143677</v>
      </c>
      <c r="R468" s="45"/>
      <c r="S468" s="45">
        <v>0</v>
      </c>
      <c r="T468" s="45"/>
      <c r="U468" s="45">
        <v>8930</v>
      </c>
      <c r="V468" s="45"/>
      <c r="W468" s="45">
        <f>60466+100+175759</f>
        <v>236325</v>
      </c>
      <c r="X468" s="45"/>
      <c r="Y468" s="49">
        <f t="shared" si="62"/>
        <v>13772548</v>
      </c>
      <c r="Z468" s="45"/>
      <c r="AA468" s="45">
        <v>178576</v>
      </c>
      <c r="AB468" s="45"/>
      <c r="AC468" s="45"/>
      <c r="AD468" s="45"/>
      <c r="AE468" s="45">
        <v>639240</v>
      </c>
      <c r="AF468" s="45"/>
      <c r="AG468" s="45"/>
      <c r="AH468" s="45"/>
      <c r="AI468" s="45">
        <v>3500</v>
      </c>
      <c r="AJ468" s="45"/>
      <c r="AK468" s="45">
        <v>0</v>
      </c>
      <c r="AL468" s="45"/>
      <c r="AM468" s="49">
        <f t="shared" si="66"/>
        <v>821316</v>
      </c>
      <c r="AN468" s="45"/>
      <c r="AO468" s="49">
        <f t="shared" si="64"/>
        <v>14593864</v>
      </c>
    </row>
    <row r="469" spans="1:41">
      <c r="A469" s="12" t="s">
        <v>765</v>
      </c>
      <c r="B469" s="12"/>
      <c r="C469" s="12" t="s">
        <v>56</v>
      </c>
      <c r="D469" s="12"/>
      <c r="E469" s="13"/>
      <c r="F469" s="45"/>
      <c r="G469" s="45">
        <v>12003941</v>
      </c>
      <c r="H469" s="45"/>
      <c r="I469" s="45">
        <v>0</v>
      </c>
      <c r="J469" s="45"/>
      <c r="K469" s="45">
        <v>20789618</v>
      </c>
      <c r="L469" s="45"/>
      <c r="M469" s="45">
        <v>159662</v>
      </c>
      <c r="N469" s="45"/>
      <c r="O469" s="45">
        <v>1020572</v>
      </c>
      <c r="P469" s="45"/>
      <c r="Q469" s="45">
        <v>194120</v>
      </c>
      <c r="R469" s="45"/>
      <c r="S469" s="45">
        <v>0</v>
      </c>
      <c r="T469" s="45"/>
      <c r="U469" s="45">
        <v>29693</v>
      </c>
      <c r="V469" s="45"/>
      <c r="W469" s="45">
        <f>423073+10780+141311</f>
        <v>575164</v>
      </c>
      <c r="X469" s="45"/>
      <c r="Y469" s="49">
        <f t="shared" si="62"/>
        <v>34772770</v>
      </c>
      <c r="Z469" s="45"/>
      <c r="AA469" s="45">
        <v>313274</v>
      </c>
      <c r="AB469" s="45"/>
      <c r="AC469" s="45"/>
      <c r="AD469" s="45"/>
      <c r="AE469" s="45">
        <v>0</v>
      </c>
      <c r="AF469" s="45"/>
      <c r="AG469" s="45"/>
      <c r="AH469" s="45"/>
      <c r="AI469" s="45">
        <v>102000</v>
      </c>
      <c r="AJ469" s="45"/>
      <c r="AK469" s="45">
        <v>0</v>
      </c>
      <c r="AL469" s="45"/>
      <c r="AM469" s="49">
        <f t="shared" si="66"/>
        <v>415274</v>
      </c>
      <c r="AN469" s="45"/>
      <c r="AO469" s="49">
        <f t="shared" si="64"/>
        <v>35188044</v>
      </c>
    </row>
    <row r="470" spans="1:41">
      <c r="A470" s="17" t="s">
        <v>373</v>
      </c>
      <c r="B470" s="17"/>
      <c r="C470" s="17" t="s">
        <v>32</v>
      </c>
      <c r="D470" s="17"/>
      <c r="E470" s="13">
        <v>44693</v>
      </c>
      <c r="F470" s="45"/>
      <c r="G470" s="45">
        <v>6536869</v>
      </c>
      <c r="H470" s="45"/>
      <c r="I470" s="45">
        <v>0</v>
      </c>
      <c r="J470" s="45"/>
      <c r="K470" s="45">
        <v>7800626</v>
      </c>
      <c r="L470" s="45"/>
      <c r="M470" s="45">
        <v>23579</v>
      </c>
      <c r="N470" s="45"/>
      <c r="O470" s="45">
        <v>1157290</v>
      </c>
      <c r="P470" s="45"/>
      <c r="Q470" s="45">
        <v>141656</v>
      </c>
      <c r="R470" s="45"/>
      <c r="S470" s="45">
        <v>0</v>
      </c>
      <c r="T470" s="45"/>
      <c r="U470" s="45">
        <v>25166</v>
      </c>
      <c r="V470" s="45"/>
      <c r="W470" s="45">
        <f>75934+307728+75140</f>
        <v>458802</v>
      </c>
      <c r="X470" s="45"/>
      <c r="Y470" s="49">
        <f t="shared" si="62"/>
        <v>16143988</v>
      </c>
      <c r="Z470" s="45"/>
      <c r="AA470" s="45">
        <v>51550</v>
      </c>
      <c r="AB470" s="45"/>
      <c r="AC470" s="45"/>
      <c r="AD470" s="45"/>
      <c r="AE470" s="45">
        <v>0</v>
      </c>
      <c r="AF470" s="45"/>
      <c r="AG470" s="45"/>
      <c r="AH470" s="45"/>
      <c r="AI470" s="45">
        <v>0</v>
      </c>
      <c r="AJ470" s="45"/>
      <c r="AK470" s="45">
        <v>0</v>
      </c>
      <c r="AL470" s="45"/>
      <c r="AM470" s="49">
        <f t="shared" si="66"/>
        <v>51550</v>
      </c>
      <c r="AN470" s="45"/>
      <c r="AO470" s="49">
        <f t="shared" si="64"/>
        <v>16195538</v>
      </c>
    </row>
    <row r="471" spans="1:41">
      <c r="A471" s="12" t="s">
        <v>594</v>
      </c>
      <c r="B471" s="12"/>
      <c r="C471" s="12" t="s">
        <v>63</v>
      </c>
      <c r="D471" s="12"/>
      <c r="E471" s="13">
        <v>50054</v>
      </c>
      <c r="F471" s="45"/>
      <c r="G471" s="45">
        <v>24991254</v>
      </c>
      <c r="H471" s="45"/>
      <c r="I471" s="45">
        <v>0</v>
      </c>
      <c r="J471" s="45"/>
      <c r="K471" s="45">
        <v>8893159</v>
      </c>
      <c r="L471" s="45"/>
      <c r="M471" s="45">
        <v>147229</v>
      </c>
      <c r="N471" s="45"/>
      <c r="O471" s="45">
        <v>482886</v>
      </c>
      <c r="P471" s="45"/>
      <c r="Q471" s="45">
        <v>228922</v>
      </c>
      <c r="R471" s="45"/>
      <c r="S471" s="45">
        <v>0</v>
      </c>
      <c r="T471" s="45"/>
      <c r="U471" s="45">
        <v>237362</v>
      </c>
      <c r="V471" s="45"/>
      <c r="W471" s="45">
        <f>93104+636375+41764</f>
        <v>771243</v>
      </c>
      <c r="X471" s="45"/>
      <c r="Y471" s="49">
        <f t="shared" si="62"/>
        <v>35752055</v>
      </c>
      <c r="Z471" s="45"/>
      <c r="AA471" s="45">
        <v>102000</v>
      </c>
      <c r="AB471" s="45"/>
      <c r="AC471" s="45"/>
      <c r="AD471" s="45"/>
      <c r="AE471" s="45">
        <v>20080</v>
      </c>
      <c r="AF471" s="45"/>
      <c r="AG471" s="45"/>
      <c r="AH471" s="45"/>
      <c r="AI471" s="45">
        <v>580</v>
      </c>
      <c r="AJ471" s="45"/>
      <c r="AK471" s="45">
        <v>0</v>
      </c>
      <c r="AL471" s="45"/>
      <c r="AM471" s="49">
        <f t="shared" si="66"/>
        <v>122660</v>
      </c>
      <c r="AN471" s="45"/>
      <c r="AO471" s="49">
        <f t="shared" si="64"/>
        <v>35874715</v>
      </c>
    </row>
    <row r="472" spans="1:41">
      <c r="A472" s="12" t="s">
        <v>339</v>
      </c>
      <c r="B472" s="12"/>
      <c r="C472" s="12" t="s">
        <v>27</v>
      </c>
      <c r="D472" s="12"/>
      <c r="E472" s="13">
        <v>47001</v>
      </c>
      <c r="F472" s="45"/>
      <c r="G472" s="45">
        <v>31865274</v>
      </c>
      <c r="H472" s="45"/>
      <c r="I472" s="45">
        <v>0</v>
      </c>
      <c r="J472" s="45"/>
      <c r="K472" s="45">
        <f>30200+67129146+7564211</f>
        <v>74723557</v>
      </c>
      <c r="L472" s="45"/>
      <c r="M472" s="45">
        <v>292200</v>
      </c>
      <c r="N472" s="45"/>
      <c r="O472" s="45">
        <v>669581</v>
      </c>
      <c r="P472" s="45"/>
      <c r="Q472" s="45">
        <v>693573</v>
      </c>
      <c r="R472" s="45"/>
      <c r="S472" s="45">
        <v>1483796</v>
      </c>
      <c r="T472" s="45"/>
      <c r="U472" s="45">
        <v>0</v>
      </c>
      <c r="V472" s="45"/>
      <c r="W472" s="45">
        <f>786201+162972+483365</f>
        <v>1432538</v>
      </c>
      <c r="X472" s="45"/>
      <c r="Y472" s="49">
        <f t="shared" si="62"/>
        <v>111160519</v>
      </c>
      <c r="Z472" s="45"/>
      <c r="AA472" s="45">
        <v>0</v>
      </c>
      <c r="AB472" s="45"/>
      <c r="AC472" s="45"/>
      <c r="AD472" s="45"/>
      <c r="AE472" s="45">
        <v>0</v>
      </c>
      <c r="AF472" s="45"/>
      <c r="AG472" s="45"/>
      <c r="AH472" s="45"/>
      <c r="AI472" s="45">
        <v>2997</v>
      </c>
      <c r="AJ472" s="45"/>
      <c r="AK472" s="45">
        <v>0</v>
      </c>
      <c r="AL472" s="45"/>
      <c r="AM472" s="49">
        <f t="shared" si="66"/>
        <v>2997</v>
      </c>
      <c r="AN472" s="45"/>
      <c r="AO472" s="49">
        <f t="shared" si="64"/>
        <v>111163516</v>
      </c>
    </row>
    <row r="473" spans="1:41">
      <c r="A473" s="12" t="s">
        <v>301</v>
      </c>
      <c r="B473" s="12"/>
      <c r="C473" s="12" t="s">
        <v>20</v>
      </c>
      <c r="D473" s="12"/>
      <c r="E473" s="13">
        <v>46599</v>
      </c>
      <c r="F473" s="45"/>
      <c r="G473" s="45">
        <v>8427723</v>
      </c>
      <c r="H473" s="45"/>
      <c r="I473" s="45">
        <v>0</v>
      </c>
      <c r="J473" s="45"/>
      <c r="K473" s="45">
        <v>4030075</v>
      </c>
      <c r="L473" s="45"/>
      <c r="M473" s="45">
        <v>4118</v>
      </c>
      <c r="N473" s="45"/>
      <c r="O473" s="45">
        <v>256901</v>
      </c>
      <c r="P473" s="45"/>
      <c r="Q473" s="45">
        <v>37454</v>
      </c>
      <c r="R473" s="45"/>
      <c r="S473" s="45">
        <v>0</v>
      </c>
      <c r="T473" s="45"/>
      <c r="U473" s="45">
        <v>16091</v>
      </c>
      <c r="V473" s="45"/>
      <c r="W473" s="45">
        <f>1544+22633</f>
        <v>24177</v>
      </c>
      <c r="X473" s="45"/>
      <c r="Y473" s="49">
        <f t="shared" si="62"/>
        <v>12796539</v>
      </c>
      <c r="Z473" s="45"/>
      <c r="AA473" s="45">
        <v>104430</v>
      </c>
      <c r="AB473" s="45"/>
      <c r="AC473" s="45"/>
      <c r="AD473" s="45"/>
      <c r="AE473" s="45">
        <v>0</v>
      </c>
      <c r="AF473" s="45"/>
      <c r="AG473" s="45"/>
      <c r="AH473" s="45"/>
      <c r="AI473" s="45">
        <v>0</v>
      </c>
      <c r="AJ473" s="45"/>
      <c r="AK473" s="45">
        <v>0</v>
      </c>
      <c r="AL473" s="45"/>
      <c r="AM473" s="49">
        <f t="shared" si="66"/>
        <v>104430</v>
      </c>
      <c r="AN473" s="45"/>
      <c r="AO473" s="49">
        <f t="shared" si="64"/>
        <v>12900969</v>
      </c>
    </row>
    <row r="474" spans="1:41">
      <c r="A474" s="12" t="s">
        <v>476</v>
      </c>
      <c r="B474" s="12"/>
      <c r="C474" s="12" t="s">
        <v>46</v>
      </c>
      <c r="D474" s="12"/>
      <c r="E474" s="13">
        <v>48439</v>
      </c>
      <c r="F474" s="45"/>
      <c r="G474" s="45">
        <v>2447958</v>
      </c>
      <c r="H474" s="45"/>
      <c r="I474" s="45">
        <v>0</v>
      </c>
      <c r="J474" s="45"/>
      <c r="K474" s="45">
        <v>4537131</v>
      </c>
      <c r="L474" s="45"/>
      <c r="M474" s="45">
        <v>9770</v>
      </c>
      <c r="N474" s="45"/>
      <c r="O474" s="45">
        <v>1038564</v>
      </c>
      <c r="P474" s="45"/>
      <c r="Q474" s="45">
        <v>157886</v>
      </c>
      <c r="R474" s="45"/>
      <c r="S474" s="45">
        <v>52048</v>
      </c>
      <c r="T474" s="45"/>
      <c r="U474" s="45">
        <v>5552</v>
      </c>
      <c r="V474" s="45"/>
      <c r="W474" s="45">
        <f>612+207246+28320</f>
        <v>236178</v>
      </c>
      <c r="X474" s="45"/>
      <c r="Y474" s="49">
        <f t="shared" si="62"/>
        <v>8485087</v>
      </c>
      <c r="Z474" s="45"/>
      <c r="AA474" s="45">
        <v>0</v>
      </c>
      <c r="AB474" s="45"/>
      <c r="AC474" s="45"/>
      <c r="AD474" s="45"/>
      <c r="AE474" s="45">
        <v>154326</v>
      </c>
      <c r="AF474" s="45"/>
      <c r="AG474" s="45"/>
      <c r="AH474" s="45"/>
      <c r="AI474" s="45">
        <v>0</v>
      </c>
      <c r="AJ474" s="45"/>
      <c r="AK474" s="45">
        <v>0</v>
      </c>
      <c r="AL474" s="45"/>
      <c r="AM474" s="49">
        <f t="shared" si="66"/>
        <v>154326</v>
      </c>
      <c r="AN474" s="45"/>
      <c r="AO474" s="49">
        <f t="shared" si="64"/>
        <v>8639413</v>
      </c>
    </row>
    <row r="475" spans="1:41">
      <c r="A475" s="12" t="s">
        <v>386</v>
      </c>
      <c r="B475" s="12"/>
      <c r="C475" s="12" t="s">
        <v>383</v>
      </c>
      <c r="D475" s="12"/>
      <c r="E475" s="13">
        <v>47506</v>
      </c>
      <c r="F475" s="45"/>
      <c r="G475" s="45">
        <v>1241080</v>
      </c>
      <c r="H475" s="45"/>
      <c r="I475" s="45">
        <v>491762</v>
      </c>
      <c r="J475" s="45"/>
      <c r="K475" s="45">
        <v>3077253</v>
      </c>
      <c r="L475" s="45"/>
      <c r="M475" s="45">
        <v>2585</v>
      </c>
      <c r="N475" s="45"/>
      <c r="O475" s="45">
        <v>727979</v>
      </c>
      <c r="P475" s="45"/>
      <c r="Q475" s="45">
        <v>42066</v>
      </c>
      <c r="R475" s="45"/>
      <c r="S475" s="45">
        <v>0</v>
      </c>
      <c r="T475" s="45"/>
      <c r="U475" s="45">
        <v>0</v>
      </c>
      <c r="V475" s="45"/>
      <c r="W475" s="45">
        <f>20219+47125</f>
        <v>67344</v>
      </c>
      <c r="X475" s="45"/>
      <c r="Y475" s="49">
        <f t="shared" si="62"/>
        <v>5650069</v>
      </c>
      <c r="Z475" s="45"/>
      <c r="AA475" s="45">
        <v>55438</v>
      </c>
      <c r="AB475" s="45"/>
      <c r="AC475" s="45"/>
      <c r="AD475" s="45"/>
      <c r="AE475" s="45">
        <v>0</v>
      </c>
      <c r="AF475" s="45"/>
      <c r="AG475" s="45"/>
      <c r="AH475" s="45"/>
      <c r="AI475" s="45">
        <v>0</v>
      </c>
      <c r="AJ475" s="45"/>
      <c r="AK475" s="45">
        <v>0</v>
      </c>
      <c r="AL475" s="45"/>
      <c r="AM475" s="49">
        <f t="shared" si="66"/>
        <v>55438</v>
      </c>
      <c r="AN475" s="45"/>
      <c r="AO475" s="49">
        <f t="shared" si="64"/>
        <v>5705507</v>
      </c>
    </row>
    <row r="476" spans="1:41">
      <c r="A476" s="12" t="s">
        <v>273</v>
      </c>
      <c r="B476" s="12"/>
      <c r="C476" s="12" t="s">
        <v>19</v>
      </c>
      <c r="D476" s="12"/>
      <c r="E476" s="13">
        <v>46474</v>
      </c>
      <c r="F476" s="45"/>
      <c r="G476" s="45">
        <v>2687393</v>
      </c>
      <c r="H476" s="45"/>
      <c r="I476" s="45">
        <v>0</v>
      </c>
      <c r="J476" s="45"/>
      <c r="K476" s="45">
        <f>7612225+1741948</f>
        <v>9354173</v>
      </c>
      <c r="L476" s="45"/>
      <c r="M476" s="45">
        <v>19798</v>
      </c>
      <c r="N476" s="45"/>
      <c r="O476" s="45">
        <v>284534</v>
      </c>
      <c r="P476" s="45"/>
      <c r="Q476" s="45">
        <v>213179</v>
      </c>
      <c r="R476" s="45"/>
      <c r="S476" s="45">
        <v>0</v>
      </c>
      <c r="T476" s="45"/>
      <c r="U476" s="45">
        <v>0</v>
      </c>
      <c r="V476" s="45"/>
      <c r="W476" s="45">
        <f>248911+40731+191032</f>
        <v>480674</v>
      </c>
      <c r="X476" s="45"/>
      <c r="Y476" s="49">
        <f t="shared" si="62"/>
        <v>13039751</v>
      </c>
      <c r="Z476" s="45"/>
      <c r="AA476" s="45">
        <v>8398</v>
      </c>
      <c r="AB476" s="45"/>
      <c r="AC476" s="45"/>
      <c r="AD476" s="45"/>
      <c r="AE476" s="45">
        <v>0</v>
      </c>
      <c r="AF476" s="45"/>
      <c r="AG476" s="45"/>
      <c r="AH476" s="45"/>
      <c r="AI476" s="45">
        <v>12619</v>
      </c>
      <c r="AJ476" s="45"/>
      <c r="AK476" s="45">
        <v>0</v>
      </c>
      <c r="AL476" s="45"/>
      <c r="AM476" s="49">
        <f t="shared" si="66"/>
        <v>21017</v>
      </c>
      <c r="AN476" s="45"/>
      <c r="AO476" s="49">
        <f t="shared" si="64"/>
        <v>13060768</v>
      </c>
    </row>
    <row r="477" spans="1:41">
      <c r="A477" s="12" t="s">
        <v>766</v>
      </c>
      <c r="B477" s="12"/>
      <c r="C477" s="12" t="s">
        <v>77</v>
      </c>
      <c r="D477" s="12"/>
      <c r="E477" s="13">
        <v>46078</v>
      </c>
      <c r="F477" s="45"/>
      <c r="G477" s="45">
        <v>2310911</v>
      </c>
      <c r="H477" s="45"/>
      <c r="I477" s="45">
        <v>0</v>
      </c>
      <c r="J477" s="45"/>
      <c r="K477" s="45">
        <v>9423989</v>
      </c>
      <c r="L477" s="45"/>
      <c r="M477" s="45">
        <v>15997</v>
      </c>
      <c r="N477" s="45"/>
      <c r="O477" s="45">
        <v>329441</v>
      </c>
      <c r="P477" s="45"/>
      <c r="Q477" s="45">
        <v>52659</v>
      </c>
      <c r="R477" s="45"/>
      <c r="S477" s="45">
        <v>0</v>
      </c>
      <c r="T477" s="45"/>
      <c r="U477" s="45">
        <v>994</v>
      </c>
      <c r="V477" s="45"/>
      <c r="W477" s="45">
        <f>5179+173067+143050</f>
        <v>321296</v>
      </c>
      <c r="X477" s="45"/>
      <c r="Y477" s="49">
        <f t="shared" si="62"/>
        <v>12455287</v>
      </c>
      <c r="Z477" s="45"/>
      <c r="AA477" s="45">
        <v>0</v>
      </c>
      <c r="AB477" s="45"/>
      <c r="AC477" s="45"/>
      <c r="AD477" s="45"/>
      <c r="AE477" s="45">
        <v>0</v>
      </c>
      <c r="AF477" s="45"/>
      <c r="AG477" s="45"/>
      <c r="AH477" s="45"/>
      <c r="AI477" s="45">
        <v>3411</v>
      </c>
      <c r="AJ477" s="45"/>
      <c r="AK477" s="45">
        <v>0</v>
      </c>
      <c r="AL477" s="45"/>
      <c r="AM477" s="49">
        <f t="shared" si="66"/>
        <v>3411</v>
      </c>
      <c r="AN477" s="45"/>
      <c r="AO477" s="49">
        <f t="shared" si="64"/>
        <v>12458698</v>
      </c>
    </row>
    <row r="478" spans="1:41">
      <c r="A478" s="12" t="s">
        <v>642</v>
      </c>
      <c r="B478" s="12"/>
      <c r="C478" s="12" t="s">
        <v>71</v>
      </c>
      <c r="D478" s="12"/>
      <c r="E478" s="13">
        <v>45591</v>
      </c>
      <c r="F478" s="45"/>
      <c r="G478" s="45">
        <v>3231259</v>
      </c>
      <c r="H478" s="45"/>
      <c r="I478" s="45">
        <v>0</v>
      </c>
      <c r="J478" s="45"/>
      <c r="K478" s="45">
        <v>16391613</v>
      </c>
      <c r="L478" s="45"/>
      <c r="M478" s="45">
        <v>75301</v>
      </c>
      <c r="N478" s="45"/>
      <c r="O478" s="45">
        <v>266963</v>
      </c>
      <c r="P478" s="45"/>
      <c r="Q478" s="45">
        <v>62210</v>
      </c>
      <c r="R478" s="45"/>
      <c r="S478" s="45">
        <v>0</v>
      </c>
      <c r="T478" s="45"/>
      <c r="U478" s="45">
        <v>513</v>
      </c>
      <c r="V478" s="45"/>
      <c r="W478" s="45">
        <f>7242+191965+78492</f>
        <v>277699</v>
      </c>
      <c r="X478" s="45"/>
      <c r="Y478" s="49">
        <f t="shared" si="62"/>
        <v>20305558</v>
      </c>
      <c r="Z478" s="45"/>
      <c r="AA478" s="45">
        <v>0</v>
      </c>
      <c r="AB478" s="45"/>
      <c r="AC478" s="45"/>
      <c r="AD478" s="45"/>
      <c r="AE478" s="45">
        <v>0</v>
      </c>
      <c r="AF478" s="45"/>
      <c r="AG478" s="45"/>
      <c r="AH478" s="45"/>
      <c r="AI478" s="45">
        <v>0</v>
      </c>
      <c r="AJ478" s="45"/>
      <c r="AK478" s="45">
        <v>0</v>
      </c>
      <c r="AL478" s="45"/>
      <c r="AM478" s="49">
        <f t="shared" si="66"/>
        <v>0</v>
      </c>
      <c r="AN478" s="45"/>
      <c r="AO478" s="49">
        <f t="shared" si="64"/>
        <v>20305558</v>
      </c>
    </row>
    <row r="479" spans="1:41">
      <c r="A479" s="12" t="s">
        <v>477</v>
      </c>
      <c r="B479" s="12"/>
      <c r="C479" s="12" t="s">
        <v>46</v>
      </c>
      <c r="D479" s="12"/>
      <c r="E479" s="13">
        <v>48447</v>
      </c>
      <c r="F479" s="45"/>
      <c r="G479" s="45">
        <v>6539805</v>
      </c>
      <c r="H479" s="45"/>
      <c r="I479" s="45">
        <v>0</v>
      </c>
      <c r="J479" s="45"/>
      <c r="K479" s="45">
        <v>8593790</v>
      </c>
      <c r="L479" s="45"/>
      <c r="M479" s="45">
        <v>24988</v>
      </c>
      <c r="N479" s="45"/>
      <c r="O479" s="45">
        <v>3107109</v>
      </c>
      <c r="P479" s="45"/>
      <c r="Q479" s="45">
        <v>240889</v>
      </c>
      <c r="R479" s="45"/>
      <c r="S479" s="45">
        <v>216702</v>
      </c>
      <c r="T479" s="45"/>
      <c r="U479" s="45">
        <v>0</v>
      </c>
      <c r="V479" s="45"/>
      <c r="W479" s="45">
        <f>428207+148570</f>
        <v>576777</v>
      </c>
      <c r="X479" s="45"/>
      <c r="Y479" s="49">
        <f t="shared" si="62"/>
        <v>19300060</v>
      </c>
      <c r="Z479" s="45"/>
      <c r="AA479" s="45">
        <v>96218</v>
      </c>
      <c r="AB479" s="45"/>
      <c r="AC479" s="45"/>
      <c r="AD479" s="45"/>
      <c r="AE479" s="45">
        <v>0</v>
      </c>
      <c r="AF479" s="45"/>
      <c r="AG479" s="45"/>
      <c r="AH479" s="45"/>
      <c r="AI479" s="45">
        <v>0</v>
      </c>
      <c r="AJ479" s="45"/>
      <c r="AK479" s="45">
        <v>0</v>
      </c>
      <c r="AL479" s="45"/>
      <c r="AM479" s="49">
        <f t="shared" si="66"/>
        <v>96218</v>
      </c>
      <c r="AN479" s="45"/>
      <c r="AO479" s="49">
        <f t="shared" si="64"/>
        <v>19396278</v>
      </c>
    </row>
    <row r="480" spans="1:41">
      <c r="A480" s="12" t="s">
        <v>274</v>
      </c>
      <c r="B480" s="12"/>
      <c r="C480" s="12" t="s">
        <v>19</v>
      </c>
      <c r="D480" s="12"/>
      <c r="E480" s="13">
        <v>46482</v>
      </c>
      <c r="F480" s="45"/>
      <c r="G480" s="45">
        <v>8041205</v>
      </c>
      <c r="H480" s="45"/>
      <c r="I480" s="45">
        <v>0</v>
      </c>
      <c r="J480" s="45"/>
      <c r="K480" s="45">
        <v>13992872</v>
      </c>
      <c r="L480" s="45"/>
      <c r="M480" s="45">
        <v>65908</v>
      </c>
      <c r="N480" s="45"/>
      <c r="O480" s="45">
        <v>683874</v>
      </c>
      <c r="P480" s="45"/>
      <c r="Q480" s="45">
        <v>145738</v>
      </c>
      <c r="R480" s="45"/>
      <c r="S480" s="45">
        <v>0</v>
      </c>
      <c r="T480" s="45"/>
      <c r="U480" s="45">
        <v>33026</v>
      </c>
      <c r="V480" s="45"/>
      <c r="W480" s="45">
        <f>1470+422095+96231</f>
        <v>519796</v>
      </c>
      <c r="X480" s="45"/>
      <c r="Y480" s="49">
        <f t="shared" si="62"/>
        <v>23482419</v>
      </c>
      <c r="Z480" s="45"/>
      <c r="AA480" s="45">
        <v>109947</v>
      </c>
      <c r="AB480" s="45"/>
      <c r="AC480" s="45"/>
      <c r="AD480" s="45"/>
      <c r="AE480" s="45">
        <v>156134</v>
      </c>
      <c r="AF480" s="45"/>
      <c r="AG480" s="45"/>
      <c r="AH480" s="45"/>
      <c r="AI480" s="45">
        <v>3972</v>
      </c>
      <c r="AJ480" s="45"/>
      <c r="AK480" s="45">
        <v>0</v>
      </c>
      <c r="AL480" s="45"/>
      <c r="AM480" s="49">
        <f t="shared" si="66"/>
        <v>270053</v>
      </c>
      <c r="AN480" s="45"/>
      <c r="AO480" s="49">
        <f t="shared" si="64"/>
        <v>23752472</v>
      </c>
    </row>
    <row r="481" spans="1:41" hidden="1">
      <c r="A481" s="12" t="s">
        <v>932</v>
      </c>
      <c r="B481" s="12"/>
      <c r="C481" s="12" t="s">
        <v>383</v>
      </c>
      <c r="D481" s="12"/>
      <c r="E481" s="13">
        <v>47514</v>
      </c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9">
        <f t="shared" si="62"/>
        <v>0</v>
      </c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>
        <v>0</v>
      </c>
      <c r="AL481" s="45"/>
      <c r="AM481" s="49">
        <f t="shared" si="66"/>
        <v>0</v>
      </c>
      <c r="AN481" s="45"/>
      <c r="AO481" s="49">
        <f t="shared" si="64"/>
        <v>0</v>
      </c>
    </row>
    <row r="482" spans="1:41">
      <c r="A482" s="12" t="s">
        <v>435</v>
      </c>
      <c r="B482" s="12"/>
      <c r="C482" s="12" t="s">
        <v>41</v>
      </c>
      <c r="D482" s="12"/>
      <c r="E482" s="13"/>
      <c r="F482" s="45"/>
      <c r="G482" s="45">
        <v>29461938</v>
      </c>
      <c r="H482" s="45"/>
      <c r="I482" s="45">
        <v>0</v>
      </c>
      <c r="J482" s="45"/>
      <c r="K482" s="45">
        <v>14957719</v>
      </c>
      <c r="L482" s="45"/>
      <c r="M482" s="45">
        <v>25688</v>
      </c>
      <c r="N482" s="45"/>
      <c r="O482" s="45">
        <v>399199</v>
      </c>
      <c r="P482" s="45"/>
      <c r="Q482" s="45">
        <v>554194</v>
      </c>
      <c r="R482" s="45"/>
      <c r="S482" s="45">
        <v>0</v>
      </c>
      <c r="T482" s="45"/>
      <c r="U482" s="45">
        <v>0</v>
      </c>
      <c r="V482" s="45"/>
      <c r="W482" s="45">
        <f>110871+330921+290026</f>
        <v>731818</v>
      </c>
      <c r="X482" s="45"/>
      <c r="Y482" s="49">
        <f t="shared" si="62"/>
        <v>46130556</v>
      </c>
      <c r="Z482" s="45"/>
      <c r="AA482" s="45">
        <v>291492</v>
      </c>
      <c r="AB482" s="45"/>
      <c r="AC482" s="45"/>
      <c r="AD482" s="45"/>
      <c r="AE482" s="45">
        <v>0</v>
      </c>
      <c r="AF482" s="45"/>
      <c r="AG482" s="45"/>
      <c r="AH482" s="45"/>
      <c r="AI482" s="45">
        <v>8639</v>
      </c>
      <c r="AJ482" s="45"/>
      <c r="AK482" s="45">
        <v>0</v>
      </c>
      <c r="AL482" s="45"/>
      <c r="AM482" s="49">
        <f t="shared" si="66"/>
        <v>300131</v>
      </c>
      <c r="AN482" s="45"/>
      <c r="AO482" s="49">
        <f t="shared" si="64"/>
        <v>46430687</v>
      </c>
    </row>
    <row r="483" spans="1:41">
      <c r="A483" s="12" t="s">
        <v>435</v>
      </c>
      <c r="B483" s="12"/>
      <c r="C483" s="12" t="s">
        <v>43</v>
      </c>
      <c r="D483" s="12"/>
      <c r="E483" s="13">
        <v>48090</v>
      </c>
      <c r="F483" s="45"/>
      <c r="G483" s="45">
        <v>1447310</v>
      </c>
      <c r="H483" s="45"/>
      <c r="I483" s="45">
        <v>671910</v>
      </c>
      <c r="J483" s="45"/>
      <c r="K483" s="45">
        <f>450+4181068+855614</f>
        <v>5037132</v>
      </c>
      <c r="L483" s="45"/>
      <c r="M483" s="45">
        <v>10677</v>
      </c>
      <c r="N483" s="45"/>
      <c r="O483" s="45">
        <v>381681</v>
      </c>
      <c r="P483" s="45"/>
      <c r="Q483" s="45">
        <v>83962</v>
      </c>
      <c r="R483" s="45"/>
      <c r="S483" s="45">
        <v>0</v>
      </c>
      <c r="T483" s="45"/>
      <c r="U483" s="45">
        <v>14093</v>
      </c>
      <c r="V483" s="45"/>
      <c r="W483" s="45">
        <f>20427+181995+25947+250+34112</f>
        <v>262731</v>
      </c>
      <c r="X483" s="45"/>
      <c r="Y483" s="49">
        <f t="shared" si="62"/>
        <v>7909496</v>
      </c>
      <c r="Z483" s="45"/>
      <c r="AA483" s="45">
        <v>8561</v>
      </c>
      <c r="AB483" s="45"/>
      <c r="AC483" s="45"/>
      <c r="AD483" s="45"/>
      <c r="AE483" s="45">
        <v>0</v>
      </c>
      <c r="AF483" s="45"/>
      <c r="AG483" s="45"/>
      <c r="AH483" s="45"/>
      <c r="AI483" s="45">
        <v>0</v>
      </c>
      <c r="AJ483" s="45"/>
      <c r="AK483" s="45">
        <v>0</v>
      </c>
      <c r="AL483" s="45"/>
      <c r="AM483" s="49">
        <f t="shared" si="66"/>
        <v>8561</v>
      </c>
      <c r="AN483" s="45"/>
      <c r="AO483" s="49">
        <f t="shared" si="64"/>
        <v>7918057</v>
      </c>
    </row>
    <row r="484" spans="1:41">
      <c r="A484" s="12" t="s">
        <v>424</v>
      </c>
      <c r="B484" s="12"/>
      <c r="C484" s="12" t="s">
        <v>420</v>
      </c>
      <c r="D484" s="12"/>
      <c r="E484" s="13">
        <v>47944</v>
      </c>
      <c r="F484" s="45"/>
      <c r="G484" s="45">
        <v>1809255</v>
      </c>
      <c r="H484" s="45"/>
      <c r="I484" s="45">
        <v>0</v>
      </c>
      <c r="J484" s="45"/>
      <c r="K484" s="45">
        <v>16265407</v>
      </c>
      <c r="L484" s="45"/>
      <c r="M484" s="45">
        <v>59149</v>
      </c>
      <c r="N484" s="45"/>
      <c r="O484" s="45">
        <v>1519816</v>
      </c>
      <c r="P484" s="45"/>
      <c r="Q484" s="45">
        <v>110427</v>
      </c>
      <c r="R484" s="45"/>
      <c r="S484" s="45">
        <v>573500</v>
      </c>
      <c r="T484" s="45"/>
      <c r="U484" s="20">
        <v>0</v>
      </c>
      <c r="V484" s="45"/>
      <c r="W484" s="45">
        <f>73241+220550</f>
        <v>293791</v>
      </c>
      <c r="X484" s="45"/>
      <c r="Y484" s="49">
        <f>SUM(G484:W484)</f>
        <v>20631345</v>
      </c>
      <c r="Z484" s="45"/>
      <c r="AA484" s="45">
        <v>494451</v>
      </c>
      <c r="AB484" s="45"/>
      <c r="AC484" s="45"/>
      <c r="AD484" s="45"/>
      <c r="AE484" s="45">
        <v>0</v>
      </c>
      <c r="AF484" s="45"/>
      <c r="AG484" s="45"/>
      <c r="AH484" s="45"/>
      <c r="AI484" s="45">
        <v>9800</v>
      </c>
      <c r="AJ484" s="45"/>
      <c r="AK484" s="45">
        <v>0</v>
      </c>
      <c r="AL484" s="45"/>
      <c r="AM484" s="49">
        <f t="shared" si="66"/>
        <v>504251</v>
      </c>
      <c r="AN484" s="45"/>
      <c r="AO484" s="49">
        <f t="shared" si="64"/>
        <v>21135596</v>
      </c>
    </row>
    <row r="485" spans="1:41">
      <c r="A485" s="12" t="s">
        <v>302</v>
      </c>
      <c r="B485" s="12"/>
      <c r="C485" s="12" t="s">
        <v>20</v>
      </c>
      <c r="D485" s="12"/>
      <c r="E485" s="13">
        <v>44701</v>
      </c>
      <c r="F485" s="45"/>
      <c r="G485" s="45">
        <v>27857601</v>
      </c>
      <c r="H485" s="45"/>
      <c r="I485" s="45">
        <v>0</v>
      </c>
      <c r="J485" s="45"/>
      <c r="K485" s="45">
        <f>7630815+1596002</f>
        <v>9226817</v>
      </c>
      <c r="L485" s="45"/>
      <c r="M485" s="45">
        <v>83742</v>
      </c>
      <c r="N485" s="45"/>
      <c r="O485" s="45">
        <v>62507</v>
      </c>
      <c r="P485" s="45"/>
      <c r="Q485" s="45">
        <v>193618</v>
      </c>
      <c r="R485" s="45"/>
      <c r="S485" s="45">
        <v>0</v>
      </c>
      <c r="T485" s="45"/>
      <c r="U485" s="45">
        <v>136144</v>
      </c>
      <c r="V485" s="45"/>
      <c r="W485" s="45">
        <f>7308+327170+213890+338166+161023+158195</f>
        <v>1205752</v>
      </c>
      <c r="X485" s="45"/>
      <c r="Y485" s="49">
        <f t="shared" si="62"/>
        <v>38766181</v>
      </c>
      <c r="Z485" s="45"/>
      <c r="AA485" s="45">
        <v>210926</v>
      </c>
      <c r="AB485" s="45"/>
      <c r="AC485" s="45"/>
      <c r="AD485" s="45"/>
      <c r="AE485" s="45">
        <v>0</v>
      </c>
      <c r="AF485" s="45"/>
      <c r="AG485" s="45"/>
      <c r="AH485" s="45"/>
      <c r="AI485" s="45">
        <v>0</v>
      </c>
      <c r="AJ485" s="45"/>
      <c r="AK485" s="45">
        <v>0</v>
      </c>
      <c r="AL485" s="45"/>
      <c r="AM485" s="49">
        <f t="shared" si="66"/>
        <v>210926</v>
      </c>
      <c r="AN485" s="45"/>
      <c r="AO485" s="49">
        <f t="shared" si="64"/>
        <v>38977107</v>
      </c>
    </row>
    <row r="486" spans="1:41">
      <c r="A486" s="12" t="s">
        <v>362</v>
      </c>
      <c r="B486" s="12"/>
      <c r="C486" s="12" t="s">
        <v>31</v>
      </c>
      <c r="D486" s="12"/>
      <c r="E486" s="13">
        <v>47308</v>
      </c>
      <c r="F486" s="45"/>
      <c r="G486" s="45">
        <v>3539576</v>
      </c>
      <c r="H486" s="45"/>
      <c r="I486" s="45">
        <v>0</v>
      </c>
      <c r="J486" s="45"/>
      <c r="K486" s="45">
        <v>13318214</v>
      </c>
      <c r="L486" s="45"/>
      <c r="M486" s="45">
        <v>10996</v>
      </c>
      <c r="N486" s="45"/>
      <c r="O486" s="45">
        <v>660837</v>
      </c>
      <c r="P486" s="45"/>
      <c r="Q486" s="45">
        <v>79242</v>
      </c>
      <c r="R486" s="45"/>
      <c r="S486" s="45">
        <v>0</v>
      </c>
      <c r="T486" s="45"/>
      <c r="U486" s="45">
        <v>82613</v>
      </c>
      <c r="V486" s="45"/>
      <c r="W486" s="45">
        <f>31555+247923+207825</f>
        <v>487303</v>
      </c>
      <c r="X486" s="45"/>
      <c r="Y486" s="49">
        <f t="shared" si="62"/>
        <v>18178781</v>
      </c>
      <c r="Z486" s="45"/>
      <c r="AA486" s="45">
        <v>212387</v>
      </c>
      <c r="AB486" s="45"/>
      <c r="AC486" s="45"/>
      <c r="AD486" s="45"/>
      <c r="AE486" s="45">
        <f>707824+38772</f>
        <v>746596</v>
      </c>
      <c r="AF486" s="45"/>
      <c r="AG486" s="45"/>
      <c r="AH486" s="45"/>
      <c r="AI486" s="45">
        <v>0</v>
      </c>
      <c r="AJ486" s="45"/>
      <c r="AK486" s="45">
        <v>0</v>
      </c>
      <c r="AL486" s="45"/>
      <c r="AM486" s="49">
        <f t="shared" si="66"/>
        <v>958983</v>
      </c>
      <c r="AN486" s="45"/>
      <c r="AO486" s="49">
        <f t="shared" si="64"/>
        <v>19137764</v>
      </c>
    </row>
    <row r="487" spans="1:41">
      <c r="A487" s="12" t="s">
        <v>536</v>
      </c>
      <c r="B487" s="12"/>
      <c r="C487" s="12" t="s">
        <v>56</v>
      </c>
      <c r="D487" s="12"/>
      <c r="E487" s="13">
        <v>49213</v>
      </c>
      <c r="F487" s="45"/>
      <c r="G487" s="45">
        <v>5252524</v>
      </c>
      <c r="H487" s="45"/>
      <c r="I487" s="45">
        <v>0</v>
      </c>
      <c r="J487" s="45"/>
      <c r="K487" s="45">
        <v>6258710</v>
      </c>
      <c r="L487" s="45"/>
      <c r="M487" s="45">
        <v>14376</v>
      </c>
      <c r="N487" s="45"/>
      <c r="O487" s="45">
        <v>341060</v>
      </c>
      <c r="P487" s="45"/>
      <c r="Q487" s="45">
        <v>79549</v>
      </c>
      <c r="R487" s="45"/>
      <c r="S487" s="45">
        <v>0</v>
      </c>
      <c r="T487" s="45"/>
      <c r="U487" s="45">
        <v>91392</v>
      </c>
      <c r="V487" s="45"/>
      <c r="W487" s="45">
        <f>15805+239855+3642</f>
        <v>259302</v>
      </c>
      <c r="X487" s="45"/>
      <c r="Y487" s="49">
        <f t="shared" si="62"/>
        <v>12296913</v>
      </c>
      <c r="Z487" s="45"/>
      <c r="AA487" s="45">
        <v>0</v>
      </c>
      <c r="AB487" s="45"/>
      <c r="AC487" s="45"/>
      <c r="AD487" s="45"/>
      <c r="AE487" s="45">
        <v>0</v>
      </c>
      <c r="AF487" s="45"/>
      <c r="AG487" s="45"/>
      <c r="AH487" s="45"/>
      <c r="AI487" s="45">
        <v>0</v>
      </c>
      <c r="AJ487" s="45"/>
      <c r="AK487" s="45">
        <v>0</v>
      </c>
      <c r="AL487" s="45"/>
      <c r="AM487" s="49">
        <f t="shared" si="66"/>
        <v>0</v>
      </c>
      <c r="AN487" s="45"/>
      <c r="AO487" s="49">
        <f t="shared" si="64"/>
        <v>12296913</v>
      </c>
    </row>
    <row r="488" spans="1:41">
      <c r="A488" s="17" t="s">
        <v>897</v>
      </c>
      <c r="B488" s="12"/>
      <c r="C488" s="12" t="s">
        <v>227</v>
      </c>
      <c r="D488" s="12"/>
      <c r="E488" s="13">
        <v>46144</v>
      </c>
      <c r="F488" s="45"/>
      <c r="G488" s="45">
        <v>8290021</v>
      </c>
      <c r="H488" s="45"/>
      <c r="I488" s="45">
        <v>2375539</v>
      </c>
      <c r="J488" s="45"/>
      <c r="K488" s="45">
        <v>23544169</v>
      </c>
      <c r="L488" s="45"/>
      <c r="M488" s="45">
        <v>39631</v>
      </c>
      <c r="N488" s="45"/>
      <c r="O488" s="45">
        <v>98350</v>
      </c>
      <c r="P488" s="45"/>
      <c r="Q488" s="45">
        <v>674517</v>
      </c>
      <c r="R488" s="45"/>
      <c r="S488" s="45">
        <v>0</v>
      </c>
      <c r="T488" s="45"/>
      <c r="U488" s="1">
        <v>0</v>
      </c>
      <c r="V488" s="45"/>
      <c r="W488" s="45">
        <f>856244+344599</f>
        <v>1200843</v>
      </c>
      <c r="X488" s="45"/>
      <c r="Y488" s="49">
        <f>SUM(G488:W488)</f>
        <v>36223070</v>
      </c>
      <c r="Z488" s="45"/>
      <c r="AA488" s="45">
        <v>0</v>
      </c>
      <c r="AB488" s="45"/>
      <c r="AC488" s="45"/>
      <c r="AD488" s="45"/>
      <c r="AE488" s="45">
        <v>0</v>
      </c>
      <c r="AF488" s="45"/>
      <c r="AG488" s="45"/>
      <c r="AH488" s="45"/>
      <c r="AI488" s="45">
        <v>0</v>
      </c>
      <c r="AJ488" s="45"/>
      <c r="AK488" s="45">
        <v>0</v>
      </c>
      <c r="AL488" s="45"/>
      <c r="AM488" s="49">
        <f t="shared" si="66"/>
        <v>0</v>
      </c>
      <c r="AN488" s="45"/>
      <c r="AO488" s="49">
        <f t="shared" si="64"/>
        <v>36223070</v>
      </c>
    </row>
    <row r="489" spans="1:41">
      <c r="A489" s="12" t="s">
        <v>652</v>
      </c>
      <c r="B489" s="12"/>
      <c r="C489" s="12" t="s">
        <v>72</v>
      </c>
      <c r="D489" s="12"/>
      <c r="E489" s="13">
        <v>45609</v>
      </c>
      <c r="F489" s="45"/>
      <c r="G489" s="45">
        <v>12042501</v>
      </c>
      <c r="H489" s="45"/>
      <c r="I489" s="45">
        <v>0</v>
      </c>
      <c r="J489" s="45"/>
      <c r="K489" s="45">
        <v>10567042</v>
      </c>
      <c r="L489" s="45"/>
      <c r="M489" s="45">
        <v>25488</v>
      </c>
      <c r="N489" s="45"/>
      <c r="O489" s="45">
        <v>424996</v>
      </c>
      <c r="P489" s="45"/>
      <c r="Q489" s="45">
        <v>219447</v>
      </c>
      <c r="R489" s="45"/>
      <c r="S489" s="45">
        <v>701488</v>
      </c>
      <c r="T489" s="45"/>
      <c r="U489" s="45">
        <v>1353488</v>
      </c>
      <c r="V489" s="45"/>
      <c r="W489" s="45">
        <f>317982+152841</f>
        <v>470823</v>
      </c>
      <c r="X489" s="45"/>
      <c r="Y489" s="49">
        <f t="shared" si="62"/>
        <v>25805273</v>
      </c>
      <c r="Z489" s="45"/>
      <c r="AA489" s="45">
        <v>44000</v>
      </c>
      <c r="AB489" s="45"/>
      <c r="AC489" s="45"/>
      <c r="AD489" s="45"/>
      <c r="AE489" s="45">
        <v>0</v>
      </c>
      <c r="AF489" s="45"/>
      <c r="AG489" s="45"/>
      <c r="AH489" s="45"/>
      <c r="AI489" s="45">
        <v>0</v>
      </c>
      <c r="AJ489" s="45"/>
      <c r="AK489" s="45">
        <v>0</v>
      </c>
      <c r="AL489" s="45"/>
      <c r="AM489" s="49">
        <f t="shared" si="66"/>
        <v>44000</v>
      </c>
      <c r="AN489" s="45"/>
      <c r="AO489" s="49">
        <f t="shared" si="64"/>
        <v>25849273</v>
      </c>
    </row>
    <row r="490" spans="1:41">
      <c r="A490" s="12" t="s">
        <v>570</v>
      </c>
      <c r="B490" s="12"/>
      <c r="C490" s="12" t="s">
        <v>61</v>
      </c>
      <c r="D490" s="12"/>
      <c r="E490" s="12">
        <v>49817</v>
      </c>
      <c r="F490" s="45"/>
      <c r="G490" s="45">
        <v>1196549</v>
      </c>
      <c r="H490" s="45"/>
      <c r="I490" s="45">
        <v>285126</v>
      </c>
      <c r="J490" s="45"/>
      <c r="K490" s="45">
        <v>5846118</v>
      </c>
      <c r="L490" s="45"/>
      <c r="M490" s="45">
        <v>14890</v>
      </c>
      <c r="N490" s="45"/>
      <c r="O490" s="45">
        <v>353594</v>
      </c>
      <c r="P490" s="45"/>
      <c r="Q490" s="45">
        <v>55747</v>
      </c>
      <c r="R490" s="45"/>
      <c r="S490" s="45">
        <v>0</v>
      </c>
      <c r="T490" s="45"/>
      <c r="U490" s="45">
        <v>12255</v>
      </c>
      <c r="V490" s="45"/>
      <c r="W490" s="45">
        <f>200+106816+48211</f>
        <v>155227</v>
      </c>
      <c r="X490" s="45"/>
      <c r="Y490" s="49">
        <f t="shared" si="62"/>
        <v>7919506</v>
      </c>
      <c r="Z490" s="45"/>
      <c r="AA490" s="45">
        <v>5000</v>
      </c>
      <c r="AB490" s="45"/>
      <c r="AC490" s="45"/>
      <c r="AD490" s="45"/>
      <c r="AE490" s="45">
        <f>1940700+55049</f>
        <v>1995749</v>
      </c>
      <c r="AF490" s="45"/>
      <c r="AG490" s="45"/>
      <c r="AH490" s="45"/>
      <c r="AI490" s="45">
        <v>510</v>
      </c>
      <c r="AJ490" s="45"/>
      <c r="AK490" s="45">
        <v>0</v>
      </c>
      <c r="AL490" s="45"/>
      <c r="AM490" s="49">
        <f t="shared" si="66"/>
        <v>2001259</v>
      </c>
      <c r="AN490" s="45"/>
      <c r="AO490" s="49">
        <f t="shared" si="64"/>
        <v>9920765</v>
      </c>
    </row>
    <row r="491" spans="1:41">
      <c r="A491" s="12" t="s">
        <v>725</v>
      </c>
      <c r="B491" s="12"/>
      <c r="C491" s="12" t="s">
        <v>114</v>
      </c>
      <c r="D491" s="12"/>
      <c r="E491" s="13"/>
      <c r="F491" s="45"/>
      <c r="G491" s="45">
        <v>9311379</v>
      </c>
      <c r="H491" s="45"/>
      <c r="I491" s="45">
        <v>7623</v>
      </c>
      <c r="J491" s="45"/>
      <c r="K491" s="45">
        <f>9994752+2897067</f>
        <v>12891819</v>
      </c>
      <c r="L491" s="45"/>
      <c r="M491" s="45">
        <v>6121</v>
      </c>
      <c r="N491" s="45"/>
      <c r="O491" s="45">
        <v>744432</v>
      </c>
      <c r="P491" s="45"/>
      <c r="Q491" s="45">
        <v>234116</v>
      </c>
      <c r="R491" s="45"/>
      <c r="S491" s="45">
        <v>0</v>
      </c>
      <c r="T491" s="45"/>
      <c r="U491" s="45">
        <v>45671</v>
      </c>
      <c r="V491" s="45"/>
      <c r="W491" s="45">
        <f>195890+133131+3750+203238</f>
        <v>536009</v>
      </c>
      <c r="X491" s="45"/>
      <c r="Y491" s="49">
        <f t="shared" ref="Y491:Y543" si="67">SUM(G491:W491)</f>
        <v>23777170</v>
      </c>
      <c r="Z491" s="45"/>
      <c r="AA491" s="45">
        <v>0</v>
      </c>
      <c r="AB491" s="45"/>
      <c r="AC491" s="45"/>
      <c r="AD491" s="45"/>
      <c r="AE491" s="45">
        <v>0</v>
      </c>
      <c r="AF491" s="45"/>
      <c r="AG491" s="45"/>
      <c r="AH491" s="45"/>
      <c r="AI491" s="45">
        <v>1175</v>
      </c>
      <c r="AJ491" s="45"/>
      <c r="AK491" s="45">
        <v>0</v>
      </c>
      <c r="AL491" s="45"/>
      <c r="AM491" s="49">
        <f t="shared" si="66"/>
        <v>1175</v>
      </c>
      <c r="AN491" s="45"/>
      <c r="AO491" s="49">
        <f t="shared" si="64"/>
        <v>23778345</v>
      </c>
    </row>
    <row r="492" spans="1:41">
      <c r="A492" s="12" t="s">
        <v>319</v>
      </c>
      <c r="B492" s="12"/>
      <c r="C492" s="12" t="s">
        <v>24</v>
      </c>
      <c r="D492" s="12"/>
      <c r="E492" s="13">
        <v>44743</v>
      </c>
      <c r="F492" s="45"/>
      <c r="G492" s="45">
        <v>16889092</v>
      </c>
      <c r="H492" s="45"/>
      <c r="I492" s="45">
        <v>0</v>
      </c>
      <c r="J492" s="45"/>
      <c r="K492" s="45">
        <v>31035507</v>
      </c>
      <c r="L492" s="45"/>
      <c r="M492" s="45">
        <v>40751</v>
      </c>
      <c r="N492" s="45"/>
      <c r="O492" s="45">
        <v>1293012</v>
      </c>
      <c r="P492" s="45"/>
      <c r="Q492" s="45">
        <v>224471</v>
      </c>
      <c r="R492" s="45"/>
      <c r="S492" s="45">
        <v>92764</v>
      </c>
      <c r="T492" s="45"/>
      <c r="U492" s="45">
        <v>0</v>
      </c>
      <c r="V492" s="45"/>
      <c r="W492" s="45">
        <f>469603+797163</f>
        <v>1266766</v>
      </c>
      <c r="X492" s="45"/>
      <c r="Y492" s="49">
        <f t="shared" si="67"/>
        <v>50842363</v>
      </c>
      <c r="Z492" s="45"/>
      <c r="AA492" s="45">
        <v>56952</v>
      </c>
      <c r="AB492" s="45"/>
      <c r="AC492" s="45"/>
      <c r="AD492" s="45"/>
      <c r="AE492" s="45">
        <v>516633</v>
      </c>
      <c r="AF492" s="45"/>
      <c r="AG492" s="45"/>
      <c r="AH492" s="45"/>
      <c r="AI492" s="45">
        <f>96</f>
        <v>96</v>
      </c>
      <c r="AJ492" s="45"/>
      <c r="AK492" s="45">
        <v>0</v>
      </c>
      <c r="AL492" s="45"/>
      <c r="AM492" s="49">
        <f t="shared" si="66"/>
        <v>573681</v>
      </c>
      <c r="AN492" s="45"/>
      <c r="AO492" s="49">
        <f t="shared" si="64"/>
        <v>51416044</v>
      </c>
    </row>
    <row r="493" spans="1:41">
      <c r="A493" s="12" t="s">
        <v>584</v>
      </c>
      <c r="B493" s="12"/>
      <c r="C493" s="12" t="s">
        <v>62</v>
      </c>
      <c r="D493" s="12"/>
      <c r="E493" s="13">
        <v>49940</v>
      </c>
      <c r="F493" s="45"/>
      <c r="G493" s="45">
        <v>4034391</v>
      </c>
      <c r="H493" s="45"/>
      <c r="I493" s="45">
        <v>0</v>
      </c>
      <c r="J493" s="45"/>
      <c r="K493" s="45">
        <f>14558+8657801+1837960</f>
        <v>10510319</v>
      </c>
      <c r="L493" s="45"/>
      <c r="M493" s="45">
        <v>105203</v>
      </c>
      <c r="N493" s="45"/>
      <c r="O493" s="45">
        <v>533729</v>
      </c>
      <c r="P493" s="45"/>
      <c r="Q493" s="45">
        <v>206662</v>
      </c>
      <c r="R493" s="45"/>
      <c r="S493" s="45">
        <v>0</v>
      </c>
      <c r="T493" s="45"/>
      <c r="U493" s="45">
        <v>0</v>
      </c>
      <c r="V493" s="45"/>
      <c r="W493" s="45">
        <f>11166+273694+31757+134452</f>
        <v>451069</v>
      </c>
      <c r="X493" s="45"/>
      <c r="Y493" s="49">
        <f t="shared" si="67"/>
        <v>15841373</v>
      </c>
      <c r="Z493" s="45"/>
      <c r="AA493" s="45">
        <v>584398</v>
      </c>
      <c r="AB493" s="45"/>
      <c r="AC493" s="45"/>
      <c r="AD493" s="45"/>
      <c r="AE493" s="45">
        <v>0</v>
      </c>
      <c r="AF493" s="45"/>
      <c r="AG493" s="45"/>
      <c r="AH493" s="45"/>
      <c r="AI493" s="45">
        <v>0</v>
      </c>
      <c r="AJ493" s="45"/>
      <c r="AK493" s="45">
        <v>0</v>
      </c>
      <c r="AL493" s="45"/>
      <c r="AM493" s="49">
        <f t="shared" si="66"/>
        <v>584398</v>
      </c>
      <c r="AN493" s="45"/>
      <c r="AO493" s="49">
        <f t="shared" si="64"/>
        <v>16425771</v>
      </c>
    </row>
    <row r="494" spans="1:41">
      <c r="A494" s="12" t="s">
        <v>529</v>
      </c>
      <c r="B494" s="12"/>
      <c r="C494" s="12" t="s">
        <v>55</v>
      </c>
      <c r="D494" s="12"/>
      <c r="E494" s="13">
        <v>49130</v>
      </c>
      <c r="F494" s="45"/>
      <c r="G494" s="45">
        <v>1804630</v>
      </c>
      <c r="H494" s="45"/>
      <c r="I494" s="45">
        <v>0</v>
      </c>
      <c r="J494" s="45"/>
      <c r="K494" s="45">
        <v>14248297</v>
      </c>
      <c r="L494" s="45"/>
      <c r="M494" s="45">
        <v>26931</v>
      </c>
      <c r="N494" s="45"/>
      <c r="O494" s="45">
        <v>565389</v>
      </c>
      <c r="P494" s="45"/>
      <c r="Q494" s="45">
        <v>58573</v>
      </c>
      <c r="R494" s="45"/>
      <c r="S494" s="45">
        <v>0</v>
      </c>
      <c r="T494" s="45"/>
      <c r="U494" s="45">
        <v>13875</v>
      </c>
      <c r="V494" s="45"/>
      <c r="W494" s="45">
        <f>14204+110252+122572</f>
        <v>247028</v>
      </c>
      <c r="X494" s="45"/>
      <c r="Y494" s="49">
        <f t="shared" si="67"/>
        <v>16964723</v>
      </c>
      <c r="Z494" s="45"/>
      <c r="AA494" s="45">
        <v>51796</v>
      </c>
      <c r="AB494" s="45"/>
      <c r="AC494" s="45"/>
      <c r="AD494" s="45"/>
      <c r="AE494" s="45">
        <v>1050000</v>
      </c>
      <c r="AF494" s="45"/>
      <c r="AG494" s="45"/>
      <c r="AH494" s="45"/>
      <c r="AI494" s="45">
        <v>0</v>
      </c>
      <c r="AJ494" s="45"/>
      <c r="AK494" s="45">
        <v>0</v>
      </c>
      <c r="AL494" s="45"/>
      <c r="AM494" s="49">
        <f t="shared" si="66"/>
        <v>1101796</v>
      </c>
      <c r="AN494" s="45"/>
      <c r="AO494" s="49">
        <f t="shared" si="64"/>
        <v>18066519</v>
      </c>
    </row>
    <row r="495" spans="1:41">
      <c r="A495" s="12" t="s">
        <v>468</v>
      </c>
      <c r="B495" s="12"/>
      <c r="C495" s="12" t="s">
        <v>45</v>
      </c>
      <c r="D495" s="12"/>
      <c r="E495" s="13">
        <v>48355</v>
      </c>
      <c r="F495" s="45"/>
      <c r="G495" s="45">
        <v>1268464</v>
      </c>
      <c r="H495" s="45"/>
      <c r="I495" s="45">
        <v>418232</v>
      </c>
      <c r="J495" s="45"/>
      <c r="K495" s="45">
        <v>5368430</v>
      </c>
      <c r="L495" s="45"/>
      <c r="M495" s="45">
        <v>8811</v>
      </c>
      <c r="N495" s="45"/>
      <c r="O495" s="45">
        <v>369831</v>
      </c>
      <c r="P495" s="45"/>
      <c r="Q495" s="45">
        <v>71225</v>
      </c>
      <c r="R495" s="45"/>
      <c r="S495" s="45">
        <v>0</v>
      </c>
      <c r="T495" s="45"/>
      <c r="U495" s="45">
        <v>12636</v>
      </c>
      <c r="V495" s="45"/>
      <c r="W495" s="45">
        <f>106244+603+24308</f>
        <v>131155</v>
      </c>
      <c r="X495" s="45"/>
      <c r="Y495" s="49">
        <f t="shared" si="67"/>
        <v>7648784</v>
      </c>
      <c r="Z495" s="45"/>
      <c r="AA495" s="45">
        <v>5575</v>
      </c>
      <c r="AB495" s="45"/>
      <c r="AC495" s="45"/>
      <c r="AD495" s="45"/>
      <c r="AE495" s="45">
        <f>113565+999999</f>
        <v>1113564</v>
      </c>
      <c r="AF495" s="45"/>
      <c r="AG495" s="45"/>
      <c r="AH495" s="45"/>
      <c r="AI495" s="45">
        <v>0</v>
      </c>
      <c r="AJ495" s="45"/>
      <c r="AK495" s="45">
        <v>0</v>
      </c>
      <c r="AL495" s="45"/>
      <c r="AM495" s="49">
        <f t="shared" si="66"/>
        <v>1119139</v>
      </c>
      <c r="AN495" s="45"/>
      <c r="AO495" s="49">
        <f t="shared" ref="AO495:AO557" si="68">Y495+AM495</f>
        <v>8767923</v>
      </c>
    </row>
    <row r="496" spans="1:41">
      <c r="A496" s="12" t="s">
        <v>567</v>
      </c>
      <c r="B496" s="12"/>
      <c r="C496" s="12" t="s">
        <v>60</v>
      </c>
      <c r="D496" s="12"/>
      <c r="E496" s="13">
        <v>49684</v>
      </c>
      <c r="F496" s="45"/>
      <c r="G496" s="45">
        <v>3467655</v>
      </c>
      <c r="H496" s="45"/>
      <c r="I496" s="45">
        <v>891208</v>
      </c>
      <c r="J496" s="45"/>
      <c r="K496" s="45">
        <f>5022040+655276</f>
        <v>5677316</v>
      </c>
      <c r="L496" s="45"/>
      <c r="M496" s="45">
        <v>20150</v>
      </c>
      <c r="N496" s="45"/>
      <c r="O496" s="45">
        <v>827212</v>
      </c>
      <c r="P496" s="45"/>
      <c r="Q496" s="45">
        <v>167337</v>
      </c>
      <c r="R496" s="45"/>
      <c r="S496" s="45">
        <v>0</v>
      </c>
      <c r="T496" s="45"/>
      <c r="U496" s="45">
        <v>25</v>
      </c>
      <c r="V496" s="45"/>
      <c r="W496" s="45">
        <f>266083+37717+7029+15185+13319</f>
        <v>339333</v>
      </c>
      <c r="X496" s="45"/>
      <c r="Y496" s="49">
        <f t="shared" si="67"/>
        <v>11390236</v>
      </c>
      <c r="Z496" s="45"/>
      <c r="AA496" s="45">
        <v>214891</v>
      </c>
      <c r="AB496" s="45"/>
      <c r="AC496" s="45"/>
      <c r="AD496" s="45"/>
      <c r="AE496" s="45">
        <v>222624</v>
      </c>
      <c r="AF496" s="45"/>
      <c r="AG496" s="45"/>
      <c r="AH496" s="45"/>
      <c r="AI496" s="45">
        <v>0</v>
      </c>
      <c r="AJ496" s="45"/>
      <c r="AK496" s="45">
        <v>0</v>
      </c>
      <c r="AL496" s="45"/>
      <c r="AM496" s="49">
        <f t="shared" si="66"/>
        <v>437515</v>
      </c>
      <c r="AN496" s="45"/>
      <c r="AO496" s="49">
        <f t="shared" si="68"/>
        <v>11827751</v>
      </c>
    </row>
    <row r="497" spans="1:41">
      <c r="A497" s="12" t="s">
        <v>222</v>
      </c>
      <c r="B497" s="12"/>
      <c r="C497" s="12" t="s">
        <v>15</v>
      </c>
      <c r="D497" s="12"/>
      <c r="E497" s="13">
        <v>46003</v>
      </c>
      <c r="F497" s="45"/>
      <c r="G497" s="49">
        <v>2651724</v>
      </c>
      <c r="H497" s="49"/>
      <c r="I497" s="49">
        <v>0</v>
      </c>
      <c r="J497" s="49"/>
      <c r="K497" s="49">
        <v>4057289</v>
      </c>
      <c r="L497" s="49"/>
      <c r="M497" s="49">
        <v>2898</v>
      </c>
      <c r="N497" s="49"/>
      <c r="O497" s="49">
        <v>1113651</v>
      </c>
      <c r="P497" s="49"/>
      <c r="Q497" s="49">
        <v>143352</v>
      </c>
      <c r="R497" s="49"/>
      <c r="S497" s="49">
        <v>0</v>
      </c>
      <c r="T497" s="49"/>
      <c r="U497" s="49">
        <v>5603</v>
      </c>
      <c r="V497" s="49"/>
      <c r="W497" s="49">
        <f>6+67115+5823</f>
        <v>72944</v>
      </c>
      <c r="X497" s="49"/>
      <c r="Y497" s="49">
        <f t="shared" si="67"/>
        <v>8047461</v>
      </c>
      <c r="Z497" s="49"/>
      <c r="AA497" s="49">
        <v>28817</v>
      </c>
      <c r="AB497" s="49"/>
      <c r="AC497" s="49"/>
      <c r="AD497" s="49"/>
      <c r="AE497" s="49">
        <v>0</v>
      </c>
      <c r="AF497" s="49"/>
      <c r="AG497" s="49"/>
      <c r="AH497" s="49"/>
      <c r="AI497" s="49">
        <v>3319</v>
      </c>
      <c r="AJ497" s="49"/>
      <c r="AK497" s="49">
        <v>0</v>
      </c>
      <c r="AL497" s="49"/>
      <c r="AM497" s="49">
        <f t="shared" ref="AM497:AM562" si="69">AI497+AE497+AA497</f>
        <v>32136</v>
      </c>
      <c r="AN497" s="49"/>
      <c r="AO497" s="49">
        <f t="shared" si="68"/>
        <v>8079597</v>
      </c>
    </row>
    <row r="498" spans="1:41">
      <c r="A498" s="17" t="s">
        <v>898</v>
      </c>
      <c r="B498" s="12"/>
      <c r="C498" s="12" t="s">
        <v>20</v>
      </c>
      <c r="D498" s="12"/>
      <c r="E498" s="13">
        <v>44750</v>
      </c>
      <c r="F498" s="45"/>
      <c r="G498" s="45">
        <v>59520754</v>
      </c>
      <c r="H498" s="45"/>
      <c r="I498" s="45">
        <v>0</v>
      </c>
      <c r="J498" s="45"/>
      <c r="K498" s="45">
        <v>31186078</v>
      </c>
      <c r="L498" s="45"/>
      <c r="M498" s="45">
        <v>533281</v>
      </c>
      <c r="N498" s="45"/>
      <c r="O498" s="45">
        <v>1309955</v>
      </c>
      <c r="P498" s="45"/>
      <c r="Q498" s="45">
        <v>180539</v>
      </c>
      <c r="R498" s="45"/>
      <c r="S498" s="45">
        <v>0</v>
      </c>
      <c r="T498" s="45"/>
      <c r="U498" s="45">
        <v>258879</v>
      </c>
      <c r="V498" s="45"/>
      <c r="W498" s="45">
        <f>919843+152526+332234</f>
        <v>1404603</v>
      </c>
      <c r="X498" s="45"/>
      <c r="Y498" s="49">
        <f t="shared" si="67"/>
        <v>94394089</v>
      </c>
      <c r="Z498" s="45"/>
      <c r="AA498" s="45">
        <v>475000</v>
      </c>
      <c r="AB498" s="45"/>
      <c r="AC498" s="45"/>
      <c r="AD498" s="45"/>
      <c r="AE498" s="45">
        <v>600000</v>
      </c>
      <c r="AF498" s="45"/>
      <c r="AG498" s="45"/>
      <c r="AH498" s="45"/>
      <c r="AI498" s="45">
        <v>21600</v>
      </c>
      <c r="AJ498" s="45"/>
      <c r="AK498" s="45">
        <v>0</v>
      </c>
      <c r="AL498" s="45"/>
      <c r="AM498" s="49">
        <f t="shared" si="69"/>
        <v>1096600</v>
      </c>
      <c r="AN498" s="45"/>
      <c r="AO498" s="49">
        <f t="shared" si="68"/>
        <v>95490689</v>
      </c>
    </row>
    <row r="499" spans="1:41" hidden="1">
      <c r="A499" s="17" t="s">
        <v>872</v>
      </c>
      <c r="B499" s="17"/>
      <c r="C499" s="17" t="s">
        <v>10</v>
      </c>
      <c r="D499" s="12"/>
      <c r="E499" s="13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9">
        <f t="shared" si="67"/>
        <v>0</v>
      </c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>
        <v>0</v>
      </c>
      <c r="AL499" s="45"/>
      <c r="AM499" s="49">
        <f t="shared" si="69"/>
        <v>0</v>
      </c>
      <c r="AN499" s="45"/>
      <c r="AO499" s="49">
        <f t="shared" si="68"/>
        <v>0</v>
      </c>
    </row>
    <row r="500" spans="1:41">
      <c r="A500" s="12" t="s">
        <v>447</v>
      </c>
      <c r="B500" s="12"/>
      <c r="C500" s="12" t="s">
        <v>44</v>
      </c>
      <c r="D500" s="12"/>
      <c r="E500" s="13">
        <v>44768</v>
      </c>
      <c r="F500" s="45"/>
      <c r="G500" s="45">
        <v>10430261</v>
      </c>
      <c r="H500" s="45"/>
      <c r="I500" s="45">
        <v>0</v>
      </c>
      <c r="J500" s="45"/>
      <c r="K500" s="45">
        <v>8913424</v>
      </c>
      <c r="L500" s="45"/>
      <c r="M500" s="45">
        <v>14436</v>
      </c>
      <c r="N500" s="45"/>
      <c r="O500" s="45">
        <v>1259383</v>
      </c>
      <c r="P500" s="45"/>
      <c r="Q500" s="45">
        <v>102766</v>
      </c>
      <c r="R500" s="45"/>
      <c r="S500" s="45">
        <v>0</v>
      </c>
      <c r="T500" s="45"/>
      <c r="U500" s="45">
        <v>0</v>
      </c>
      <c r="V500" s="45"/>
      <c r="W500" s="45">
        <f>134592+205270</f>
        <v>339862</v>
      </c>
      <c r="X500" s="45"/>
      <c r="Y500" s="49">
        <f t="shared" si="67"/>
        <v>21060132</v>
      </c>
      <c r="Z500" s="45"/>
      <c r="AA500" s="1">
        <v>62708</v>
      </c>
      <c r="AB500" s="45"/>
      <c r="AC500" s="45"/>
      <c r="AD500" s="45"/>
      <c r="AE500" s="45">
        <f>480000+175000</f>
        <v>655000</v>
      </c>
      <c r="AF500" s="45"/>
      <c r="AG500" s="45"/>
      <c r="AH500" s="45"/>
      <c r="AI500" s="45">
        <v>0</v>
      </c>
      <c r="AJ500" s="45"/>
      <c r="AK500" s="45">
        <v>0</v>
      </c>
      <c r="AL500" s="45"/>
      <c r="AM500" s="49">
        <f t="shared" si="69"/>
        <v>717708</v>
      </c>
      <c r="AN500" s="45"/>
      <c r="AO500" s="49">
        <f t="shared" si="68"/>
        <v>21777840</v>
      </c>
    </row>
    <row r="501" spans="1:41">
      <c r="A501" s="12" t="s">
        <v>548</v>
      </c>
      <c r="B501" s="12"/>
      <c r="C501" s="12" t="s">
        <v>112</v>
      </c>
      <c r="D501" s="12"/>
      <c r="E501" s="13">
        <v>44776</v>
      </c>
      <c r="F501" s="45"/>
      <c r="G501" s="45">
        <v>5013335</v>
      </c>
      <c r="H501" s="45"/>
      <c r="I501" s="45">
        <v>2307421</v>
      </c>
      <c r="J501" s="45"/>
      <c r="K501" s="45">
        <f>9774292+2389936</f>
        <v>12164228</v>
      </c>
      <c r="L501" s="45"/>
      <c r="M501" s="45">
        <v>14748</v>
      </c>
      <c r="N501" s="45"/>
      <c r="O501" s="45">
        <v>400355</v>
      </c>
      <c r="P501" s="45"/>
      <c r="Q501" s="45">
        <v>216968</v>
      </c>
      <c r="R501" s="45"/>
      <c r="S501" s="45">
        <v>0</v>
      </c>
      <c r="T501" s="45"/>
      <c r="U501" s="45">
        <v>73424</v>
      </c>
      <c r="V501" s="45"/>
      <c r="W501" s="45">
        <f>29243+501109+68637+37033+9760+100281</f>
        <v>746063</v>
      </c>
      <c r="X501" s="45"/>
      <c r="Y501" s="49">
        <f t="shared" si="67"/>
        <v>20936542</v>
      </c>
      <c r="Z501" s="45"/>
      <c r="AA501" s="45">
        <v>1022662</v>
      </c>
      <c r="AB501" s="45"/>
      <c r="AC501" s="45"/>
      <c r="AD501" s="45"/>
      <c r="AE501" s="45">
        <v>0</v>
      </c>
      <c r="AF501" s="45"/>
      <c r="AG501" s="45"/>
      <c r="AH501" s="45"/>
      <c r="AI501" s="45">
        <v>0</v>
      </c>
      <c r="AJ501" s="45"/>
      <c r="AK501" s="45">
        <v>0</v>
      </c>
      <c r="AL501" s="45"/>
      <c r="AM501" s="49">
        <f t="shared" si="69"/>
        <v>1022662</v>
      </c>
      <c r="AN501" s="45"/>
      <c r="AO501" s="49">
        <f t="shared" si="68"/>
        <v>21959204</v>
      </c>
    </row>
    <row r="502" spans="1:41">
      <c r="A502" s="17" t="s">
        <v>571</v>
      </c>
      <c r="B502" s="12"/>
      <c r="C502" s="12" t="s">
        <v>61</v>
      </c>
      <c r="D502" s="12"/>
      <c r="E502" s="13">
        <v>44784</v>
      </c>
      <c r="F502" s="45"/>
      <c r="G502" s="45">
        <v>14719848</v>
      </c>
      <c r="H502" s="45"/>
      <c r="I502" s="45">
        <v>0</v>
      </c>
      <c r="J502" s="45"/>
      <c r="K502" s="45">
        <v>24824598</v>
      </c>
      <c r="L502" s="45"/>
      <c r="M502" s="45">
        <v>10583</v>
      </c>
      <c r="N502" s="45"/>
      <c r="O502" s="45">
        <v>748738</v>
      </c>
      <c r="P502" s="45"/>
      <c r="Q502" s="45">
        <v>150100</v>
      </c>
      <c r="R502" s="45"/>
      <c r="S502" s="45">
        <v>49922</v>
      </c>
      <c r="T502" s="45"/>
      <c r="U502" s="45">
        <v>7619</v>
      </c>
      <c r="V502" s="45"/>
      <c r="W502" s="45">
        <f>589073+455821</f>
        <v>1044894</v>
      </c>
      <c r="X502" s="45"/>
      <c r="Y502" s="49">
        <f t="shared" si="67"/>
        <v>41556302</v>
      </c>
      <c r="Z502" s="45"/>
      <c r="AA502" s="45">
        <v>598274</v>
      </c>
      <c r="AB502" s="45"/>
      <c r="AC502" s="45"/>
      <c r="AD502" s="45"/>
      <c r="AE502" s="45">
        <v>1441000</v>
      </c>
      <c r="AF502" s="45"/>
      <c r="AG502" s="45"/>
      <c r="AH502" s="45"/>
      <c r="AI502" s="45">
        <v>0</v>
      </c>
      <c r="AJ502" s="45"/>
      <c r="AK502" s="45">
        <v>0</v>
      </c>
      <c r="AL502" s="45"/>
      <c r="AM502" s="49">
        <f t="shared" si="69"/>
        <v>2039274</v>
      </c>
      <c r="AN502" s="45"/>
      <c r="AO502" s="49">
        <f t="shared" si="68"/>
        <v>43595576</v>
      </c>
    </row>
    <row r="503" spans="1:41">
      <c r="A503" s="12" t="s">
        <v>304</v>
      </c>
      <c r="B503" s="12"/>
      <c r="C503" s="12" t="s">
        <v>20</v>
      </c>
      <c r="D503" s="12"/>
      <c r="E503" s="13">
        <v>46607</v>
      </c>
      <c r="F503" s="45"/>
      <c r="G503" s="45">
        <v>46463555</v>
      </c>
      <c r="H503" s="45"/>
      <c r="I503" s="45">
        <v>0</v>
      </c>
      <c r="J503" s="45"/>
      <c r="K503" s="45">
        <f>19170016+1996098</f>
        <v>21166114</v>
      </c>
      <c r="L503" s="45"/>
      <c r="M503" s="45">
        <v>354469</v>
      </c>
      <c r="N503" s="45"/>
      <c r="O503" s="45">
        <v>1022063</v>
      </c>
      <c r="P503" s="45"/>
      <c r="Q503" s="45">
        <v>240605</v>
      </c>
      <c r="R503" s="45"/>
      <c r="S503" s="45">
        <v>315005</v>
      </c>
      <c r="T503" s="45"/>
      <c r="U503" s="45">
        <v>139132</v>
      </c>
      <c r="V503" s="45"/>
      <c r="W503" s="45">
        <f>675109+165871+102953</f>
        <v>943933</v>
      </c>
      <c r="X503" s="45"/>
      <c r="Y503" s="49">
        <f t="shared" si="67"/>
        <v>70644876</v>
      </c>
      <c r="Z503" s="45"/>
      <c r="AA503" s="45">
        <v>0</v>
      </c>
      <c r="AB503" s="45"/>
      <c r="AC503" s="45"/>
      <c r="AD503" s="45"/>
      <c r="AE503" s="45">
        <f>480294+4020000</f>
        <v>4500294</v>
      </c>
      <c r="AF503" s="45"/>
      <c r="AG503" s="45"/>
      <c r="AH503" s="45"/>
      <c r="AI503" s="45">
        <v>0</v>
      </c>
      <c r="AJ503" s="45"/>
      <c r="AK503" s="45">
        <v>0</v>
      </c>
      <c r="AL503" s="45"/>
      <c r="AM503" s="49">
        <f t="shared" si="69"/>
        <v>4500294</v>
      </c>
      <c r="AN503" s="45"/>
      <c r="AO503" s="49">
        <f t="shared" si="68"/>
        <v>75145170</v>
      </c>
    </row>
    <row r="504" spans="1:41">
      <c r="A504" s="12" t="s">
        <v>767</v>
      </c>
      <c r="B504" s="12"/>
      <c r="C504" s="12" t="s">
        <v>37</v>
      </c>
      <c r="D504" s="12"/>
      <c r="E504" s="13"/>
      <c r="F504" s="45"/>
      <c r="G504" s="45">
        <v>2246698</v>
      </c>
      <c r="H504" s="45"/>
      <c r="I504" s="45">
        <v>0</v>
      </c>
      <c r="J504" s="45"/>
      <c r="K504" s="45">
        <f>4938414+1120212</f>
        <v>6058626</v>
      </c>
      <c r="L504" s="45"/>
      <c r="M504" s="45">
        <v>14551</v>
      </c>
      <c r="N504" s="45"/>
      <c r="O504" s="45">
        <v>271179</v>
      </c>
      <c r="P504" s="45"/>
      <c r="Q504" s="45">
        <v>124460</v>
      </c>
      <c r="R504" s="45"/>
      <c r="S504" s="45">
        <v>0</v>
      </c>
      <c r="T504" s="45"/>
      <c r="U504" s="45">
        <v>0</v>
      </c>
      <c r="V504" s="45"/>
      <c r="W504" s="45">
        <f>155126+23420+34233</f>
        <v>212779</v>
      </c>
      <c r="X504" s="45"/>
      <c r="Y504" s="49">
        <f t="shared" si="67"/>
        <v>8928293</v>
      </c>
      <c r="Z504" s="45"/>
      <c r="AA504" s="45">
        <v>1140</v>
      </c>
      <c r="AB504" s="45"/>
      <c r="AC504" s="45"/>
      <c r="AD504" s="45"/>
      <c r="AE504" s="45">
        <v>0</v>
      </c>
      <c r="AF504" s="45"/>
      <c r="AG504" s="45"/>
      <c r="AH504" s="45"/>
      <c r="AI504" s="45">
        <v>5500</v>
      </c>
      <c r="AJ504" s="45"/>
      <c r="AK504" s="45">
        <v>0</v>
      </c>
      <c r="AL504" s="45"/>
      <c r="AM504" s="49">
        <f t="shared" si="69"/>
        <v>6640</v>
      </c>
      <c r="AN504" s="45"/>
      <c r="AO504" s="49">
        <f t="shared" si="68"/>
        <v>8934933</v>
      </c>
    </row>
    <row r="505" spans="1:41">
      <c r="A505" s="12" t="s">
        <v>305</v>
      </c>
      <c r="B505" s="12"/>
      <c r="C505" s="12" t="s">
        <v>20</v>
      </c>
      <c r="D505" s="12"/>
      <c r="E505" s="13">
        <v>44792</v>
      </c>
      <c r="F505" s="45"/>
      <c r="G505" s="45">
        <v>41720080</v>
      </c>
      <c r="H505" s="45"/>
      <c r="I505" s="45">
        <v>0</v>
      </c>
      <c r="J505" s="45"/>
      <c r="K505" s="45">
        <v>20238565</v>
      </c>
      <c r="L505" s="45"/>
      <c r="M505" s="45">
        <v>22465</v>
      </c>
      <c r="N505" s="45"/>
      <c r="O505" s="45">
        <v>1872572</v>
      </c>
      <c r="P505" s="45"/>
      <c r="Q505" s="45">
        <v>237423</v>
      </c>
      <c r="R505" s="45"/>
      <c r="S505" s="45">
        <v>0</v>
      </c>
      <c r="T505" s="45"/>
      <c r="U505" s="45">
        <v>161454</v>
      </c>
      <c r="V505" s="45"/>
      <c r="W505" s="45">
        <f>865928+93060+1048328</f>
        <v>2007316</v>
      </c>
      <c r="X505" s="45"/>
      <c r="Y505" s="49">
        <f t="shared" si="67"/>
        <v>66259875</v>
      </c>
      <c r="Z505" s="45"/>
      <c r="AA505" s="45">
        <v>705206</v>
      </c>
      <c r="AB505" s="45"/>
      <c r="AC505" s="45"/>
      <c r="AD505" s="45"/>
      <c r="AE505" s="45">
        <v>250000</v>
      </c>
      <c r="AF505" s="45"/>
      <c r="AG505" s="45"/>
      <c r="AH505" s="45"/>
      <c r="AI505" s="45">
        <v>0</v>
      </c>
      <c r="AJ505" s="45"/>
      <c r="AK505" s="45">
        <v>0</v>
      </c>
      <c r="AL505" s="45"/>
      <c r="AM505" s="49">
        <f t="shared" si="69"/>
        <v>955206</v>
      </c>
      <c r="AN505" s="45"/>
      <c r="AO505" s="49">
        <f t="shared" si="68"/>
        <v>67215081</v>
      </c>
    </row>
    <row r="506" spans="1:41">
      <c r="A506" s="12" t="s">
        <v>425</v>
      </c>
      <c r="B506" s="12"/>
      <c r="C506" s="12" t="s">
        <v>420</v>
      </c>
      <c r="D506" s="12"/>
      <c r="E506" s="13">
        <v>47951</v>
      </c>
      <c r="F506" s="45"/>
      <c r="G506" s="45">
        <v>3690814</v>
      </c>
      <c r="H506" s="45"/>
      <c r="I506" s="45">
        <v>0</v>
      </c>
      <c r="J506" s="45"/>
      <c r="K506" s="45">
        <v>16409111</v>
      </c>
      <c r="L506" s="45"/>
      <c r="M506" s="45">
        <v>27606</v>
      </c>
      <c r="N506" s="45"/>
      <c r="O506" s="45">
        <v>172403</v>
      </c>
      <c r="P506" s="45"/>
      <c r="Q506" s="45">
        <v>105193</v>
      </c>
      <c r="R506" s="45"/>
      <c r="S506" s="45">
        <v>0</v>
      </c>
      <c r="T506" s="45"/>
      <c r="U506" s="45">
        <v>5668</v>
      </c>
      <c r="V506" s="45"/>
      <c r="W506" s="45">
        <f>3657+141397+103457</f>
        <v>248511</v>
      </c>
      <c r="X506" s="45"/>
      <c r="Y506" s="49">
        <f t="shared" si="67"/>
        <v>20659306</v>
      </c>
      <c r="Z506" s="45"/>
      <c r="AA506" s="45">
        <v>535999</v>
      </c>
      <c r="AB506" s="45"/>
      <c r="AC506" s="45"/>
      <c r="AD506" s="45"/>
      <c r="AE506" s="45">
        <v>340000</v>
      </c>
      <c r="AF506" s="45"/>
      <c r="AG506" s="45"/>
      <c r="AH506" s="45"/>
      <c r="AI506" s="45">
        <v>0</v>
      </c>
      <c r="AJ506" s="45"/>
      <c r="AK506" s="45">
        <v>0</v>
      </c>
      <c r="AL506" s="45"/>
      <c r="AM506" s="49">
        <f t="shared" si="69"/>
        <v>875999</v>
      </c>
      <c r="AN506" s="45"/>
      <c r="AO506" s="49">
        <f t="shared" si="68"/>
        <v>21535305</v>
      </c>
    </row>
    <row r="507" spans="1:41">
      <c r="A507" s="12"/>
      <c r="B507" s="12"/>
      <c r="C507" s="12"/>
      <c r="D507" s="12"/>
      <c r="E507" s="13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9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9"/>
      <c r="AN507" s="45"/>
      <c r="AO507" s="49"/>
    </row>
    <row r="508" spans="1:41">
      <c r="A508" s="12"/>
      <c r="B508" s="12"/>
      <c r="C508" s="12"/>
      <c r="D508" s="12"/>
      <c r="E508" s="13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9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9"/>
      <c r="AN508" s="45"/>
      <c r="AO508" s="49" t="s">
        <v>709</v>
      </c>
    </row>
    <row r="509" spans="1:41">
      <c r="A509" s="12"/>
      <c r="B509" s="12"/>
      <c r="C509" s="12"/>
      <c r="D509" s="12"/>
      <c r="E509" s="13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9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9"/>
      <c r="AN509" s="45"/>
      <c r="AO509" s="49"/>
    </row>
    <row r="510" spans="1:41">
      <c r="A510" s="12" t="s">
        <v>469</v>
      </c>
      <c r="B510" s="12"/>
      <c r="C510" s="12" t="s">
        <v>45</v>
      </c>
      <c r="D510" s="12"/>
      <c r="E510" s="13">
        <v>48363</v>
      </c>
      <c r="F510" s="45"/>
      <c r="G510" s="47">
        <v>6062408</v>
      </c>
      <c r="H510" s="47"/>
      <c r="I510" s="47">
        <v>0</v>
      </c>
      <c r="J510" s="47"/>
      <c r="K510" s="47">
        <f>8581516+1034799</f>
        <v>9616315</v>
      </c>
      <c r="L510" s="47"/>
      <c r="M510" s="47">
        <v>102776</v>
      </c>
      <c r="N510" s="47"/>
      <c r="O510" s="47">
        <v>88499</v>
      </c>
      <c r="P510" s="47"/>
      <c r="Q510" s="47">
        <v>181504</v>
      </c>
      <c r="R510" s="47"/>
      <c r="S510" s="47">
        <v>0</v>
      </c>
      <c r="T510" s="47"/>
      <c r="U510" s="47">
        <v>36838</v>
      </c>
      <c r="V510" s="47"/>
      <c r="W510" s="47">
        <f>226956+27130+16051</f>
        <v>270137</v>
      </c>
      <c r="X510" s="47"/>
      <c r="Y510" s="48">
        <f t="shared" si="67"/>
        <v>16358477</v>
      </c>
      <c r="Z510" s="47"/>
      <c r="AA510" s="47">
        <v>504395</v>
      </c>
      <c r="AB510" s="47"/>
      <c r="AC510" s="47"/>
      <c r="AD510" s="47"/>
      <c r="AE510" s="47">
        <v>0</v>
      </c>
      <c r="AF510" s="47"/>
      <c r="AG510" s="47"/>
      <c r="AH510" s="47"/>
      <c r="AI510" s="47">
        <v>0</v>
      </c>
      <c r="AJ510" s="47"/>
      <c r="AK510" s="47">
        <v>0</v>
      </c>
      <c r="AL510" s="47"/>
      <c r="AM510" s="48">
        <f t="shared" si="69"/>
        <v>504395</v>
      </c>
      <c r="AN510" s="47"/>
      <c r="AO510" s="48">
        <f t="shared" si="68"/>
        <v>16862872</v>
      </c>
    </row>
    <row r="511" spans="1:41">
      <c r="A511" s="12" t="s">
        <v>537</v>
      </c>
      <c r="B511" s="12"/>
      <c r="C511" s="12" t="s">
        <v>56</v>
      </c>
      <c r="D511" s="12"/>
      <c r="E511" s="13">
        <v>49221</v>
      </c>
      <c r="F511" s="45"/>
      <c r="G511" s="45">
        <v>6954195</v>
      </c>
      <c r="H511" s="45"/>
      <c r="I511" s="45">
        <v>0</v>
      </c>
      <c r="J511" s="45"/>
      <c r="K511" s="45">
        <v>14370359</v>
      </c>
      <c r="L511" s="45"/>
      <c r="M511" s="45">
        <v>23639</v>
      </c>
      <c r="N511" s="45"/>
      <c r="O511" s="45">
        <v>47830</v>
      </c>
      <c r="P511" s="45"/>
      <c r="Q511" s="45">
        <v>182993</v>
      </c>
      <c r="R511" s="45"/>
      <c r="S511" s="45">
        <v>0</v>
      </c>
      <c r="T511" s="45"/>
      <c r="U511" s="45">
        <v>0</v>
      </c>
      <c r="V511" s="45"/>
      <c r="W511" s="45">
        <f>1282+365093+10452</f>
        <v>376827</v>
      </c>
      <c r="X511" s="45"/>
      <c r="Y511" s="49">
        <f t="shared" si="67"/>
        <v>21955843</v>
      </c>
      <c r="Z511" s="45"/>
      <c r="AA511" s="45">
        <v>0</v>
      </c>
      <c r="AB511" s="45"/>
      <c r="AC511" s="45"/>
      <c r="AD511" s="45"/>
      <c r="AE511" s="45">
        <v>0</v>
      </c>
      <c r="AF511" s="45"/>
      <c r="AG511" s="45"/>
      <c r="AH511" s="45"/>
      <c r="AI511" s="45">
        <v>0</v>
      </c>
      <c r="AJ511" s="45"/>
      <c r="AK511" s="45">
        <v>0</v>
      </c>
      <c r="AL511" s="45"/>
      <c r="AM511" s="49">
        <f t="shared" si="69"/>
        <v>0</v>
      </c>
      <c r="AN511" s="45"/>
      <c r="AO511" s="49">
        <f t="shared" si="68"/>
        <v>21955843</v>
      </c>
    </row>
    <row r="512" spans="1:41" s="54" customFormat="1">
      <c r="A512" s="52" t="s">
        <v>537</v>
      </c>
      <c r="B512" s="52"/>
      <c r="C512" s="52" t="s">
        <v>71</v>
      </c>
      <c r="D512" s="52"/>
      <c r="E512" s="52">
        <v>50583</v>
      </c>
      <c r="F512" s="53"/>
      <c r="G512" s="45">
        <v>6092612</v>
      </c>
      <c r="H512" s="45"/>
      <c r="I512" s="45">
        <v>0</v>
      </c>
      <c r="J512" s="45"/>
      <c r="K512" s="45">
        <v>9588894</v>
      </c>
      <c r="L512" s="45"/>
      <c r="M512" s="45">
        <v>14816</v>
      </c>
      <c r="N512" s="45"/>
      <c r="O512" s="45">
        <v>911847</v>
      </c>
      <c r="P512" s="45"/>
      <c r="Q512" s="45">
        <v>135738</v>
      </c>
      <c r="R512" s="45"/>
      <c r="S512" s="45">
        <v>0</v>
      </c>
      <c r="T512" s="45"/>
      <c r="U512" s="45">
        <v>24842</v>
      </c>
      <c r="V512" s="45"/>
      <c r="W512" s="45">
        <f>317156+4340+218758</f>
        <v>540254</v>
      </c>
      <c r="X512" s="45"/>
      <c r="Y512" s="49">
        <f t="shared" si="67"/>
        <v>17309003</v>
      </c>
      <c r="Z512" s="45"/>
      <c r="AA512" s="45">
        <v>0</v>
      </c>
      <c r="AB512" s="45"/>
      <c r="AC512" s="45"/>
      <c r="AD512" s="45"/>
      <c r="AE512" s="45">
        <v>0</v>
      </c>
      <c r="AF512" s="45"/>
      <c r="AG512" s="45"/>
      <c r="AH512" s="45"/>
      <c r="AI512" s="45">
        <v>0</v>
      </c>
      <c r="AJ512" s="45"/>
      <c r="AK512" s="45">
        <v>0</v>
      </c>
      <c r="AL512" s="45"/>
      <c r="AM512" s="49">
        <f t="shared" si="69"/>
        <v>0</v>
      </c>
      <c r="AN512" s="45"/>
      <c r="AO512" s="49">
        <f t="shared" si="68"/>
        <v>17309003</v>
      </c>
    </row>
    <row r="513" spans="1:50" s="45" customFormat="1">
      <c r="A513" s="12" t="s">
        <v>249</v>
      </c>
      <c r="B513" s="12"/>
      <c r="C513" s="12" t="s">
        <v>17</v>
      </c>
      <c r="D513" s="12"/>
      <c r="E513" s="13">
        <v>46276</v>
      </c>
      <c r="G513" s="45">
        <v>2360051</v>
      </c>
      <c r="I513" s="45">
        <v>891126</v>
      </c>
      <c r="K513" s="45">
        <v>4569872</v>
      </c>
      <c r="M513" s="45">
        <v>53146</v>
      </c>
      <c r="O513" s="45">
        <v>409585</v>
      </c>
      <c r="Q513" s="45">
        <v>123393</v>
      </c>
      <c r="S513" s="45">
        <v>0</v>
      </c>
      <c r="U513" s="45">
        <v>23373</v>
      </c>
      <c r="W513" s="45">
        <f>7672+87629</f>
        <v>95301</v>
      </c>
      <c r="Y513" s="49">
        <f t="shared" si="67"/>
        <v>8525847</v>
      </c>
      <c r="AA513" s="45">
        <v>0</v>
      </c>
      <c r="AE513" s="45">
        <v>1056600</v>
      </c>
      <c r="AI513" s="45">
        <v>0</v>
      </c>
      <c r="AK513" s="45">
        <v>0</v>
      </c>
      <c r="AM513" s="49">
        <f t="shared" si="69"/>
        <v>1056600</v>
      </c>
      <c r="AO513" s="49">
        <f t="shared" si="68"/>
        <v>9582447</v>
      </c>
    </row>
    <row r="514" spans="1:50">
      <c r="A514" s="12" t="s">
        <v>249</v>
      </c>
      <c r="B514" s="12"/>
      <c r="C514" s="12" t="s">
        <v>58</v>
      </c>
      <c r="D514" s="12"/>
      <c r="E514" s="13">
        <v>49528</v>
      </c>
      <c r="F514" s="45"/>
      <c r="G514" s="45">
        <v>1970660</v>
      </c>
      <c r="H514" s="45"/>
      <c r="I514" s="45">
        <v>54603</v>
      </c>
      <c r="J514" s="45"/>
      <c r="K514" s="45">
        <v>9220775</v>
      </c>
      <c r="L514" s="45"/>
      <c r="M514" s="45">
        <v>49609</v>
      </c>
      <c r="N514" s="45"/>
      <c r="O514" s="45">
        <v>849387</v>
      </c>
      <c r="P514" s="45"/>
      <c r="Q514" s="45">
        <v>38794</v>
      </c>
      <c r="R514" s="45"/>
      <c r="S514" s="45">
        <v>0</v>
      </c>
      <c r="T514" s="45"/>
      <c r="U514" s="45">
        <v>0</v>
      </c>
      <c r="V514" s="45"/>
      <c r="W514" s="45">
        <f>36950+159600+194847</f>
        <v>391397</v>
      </c>
      <c r="X514" s="45"/>
      <c r="Y514" s="49">
        <f t="shared" si="67"/>
        <v>12575225</v>
      </c>
      <c r="Z514" s="45"/>
      <c r="AA514" s="45">
        <v>1024436</v>
      </c>
      <c r="AB514" s="45"/>
      <c r="AC514" s="45"/>
      <c r="AD514" s="45"/>
      <c r="AE514" s="45">
        <v>0</v>
      </c>
      <c r="AF514" s="45"/>
      <c r="AG514" s="45"/>
      <c r="AH514" s="45"/>
      <c r="AI514" s="45">
        <v>1500</v>
      </c>
      <c r="AJ514" s="45"/>
      <c r="AK514" s="45">
        <v>0</v>
      </c>
      <c r="AL514" s="45"/>
      <c r="AM514" s="49">
        <f t="shared" si="69"/>
        <v>1025936</v>
      </c>
      <c r="AN514" s="45"/>
      <c r="AO514" s="49">
        <f t="shared" si="68"/>
        <v>13601161</v>
      </c>
      <c r="AP514" s="45"/>
      <c r="AQ514" s="45"/>
      <c r="AR514" s="45"/>
      <c r="AS514" s="45"/>
      <c r="AT514" s="45"/>
      <c r="AU514" s="45"/>
      <c r="AV514" s="45"/>
      <c r="AW514" s="45"/>
      <c r="AX514" s="45"/>
    </row>
    <row r="515" spans="1:50">
      <c r="A515" s="12" t="s">
        <v>269</v>
      </c>
      <c r="B515" s="12"/>
      <c r="C515" s="12" t="s">
        <v>114</v>
      </c>
      <c r="D515" s="12"/>
      <c r="E515" s="13">
        <v>46441</v>
      </c>
      <c r="F515" s="45"/>
      <c r="G515" s="45">
        <v>1816833</v>
      </c>
      <c r="H515" s="45"/>
      <c r="I515" s="45">
        <v>0</v>
      </c>
      <c r="J515" s="45"/>
      <c r="K515" s="45">
        <f>6460697+1151740</f>
        <v>7612437</v>
      </c>
      <c r="L515" s="45"/>
      <c r="M515" s="45">
        <v>1091</v>
      </c>
      <c r="N515" s="45"/>
      <c r="O515" s="45">
        <v>359620</v>
      </c>
      <c r="P515" s="45"/>
      <c r="Q515" s="45">
        <v>86614</v>
      </c>
      <c r="R515" s="45"/>
      <c r="S515" s="45">
        <v>0</v>
      </c>
      <c r="T515" s="45"/>
      <c r="U515" s="45">
        <v>0</v>
      </c>
      <c r="V515" s="45"/>
      <c r="W515" s="45">
        <f>120547+67468+46532</f>
        <v>234547</v>
      </c>
      <c r="X515" s="45"/>
      <c r="Y515" s="49">
        <f>SUM(G515:W515)</f>
        <v>10111142</v>
      </c>
      <c r="Z515" s="45"/>
      <c r="AA515" s="45">
        <v>60000</v>
      </c>
      <c r="AB515" s="45"/>
      <c r="AC515" s="45"/>
      <c r="AD515" s="45"/>
      <c r="AE515" s="45">
        <v>43707</v>
      </c>
      <c r="AF515" s="45"/>
      <c r="AG515" s="45"/>
      <c r="AH515" s="45"/>
      <c r="AI515" s="45">
        <f>2000</f>
        <v>2000</v>
      </c>
      <c r="AJ515" s="45"/>
      <c r="AK515" s="45">
        <v>0</v>
      </c>
      <c r="AL515" s="45"/>
      <c r="AM515" s="49">
        <f t="shared" si="69"/>
        <v>105707</v>
      </c>
      <c r="AN515" s="45"/>
      <c r="AO515" s="49">
        <f t="shared" si="68"/>
        <v>10216849</v>
      </c>
    </row>
    <row r="516" spans="1:50">
      <c r="A516" s="12" t="s">
        <v>269</v>
      </c>
      <c r="B516" s="12"/>
      <c r="C516" s="12" t="s">
        <v>484</v>
      </c>
      <c r="D516" s="12"/>
      <c r="E516" s="13">
        <v>46441</v>
      </c>
      <c r="F516" s="45"/>
      <c r="G516" s="45">
        <v>1877048</v>
      </c>
      <c r="H516" s="45"/>
      <c r="I516" s="45">
        <v>0</v>
      </c>
      <c r="J516" s="45"/>
      <c r="K516" s="45">
        <v>6940857</v>
      </c>
      <c r="L516" s="45"/>
      <c r="M516" s="45">
        <v>43194</v>
      </c>
      <c r="N516" s="45"/>
      <c r="O516" s="45">
        <v>258332</v>
      </c>
      <c r="P516" s="45"/>
      <c r="Q516" s="45">
        <v>45681</v>
      </c>
      <c r="R516" s="45"/>
      <c r="S516" s="45">
        <v>0</v>
      </c>
      <c r="T516" s="45"/>
      <c r="U516" s="45">
        <v>76424</v>
      </c>
      <c r="V516" s="45"/>
      <c r="W516" s="45">
        <f>91985+27539</f>
        <v>119524</v>
      </c>
      <c r="X516" s="45"/>
      <c r="Y516" s="49">
        <f t="shared" si="67"/>
        <v>9361060</v>
      </c>
      <c r="Z516" s="45"/>
      <c r="AA516" s="45">
        <v>66878</v>
      </c>
      <c r="AB516" s="45"/>
      <c r="AC516" s="45"/>
      <c r="AD516" s="45"/>
      <c r="AE516" s="45">
        <f>2670000+139066</f>
        <v>2809066</v>
      </c>
      <c r="AF516" s="45"/>
      <c r="AG516" s="45"/>
      <c r="AH516" s="45"/>
      <c r="AI516" s="45">
        <v>1200</v>
      </c>
      <c r="AJ516" s="45"/>
      <c r="AK516" s="45">
        <v>0</v>
      </c>
      <c r="AL516" s="45"/>
      <c r="AM516" s="49">
        <f t="shared" si="69"/>
        <v>2877144</v>
      </c>
      <c r="AN516" s="45"/>
      <c r="AO516" s="49">
        <f t="shared" si="68"/>
        <v>12238204</v>
      </c>
    </row>
    <row r="517" spans="1:50" hidden="1">
      <c r="A517" s="12" t="s">
        <v>873</v>
      </c>
      <c r="B517" s="12"/>
      <c r="C517" s="12" t="s">
        <v>524</v>
      </c>
      <c r="D517" s="12"/>
      <c r="E517" s="13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9">
        <f t="shared" si="67"/>
        <v>0</v>
      </c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>
        <v>0</v>
      </c>
      <c r="AL517" s="45"/>
      <c r="AM517" s="49">
        <f t="shared" si="69"/>
        <v>0</v>
      </c>
      <c r="AN517" s="45"/>
      <c r="AO517" s="49">
        <f t="shared" si="68"/>
        <v>0</v>
      </c>
    </row>
    <row r="518" spans="1:50">
      <c r="A518" s="12" t="s">
        <v>615</v>
      </c>
      <c r="B518" s="12"/>
      <c r="C518" s="12" t="s">
        <v>64</v>
      </c>
      <c r="D518" s="12"/>
      <c r="E518" s="13">
        <v>50237</v>
      </c>
      <c r="F518" s="45"/>
      <c r="G518" s="45">
        <v>2114161</v>
      </c>
      <c r="H518" s="45"/>
      <c r="I518" s="45">
        <v>0</v>
      </c>
      <c r="J518" s="45"/>
      <c r="K518" s="45">
        <v>7239143</v>
      </c>
      <c r="L518" s="45"/>
      <c r="M518" s="45">
        <v>281304</v>
      </c>
      <c r="N518" s="45"/>
      <c r="O518" s="45">
        <v>374948</v>
      </c>
      <c r="P518" s="45"/>
      <c r="Q518" s="45">
        <v>98967</v>
      </c>
      <c r="R518" s="45"/>
      <c r="S518" s="45">
        <v>0</v>
      </c>
      <c r="T518" s="45"/>
      <c r="U518" s="45">
        <v>5859</v>
      </c>
      <c r="V518" s="45"/>
      <c r="W518" s="45">
        <f>108850+86921</f>
        <v>195771</v>
      </c>
      <c r="X518" s="45"/>
      <c r="Y518" s="49">
        <f t="shared" si="67"/>
        <v>10310153</v>
      </c>
      <c r="Z518" s="45"/>
      <c r="AA518" s="45">
        <v>0</v>
      </c>
      <c r="AB518" s="45"/>
      <c r="AC518" s="45"/>
      <c r="AD518" s="45"/>
      <c r="AE518" s="45">
        <v>0</v>
      </c>
      <c r="AF518" s="45"/>
      <c r="AG518" s="45"/>
      <c r="AH518" s="45"/>
      <c r="AI518" s="45">
        <v>0</v>
      </c>
      <c r="AJ518" s="45"/>
      <c r="AK518" s="45">
        <v>0</v>
      </c>
      <c r="AL518" s="45"/>
      <c r="AM518" s="49">
        <f t="shared" si="69"/>
        <v>0</v>
      </c>
      <c r="AN518" s="45"/>
      <c r="AO518" s="49">
        <f t="shared" si="68"/>
        <v>10310153</v>
      </c>
    </row>
    <row r="519" spans="1:50">
      <c r="A519" s="12" t="s">
        <v>434</v>
      </c>
      <c r="B519" s="12"/>
      <c r="C519" s="12" t="s">
        <v>42</v>
      </c>
      <c r="D519" s="12"/>
      <c r="E519" s="13">
        <v>48041</v>
      </c>
      <c r="F519" s="45"/>
      <c r="G519" s="45">
        <v>17524672</v>
      </c>
      <c r="H519" s="45"/>
      <c r="I519" s="45">
        <v>4046224</v>
      </c>
      <c r="J519" s="45"/>
      <c r="K519" s="45">
        <v>17236332</v>
      </c>
      <c r="L519" s="45"/>
      <c r="M519" s="45">
        <v>199729</v>
      </c>
      <c r="N519" s="45"/>
      <c r="O519" s="45">
        <v>571363</v>
      </c>
      <c r="P519" s="45"/>
      <c r="Q519" s="45">
        <v>337329</v>
      </c>
      <c r="R519" s="45"/>
      <c r="S519" s="45">
        <v>51407</v>
      </c>
      <c r="T519" s="45"/>
      <c r="U519" s="45">
        <v>0</v>
      </c>
      <c r="V519" s="45"/>
      <c r="W519" s="45">
        <f>973220+168037</f>
        <v>1141257</v>
      </c>
      <c r="X519" s="45"/>
      <c r="Y519" s="49">
        <f t="shared" si="67"/>
        <v>41108313</v>
      </c>
      <c r="Z519" s="45"/>
      <c r="AA519" s="45">
        <v>0</v>
      </c>
      <c r="AB519" s="45"/>
      <c r="AC519" s="45"/>
      <c r="AD519" s="45"/>
      <c r="AE519" s="45">
        <v>90466</v>
      </c>
      <c r="AF519" s="45"/>
      <c r="AG519" s="45"/>
      <c r="AH519" s="45"/>
      <c r="AI519" s="45">
        <v>10778</v>
      </c>
      <c r="AJ519" s="45"/>
      <c r="AK519" s="45">
        <v>0</v>
      </c>
      <c r="AL519" s="45"/>
      <c r="AM519" s="49">
        <f t="shared" si="69"/>
        <v>101244</v>
      </c>
      <c r="AN519" s="45"/>
      <c r="AO519" s="49">
        <f t="shared" si="68"/>
        <v>41209557</v>
      </c>
    </row>
    <row r="520" spans="1:50">
      <c r="A520" s="12" t="s">
        <v>374</v>
      </c>
      <c r="B520" s="12"/>
      <c r="C520" s="12" t="s">
        <v>32</v>
      </c>
      <c r="D520" s="12"/>
      <c r="E520" s="13">
        <v>47381</v>
      </c>
      <c r="F520" s="45"/>
      <c r="G520" s="45">
        <v>15618996</v>
      </c>
      <c r="H520" s="45"/>
      <c r="I520" s="45">
        <v>0</v>
      </c>
      <c r="J520" s="45"/>
      <c r="K520" s="45">
        <v>19306245</v>
      </c>
      <c r="L520" s="45"/>
      <c r="M520" s="45">
        <v>51854</v>
      </c>
      <c r="N520" s="45"/>
      <c r="O520" s="45">
        <v>62818</v>
      </c>
      <c r="P520" s="45"/>
      <c r="Q520" s="45">
        <v>238017</v>
      </c>
      <c r="R520" s="45"/>
      <c r="S520" s="45">
        <v>122134</v>
      </c>
      <c r="T520" s="45"/>
      <c r="U520" s="45">
        <v>0</v>
      </c>
      <c r="V520" s="45"/>
      <c r="W520" s="45">
        <f>249720+1105755</f>
        <v>1355475</v>
      </c>
      <c r="X520" s="45"/>
      <c r="Y520" s="49">
        <f t="shared" si="67"/>
        <v>36755539</v>
      </c>
      <c r="Z520" s="45"/>
      <c r="AA520" s="45">
        <v>486</v>
      </c>
      <c r="AB520" s="45"/>
      <c r="AC520" s="45"/>
      <c r="AD520" s="45"/>
      <c r="AE520" s="45">
        <v>0</v>
      </c>
      <c r="AF520" s="45"/>
      <c r="AG520" s="45"/>
      <c r="AH520" s="45"/>
      <c r="AI520" s="45">
        <v>330148</v>
      </c>
      <c r="AJ520" s="45"/>
      <c r="AK520" s="45">
        <v>0</v>
      </c>
      <c r="AL520" s="45"/>
      <c r="AM520" s="49">
        <f t="shared" si="69"/>
        <v>330634</v>
      </c>
      <c r="AN520" s="45"/>
      <c r="AO520" s="49">
        <f t="shared" si="68"/>
        <v>37086173</v>
      </c>
    </row>
    <row r="521" spans="1:50">
      <c r="A521" s="12" t="s">
        <v>340</v>
      </c>
      <c r="B521" s="12"/>
      <c r="C521" s="12" t="s">
        <v>27</v>
      </c>
      <c r="D521" s="12"/>
      <c r="E521" s="13">
        <v>44800</v>
      </c>
      <c r="F521" s="45"/>
      <c r="G521" s="45">
        <v>108946272</v>
      </c>
      <c r="H521" s="45"/>
      <c r="I521" s="45">
        <v>0</v>
      </c>
      <c r="J521" s="45"/>
      <c r="K521" s="45">
        <f>114173138+30732525</f>
        <v>144905663</v>
      </c>
      <c r="L521" s="45"/>
      <c r="M521" s="45">
        <v>336732</v>
      </c>
      <c r="N521" s="45"/>
      <c r="O521" s="45">
        <v>974692</v>
      </c>
      <c r="P521" s="45"/>
      <c r="Q521" s="45">
        <v>0</v>
      </c>
      <c r="R521" s="45"/>
      <c r="S521" s="45">
        <v>1678739</v>
      </c>
      <c r="T521" s="45"/>
      <c r="U521" s="45">
        <v>0</v>
      </c>
      <c r="V521" s="45"/>
      <c r="W521" s="45">
        <v>6080996</v>
      </c>
      <c r="X521" s="45"/>
      <c r="Y521" s="49">
        <f t="shared" si="67"/>
        <v>262923094</v>
      </c>
      <c r="Z521" s="45"/>
      <c r="AA521" s="45">
        <v>1069376</v>
      </c>
      <c r="AB521" s="45"/>
      <c r="AC521" s="45"/>
      <c r="AD521" s="45"/>
      <c r="AE521" s="45">
        <v>0</v>
      </c>
      <c r="AF521" s="45"/>
      <c r="AG521" s="45"/>
      <c r="AH521" s="45"/>
      <c r="AI521" s="45">
        <v>12346</v>
      </c>
      <c r="AJ521" s="45"/>
      <c r="AK521" s="45">
        <v>0</v>
      </c>
      <c r="AL521" s="45"/>
      <c r="AM521" s="49">
        <f t="shared" si="69"/>
        <v>1081722</v>
      </c>
      <c r="AN521" s="45"/>
      <c r="AO521" s="49">
        <f t="shared" si="68"/>
        <v>264004816</v>
      </c>
    </row>
    <row r="522" spans="1:50" hidden="1">
      <c r="A522" s="17" t="s">
        <v>875</v>
      </c>
      <c r="B522" s="12"/>
      <c r="C522" s="12" t="s">
        <v>10</v>
      </c>
      <c r="D522" s="12"/>
      <c r="E522" s="13">
        <v>45807</v>
      </c>
      <c r="F522" s="43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9">
        <f t="shared" si="67"/>
        <v>0</v>
      </c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>
        <v>0</v>
      </c>
      <c r="AL522" s="45"/>
      <c r="AM522" s="49">
        <f t="shared" si="69"/>
        <v>0</v>
      </c>
      <c r="AN522" s="45"/>
      <c r="AO522" s="49">
        <f t="shared" si="68"/>
        <v>0</v>
      </c>
    </row>
    <row r="523" spans="1:50" hidden="1">
      <c r="A523" s="17" t="s">
        <v>874</v>
      </c>
      <c r="B523" s="12"/>
      <c r="C523" s="12" t="s">
        <v>69</v>
      </c>
      <c r="D523" s="12"/>
      <c r="E523" s="13">
        <v>50427</v>
      </c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9">
        <f t="shared" si="67"/>
        <v>0</v>
      </c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>
        <v>0</v>
      </c>
      <c r="AL523" s="45"/>
      <c r="AM523" s="49">
        <f t="shared" si="69"/>
        <v>0</v>
      </c>
      <c r="AN523" s="45"/>
      <c r="AO523" s="49">
        <f t="shared" si="68"/>
        <v>0</v>
      </c>
    </row>
    <row r="524" spans="1:50">
      <c r="A524" s="12" t="s">
        <v>761</v>
      </c>
      <c r="B524" s="12"/>
      <c r="C524" s="12" t="s">
        <v>17</v>
      </c>
      <c r="D524" s="12"/>
      <c r="E524" s="13"/>
      <c r="F524" s="45"/>
      <c r="G524" s="45">
        <v>25523863</v>
      </c>
      <c r="H524" s="45"/>
      <c r="I524" s="45">
        <v>0</v>
      </c>
      <c r="J524" s="45"/>
      <c r="K524" s="45">
        <v>78338410</v>
      </c>
      <c r="L524" s="45"/>
      <c r="M524" s="45">
        <v>246957</v>
      </c>
      <c r="N524" s="45"/>
      <c r="O524" s="45">
        <v>1263384</v>
      </c>
      <c r="P524" s="45"/>
      <c r="Q524" s="45">
        <v>251343</v>
      </c>
      <c r="R524" s="45"/>
      <c r="S524" s="45">
        <v>0</v>
      </c>
      <c r="T524" s="45"/>
      <c r="U524" s="45">
        <v>15603</v>
      </c>
      <c r="V524" s="45"/>
      <c r="W524" s="45">
        <f>28690+1072923+352647</f>
        <v>1454260</v>
      </c>
      <c r="X524" s="45"/>
      <c r="Y524" s="49">
        <f t="shared" si="67"/>
        <v>107093820</v>
      </c>
      <c r="Z524" s="45"/>
      <c r="AA524" s="45">
        <v>6600</v>
      </c>
      <c r="AB524" s="45"/>
      <c r="AC524" s="45"/>
      <c r="AD524" s="45"/>
      <c r="AE524" s="45">
        <v>0</v>
      </c>
      <c r="AF524" s="45"/>
      <c r="AG524" s="45"/>
      <c r="AH524" s="45"/>
      <c r="AI524" s="45">
        <v>39612</v>
      </c>
      <c r="AJ524" s="45"/>
      <c r="AK524" s="45">
        <v>0</v>
      </c>
      <c r="AL524" s="45"/>
      <c r="AM524" s="49">
        <f t="shared" si="69"/>
        <v>46212</v>
      </c>
      <c r="AN524" s="45"/>
      <c r="AO524" s="49">
        <f t="shared" si="68"/>
        <v>107140032</v>
      </c>
    </row>
    <row r="525" spans="1:50">
      <c r="A525" s="17" t="s">
        <v>899</v>
      </c>
      <c r="B525" s="12"/>
      <c r="C525" s="12" t="s">
        <v>117</v>
      </c>
      <c r="D525" s="12"/>
      <c r="E525" s="13">
        <v>48223</v>
      </c>
      <c r="F525" s="45"/>
      <c r="G525" s="45">
        <v>23860432</v>
      </c>
      <c r="H525" s="45"/>
      <c r="I525" s="45">
        <v>0</v>
      </c>
      <c r="J525" s="45"/>
      <c r="K525" s="45">
        <v>16016067</v>
      </c>
      <c r="L525" s="45"/>
      <c r="M525" s="45">
        <v>80376</v>
      </c>
      <c r="N525" s="45"/>
      <c r="O525" s="45">
        <v>1044487</v>
      </c>
      <c r="P525" s="45"/>
      <c r="Q525" s="45">
        <v>596548</v>
      </c>
      <c r="R525" s="45"/>
      <c r="S525" s="45">
        <v>0</v>
      </c>
      <c r="T525" s="45"/>
      <c r="U525" s="45">
        <v>95054</v>
      </c>
      <c r="V525" s="45"/>
      <c r="W525" s="45">
        <f>29427+758407+718362</f>
        <v>1506196</v>
      </c>
      <c r="X525" s="45"/>
      <c r="Y525" s="49">
        <f t="shared" si="67"/>
        <v>43199160</v>
      </c>
      <c r="Z525" s="45"/>
      <c r="AA525" s="45">
        <v>1006895</v>
      </c>
      <c r="AB525" s="45"/>
      <c r="AC525" s="45"/>
      <c r="AD525" s="45"/>
      <c r="AE525" s="45">
        <v>0</v>
      </c>
      <c r="AF525" s="45"/>
      <c r="AG525" s="45"/>
      <c r="AH525" s="45"/>
      <c r="AI525" s="45">
        <f>3053+425</f>
        <v>3478</v>
      </c>
      <c r="AJ525" s="45"/>
      <c r="AK525" s="45">
        <v>0</v>
      </c>
      <c r="AL525" s="45"/>
      <c r="AM525" s="49">
        <f t="shared" si="69"/>
        <v>1010373</v>
      </c>
      <c r="AN525" s="45"/>
      <c r="AO525" s="49">
        <f t="shared" si="68"/>
        <v>44209533</v>
      </c>
    </row>
    <row r="526" spans="1:50">
      <c r="A526" s="12" t="s">
        <v>453</v>
      </c>
      <c r="B526" s="12"/>
      <c r="C526" s="12" t="s">
        <v>45</v>
      </c>
      <c r="D526" s="12"/>
      <c r="E526" s="13">
        <v>48371</v>
      </c>
      <c r="F526" s="45"/>
      <c r="G526" s="45">
        <v>3155631</v>
      </c>
      <c r="H526" s="45"/>
      <c r="I526" s="45">
        <v>1584789</v>
      </c>
      <c r="J526" s="45"/>
      <c r="K526" s="45">
        <f>5474990+1037041</f>
        <v>6512031</v>
      </c>
      <c r="L526" s="45"/>
      <c r="M526" s="45">
        <v>8162</v>
      </c>
      <c r="N526" s="45"/>
      <c r="O526" s="45">
        <v>12823</v>
      </c>
      <c r="P526" s="45"/>
      <c r="Q526" s="45">
        <v>164320</v>
      </c>
      <c r="R526" s="45"/>
      <c r="S526" s="45">
        <v>0</v>
      </c>
      <c r="T526" s="45"/>
      <c r="U526" s="45">
        <v>40299</v>
      </c>
      <c r="V526" s="45"/>
      <c r="W526" s="45">
        <f>267849+29613+50+5000+23204</f>
        <v>325716</v>
      </c>
      <c r="X526" s="45"/>
      <c r="Y526" s="49">
        <f t="shared" si="67"/>
        <v>11803771</v>
      </c>
      <c r="Z526" s="45"/>
      <c r="AA526" s="45">
        <v>60000</v>
      </c>
      <c r="AB526" s="45"/>
      <c r="AC526" s="45"/>
      <c r="AD526" s="45"/>
      <c r="AE526" s="45">
        <v>0</v>
      </c>
      <c r="AF526" s="45"/>
      <c r="AG526" s="45"/>
      <c r="AH526" s="45"/>
      <c r="AI526" s="45">
        <v>0</v>
      </c>
      <c r="AJ526" s="45"/>
      <c r="AK526" s="45">
        <v>0</v>
      </c>
      <c r="AL526" s="45"/>
      <c r="AM526" s="49">
        <f t="shared" si="69"/>
        <v>60000</v>
      </c>
      <c r="AN526" s="45"/>
      <c r="AO526" s="49">
        <f t="shared" si="68"/>
        <v>11863771</v>
      </c>
    </row>
    <row r="527" spans="1:50">
      <c r="A527" s="12" t="s">
        <v>453</v>
      </c>
      <c r="B527" s="12"/>
      <c r="C527" s="12" t="s">
        <v>63</v>
      </c>
      <c r="D527" s="12"/>
      <c r="E527" s="13">
        <v>50062</v>
      </c>
      <c r="F527" s="45"/>
      <c r="G527" s="45">
        <v>10790239</v>
      </c>
      <c r="H527" s="45"/>
      <c r="I527" s="45">
        <v>0</v>
      </c>
      <c r="J527" s="45"/>
      <c r="K527" s="45">
        <v>15867867</v>
      </c>
      <c r="L527" s="45"/>
      <c r="M527" s="45">
        <v>7105</v>
      </c>
      <c r="N527" s="45"/>
      <c r="O527" s="45">
        <v>1951142</v>
      </c>
      <c r="P527" s="45"/>
      <c r="Q527" s="45">
        <v>266908</v>
      </c>
      <c r="R527" s="45"/>
      <c r="S527" s="45">
        <v>0</v>
      </c>
      <c r="T527" s="45"/>
      <c r="U527" s="45">
        <v>81488</v>
      </c>
      <c r="V527" s="45"/>
      <c r="W527" s="45">
        <f>86728+253208+97231</f>
        <v>437167</v>
      </c>
      <c r="X527" s="45"/>
      <c r="Y527" s="49">
        <f t="shared" si="67"/>
        <v>29401916</v>
      </c>
      <c r="Z527" s="45"/>
      <c r="AA527" s="45">
        <v>0</v>
      </c>
      <c r="AB527" s="45"/>
      <c r="AC527" s="45"/>
      <c r="AD527" s="45"/>
      <c r="AE527" s="45">
        <v>117569</v>
      </c>
      <c r="AF527" s="45"/>
      <c r="AG527" s="45"/>
      <c r="AH527" s="45"/>
      <c r="AI527" s="45">
        <f>1289</f>
        <v>1289</v>
      </c>
      <c r="AJ527" s="45"/>
      <c r="AK527" s="45">
        <v>0</v>
      </c>
      <c r="AL527" s="45"/>
      <c r="AM527" s="49">
        <f t="shared" si="69"/>
        <v>118858</v>
      </c>
      <c r="AN527" s="45"/>
      <c r="AO527" s="49">
        <f t="shared" si="68"/>
        <v>29520774</v>
      </c>
    </row>
    <row r="528" spans="1:50">
      <c r="A528" s="12" t="s">
        <v>770</v>
      </c>
      <c r="B528" s="12"/>
      <c r="C528" s="12" t="s">
        <v>32</v>
      </c>
      <c r="D528" s="12"/>
      <c r="E528" s="13">
        <v>44719</v>
      </c>
      <c r="F528" s="45"/>
      <c r="G528" s="45">
        <v>4701291</v>
      </c>
      <c r="H528" s="45"/>
      <c r="I528" s="45">
        <v>0</v>
      </c>
      <c r="J528" s="45"/>
      <c r="K528" s="45">
        <v>9003326</v>
      </c>
      <c r="L528" s="45"/>
      <c r="M528" s="45">
        <v>6824</v>
      </c>
      <c r="N528" s="45"/>
      <c r="O528" s="45">
        <v>467598</v>
      </c>
      <c r="P528" s="45"/>
      <c r="Q528" s="45">
        <v>47583</v>
      </c>
      <c r="R528" s="45"/>
      <c r="S528" s="45">
        <v>0</v>
      </c>
      <c r="T528" s="45"/>
      <c r="U528" s="45">
        <v>0</v>
      </c>
      <c r="V528" s="45"/>
      <c r="W528" s="45">
        <f>136095+334101</f>
        <v>470196</v>
      </c>
      <c r="X528" s="45"/>
      <c r="Y528" s="49">
        <f t="shared" si="67"/>
        <v>14696818</v>
      </c>
      <c r="Z528" s="45"/>
      <c r="AA528" s="45">
        <v>1457297</v>
      </c>
      <c r="AB528" s="45"/>
      <c r="AC528" s="45"/>
      <c r="AD528" s="45"/>
      <c r="AE528" s="45">
        <v>0</v>
      </c>
      <c r="AF528" s="45"/>
      <c r="AG528" s="45"/>
      <c r="AH528" s="45"/>
      <c r="AI528" s="45">
        <v>0</v>
      </c>
      <c r="AJ528" s="45"/>
      <c r="AK528" s="45">
        <v>0</v>
      </c>
      <c r="AL528" s="45"/>
      <c r="AM528" s="49">
        <f t="shared" si="69"/>
        <v>1457297</v>
      </c>
      <c r="AN528" s="45"/>
      <c r="AO528" s="49">
        <f t="shared" si="68"/>
        <v>16154115</v>
      </c>
    </row>
    <row r="529" spans="1:41">
      <c r="A529" s="12" t="s">
        <v>769</v>
      </c>
      <c r="B529" s="12"/>
      <c r="C529" s="12" t="s">
        <v>15</v>
      </c>
      <c r="D529" s="12"/>
      <c r="E529" s="13">
        <v>45997</v>
      </c>
      <c r="F529" s="45"/>
      <c r="G529" s="45">
        <v>6851028</v>
      </c>
      <c r="H529" s="45"/>
      <c r="I529" s="45">
        <v>0</v>
      </c>
      <c r="J529" s="45"/>
      <c r="K529" s="45">
        <v>6747080</v>
      </c>
      <c r="L529" s="45"/>
      <c r="M529" s="45">
        <v>12838</v>
      </c>
      <c r="N529" s="45"/>
      <c r="O529" s="45">
        <v>1010851</v>
      </c>
      <c r="P529" s="45"/>
      <c r="Q529" s="45">
        <v>282061</v>
      </c>
      <c r="R529" s="45"/>
      <c r="S529" s="45">
        <v>0</v>
      </c>
      <c r="T529" s="45"/>
      <c r="U529" s="45">
        <v>86492</v>
      </c>
      <c r="V529" s="45"/>
      <c r="W529" s="45">
        <f>1100+280392+44426</f>
        <v>325918</v>
      </c>
      <c r="X529" s="45"/>
      <c r="Y529" s="49">
        <f t="shared" si="67"/>
        <v>15316268</v>
      </c>
      <c r="Z529" s="45"/>
      <c r="AA529" s="45">
        <v>583</v>
      </c>
      <c r="AB529" s="45"/>
      <c r="AC529" s="45"/>
      <c r="AD529" s="45"/>
      <c r="AE529" s="45">
        <v>55807</v>
      </c>
      <c r="AF529" s="45"/>
      <c r="AG529" s="45"/>
      <c r="AH529" s="45"/>
      <c r="AI529" s="45">
        <f>1500</f>
        <v>1500</v>
      </c>
      <c r="AJ529" s="45"/>
      <c r="AK529" s="45">
        <v>0</v>
      </c>
      <c r="AL529" s="45"/>
      <c r="AM529" s="49">
        <f t="shared" si="69"/>
        <v>57890</v>
      </c>
      <c r="AN529" s="45"/>
      <c r="AO529" s="49">
        <f t="shared" si="68"/>
        <v>15374158</v>
      </c>
    </row>
    <row r="530" spans="1:41" hidden="1">
      <c r="A530" s="17" t="s">
        <v>876</v>
      </c>
      <c r="B530" s="12"/>
      <c r="C530" s="12" t="s">
        <v>486</v>
      </c>
      <c r="D530" s="12"/>
      <c r="E530" s="13">
        <v>48587</v>
      </c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9">
        <f t="shared" si="67"/>
        <v>0</v>
      </c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>
        <v>0</v>
      </c>
      <c r="AL530" s="45"/>
      <c r="AM530" s="49">
        <f t="shared" si="69"/>
        <v>0</v>
      </c>
      <c r="AN530" s="45"/>
      <c r="AO530" s="49">
        <f t="shared" si="68"/>
        <v>0</v>
      </c>
    </row>
    <row r="531" spans="1:41" hidden="1">
      <c r="A531" s="17" t="s">
        <v>877</v>
      </c>
      <c r="B531" s="12"/>
      <c r="C531" s="12" t="s">
        <v>14</v>
      </c>
      <c r="D531" s="12"/>
      <c r="E531" s="13">
        <v>44727</v>
      </c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9">
        <f t="shared" si="67"/>
        <v>0</v>
      </c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>
        <v>0</v>
      </c>
      <c r="AL531" s="45"/>
      <c r="AM531" s="49">
        <f t="shared" si="69"/>
        <v>0</v>
      </c>
      <c r="AN531" s="45"/>
      <c r="AO531" s="49">
        <f t="shared" si="68"/>
        <v>0</v>
      </c>
    </row>
    <row r="532" spans="1:41">
      <c r="A532" s="12" t="s">
        <v>412</v>
      </c>
      <c r="B532" s="12"/>
      <c r="C532" s="12" t="s">
        <v>39</v>
      </c>
      <c r="D532" s="12"/>
      <c r="E532" s="13">
        <v>44826</v>
      </c>
      <c r="F532" s="45"/>
      <c r="G532" s="45">
        <v>4297882</v>
      </c>
      <c r="H532" s="45"/>
      <c r="I532" s="45">
        <v>0</v>
      </c>
      <c r="J532" s="45"/>
      <c r="K532" s="45">
        <v>17361503</v>
      </c>
      <c r="L532" s="45"/>
      <c r="M532" s="45">
        <v>86824</v>
      </c>
      <c r="N532" s="45"/>
      <c r="O532" s="45">
        <v>3187234</v>
      </c>
      <c r="P532" s="45"/>
      <c r="Q532" s="45">
        <v>298276</v>
      </c>
      <c r="R532" s="45"/>
      <c r="S532" s="45">
        <v>0</v>
      </c>
      <c r="T532" s="45"/>
      <c r="U532" s="45">
        <v>236778</v>
      </c>
      <c r="V532" s="45"/>
      <c r="W532" s="45">
        <f>32004+212366+176747</f>
        <v>421117</v>
      </c>
      <c r="X532" s="45"/>
      <c r="Y532" s="49">
        <f t="shared" si="67"/>
        <v>25889614</v>
      </c>
      <c r="Z532" s="45"/>
      <c r="AA532" s="1">
        <v>464674</v>
      </c>
      <c r="AB532" s="45"/>
      <c r="AC532" s="45"/>
      <c r="AD532" s="45"/>
      <c r="AE532" s="45">
        <v>0</v>
      </c>
      <c r="AF532" s="45"/>
      <c r="AG532" s="45"/>
      <c r="AH532" s="45"/>
      <c r="AI532" s="45">
        <v>4778</v>
      </c>
      <c r="AJ532" s="45"/>
      <c r="AK532" s="45">
        <v>0</v>
      </c>
      <c r="AL532" s="45"/>
      <c r="AM532" s="49">
        <f t="shared" si="69"/>
        <v>469452</v>
      </c>
      <c r="AN532" s="45"/>
      <c r="AO532" s="49">
        <f t="shared" si="68"/>
        <v>26359066</v>
      </c>
    </row>
    <row r="533" spans="1:41">
      <c r="A533" s="12" t="s">
        <v>595</v>
      </c>
      <c r="B533" s="12"/>
      <c r="C533" s="12" t="s">
        <v>63</v>
      </c>
      <c r="D533" s="12"/>
      <c r="E533" s="13">
        <v>44834</v>
      </c>
      <c r="F533" s="45"/>
      <c r="G533" s="45">
        <v>28767164</v>
      </c>
      <c r="H533" s="45"/>
      <c r="I533" s="45">
        <v>0</v>
      </c>
      <c r="J533" s="45"/>
      <c r="K533" s="45">
        <f>20855+20415976+3890920</f>
        <v>24327751</v>
      </c>
      <c r="L533" s="45"/>
      <c r="M533" s="45">
        <v>131808</v>
      </c>
      <c r="N533" s="45"/>
      <c r="O533" s="45">
        <v>1770239</v>
      </c>
      <c r="P533" s="45"/>
      <c r="Q533" s="45">
        <v>645462</v>
      </c>
      <c r="R533" s="45"/>
      <c r="S533" s="45">
        <v>0</v>
      </c>
      <c r="T533" s="45"/>
      <c r="U533" s="45">
        <v>0</v>
      </c>
      <c r="V533" s="45"/>
      <c r="W533" s="45">
        <f>802499+174922+213650</f>
        <v>1191071</v>
      </c>
      <c r="X533" s="45"/>
      <c r="Y533" s="49">
        <f t="shared" si="67"/>
        <v>56833495</v>
      </c>
      <c r="Z533" s="45"/>
      <c r="AA533" s="1">
        <v>0</v>
      </c>
      <c r="AB533" s="45"/>
      <c r="AC533" s="45"/>
      <c r="AD533" s="45"/>
      <c r="AE533" s="45">
        <v>0</v>
      </c>
      <c r="AF533" s="45"/>
      <c r="AG533" s="45"/>
      <c r="AH533" s="45"/>
      <c r="AI533" s="45">
        <v>8355</v>
      </c>
      <c r="AJ533" s="45"/>
      <c r="AK533" s="45">
        <v>0</v>
      </c>
      <c r="AL533" s="45"/>
      <c r="AM533" s="49">
        <f t="shared" si="69"/>
        <v>8355</v>
      </c>
      <c r="AN533" s="45"/>
      <c r="AO533" s="49">
        <f t="shared" si="68"/>
        <v>56841850</v>
      </c>
    </row>
    <row r="534" spans="1:41" hidden="1">
      <c r="A534" s="12" t="s">
        <v>878</v>
      </c>
      <c r="B534" s="12"/>
      <c r="C534" s="12" t="s">
        <v>65</v>
      </c>
      <c r="D534" s="12"/>
      <c r="E534" s="13">
        <v>50294</v>
      </c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9">
        <f t="shared" si="67"/>
        <v>0</v>
      </c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>
        <v>0</v>
      </c>
      <c r="AL534" s="45"/>
      <c r="AM534" s="49">
        <f t="shared" si="69"/>
        <v>0</v>
      </c>
      <c r="AN534" s="45"/>
      <c r="AO534" s="49">
        <f t="shared" si="68"/>
        <v>0</v>
      </c>
    </row>
    <row r="535" spans="1:41">
      <c r="A535" s="12" t="s">
        <v>538</v>
      </c>
      <c r="B535" s="12"/>
      <c r="C535" s="12" t="s">
        <v>56</v>
      </c>
      <c r="D535" s="12"/>
      <c r="E535" s="13">
        <v>49239</v>
      </c>
      <c r="F535" s="45"/>
      <c r="G535" s="45">
        <v>14469988</v>
      </c>
      <c r="H535" s="45"/>
      <c r="I535" s="45">
        <v>0</v>
      </c>
      <c r="J535" s="45"/>
      <c r="K535" s="45">
        <v>10177419</v>
      </c>
      <c r="L535" s="45"/>
      <c r="M535" s="45">
        <v>3918</v>
      </c>
      <c r="N535" s="45"/>
      <c r="O535" s="45">
        <v>135791</v>
      </c>
      <c r="P535" s="45"/>
      <c r="Q535" s="45">
        <v>289864</v>
      </c>
      <c r="R535" s="45"/>
      <c r="S535" s="45">
        <v>266269</v>
      </c>
      <c r="T535" s="45"/>
      <c r="U535" s="45">
        <v>24437</v>
      </c>
      <c r="V535" s="45"/>
      <c r="W535" s="45">
        <f>11461+500786+12240</f>
        <v>524487</v>
      </c>
      <c r="X535" s="45"/>
      <c r="Y535" s="49">
        <f t="shared" si="67"/>
        <v>25892173</v>
      </c>
      <c r="Z535" s="45"/>
      <c r="AA535" s="1">
        <v>0</v>
      </c>
      <c r="AB535" s="45"/>
      <c r="AC535" s="45"/>
      <c r="AD535" s="45"/>
      <c r="AE535" s="45">
        <v>0</v>
      </c>
      <c r="AF535" s="45"/>
      <c r="AG535" s="45"/>
      <c r="AH535" s="45"/>
      <c r="AI535" s="45">
        <v>4396</v>
      </c>
      <c r="AJ535" s="45"/>
      <c r="AK535" s="45">
        <v>0</v>
      </c>
      <c r="AL535" s="45"/>
      <c r="AM535" s="49">
        <f t="shared" si="69"/>
        <v>4396</v>
      </c>
      <c r="AN535" s="45"/>
      <c r="AO535" s="49">
        <f t="shared" si="68"/>
        <v>25896569</v>
      </c>
    </row>
    <row r="536" spans="1:41">
      <c r="A536" s="12" t="s">
        <v>306</v>
      </c>
      <c r="B536" s="12"/>
      <c r="C536" s="12" t="s">
        <v>20</v>
      </c>
      <c r="D536" s="12"/>
      <c r="E536" s="13">
        <v>44842</v>
      </c>
      <c r="F536" s="45"/>
      <c r="G536" s="45">
        <v>52569310</v>
      </c>
      <c r="H536" s="45"/>
      <c r="I536" s="45">
        <v>0</v>
      </c>
      <c r="J536" s="45"/>
      <c r="K536" s="45">
        <v>28007109</v>
      </c>
      <c r="L536" s="45"/>
      <c r="M536" s="45">
        <v>39406</v>
      </c>
      <c r="N536" s="45"/>
      <c r="O536" s="45">
        <v>735486</v>
      </c>
      <c r="P536" s="45"/>
      <c r="Q536" s="45">
        <v>276958</v>
      </c>
      <c r="R536" s="45"/>
      <c r="S536" s="45">
        <v>0</v>
      </c>
      <c r="T536" s="45"/>
      <c r="U536" s="45">
        <v>0</v>
      </c>
      <c r="V536" s="45"/>
      <c r="W536" s="45">
        <f>1407403+1013950</f>
        <v>2421353</v>
      </c>
      <c r="X536" s="45"/>
      <c r="Y536" s="49">
        <f t="shared" si="67"/>
        <v>84049622</v>
      </c>
      <c r="Z536" s="45"/>
      <c r="AA536" s="45">
        <v>259917</v>
      </c>
      <c r="AB536" s="45"/>
      <c r="AC536" s="45"/>
      <c r="AD536" s="45"/>
      <c r="AE536" s="45">
        <v>0</v>
      </c>
      <c r="AF536" s="45"/>
      <c r="AG536" s="45"/>
      <c r="AH536" s="45"/>
      <c r="AI536" s="45">
        <v>35430</v>
      </c>
      <c r="AJ536" s="45"/>
      <c r="AK536" s="45">
        <v>0</v>
      </c>
      <c r="AL536" s="45"/>
      <c r="AM536" s="49">
        <f t="shared" si="69"/>
        <v>295347</v>
      </c>
      <c r="AN536" s="45"/>
      <c r="AO536" s="49">
        <f t="shared" si="68"/>
        <v>84344969</v>
      </c>
    </row>
    <row r="537" spans="1:41">
      <c r="A537" s="12" t="s">
        <v>470</v>
      </c>
      <c r="B537" s="12"/>
      <c r="C537" s="12" t="s">
        <v>45</v>
      </c>
      <c r="D537" s="12"/>
      <c r="E537" s="13">
        <v>44859</v>
      </c>
      <c r="F537" s="45"/>
      <c r="G537" s="45">
        <v>4725329</v>
      </c>
      <c r="H537" s="45"/>
      <c r="I537" s="45">
        <v>0</v>
      </c>
      <c r="J537" s="45"/>
      <c r="K537" s="45">
        <v>15176662</v>
      </c>
      <c r="L537" s="45"/>
      <c r="M537" s="45">
        <v>18689</v>
      </c>
      <c r="N537" s="45"/>
      <c r="O537" s="45">
        <v>1262140</v>
      </c>
      <c r="P537" s="45"/>
      <c r="Q537" s="45">
        <v>233250</v>
      </c>
      <c r="R537" s="45"/>
      <c r="S537" s="45">
        <v>0</v>
      </c>
      <c r="T537" s="45"/>
      <c r="U537" s="45">
        <v>14884</v>
      </c>
      <c r="V537" s="45"/>
      <c r="W537" s="45">
        <f>188592+6656+36523</f>
        <v>231771</v>
      </c>
      <c r="X537" s="45"/>
      <c r="Y537" s="49">
        <f t="shared" si="67"/>
        <v>21662725</v>
      </c>
      <c r="Z537" s="45"/>
      <c r="AA537" s="45">
        <v>100145</v>
      </c>
      <c r="AB537" s="45"/>
      <c r="AC537" s="45"/>
      <c r="AD537" s="45"/>
      <c r="AE537" s="45">
        <v>0</v>
      </c>
      <c r="AF537" s="45"/>
      <c r="AG537" s="45"/>
      <c r="AH537" s="45"/>
      <c r="AI537" s="45">
        <v>0</v>
      </c>
      <c r="AJ537" s="45"/>
      <c r="AK537" s="45">
        <v>0</v>
      </c>
      <c r="AL537" s="45"/>
      <c r="AM537" s="49">
        <f t="shared" si="69"/>
        <v>100145</v>
      </c>
      <c r="AN537" s="45"/>
      <c r="AO537" s="49">
        <f t="shared" si="68"/>
        <v>21762870</v>
      </c>
    </row>
    <row r="538" spans="1:41">
      <c r="A538" s="12" t="s">
        <v>645</v>
      </c>
      <c r="B538" s="12"/>
      <c r="C538" s="12" t="s">
        <v>643</v>
      </c>
      <c r="D538" s="12"/>
      <c r="E538" s="13">
        <v>50658</v>
      </c>
      <c r="F538" s="45"/>
      <c r="G538" s="45">
        <v>1391536</v>
      </c>
      <c r="H538" s="45"/>
      <c r="I538" s="45">
        <v>708395</v>
      </c>
      <c r="J538" s="45"/>
      <c r="K538" s="45">
        <v>3141773</v>
      </c>
      <c r="L538" s="45"/>
      <c r="M538" s="45">
        <v>8768</v>
      </c>
      <c r="N538" s="45"/>
      <c r="O538" s="45">
        <v>268138</v>
      </c>
      <c r="P538" s="45"/>
      <c r="Q538" s="45">
        <v>82655</v>
      </c>
      <c r="R538" s="45"/>
      <c r="S538" s="45">
        <v>0</v>
      </c>
      <c r="T538" s="45"/>
      <c r="U538" s="45">
        <v>14224</v>
      </c>
      <c r="V538" s="45"/>
      <c r="W538" s="45">
        <f>97349+27785</f>
        <v>125134</v>
      </c>
      <c r="X538" s="45"/>
      <c r="Y538" s="49">
        <f t="shared" si="67"/>
        <v>5740623</v>
      </c>
      <c r="Z538" s="45"/>
      <c r="AA538" s="45">
        <v>72827</v>
      </c>
      <c r="AB538" s="45"/>
      <c r="AC538" s="45"/>
      <c r="AD538" s="45"/>
      <c r="AE538" s="45">
        <v>0</v>
      </c>
      <c r="AF538" s="45"/>
      <c r="AG538" s="45"/>
      <c r="AH538" s="45"/>
      <c r="AI538" s="45">
        <v>0</v>
      </c>
      <c r="AJ538" s="45"/>
      <c r="AK538" s="45">
        <v>0</v>
      </c>
      <c r="AL538" s="45"/>
      <c r="AM538" s="49">
        <f t="shared" si="69"/>
        <v>72827</v>
      </c>
      <c r="AN538" s="45"/>
      <c r="AO538" s="49">
        <f t="shared" si="68"/>
        <v>5813450</v>
      </c>
    </row>
    <row r="539" spans="1:41">
      <c r="A539" s="12" t="s">
        <v>347</v>
      </c>
      <c r="B539" s="12"/>
      <c r="C539" s="12" t="s">
        <v>28</v>
      </c>
      <c r="D539" s="12"/>
      <c r="E539" s="13">
        <v>47092</v>
      </c>
      <c r="F539" s="45"/>
      <c r="G539" s="45">
        <v>6052381</v>
      </c>
      <c r="H539" s="45"/>
      <c r="I539" s="45">
        <v>2021992</v>
      </c>
      <c r="J539" s="45"/>
      <c r="K539" s="45">
        <v>7247244</v>
      </c>
      <c r="L539" s="45"/>
      <c r="M539" s="45">
        <v>113662</v>
      </c>
      <c r="N539" s="45"/>
      <c r="O539" s="45">
        <v>679123</v>
      </c>
      <c r="P539" s="45"/>
      <c r="Q539" s="45">
        <v>125310</v>
      </c>
      <c r="R539" s="45"/>
      <c r="S539" s="45">
        <v>0</v>
      </c>
      <c r="T539" s="45"/>
      <c r="U539" s="45">
        <v>5483</v>
      </c>
      <c r="V539" s="45"/>
      <c r="W539" s="45">
        <f>220065+222230</f>
        <v>442295</v>
      </c>
      <c r="X539" s="45"/>
      <c r="Y539" s="49">
        <f t="shared" si="67"/>
        <v>16687490</v>
      </c>
      <c r="Z539" s="45"/>
      <c r="AA539" s="45">
        <v>190898</v>
      </c>
      <c r="AB539" s="45"/>
      <c r="AC539" s="45"/>
      <c r="AD539" s="45"/>
      <c r="AE539" s="45">
        <v>0</v>
      </c>
      <c r="AF539" s="45"/>
      <c r="AG539" s="45"/>
      <c r="AH539" s="45"/>
      <c r="AI539" s="45">
        <v>0</v>
      </c>
      <c r="AJ539" s="45"/>
      <c r="AK539" s="45">
        <v>0</v>
      </c>
      <c r="AL539" s="45"/>
      <c r="AM539" s="49">
        <f t="shared" si="69"/>
        <v>190898</v>
      </c>
      <c r="AN539" s="45"/>
      <c r="AO539" s="49">
        <f t="shared" si="68"/>
        <v>16878388</v>
      </c>
    </row>
    <row r="540" spans="1:41">
      <c r="A540" s="12" t="s">
        <v>760</v>
      </c>
      <c r="B540" s="12"/>
      <c r="C540" s="12" t="s">
        <v>49</v>
      </c>
      <c r="D540" s="12"/>
      <c r="E540" s="13">
        <v>48652</v>
      </c>
      <c r="F540" s="45"/>
      <c r="G540" s="45">
        <v>8350815</v>
      </c>
      <c r="H540" s="45"/>
      <c r="I540" s="45">
        <v>0</v>
      </c>
      <c r="J540" s="45"/>
      <c r="K540" s="45">
        <v>32049687</v>
      </c>
      <c r="L540" s="45"/>
      <c r="M540" s="45">
        <v>179222</v>
      </c>
      <c r="N540" s="45"/>
      <c r="O540" s="45">
        <v>160216</v>
      </c>
      <c r="P540" s="45"/>
      <c r="Q540" s="45">
        <v>175306</v>
      </c>
      <c r="R540" s="45"/>
      <c r="S540" s="45">
        <v>0</v>
      </c>
      <c r="T540" s="45"/>
      <c r="U540" s="45">
        <v>56232</v>
      </c>
      <c r="V540" s="45"/>
      <c r="W540" s="45">
        <f>975+321158+131189</f>
        <v>453322</v>
      </c>
      <c r="X540" s="45"/>
      <c r="Y540" s="49">
        <f t="shared" si="67"/>
        <v>41424800</v>
      </c>
      <c r="Z540" s="45"/>
      <c r="AA540" s="45">
        <v>3851769</v>
      </c>
      <c r="AB540" s="45"/>
      <c r="AC540" s="45"/>
      <c r="AD540" s="45"/>
      <c r="AE540" s="45">
        <f>34999999+710593</f>
        <v>35710592</v>
      </c>
      <c r="AF540" s="45"/>
      <c r="AG540" s="45"/>
      <c r="AH540" s="45"/>
      <c r="AI540" s="45">
        <v>4396</v>
      </c>
      <c r="AJ540" s="45"/>
      <c r="AK540" s="45">
        <v>0</v>
      </c>
      <c r="AL540" s="45"/>
      <c r="AM540" s="49">
        <f t="shared" si="69"/>
        <v>39566757</v>
      </c>
      <c r="AN540" s="45"/>
      <c r="AO540" s="49">
        <f t="shared" si="68"/>
        <v>80991557</v>
      </c>
    </row>
    <row r="541" spans="1:41">
      <c r="A541" s="12" t="s">
        <v>375</v>
      </c>
      <c r="B541" s="12"/>
      <c r="C541" s="12" t="s">
        <v>32</v>
      </c>
      <c r="D541" s="12"/>
      <c r="E541" s="13">
        <v>44867</v>
      </c>
      <c r="F541" s="45"/>
      <c r="G541" s="45">
        <v>56168642</v>
      </c>
      <c r="H541" s="45"/>
      <c r="I541" s="45">
        <v>0</v>
      </c>
      <c r="J541" s="45"/>
      <c r="K541" s="45">
        <v>24923501</v>
      </c>
      <c r="L541" s="45"/>
      <c r="M541" s="45">
        <v>193898</v>
      </c>
      <c r="N541" s="45"/>
      <c r="O541" s="45">
        <v>980335</v>
      </c>
      <c r="P541" s="45"/>
      <c r="Q541" s="45">
        <v>467303</v>
      </c>
      <c r="R541" s="45"/>
      <c r="S541" s="45">
        <v>685798</v>
      </c>
      <c r="T541" s="45"/>
      <c r="U541" s="45">
        <v>0</v>
      </c>
      <c r="V541" s="45"/>
      <c r="W541" s="45">
        <f>1705296+275853</f>
        <v>1981149</v>
      </c>
      <c r="X541" s="45"/>
      <c r="Y541" s="49">
        <f t="shared" si="67"/>
        <v>85400626</v>
      </c>
      <c r="Z541" s="45"/>
      <c r="AA541" s="45">
        <v>3102692</v>
      </c>
      <c r="AB541" s="45"/>
      <c r="AC541" s="45"/>
      <c r="AD541" s="45"/>
      <c r="AE541" s="45">
        <v>0</v>
      </c>
      <c r="AF541" s="45"/>
      <c r="AG541" s="45"/>
      <c r="AH541" s="45"/>
      <c r="AI541" s="45">
        <v>0</v>
      </c>
      <c r="AJ541" s="45"/>
      <c r="AK541" s="45">
        <v>0</v>
      </c>
      <c r="AL541" s="45"/>
      <c r="AM541" s="49">
        <f t="shared" si="69"/>
        <v>3102692</v>
      </c>
      <c r="AN541" s="45"/>
      <c r="AO541" s="49">
        <f t="shared" si="68"/>
        <v>88503318</v>
      </c>
    </row>
    <row r="542" spans="1:41">
      <c r="A542" s="12" t="s">
        <v>454</v>
      </c>
      <c r="B542" s="12"/>
      <c r="C542" s="12" t="s">
        <v>117</v>
      </c>
      <c r="D542" s="12"/>
      <c r="E542" s="12">
        <v>44875</v>
      </c>
      <c r="F542" s="45"/>
      <c r="G542" s="45">
        <v>56029767</v>
      </c>
      <c r="H542" s="45"/>
      <c r="I542" s="45">
        <v>0</v>
      </c>
      <c r="J542" s="45"/>
      <c r="K542" s="45">
        <f>26470370+4808657</f>
        <v>31279027</v>
      </c>
      <c r="L542" s="45"/>
      <c r="M542" s="45">
        <v>669752</v>
      </c>
      <c r="N542" s="45"/>
      <c r="O542" s="45">
        <v>628608</v>
      </c>
      <c r="P542" s="45"/>
      <c r="Q542" s="45">
        <v>739515</v>
      </c>
      <c r="R542" s="45"/>
      <c r="S542" s="45">
        <v>0</v>
      </c>
      <c r="T542" s="45"/>
      <c r="U542" s="45">
        <v>76625</v>
      </c>
      <c r="V542" s="45"/>
      <c r="W542" s="45">
        <f>37357+1128880+397334+25739+55188+580141</f>
        <v>2224639</v>
      </c>
      <c r="X542" s="45"/>
      <c r="Y542" s="49">
        <f t="shared" si="67"/>
        <v>91647933</v>
      </c>
      <c r="Z542" s="45"/>
      <c r="AA542" s="45">
        <v>380559</v>
      </c>
      <c r="AB542" s="45"/>
      <c r="AC542" s="45"/>
      <c r="AD542" s="45"/>
      <c r="AE542" s="45">
        <v>0</v>
      </c>
      <c r="AF542" s="45"/>
      <c r="AG542" s="45"/>
      <c r="AH542" s="45"/>
      <c r="AI542" s="45">
        <v>69193</v>
      </c>
      <c r="AJ542" s="45"/>
      <c r="AK542" s="45">
        <v>0</v>
      </c>
      <c r="AL542" s="45"/>
      <c r="AM542" s="49">
        <f t="shared" si="69"/>
        <v>449752</v>
      </c>
      <c r="AN542" s="45"/>
      <c r="AO542" s="49">
        <f t="shared" si="68"/>
        <v>92097685</v>
      </c>
    </row>
    <row r="543" spans="1:41">
      <c r="A543" s="12" t="s">
        <v>426</v>
      </c>
      <c r="B543" s="12"/>
      <c r="C543" s="12" t="s">
        <v>420</v>
      </c>
      <c r="D543" s="12"/>
      <c r="E543" s="13">
        <v>47969</v>
      </c>
      <c r="F543" s="45"/>
      <c r="G543" s="45">
        <v>968085</v>
      </c>
      <c r="H543" s="45"/>
      <c r="I543" s="45">
        <v>0</v>
      </c>
      <c r="J543" s="45"/>
      <c r="K543" s="45">
        <v>7368409</v>
      </c>
      <c r="L543" s="45"/>
      <c r="M543" s="45">
        <v>102829</v>
      </c>
      <c r="N543" s="45"/>
      <c r="O543" s="45">
        <v>642146</v>
      </c>
      <c r="P543" s="45"/>
      <c r="Q543" s="45">
        <v>80716</v>
      </c>
      <c r="R543" s="45"/>
      <c r="S543" s="45">
        <v>0</v>
      </c>
      <c r="T543" s="45"/>
      <c r="U543" s="45">
        <v>12969</v>
      </c>
      <c r="V543" s="45"/>
      <c r="W543" s="45">
        <f>115667+4890</f>
        <v>120557</v>
      </c>
      <c r="X543" s="45"/>
      <c r="Y543" s="49">
        <f t="shared" si="67"/>
        <v>9295711</v>
      </c>
      <c r="Z543" s="45"/>
      <c r="AA543" s="45">
        <v>28099</v>
      </c>
      <c r="AB543" s="45"/>
      <c r="AC543" s="45"/>
      <c r="AD543" s="45"/>
      <c r="AE543" s="45">
        <v>0</v>
      </c>
      <c r="AF543" s="45"/>
      <c r="AG543" s="45"/>
      <c r="AH543" s="45"/>
      <c r="AI543" s="45">
        <v>0</v>
      </c>
      <c r="AJ543" s="45"/>
      <c r="AK543" s="45">
        <v>0</v>
      </c>
      <c r="AL543" s="45"/>
      <c r="AM543" s="49">
        <f t="shared" si="69"/>
        <v>28099</v>
      </c>
      <c r="AN543" s="45"/>
      <c r="AO543" s="49">
        <f t="shared" si="68"/>
        <v>9323810</v>
      </c>
    </row>
    <row r="544" spans="1:41">
      <c r="A544" s="17" t="s">
        <v>236</v>
      </c>
      <c r="B544" s="12"/>
      <c r="C544" s="12" t="s">
        <v>227</v>
      </c>
      <c r="D544" s="12"/>
      <c r="E544" s="13">
        <v>46151</v>
      </c>
      <c r="F544" s="45"/>
      <c r="G544" s="45">
        <v>22175574</v>
      </c>
      <c r="H544" s="45"/>
      <c r="I544" s="45">
        <v>0</v>
      </c>
      <c r="J544" s="45"/>
      <c r="K544" s="45">
        <v>14185254</v>
      </c>
      <c r="L544" s="45"/>
      <c r="M544" s="45">
        <v>199603</v>
      </c>
      <c r="N544" s="45"/>
      <c r="O544" s="45">
        <v>903747</v>
      </c>
      <c r="P544" s="45"/>
      <c r="Q544" s="45">
        <v>0</v>
      </c>
      <c r="R544" s="45"/>
      <c r="S544" s="45">
        <v>0</v>
      </c>
      <c r="T544" s="45"/>
      <c r="U544" s="45">
        <v>0</v>
      </c>
      <c r="V544" s="45"/>
      <c r="W544" s="45">
        <f>769052+479217</f>
        <v>1248269</v>
      </c>
      <c r="X544" s="45"/>
      <c r="Y544" s="49">
        <f t="shared" ref="Y544:Y564" si="70">SUM(G544:W544)</f>
        <v>38712447</v>
      </c>
      <c r="Z544" s="45"/>
      <c r="AA544" s="45">
        <v>10129167</v>
      </c>
      <c r="AB544" s="45"/>
      <c r="AC544" s="45"/>
      <c r="AD544" s="45"/>
      <c r="AE544" s="45">
        <f>46049669+965243</f>
        <v>47014912</v>
      </c>
      <c r="AF544" s="45"/>
      <c r="AG544" s="45"/>
      <c r="AH544" s="45"/>
      <c r="AI544" s="45">
        <v>0</v>
      </c>
      <c r="AJ544" s="45"/>
      <c r="AK544" s="45">
        <v>0</v>
      </c>
      <c r="AL544" s="45"/>
      <c r="AM544" s="49">
        <f t="shared" si="69"/>
        <v>57144079</v>
      </c>
      <c r="AN544" s="45"/>
      <c r="AO544" s="49">
        <f t="shared" si="68"/>
        <v>95856526</v>
      </c>
    </row>
    <row r="545" spans="1:41">
      <c r="A545" s="12" t="s">
        <v>596</v>
      </c>
      <c r="B545" s="12"/>
      <c r="C545" s="12" t="s">
        <v>63</v>
      </c>
      <c r="D545" s="12"/>
      <c r="E545" s="13">
        <v>44883</v>
      </c>
      <c r="F545" s="45"/>
      <c r="G545" s="45">
        <v>15218671</v>
      </c>
      <c r="H545" s="45"/>
      <c r="I545" s="45">
        <v>0</v>
      </c>
      <c r="J545" s="45"/>
      <c r="K545" s="45">
        <v>13519086</v>
      </c>
      <c r="L545" s="45"/>
      <c r="M545" s="45">
        <v>17488</v>
      </c>
      <c r="N545" s="45"/>
      <c r="O545" s="45">
        <v>280753</v>
      </c>
      <c r="P545" s="45"/>
      <c r="Q545" s="45">
        <v>480610</v>
      </c>
      <c r="R545" s="45"/>
      <c r="S545" s="45">
        <v>0</v>
      </c>
      <c r="T545" s="45"/>
      <c r="U545" s="45">
        <v>64062</v>
      </c>
      <c r="V545" s="45"/>
      <c r="W545" s="45">
        <f>54900+514888+12347</f>
        <v>582135</v>
      </c>
      <c r="X545" s="45"/>
      <c r="Y545" s="49">
        <f t="shared" si="70"/>
        <v>30162805</v>
      </c>
      <c r="Z545" s="45"/>
      <c r="AA545" s="45">
        <v>0</v>
      </c>
      <c r="AB545" s="45"/>
      <c r="AC545" s="45"/>
      <c r="AD545" s="45"/>
      <c r="AE545" s="45">
        <v>0</v>
      </c>
      <c r="AF545" s="45"/>
      <c r="AG545" s="45"/>
      <c r="AH545" s="45"/>
      <c r="AI545" s="45">
        <v>0</v>
      </c>
      <c r="AJ545" s="45"/>
      <c r="AK545" s="45">
        <v>0</v>
      </c>
      <c r="AL545" s="45"/>
      <c r="AM545" s="49">
        <f t="shared" si="69"/>
        <v>0</v>
      </c>
      <c r="AN545" s="45"/>
      <c r="AO545" s="49">
        <f t="shared" si="68"/>
        <v>30162805</v>
      </c>
    </row>
    <row r="546" spans="1:41">
      <c r="A546" s="12" t="s">
        <v>527</v>
      </c>
      <c r="B546" s="12"/>
      <c r="C546" s="12" t="s">
        <v>54</v>
      </c>
      <c r="D546" s="12"/>
      <c r="E546" s="13">
        <v>49098</v>
      </c>
      <c r="F546" s="45"/>
      <c r="G546" s="45">
        <v>9710896</v>
      </c>
      <c r="H546" s="45"/>
      <c r="I546" s="45">
        <v>2826870</v>
      </c>
      <c r="J546" s="45"/>
      <c r="K546" s="45">
        <f>103397+19700845+3234782</f>
        <v>23039024</v>
      </c>
      <c r="L546" s="45"/>
      <c r="M546" s="45">
        <v>377330</v>
      </c>
      <c r="N546" s="45"/>
      <c r="O546" s="45">
        <v>118332</v>
      </c>
      <c r="P546" s="45"/>
      <c r="Q546" s="45">
        <v>379429</v>
      </c>
      <c r="R546" s="45"/>
      <c r="S546" s="45">
        <v>0</v>
      </c>
      <c r="T546" s="45"/>
      <c r="U546" s="45">
        <v>103907</v>
      </c>
      <c r="V546" s="45"/>
      <c r="W546" s="45">
        <f>624518+86850+9873+45684</f>
        <v>766925</v>
      </c>
      <c r="X546" s="45"/>
      <c r="Y546" s="49">
        <f t="shared" si="70"/>
        <v>37322713</v>
      </c>
      <c r="Z546" s="45"/>
      <c r="AA546" s="45">
        <v>3578555</v>
      </c>
      <c r="AB546" s="45"/>
      <c r="AC546" s="45"/>
      <c r="AD546" s="45"/>
      <c r="AE546" s="45">
        <v>125088</v>
      </c>
      <c r="AF546" s="45"/>
      <c r="AG546" s="45"/>
      <c r="AH546" s="45"/>
      <c r="AI546" s="45">
        <f>447906</f>
        <v>447906</v>
      </c>
      <c r="AJ546" s="45"/>
      <c r="AK546" s="45">
        <v>0</v>
      </c>
      <c r="AL546" s="45"/>
      <c r="AM546" s="49">
        <f t="shared" si="69"/>
        <v>4151549</v>
      </c>
      <c r="AN546" s="45"/>
      <c r="AO546" s="49">
        <f t="shared" si="68"/>
        <v>41474262</v>
      </c>
    </row>
    <row r="547" spans="1:41">
      <c r="A547" s="12" t="s">
        <v>250</v>
      </c>
      <c r="B547" s="12"/>
      <c r="C547" s="12" t="s">
        <v>17</v>
      </c>
      <c r="D547" s="12"/>
      <c r="E547" s="13">
        <v>46243</v>
      </c>
      <c r="F547" s="45"/>
      <c r="G547" s="45">
        <v>9837540</v>
      </c>
      <c r="H547" s="45"/>
      <c r="I547" s="45">
        <v>0</v>
      </c>
      <c r="J547" s="45"/>
      <c r="K547" s="45">
        <v>21639706</v>
      </c>
      <c r="L547" s="45"/>
      <c r="M547" s="45">
        <v>26351</v>
      </c>
      <c r="N547" s="45"/>
      <c r="O547" s="45">
        <v>1541258</v>
      </c>
      <c r="P547" s="45"/>
      <c r="Q547" s="45">
        <v>217400</v>
      </c>
      <c r="R547" s="45"/>
      <c r="S547" s="45">
        <v>0</v>
      </c>
      <c r="T547" s="45"/>
      <c r="U547" s="45">
        <v>58429</v>
      </c>
      <c r="V547" s="45"/>
      <c r="W547" s="45">
        <f>798435+20019+239188</f>
        <v>1057642</v>
      </c>
      <c r="X547" s="45"/>
      <c r="Y547" s="49">
        <f t="shared" si="70"/>
        <v>34378326</v>
      </c>
      <c r="Z547" s="45"/>
      <c r="AA547" s="45">
        <v>731380</v>
      </c>
      <c r="AB547" s="45"/>
      <c r="AC547" s="45"/>
      <c r="AD547" s="45"/>
      <c r="AE547" s="45">
        <v>0</v>
      </c>
      <c r="AF547" s="45"/>
      <c r="AG547" s="45"/>
      <c r="AH547" s="45"/>
      <c r="AI547" s="45">
        <v>4050</v>
      </c>
      <c r="AJ547" s="45"/>
      <c r="AK547" s="45">
        <v>0</v>
      </c>
      <c r="AL547" s="45"/>
      <c r="AM547" s="49">
        <f t="shared" si="69"/>
        <v>735430</v>
      </c>
      <c r="AN547" s="45"/>
      <c r="AO547" s="49">
        <f t="shared" si="68"/>
        <v>35113756</v>
      </c>
    </row>
    <row r="548" spans="1:41">
      <c r="A548" s="12" t="s">
        <v>910</v>
      </c>
      <c r="B548" s="12"/>
      <c r="C548" s="12" t="s">
        <v>32</v>
      </c>
      <c r="D548" s="12"/>
      <c r="E548" s="13">
        <v>47399</v>
      </c>
      <c r="F548" s="45"/>
      <c r="G548" s="45">
        <v>12022515</v>
      </c>
      <c r="H548" s="45"/>
      <c r="I548" s="45">
        <v>0</v>
      </c>
      <c r="J548" s="45"/>
      <c r="K548" s="45">
        <v>10289892</v>
      </c>
      <c r="L548" s="45"/>
      <c r="M548" s="45">
        <v>26637</v>
      </c>
      <c r="N548" s="45"/>
      <c r="O548" s="45">
        <v>289641</v>
      </c>
      <c r="P548" s="45"/>
      <c r="Q548" s="45">
        <v>174616</v>
      </c>
      <c r="R548" s="45"/>
      <c r="S548" s="45">
        <v>2184572</v>
      </c>
      <c r="T548" s="45"/>
      <c r="U548" s="45">
        <v>0</v>
      </c>
      <c r="V548" s="45"/>
      <c r="W548" s="45">
        <f>473355+869754</f>
        <v>1343109</v>
      </c>
      <c r="X548" s="45"/>
      <c r="Y548" s="49">
        <f t="shared" si="70"/>
        <v>26330982</v>
      </c>
      <c r="Z548" s="45"/>
      <c r="AA548" s="45">
        <v>59976</v>
      </c>
      <c r="AB548" s="45"/>
      <c r="AC548" s="45"/>
      <c r="AD548" s="45"/>
      <c r="AE548" s="45">
        <v>0</v>
      </c>
      <c r="AF548" s="45"/>
      <c r="AG548" s="45"/>
      <c r="AH548" s="45"/>
      <c r="AI548" s="45">
        <v>0</v>
      </c>
      <c r="AJ548" s="45"/>
      <c r="AK548" s="45">
        <v>0</v>
      </c>
      <c r="AL548" s="45"/>
      <c r="AM548" s="49">
        <f t="shared" si="69"/>
        <v>59976</v>
      </c>
      <c r="AN548" s="45"/>
      <c r="AO548" s="49">
        <f t="shared" si="68"/>
        <v>26390958</v>
      </c>
    </row>
    <row r="549" spans="1:41">
      <c r="A549" s="12" t="s">
        <v>568</v>
      </c>
      <c r="B549" s="12"/>
      <c r="C549" s="12" t="s">
        <v>60</v>
      </c>
      <c r="D549" s="12"/>
      <c r="E549" s="13">
        <v>44891</v>
      </c>
      <c r="F549" s="45"/>
      <c r="G549" s="45">
        <v>10756693</v>
      </c>
      <c r="H549" s="45"/>
      <c r="I549" s="45">
        <v>0</v>
      </c>
      <c r="J549" s="45"/>
      <c r="K549" s="45">
        <f>5000+11669207+2788579</f>
        <v>14462786</v>
      </c>
      <c r="L549" s="45"/>
      <c r="M549" s="45">
        <v>8978</v>
      </c>
      <c r="N549" s="45"/>
      <c r="O549" s="45">
        <v>1291488</v>
      </c>
      <c r="P549" s="45"/>
      <c r="Q549" s="45">
        <v>364134</v>
      </c>
      <c r="R549" s="45"/>
      <c r="S549" s="45">
        <v>58620</v>
      </c>
      <c r="T549" s="45"/>
      <c r="U549" s="45">
        <v>0</v>
      </c>
      <c r="V549" s="45"/>
      <c r="W549" s="45">
        <f>60854+318819+72242+473490</f>
        <v>925405</v>
      </c>
      <c r="X549" s="45"/>
      <c r="Y549" s="49">
        <f t="shared" si="70"/>
        <v>27868104</v>
      </c>
      <c r="Z549" s="45"/>
      <c r="AA549" s="45">
        <v>256154</v>
      </c>
      <c r="AB549" s="45"/>
      <c r="AC549" s="45"/>
      <c r="AD549" s="45"/>
      <c r="AE549" s="45">
        <v>0</v>
      </c>
      <c r="AF549" s="45"/>
      <c r="AG549" s="45"/>
      <c r="AH549" s="45"/>
      <c r="AI549" s="45">
        <v>0</v>
      </c>
      <c r="AJ549" s="45"/>
      <c r="AK549" s="45">
        <v>184025</v>
      </c>
      <c r="AL549" s="45"/>
      <c r="AM549" s="49">
        <f>AI549+AE549+AA549+AK549</f>
        <v>440179</v>
      </c>
      <c r="AN549" s="45"/>
      <c r="AO549" s="49">
        <f t="shared" si="68"/>
        <v>28308283</v>
      </c>
    </row>
    <row r="550" spans="1:41">
      <c r="A550" s="12" t="s">
        <v>491</v>
      </c>
      <c r="B550" s="12"/>
      <c r="C550" s="12" t="s">
        <v>48</v>
      </c>
      <c r="D550" s="12"/>
      <c r="E550" s="13">
        <v>45617</v>
      </c>
      <c r="F550" s="45"/>
      <c r="G550" s="45">
        <v>11606002</v>
      </c>
      <c r="H550" s="45"/>
      <c r="I550" s="45">
        <v>0</v>
      </c>
      <c r="J550" s="45"/>
      <c r="K550" s="45">
        <f>10939574+1660417</f>
        <v>12599991</v>
      </c>
      <c r="L550" s="45"/>
      <c r="M550" s="45">
        <v>22735</v>
      </c>
      <c r="N550" s="45"/>
      <c r="O550" s="45">
        <v>447321</v>
      </c>
      <c r="P550" s="45"/>
      <c r="Q550" s="45">
        <v>706502</v>
      </c>
      <c r="R550" s="45"/>
      <c r="S550" s="45">
        <v>0</v>
      </c>
      <c r="T550" s="45"/>
      <c r="U550" s="45">
        <v>0</v>
      </c>
      <c r="V550" s="45"/>
      <c r="W550" s="45">
        <f>545315+197323</f>
        <v>742638</v>
      </c>
      <c r="X550" s="45"/>
      <c r="Y550" s="49">
        <f t="shared" si="70"/>
        <v>26125189</v>
      </c>
      <c r="Z550" s="45"/>
      <c r="AA550" s="45">
        <v>58500</v>
      </c>
      <c r="AB550" s="45"/>
      <c r="AC550" s="45"/>
      <c r="AD550" s="45"/>
      <c r="AE550" s="45">
        <v>0</v>
      </c>
      <c r="AF550" s="45"/>
      <c r="AG550" s="45"/>
      <c r="AH550" s="45"/>
      <c r="AI550" s="45">
        <v>0</v>
      </c>
      <c r="AJ550" s="45"/>
      <c r="AK550" s="45">
        <v>0</v>
      </c>
      <c r="AL550" s="45"/>
      <c r="AM550" s="49">
        <f t="shared" si="69"/>
        <v>58500</v>
      </c>
      <c r="AN550" s="45"/>
      <c r="AO550" s="49">
        <f t="shared" si="68"/>
        <v>26183689</v>
      </c>
    </row>
    <row r="551" spans="1:41">
      <c r="A551" s="12" t="s">
        <v>455</v>
      </c>
      <c r="B551" s="12"/>
      <c r="C551" s="12" t="s">
        <v>117</v>
      </c>
      <c r="D551" s="12"/>
      <c r="E551" s="13">
        <v>44909</v>
      </c>
      <c r="F551" s="45"/>
      <c r="G551" s="45">
        <v>101918154</v>
      </c>
      <c r="H551" s="45"/>
      <c r="I551" s="45">
        <v>0</v>
      </c>
      <c r="J551" s="45"/>
      <c r="K551" s="45">
        <f>288513123+80117268</f>
        <v>368630391</v>
      </c>
      <c r="L551" s="45"/>
      <c r="M551" s="45">
        <v>2458103</v>
      </c>
      <c r="N551" s="45"/>
      <c r="O551" s="45">
        <v>1882544</v>
      </c>
      <c r="P551" s="45"/>
      <c r="Q551" s="45">
        <v>1114890</v>
      </c>
      <c r="R551" s="45"/>
      <c r="S551" s="45">
        <v>0</v>
      </c>
      <c r="T551" s="45"/>
      <c r="U551" s="45">
        <v>0</v>
      </c>
      <c r="V551" s="45"/>
      <c r="W551" s="45">
        <f>11481474+789969+1402139+328486</f>
        <v>14002068</v>
      </c>
      <c r="X551" s="45"/>
      <c r="Y551" s="49">
        <f t="shared" si="70"/>
        <v>490006150</v>
      </c>
      <c r="Z551" s="45"/>
      <c r="AA551" s="45">
        <v>8429486</v>
      </c>
      <c r="AB551" s="45"/>
      <c r="AC551" s="45"/>
      <c r="AD551" s="45"/>
      <c r="AE551" s="45">
        <v>0</v>
      </c>
      <c r="AF551" s="45"/>
      <c r="AG551" s="45"/>
      <c r="AH551" s="45"/>
      <c r="AI551" s="45">
        <v>113280</v>
      </c>
      <c r="AJ551" s="45"/>
      <c r="AK551" s="45">
        <v>0</v>
      </c>
      <c r="AL551" s="45"/>
      <c r="AM551" s="49">
        <f t="shared" si="69"/>
        <v>8542766</v>
      </c>
      <c r="AN551" s="45"/>
      <c r="AO551" s="49">
        <f t="shared" si="68"/>
        <v>498548916</v>
      </c>
    </row>
    <row r="552" spans="1:41" hidden="1">
      <c r="A552" s="12" t="s">
        <v>952</v>
      </c>
      <c r="B552" s="12"/>
      <c r="C552" s="12" t="s">
        <v>117</v>
      </c>
      <c r="D552" s="12"/>
      <c r="E552" s="13"/>
      <c r="F552" s="45"/>
      <c r="G552" s="45"/>
      <c r="H552" s="45"/>
      <c r="I552" s="45"/>
      <c r="J552" s="45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45"/>
      <c r="Y552" s="49">
        <f t="shared" si="70"/>
        <v>0</v>
      </c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>
        <v>0</v>
      </c>
      <c r="AL552" s="45"/>
      <c r="AM552" s="49">
        <f t="shared" si="69"/>
        <v>0</v>
      </c>
      <c r="AN552" s="45"/>
      <c r="AO552" s="49">
        <f t="shared" si="68"/>
        <v>0</v>
      </c>
    </row>
    <row r="553" spans="1:41">
      <c r="A553" s="12" t="s">
        <v>911</v>
      </c>
      <c r="B553" s="12"/>
      <c r="C553" s="12" t="s">
        <v>39</v>
      </c>
      <c r="D553" s="12"/>
      <c r="E553" s="13">
        <v>44917</v>
      </c>
      <c r="F553" s="45"/>
      <c r="G553" s="45">
        <v>1384555</v>
      </c>
      <c r="H553" s="45"/>
      <c r="I553" s="45">
        <v>0</v>
      </c>
      <c r="J553" s="45"/>
      <c r="K553" s="45">
        <v>6126890</v>
      </c>
      <c r="L553" s="45"/>
      <c r="M553" s="45">
        <v>16150</v>
      </c>
      <c r="N553" s="45"/>
      <c r="O553" s="45">
        <v>585333</v>
      </c>
      <c r="P553" s="45"/>
      <c r="Q553" s="45">
        <v>139642</v>
      </c>
      <c r="R553" s="45"/>
      <c r="S553" s="45">
        <v>0</v>
      </c>
      <c r="T553" s="45"/>
      <c r="U553" s="45">
        <v>5495</v>
      </c>
      <c r="V553" s="45"/>
      <c r="W553" s="45">
        <f>280+69221+60379</f>
        <v>129880</v>
      </c>
      <c r="X553" s="45"/>
      <c r="Y553" s="49">
        <f t="shared" si="70"/>
        <v>8387945</v>
      </c>
      <c r="Z553" s="45"/>
      <c r="AA553" s="45">
        <v>25000</v>
      </c>
      <c r="AB553" s="45"/>
      <c r="AC553" s="45"/>
      <c r="AD553" s="45"/>
      <c r="AE553" s="45">
        <v>0</v>
      </c>
      <c r="AF553" s="45"/>
      <c r="AG553" s="45"/>
      <c r="AH553" s="45"/>
      <c r="AI553" s="45">
        <v>77325</v>
      </c>
      <c r="AJ553" s="45"/>
      <c r="AK553" s="45">
        <v>0</v>
      </c>
      <c r="AL553" s="45"/>
      <c r="AM553" s="49">
        <f t="shared" si="69"/>
        <v>102325</v>
      </c>
      <c r="AN553" s="45"/>
      <c r="AO553" s="49">
        <f t="shared" si="68"/>
        <v>8490270</v>
      </c>
    </row>
    <row r="554" spans="1:41">
      <c r="A554" s="12" t="s">
        <v>242</v>
      </c>
      <c r="B554" s="12"/>
      <c r="C554" s="12" t="s">
        <v>240</v>
      </c>
      <c r="D554" s="12"/>
      <c r="E554" s="13">
        <v>46201</v>
      </c>
      <c r="F554" s="45"/>
      <c r="G554" s="45">
        <v>2177170</v>
      </c>
      <c r="H554" s="45"/>
      <c r="I554" s="45">
        <v>1557366</v>
      </c>
      <c r="J554" s="45"/>
      <c r="K554" s="45">
        <f>5267116+1002462</f>
        <v>6269578</v>
      </c>
      <c r="L554" s="45"/>
      <c r="M554" s="45">
        <v>10256</v>
      </c>
      <c r="N554" s="45"/>
      <c r="O554" s="45">
        <v>507166</v>
      </c>
      <c r="P554" s="45"/>
      <c r="Q554" s="45">
        <v>188475</v>
      </c>
      <c r="R554" s="45"/>
      <c r="S554" s="45">
        <v>0</v>
      </c>
      <c r="T554" s="45"/>
      <c r="U554" s="45">
        <v>21018</v>
      </c>
      <c r="V554" s="45"/>
      <c r="W554" s="45">
        <f>244146+30902+32062</f>
        <v>307110</v>
      </c>
      <c r="X554" s="45"/>
      <c r="Y554" s="49">
        <f t="shared" si="70"/>
        <v>11038139</v>
      </c>
      <c r="Z554" s="45"/>
      <c r="AA554" s="45">
        <v>163942</v>
      </c>
      <c r="AB554" s="45"/>
      <c r="AC554" s="45"/>
      <c r="AD554" s="45"/>
      <c r="AE554" s="45">
        <v>0</v>
      </c>
      <c r="AF554" s="45"/>
      <c r="AG554" s="45"/>
      <c r="AH554" s="45"/>
      <c r="AI554" s="45">
        <v>0</v>
      </c>
      <c r="AJ554" s="45"/>
      <c r="AK554" s="45">
        <v>0</v>
      </c>
      <c r="AL554" s="45"/>
      <c r="AM554" s="49">
        <f t="shared" si="69"/>
        <v>163942</v>
      </c>
      <c r="AN554" s="45"/>
      <c r="AO554" s="49">
        <f t="shared" si="68"/>
        <v>11202081</v>
      </c>
    </row>
    <row r="555" spans="1:41">
      <c r="A555" s="12" t="s">
        <v>541</v>
      </c>
      <c r="B555" s="12"/>
      <c r="C555" s="12" t="s">
        <v>57</v>
      </c>
      <c r="D555" s="12"/>
      <c r="E555" s="13">
        <v>91397</v>
      </c>
      <c r="F555" s="45"/>
      <c r="G555" s="45">
        <v>3983629</v>
      </c>
      <c r="H555" s="45"/>
      <c r="I555" s="45">
        <v>0</v>
      </c>
      <c r="J555" s="45"/>
      <c r="K555" s="45">
        <v>5969750</v>
      </c>
      <c r="L555" s="45"/>
      <c r="M555" s="45">
        <v>63695</v>
      </c>
      <c r="N555" s="45"/>
      <c r="O555" s="45">
        <v>174493</v>
      </c>
      <c r="P555" s="45"/>
      <c r="Q555" s="45">
        <v>156444</v>
      </c>
      <c r="R555" s="45"/>
      <c r="S555" s="45">
        <v>0</v>
      </c>
      <c r="T555" s="45"/>
      <c r="U555" s="45">
        <v>6741</v>
      </c>
      <c r="V555" s="45"/>
      <c r="W555" s="45">
        <f>8800+219410+25924</f>
        <v>254134</v>
      </c>
      <c r="X555" s="45"/>
      <c r="Y555" s="49">
        <f t="shared" si="70"/>
        <v>10608886</v>
      </c>
      <c r="Z555" s="45"/>
      <c r="AA555" s="45">
        <v>321401</v>
      </c>
      <c r="AB555" s="45"/>
      <c r="AC555" s="45"/>
      <c r="AD555" s="45"/>
      <c r="AE555" s="45">
        <v>0</v>
      </c>
      <c r="AF555" s="45"/>
      <c r="AG555" s="45"/>
      <c r="AH555" s="45"/>
      <c r="AI555" s="45">
        <v>0</v>
      </c>
      <c r="AJ555" s="45"/>
      <c r="AK555" s="45">
        <v>0</v>
      </c>
      <c r="AL555" s="45"/>
      <c r="AM555" s="49">
        <f t="shared" si="69"/>
        <v>321401</v>
      </c>
      <c r="AN555" s="45"/>
      <c r="AO555" s="49">
        <f t="shared" si="68"/>
        <v>10930287</v>
      </c>
    </row>
    <row r="556" spans="1:41">
      <c r="A556" s="12" t="s">
        <v>216</v>
      </c>
      <c r="B556" s="12"/>
      <c r="C556" s="12" t="s">
        <v>13</v>
      </c>
      <c r="D556" s="12"/>
      <c r="E556" s="13">
        <v>45922</v>
      </c>
      <c r="F556" s="45"/>
      <c r="G556" s="45">
        <v>797324</v>
      </c>
      <c r="H556" s="45"/>
      <c r="I556" s="45">
        <v>0</v>
      </c>
      <c r="J556" s="45"/>
      <c r="K556" s="45">
        <v>10001337</v>
      </c>
      <c r="L556" s="45"/>
      <c r="M556" s="45">
        <v>3549</v>
      </c>
      <c r="N556" s="45"/>
      <c r="O556" s="45">
        <v>591992</v>
      </c>
      <c r="P556" s="45"/>
      <c r="Q556" s="45">
        <v>52157</v>
      </c>
      <c r="R556" s="45"/>
      <c r="S556" s="45">
        <v>0</v>
      </c>
      <c r="T556" s="45"/>
      <c r="U556" s="45">
        <v>600</v>
      </c>
      <c r="V556" s="45"/>
      <c r="W556" s="45">
        <f>441+81207+86993</f>
        <v>168641</v>
      </c>
      <c r="X556" s="45"/>
      <c r="Y556" s="49">
        <f t="shared" si="70"/>
        <v>11615600</v>
      </c>
      <c r="Z556" s="45"/>
      <c r="AA556" s="45">
        <v>12310</v>
      </c>
      <c r="AB556" s="45"/>
      <c r="AC556" s="45"/>
      <c r="AD556" s="45"/>
      <c r="AE556" s="45">
        <v>0</v>
      </c>
      <c r="AF556" s="45"/>
      <c r="AG556" s="45"/>
      <c r="AH556" s="45"/>
      <c r="AI556" s="45">
        <v>0</v>
      </c>
      <c r="AJ556" s="45"/>
      <c r="AK556" s="45">
        <v>0</v>
      </c>
      <c r="AL556" s="45"/>
      <c r="AM556" s="49">
        <f t="shared" si="69"/>
        <v>12310</v>
      </c>
      <c r="AN556" s="45"/>
      <c r="AO556" s="49">
        <f t="shared" si="68"/>
        <v>11627910</v>
      </c>
    </row>
    <row r="557" spans="1:41">
      <c r="A557" s="12" t="s">
        <v>514</v>
      </c>
      <c r="B557" s="12"/>
      <c r="C557" s="12" t="s">
        <v>51</v>
      </c>
      <c r="D557" s="12"/>
      <c r="E557" s="13">
        <v>48876</v>
      </c>
      <c r="F557" s="45"/>
      <c r="G557" s="45">
        <v>7274510</v>
      </c>
      <c r="H557" s="45"/>
      <c r="I557" s="45">
        <v>0</v>
      </c>
      <c r="J557" s="45"/>
      <c r="K557" s="45">
        <v>19750141</v>
      </c>
      <c r="L557" s="45"/>
      <c r="M557" s="45">
        <v>355979</v>
      </c>
      <c r="N557" s="45"/>
      <c r="O557" s="45">
        <v>66880</v>
      </c>
      <c r="P557" s="45"/>
      <c r="Q557" s="45">
        <v>255463</v>
      </c>
      <c r="R557" s="45"/>
      <c r="S557" s="45">
        <v>443764</v>
      </c>
      <c r="T557" s="45"/>
      <c r="U557" s="45">
        <v>177265</v>
      </c>
      <c r="V557" s="45"/>
      <c r="W557" s="45">
        <f>577224+183134</f>
        <v>760358</v>
      </c>
      <c r="X557" s="45"/>
      <c r="Y557" s="49">
        <f t="shared" si="70"/>
        <v>29084360</v>
      </c>
      <c r="Z557" s="45"/>
      <c r="AA557" s="45">
        <v>0</v>
      </c>
      <c r="AB557" s="45"/>
      <c r="AC557" s="45"/>
      <c r="AD557" s="45"/>
      <c r="AE557" s="45">
        <v>0</v>
      </c>
      <c r="AF557" s="45"/>
      <c r="AG557" s="45"/>
      <c r="AH557" s="45"/>
      <c r="AI557" s="45">
        <v>0</v>
      </c>
      <c r="AJ557" s="45"/>
      <c r="AK557" s="45">
        <v>0</v>
      </c>
      <c r="AL557" s="45"/>
      <c r="AM557" s="49">
        <f t="shared" si="69"/>
        <v>0</v>
      </c>
      <c r="AN557" s="45"/>
      <c r="AO557" s="49">
        <f t="shared" si="68"/>
        <v>29084360</v>
      </c>
    </row>
    <row r="558" spans="1:41" hidden="1">
      <c r="A558" s="17" t="s">
        <v>859</v>
      </c>
      <c r="B558" s="12"/>
      <c r="C558" s="12" t="s">
        <v>21</v>
      </c>
      <c r="D558" s="12"/>
      <c r="E558" s="13">
        <v>46680</v>
      </c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9">
        <f t="shared" si="70"/>
        <v>0</v>
      </c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>
        <v>0</v>
      </c>
      <c r="AL558" s="45"/>
      <c r="AM558" s="49">
        <f t="shared" si="69"/>
        <v>0</v>
      </c>
      <c r="AN558" s="45"/>
      <c r="AO558" s="49">
        <f t="shared" ref="AO558:AO621" si="71">Y558+AM558</f>
        <v>0</v>
      </c>
    </row>
    <row r="559" spans="1:41" hidden="1">
      <c r="A559" s="17" t="s">
        <v>933</v>
      </c>
      <c r="B559" s="12"/>
      <c r="C559" s="12" t="s">
        <v>71</v>
      </c>
      <c r="D559" s="12"/>
      <c r="E559" s="13">
        <v>50591</v>
      </c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9">
        <f t="shared" si="70"/>
        <v>0</v>
      </c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>
        <v>0</v>
      </c>
      <c r="AL559" s="45"/>
      <c r="AM559" s="49">
        <f t="shared" si="69"/>
        <v>0</v>
      </c>
      <c r="AN559" s="45"/>
      <c r="AO559" s="49">
        <f t="shared" si="71"/>
        <v>0</v>
      </c>
    </row>
    <row r="560" spans="1:41">
      <c r="A560" s="12" t="s">
        <v>505</v>
      </c>
      <c r="B560" s="12"/>
      <c r="C560" s="12" t="s">
        <v>50</v>
      </c>
      <c r="D560" s="12"/>
      <c r="E560" s="13">
        <v>48694</v>
      </c>
      <c r="F560" s="45"/>
      <c r="G560" s="45">
        <v>11250188</v>
      </c>
      <c r="H560" s="45"/>
      <c r="I560" s="45">
        <v>0</v>
      </c>
      <c r="J560" s="45"/>
      <c r="K560" s="45">
        <v>30631937</v>
      </c>
      <c r="L560" s="45"/>
      <c r="M560" s="45">
        <v>51591</v>
      </c>
      <c r="N560" s="45"/>
      <c r="O560" s="45">
        <v>320073</v>
      </c>
      <c r="P560" s="45"/>
      <c r="Q560" s="45">
        <v>125404</v>
      </c>
      <c r="R560" s="45"/>
      <c r="S560" s="45">
        <v>55770</v>
      </c>
      <c r="T560" s="45"/>
      <c r="U560" s="45">
        <v>0</v>
      </c>
      <c r="V560" s="45"/>
      <c r="W560" s="45">
        <f>244085+663754</f>
        <v>907839</v>
      </c>
      <c r="X560" s="45"/>
      <c r="Y560" s="49">
        <f t="shared" si="70"/>
        <v>43342802</v>
      </c>
      <c r="Z560" s="45"/>
      <c r="AA560" s="45">
        <v>448118</v>
      </c>
      <c r="AB560" s="45"/>
      <c r="AC560" s="45"/>
      <c r="AD560" s="45"/>
      <c r="AE560" s="45">
        <v>0</v>
      </c>
      <c r="AF560" s="45"/>
      <c r="AG560" s="45"/>
      <c r="AH560" s="45"/>
      <c r="AI560" s="45">
        <v>0</v>
      </c>
      <c r="AJ560" s="45"/>
      <c r="AK560" s="45">
        <v>0</v>
      </c>
      <c r="AL560" s="45"/>
      <c r="AM560" s="49">
        <f t="shared" si="69"/>
        <v>448118</v>
      </c>
      <c r="AN560" s="45"/>
      <c r="AO560" s="49">
        <f t="shared" si="71"/>
        <v>43790920</v>
      </c>
    </row>
    <row r="561" spans="1:41">
      <c r="A561" s="12" t="s">
        <v>492</v>
      </c>
      <c r="B561" s="12"/>
      <c r="C561" s="12" t="s">
        <v>48</v>
      </c>
      <c r="D561" s="12"/>
      <c r="E561" s="12">
        <v>44925</v>
      </c>
      <c r="F561" s="45"/>
      <c r="G561" s="45">
        <v>24611646</v>
      </c>
      <c r="H561" s="45"/>
      <c r="I561" s="45">
        <v>0</v>
      </c>
      <c r="J561" s="45"/>
      <c r="K561" s="45">
        <v>22557680</v>
      </c>
      <c r="L561" s="45"/>
      <c r="M561" s="45">
        <v>63976</v>
      </c>
      <c r="N561" s="45"/>
      <c r="O561" s="45">
        <v>1143490</v>
      </c>
      <c r="P561" s="45"/>
      <c r="Q561" s="45">
        <v>967077</v>
      </c>
      <c r="R561" s="45"/>
      <c r="S561" s="45">
        <v>0</v>
      </c>
      <c r="T561" s="45"/>
      <c r="U561" s="45">
        <v>0</v>
      </c>
      <c r="V561" s="45"/>
      <c r="W561" s="45">
        <f>1154505+257641</f>
        <v>1412146</v>
      </c>
      <c r="X561" s="45"/>
      <c r="Y561" s="49">
        <f t="shared" si="70"/>
        <v>50756015</v>
      </c>
      <c r="Z561" s="45"/>
      <c r="AA561" s="45">
        <v>62054</v>
      </c>
      <c r="AB561" s="45"/>
      <c r="AC561" s="45"/>
      <c r="AD561" s="45"/>
      <c r="AE561" s="45">
        <v>1103964</v>
      </c>
      <c r="AF561" s="45"/>
      <c r="AG561" s="45"/>
      <c r="AH561" s="45"/>
      <c r="AI561" s="45">
        <v>865</v>
      </c>
      <c r="AJ561" s="45"/>
      <c r="AK561" s="45">
        <v>0</v>
      </c>
      <c r="AL561" s="45"/>
      <c r="AM561" s="49">
        <f t="shared" si="69"/>
        <v>1166883</v>
      </c>
      <c r="AN561" s="45"/>
      <c r="AO561" s="49">
        <f t="shared" si="71"/>
        <v>51922898</v>
      </c>
    </row>
    <row r="562" spans="1:41">
      <c r="A562" s="12" t="s">
        <v>624</v>
      </c>
      <c r="B562" s="12"/>
      <c r="C562" s="12" t="s">
        <v>65</v>
      </c>
      <c r="D562" s="12"/>
      <c r="E562" s="13">
        <v>50302</v>
      </c>
      <c r="F562" s="45"/>
      <c r="G562" s="45">
        <v>5654922</v>
      </c>
      <c r="H562" s="45"/>
      <c r="I562" s="45">
        <v>0</v>
      </c>
      <c r="J562" s="45"/>
      <c r="K562" s="45">
        <f>6537946+1272385</f>
        <v>7810331</v>
      </c>
      <c r="L562" s="45"/>
      <c r="M562" s="45">
        <v>9045</v>
      </c>
      <c r="N562" s="45"/>
      <c r="O562" s="45">
        <v>323643</v>
      </c>
      <c r="P562" s="45"/>
      <c r="Q562" s="45">
        <v>116795</v>
      </c>
      <c r="R562" s="45"/>
      <c r="S562" s="45">
        <v>0</v>
      </c>
      <c r="T562" s="45"/>
      <c r="U562" s="45">
        <v>62757</v>
      </c>
      <c r="V562" s="45"/>
      <c r="W562" s="45">
        <f>262977+68330+8907+8781</f>
        <v>348995</v>
      </c>
      <c r="X562" s="45"/>
      <c r="Y562" s="49">
        <f t="shared" si="70"/>
        <v>14326488</v>
      </c>
      <c r="Z562" s="45"/>
      <c r="AA562" s="45">
        <v>30247</v>
      </c>
      <c r="AB562" s="45"/>
      <c r="AC562" s="45"/>
      <c r="AD562" s="45"/>
      <c r="AE562" s="45">
        <v>0</v>
      </c>
      <c r="AF562" s="45"/>
      <c r="AG562" s="45"/>
      <c r="AH562" s="45"/>
      <c r="AI562" s="45">
        <v>0</v>
      </c>
      <c r="AJ562" s="45"/>
      <c r="AK562" s="45">
        <v>0</v>
      </c>
      <c r="AL562" s="45"/>
      <c r="AM562" s="49">
        <f t="shared" si="69"/>
        <v>30247</v>
      </c>
      <c r="AN562" s="45"/>
      <c r="AO562" s="49">
        <f t="shared" si="71"/>
        <v>14356735</v>
      </c>
    </row>
    <row r="563" spans="1:41">
      <c r="A563" s="12" t="s">
        <v>585</v>
      </c>
      <c r="B563" s="12"/>
      <c r="C563" s="12" t="s">
        <v>62</v>
      </c>
      <c r="D563" s="12"/>
      <c r="E563" s="13">
        <v>49957</v>
      </c>
      <c r="F563" s="45"/>
      <c r="G563" s="45">
        <v>4479190</v>
      </c>
      <c r="H563" s="45"/>
      <c r="I563" s="45">
        <v>0</v>
      </c>
      <c r="J563" s="45"/>
      <c r="K563" s="45">
        <v>16054884</v>
      </c>
      <c r="L563" s="45"/>
      <c r="M563" s="45">
        <v>27139</v>
      </c>
      <c r="N563" s="45"/>
      <c r="O563" s="45">
        <v>750650</v>
      </c>
      <c r="P563" s="45"/>
      <c r="Q563" s="45">
        <v>336471</v>
      </c>
      <c r="R563" s="45"/>
      <c r="S563" s="45">
        <v>0</v>
      </c>
      <c r="T563" s="45"/>
      <c r="U563" s="45">
        <v>14880</v>
      </c>
      <c r="V563" s="45"/>
      <c r="W563" s="45">
        <f>11728+323559+13462</f>
        <v>348749</v>
      </c>
      <c r="X563" s="45"/>
      <c r="Y563" s="49">
        <f t="shared" si="70"/>
        <v>22011963</v>
      </c>
      <c r="Z563" s="45"/>
      <c r="AA563" s="45">
        <v>93112</v>
      </c>
      <c r="AB563" s="45"/>
      <c r="AC563" s="45"/>
      <c r="AD563" s="45"/>
      <c r="AE563" s="45">
        <v>878000</v>
      </c>
      <c r="AF563" s="45"/>
      <c r="AG563" s="45"/>
      <c r="AH563" s="45"/>
      <c r="AI563" s="45">
        <v>0</v>
      </c>
      <c r="AJ563" s="45"/>
      <c r="AK563" s="45">
        <v>0</v>
      </c>
      <c r="AL563" s="45"/>
      <c r="AM563" s="49">
        <f t="shared" ref="AM563:AM626" si="72">AI563+AE563+AA563</f>
        <v>971112</v>
      </c>
      <c r="AN563" s="45"/>
      <c r="AO563" s="49">
        <f t="shared" si="71"/>
        <v>22983075</v>
      </c>
    </row>
    <row r="564" spans="1:41" hidden="1">
      <c r="A564" s="17" t="s">
        <v>865</v>
      </c>
      <c r="B564" s="12"/>
      <c r="C564" s="12" t="s">
        <v>57</v>
      </c>
      <c r="D564" s="12"/>
      <c r="E564" s="13">
        <v>49296</v>
      </c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9">
        <f t="shared" si="70"/>
        <v>0</v>
      </c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>
        <v>0</v>
      </c>
      <c r="AL564" s="45"/>
      <c r="AM564" s="49">
        <f t="shared" si="72"/>
        <v>0</v>
      </c>
      <c r="AN564" s="45"/>
      <c r="AO564" s="49">
        <f t="shared" si="71"/>
        <v>0</v>
      </c>
    </row>
    <row r="565" spans="1:41">
      <c r="A565" s="12" t="s">
        <v>597</v>
      </c>
      <c r="B565" s="12"/>
      <c r="C565" s="12" t="s">
        <v>63</v>
      </c>
      <c r="D565" s="12"/>
      <c r="E565" s="13">
        <v>50070</v>
      </c>
      <c r="F565" s="45"/>
      <c r="G565" s="49">
        <v>27763472</v>
      </c>
      <c r="H565" s="49"/>
      <c r="I565" s="49">
        <v>0</v>
      </c>
      <c r="J565" s="49"/>
      <c r="K565" s="49">
        <v>18005049</v>
      </c>
      <c r="L565" s="49"/>
      <c r="M565" s="49">
        <v>69253</v>
      </c>
      <c r="N565" s="49"/>
      <c r="O565" s="49">
        <v>728296</v>
      </c>
      <c r="P565" s="49"/>
      <c r="Q565" s="49">
        <v>341481</v>
      </c>
      <c r="R565" s="49"/>
      <c r="S565" s="49">
        <v>187451</v>
      </c>
      <c r="T565" s="49"/>
      <c r="U565" s="49">
        <v>7800</v>
      </c>
      <c r="V565" s="49"/>
      <c r="W565" s="49">
        <f>912706+84769+44085</f>
        <v>1041560</v>
      </c>
      <c r="X565" s="49"/>
      <c r="Y565" s="49">
        <f t="shared" ref="Y565:Y633" si="73">SUM(G565:W565)</f>
        <v>48144362</v>
      </c>
      <c r="Z565" s="49"/>
      <c r="AA565" s="49">
        <v>0</v>
      </c>
      <c r="AB565" s="49"/>
      <c r="AC565" s="49"/>
      <c r="AD565" s="49"/>
      <c r="AE565" s="49">
        <v>0</v>
      </c>
      <c r="AF565" s="49"/>
      <c r="AG565" s="49"/>
      <c r="AH565" s="49"/>
      <c r="AI565" s="49">
        <v>0</v>
      </c>
      <c r="AJ565" s="49"/>
      <c r="AK565" s="49">
        <v>0</v>
      </c>
      <c r="AL565" s="49"/>
      <c r="AM565" s="49">
        <f t="shared" ref="AM565:AM573" si="74">AI565+AE565+AA565</f>
        <v>0</v>
      </c>
      <c r="AN565" s="49"/>
      <c r="AO565" s="49">
        <f t="shared" ref="AO565:AO573" si="75">Y565+AM565</f>
        <v>48144362</v>
      </c>
    </row>
    <row r="566" spans="1:41" hidden="1">
      <c r="A566" s="12" t="s">
        <v>931</v>
      </c>
      <c r="B566" s="12"/>
      <c r="C566" s="12" t="s">
        <v>15</v>
      </c>
      <c r="D566" s="12"/>
      <c r="E566" s="13">
        <v>46011</v>
      </c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9">
        <f t="shared" si="73"/>
        <v>0</v>
      </c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>
        <v>0</v>
      </c>
      <c r="AL566" s="45"/>
      <c r="AM566" s="49">
        <f t="shared" si="74"/>
        <v>0</v>
      </c>
      <c r="AN566" s="45"/>
      <c r="AO566" s="49">
        <f t="shared" si="75"/>
        <v>0</v>
      </c>
    </row>
    <row r="567" spans="1:41">
      <c r="A567" s="12" t="s">
        <v>553</v>
      </c>
      <c r="B567" s="12"/>
      <c r="C567" s="12" t="s">
        <v>58</v>
      </c>
      <c r="D567" s="12"/>
      <c r="E567" s="13">
        <v>49536</v>
      </c>
      <c r="F567" s="45"/>
      <c r="G567" s="45">
        <v>3824365</v>
      </c>
      <c r="H567" s="45"/>
      <c r="I567" s="45">
        <v>1073206</v>
      </c>
      <c r="J567" s="45"/>
      <c r="K567" s="45">
        <v>12452434</v>
      </c>
      <c r="L567" s="45"/>
      <c r="M567" s="45">
        <v>18256</v>
      </c>
      <c r="N567" s="45"/>
      <c r="O567" s="45">
        <v>2369941</v>
      </c>
      <c r="P567" s="45"/>
      <c r="Q567" s="45">
        <v>104084</v>
      </c>
      <c r="R567" s="45"/>
      <c r="S567" s="45">
        <v>0</v>
      </c>
      <c r="T567" s="45"/>
      <c r="U567" s="45">
        <v>31665</v>
      </c>
      <c r="V567" s="45"/>
      <c r="W567" s="45">
        <f>10502+392436+69912</f>
        <v>472850</v>
      </c>
      <c r="X567" s="45"/>
      <c r="Y567" s="49">
        <f t="shared" si="73"/>
        <v>20346801</v>
      </c>
      <c r="Z567" s="45"/>
      <c r="AA567" s="45">
        <v>401015</v>
      </c>
      <c r="AB567" s="45"/>
      <c r="AC567" s="45"/>
      <c r="AD567" s="45"/>
      <c r="AE567" s="45">
        <v>184131</v>
      </c>
      <c r="AF567" s="45"/>
      <c r="AG567" s="45"/>
      <c r="AH567" s="45"/>
      <c r="AI567" s="45">
        <f>4700</f>
        <v>4700</v>
      </c>
      <c r="AJ567" s="45"/>
      <c r="AK567" s="45">
        <v>0</v>
      </c>
      <c r="AL567" s="45"/>
      <c r="AM567" s="49">
        <f t="shared" si="74"/>
        <v>589846</v>
      </c>
      <c r="AN567" s="45"/>
      <c r="AO567" s="49">
        <f t="shared" si="75"/>
        <v>20936647</v>
      </c>
    </row>
    <row r="568" spans="1:41">
      <c r="A568" s="12" t="s">
        <v>270</v>
      </c>
      <c r="B568" s="12"/>
      <c r="C568" s="12" t="s">
        <v>114</v>
      </c>
      <c r="D568" s="12"/>
      <c r="E568" s="13">
        <v>46458</v>
      </c>
      <c r="F568" s="45"/>
      <c r="G568" s="45">
        <v>2766390</v>
      </c>
      <c r="H568" s="45"/>
      <c r="I568" s="45">
        <v>592317</v>
      </c>
      <c r="J568" s="45"/>
      <c r="K568" s="45">
        <f>6939718+1492980</f>
        <v>8432698</v>
      </c>
      <c r="L568" s="45"/>
      <c r="M568" s="45">
        <v>169571</v>
      </c>
      <c r="N568" s="45"/>
      <c r="O568" s="45">
        <v>658450</v>
      </c>
      <c r="P568" s="45"/>
      <c r="Q568" s="45">
        <v>187959</v>
      </c>
      <c r="R568" s="45"/>
      <c r="S568" s="45">
        <v>0</v>
      </c>
      <c r="T568" s="45"/>
      <c r="U568" s="45">
        <v>0</v>
      </c>
      <c r="V568" s="45"/>
      <c r="W568" s="45">
        <f>21847+276052+36937+61943</f>
        <v>396779</v>
      </c>
      <c r="X568" s="45"/>
      <c r="Y568" s="49">
        <f t="shared" si="73"/>
        <v>13204164</v>
      </c>
      <c r="Z568" s="45"/>
      <c r="AA568" s="45">
        <v>0</v>
      </c>
      <c r="AB568" s="45"/>
      <c r="AC568" s="45"/>
      <c r="AD568" s="45"/>
      <c r="AE568" s="45">
        <v>0</v>
      </c>
      <c r="AF568" s="45"/>
      <c r="AG568" s="45"/>
      <c r="AH568" s="45"/>
      <c r="AI568" s="45">
        <v>0</v>
      </c>
      <c r="AJ568" s="45"/>
      <c r="AK568" s="45">
        <v>0</v>
      </c>
      <c r="AL568" s="45"/>
      <c r="AM568" s="49">
        <f t="shared" si="74"/>
        <v>0</v>
      </c>
      <c r="AN568" s="45"/>
      <c r="AO568" s="49">
        <f t="shared" si="75"/>
        <v>13204164</v>
      </c>
    </row>
    <row r="569" spans="1:41">
      <c r="A569" s="12" t="s">
        <v>341</v>
      </c>
      <c r="B569" s="12"/>
      <c r="C569" s="12" t="s">
        <v>27</v>
      </c>
      <c r="D569" s="12"/>
      <c r="E569" s="13">
        <v>44933</v>
      </c>
      <c r="F569" s="45"/>
      <c r="G569" s="45">
        <v>66643655</v>
      </c>
      <c r="H569" s="45"/>
      <c r="I569" s="45">
        <v>0</v>
      </c>
      <c r="J569" s="45"/>
      <c r="K569" s="45">
        <f>2067832+15329290+858841</f>
        <v>18255963</v>
      </c>
      <c r="L569" s="45"/>
      <c r="M569" s="45">
        <v>534734</v>
      </c>
      <c r="N569" s="45"/>
      <c r="O569" s="45">
        <v>82706</v>
      </c>
      <c r="P569" s="45"/>
      <c r="Q569" s="45">
        <v>1540968</v>
      </c>
      <c r="R569" s="45"/>
      <c r="S569" s="45">
        <v>0</v>
      </c>
      <c r="T569" s="45"/>
      <c r="U569" s="45">
        <v>0</v>
      </c>
      <c r="V569" s="45"/>
      <c r="W569" s="45">
        <f>3554539+1068051</f>
        <v>4622590</v>
      </c>
      <c r="X569" s="45"/>
      <c r="Y569" s="49">
        <f t="shared" si="73"/>
        <v>91680616</v>
      </c>
      <c r="Z569" s="45"/>
      <c r="AA569" s="45">
        <v>990404</v>
      </c>
      <c r="AB569" s="45"/>
      <c r="AC569" s="45"/>
      <c r="AD569" s="45"/>
      <c r="AE569" s="45">
        <v>0</v>
      </c>
      <c r="AF569" s="45"/>
      <c r="AG569" s="45"/>
      <c r="AH569" s="45"/>
      <c r="AI569" s="45">
        <v>0</v>
      </c>
      <c r="AJ569" s="45"/>
      <c r="AK569" s="45">
        <v>0</v>
      </c>
      <c r="AL569" s="45"/>
      <c r="AM569" s="49">
        <f t="shared" si="74"/>
        <v>990404</v>
      </c>
      <c r="AN569" s="45"/>
      <c r="AO569" s="49">
        <f t="shared" si="75"/>
        <v>92671020</v>
      </c>
    </row>
    <row r="570" spans="1:41" hidden="1">
      <c r="A570" s="17" t="s">
        <v>866</v>
      </c>
      <c r="B570" s="12"/>
      <c r="C570" s="12" t="s">
        <v>653</v>
      </c>
      <c r="D570" s="12"/>
      <c r="E570" s="13">
        <v>45625</v>
      </c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9">
        <f t="shared" si="73"/>
        <v>0</v>
      </c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>
        <v>0</v>
      </c>
      <c r="AL570" s="45"/>
      <c r="AM570" s="49">
        <f t="shared" si="74"/>
        <v>0</v>
      </c>
      <c r="AN570" s="45"/>
      <c r="AO570" s="49">
        <f t="shared" si="75"/>
        <v>0</v>
      </c>
    </row>
    <row r="571" spans="1:41" hidden="1">
      <c r="A571" s="17" t="s">
        <v>867</v>
      </c>
      <c r="B571" s="12"/>
      <c r="C571" s="12" t="s">
        <v>383</v>
      </c>
      <c r="D571" s="12"/>
      <c r="E571" s="13">
        <v>47522</v>
      </c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9">
        <f t="shared" si="73"/>
        <v>0</v>
      </c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>
        <v>0</v>
      </c>
      <c r="AL571" s="45"/>
      <c r="AM571" s="49">
        <f t="shared" si="74"/>
        <v>0</v>
      </c>
      <c r="AN571" s="45"/>
      <c r="AO571" s="49">
        <f t="shared" si="75"/>
        <v>0</v>
      </c>
    </row>
    <row r="572" spans="1:41">
      <c r="A572" s="12" t="s">
        <v>243</v>
      </c>
      <c r="B572" s="12"/>
      <c r="C572" s="12" t="s">
        <v>240</v>
      </c>
      <c r="D572" s="12"/>
      <c r="E572" s="13">
        <v>44941</v>
      </c>
      <c r="F572" s="45"/>
      <c r="G572" s="45">
        <v>9279512</v>
      </c>
      <c r="H572" s="45"/>
      <c r="I572" s="45">
        <v>0</v>
      </c>
      <c r="J572" s="45"/>
      <c r="K572" s="45">
        <f>109416+12495203+2833960</f>
        <v>15438579</v>
      </c>
      <c r="L572" s="45"/>
      <c r="M572" s="45">
        <v>69814</v>
      </c>
      <c r="N572" s="45"/>
      <c r="O572" s="45">
        <v>709787</v>
      </c>
      <c r="P572" s="45"/>
      <c r="Q572" s="45">
        <v>406535</v>
      </c>
      <c r="R572" s="45"/>
      <c r="S572" s="45">
        <v>0</v>
      </c>
      <c r="T572" s="45"/>
      <c r="U572" s="45">
        <v>0</v>
      </c>
      <c r="V572" s="45"/>
      <c r="W572" s="45">
        <f>20642+340450+64755+111959</f>
        <v>537806</v>
      </c>
      <c r="X572" s="45"/>
      <c r="Y572" s="49">
        <f t="shared" si="73"/>
        <v>26442033</v>
      </c>
      <c r="Z572" s="45"/>
      <c r="AA572" s="45">
        <v>1778</v>
      </c>
      <c r="AB572" s="45"/>
      <c r="AC572" s="45"/>
      <c r="AD572" s="45"/>
      <c r="AE572" s="45">
        <v>381864</v>
      </c>
      <c r="AF572" s="45"/>
      <c r="AG572" s="45"/>
      <c r="AH572" s="45"/>
      <c r="AI572" s="45">
        <v>0</v>
      </c>
      <c r="AJ572" s="45"/>
      <c r="AK572" s="45">
        <v>0</v>
      </c>
      <c r="AL572" s="45"/>
      <c r="AM572" s="49">
        <f t="shared" si="74"/>
        <v>383642</v>
      </c>
      <c r="AN572" s="45"/>
      <c r="AO572" s="49">
        <f t="shared" si="75"/>
        <v>26825675</v>
      </c>
    </row>
    <row r="573" spans="1:41" hidden="1">
      <c r="A573" s="17" t="s">
        <v>868</v>
      </c>
      <c r="B573" s="12"/>
      <c r="C573" s="12" t="s">
        <v>59</v>
      </c>
      <c r="D573" s="12"/>
      <c r="E573" s="13">
        <v>49643</v>
      </c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9">
        <f t="shared" si="73"/>
        <v>0</v>
      </c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>
        <v>0</v>
      </c>
      <c r="AL573" s="45"/>
      <c r="AM573" s="49">
        <f t="shared" si="74"/>
        <v>0</v>
      </c>
      <c r="AN573" s="45"/>
      <c r="AO573" s="49">
        <f t="shared" si="75"/>
        <v>0</v>
      </c>
    </row>
    <row r="574" spans="1:41">
      <c r="A574" s="12" t="s">
        <v>506</v>
      </c>
      <c r="B574" s="12"/>
      <c r="C574" s="12" t="s">
        <v>50</v>
      </c>
      <c r="D574" s="12"/>
      <c r="E574" s="13">
        <v>48744</v>
      </c>
      <c r="F574" s="45"/>
      <c r="G574" s="45">
        <v>4713965</v>
      </c>
      <c r="H574" s="45"/>
      <c r="I574" s="45">
        <v>2739490</v>
      </c>
      <c r="J574" s="45"/>
      <c r="K574" s="45">
        <f>8657871+1414079</f>
        <v>10071950</v>
      </c>
      <c r="L574" s="45"/>
      <c r="M574" s="45">
        <v>168985</v>
      </c>
      <c r="N574" s="45"/>
      <c r="O574" s="45">
        <v>107990</v>
      </c>
      <c r="P574" s="45"/>
      <c r="Q574" s="45">
        <v>285072</v>
      </c>
      <c r="R574" s="45"/>
      <c r="S574" s="45">
        <v>0</v>
      </c>
      <c r="T574" s="45"/>
      <c r="U574" s="45">
        <v>26526</v>
      </c>
      <c r="V574" s="45"/>
      <c r="W574" s="45">
        <f>496909+109007+15850+167756</f>
        <v>789522</v>
      </c>
      <c r="X574" s="45"/>
      <c r="Y574" s="49">
        <f t="shared" si="73"/>
        <v>18903500</v>
      </c>
      <c r="Z574" s="45"/>
      <c r="AA574" s="45">
        <v>78060</v>
      </c>
      <c r="AB574" s="45"/>
      <c r="AC574" s="45"/>
      <c r="AD574" s="45"/>
      <c r="AE574" s="45">
        <v>0</v>
      </c>
      <c r="AF574" s="45"/>
      <c r="AG574" s="45"/>
      <c r="AH574" s="45"/>
      <c r="AI574" s="45">
        <v>470</v>
      </c>
      <c r="AJ574" s="45"/>
      <c r="AK574" s="45">
        <v>0</v>
      </c>
      <c r="AL574" s="45"/>
      <c r="AM574" s="49">
        <f t="shared" si="72"/>
        <v>78530</v>
      </c>
      <c r="AN574" s="45"/>
      <c r="AO574" s="49">
        <f t="shared" si="71"/>
        <v>18982030</v>
      </c>
    </row>
    <row r="575" spans="1:41">
      <c r="A575" s="12" t="s">
        <v>382</v>
      </c>
      <c r="B575" s="12"/>
      <c r="C575" s="12" t="s">
        <v>33</v>
      </c>
      <c r="D575" s="12"/>
      <c r="E575" s="13">
        <v>47464</v>
      </c>
      <c r="F575" s="45"/>
      <c r="G575" s="45">
        <v>5928827</v>
      </c>
      <c r="H575" s="45"/>
      <c r="I575" s="45">
        <v>0</v>
      </c>
      <c r="J575" s="45"/>
      <c r="K575" s="45">
        <v>4314508</v>
      </c>
      <c r="L575" s="45"/>
      <c r="M575" s="45">
        <v>47746</v>
      </c>
      <c r="N575" s="45"/>
      <c r="O575" s="45">
        <v>786195</v>
      </c>
      <c r="P575" s="45"/>
      <c r="Q575" s="45">
        <v>115208</v>
      </c>
      <c r="R575" s="45"/>
      <c r="S575" s="45">
        <v>48212</v>
      </c>
      <c r="T575" s="45"/>
      <c r="U575" s="45">
        <v>29921</v>
      </c>
      <c r="V575" s="45"/>
      <c r="W575" s="45">
        <f>189765+80906</f>
        <v>270671</v>
      </c>
      <c r="X575" s="45"/>
      <c r="Y575" s="49">
        <f t="shared" si="73"/>
        <v>11541288</v>
      </c>
      <c r="Z575" s="45"/>
      <c r="AA575" s="45">
        <v>63086</v>
      </c>
      <c r="AB575" s="45"/>
      <c r="AC575" s="45"/>
      <c r="AD575" s="45"/>
      <c r="AE575" s="45">
        <f>6240000+719831</f>
        <v>6959831</v>
      </c>
      <c r="AF575" s="45"/>
      <c r="AG575" s="45"/>
      <c r="AH575" s="45"/>
      <c r="AI575" s="45">
        <v>0</v>
      </c>
      <c r="AJ575" s="45"/>
      <c r="AK575" s="45">
        <v>0</v>
      </c>
      <c r="AL575" s="45"/>
      <c r="AM575" s="49">
        <f t="shared" si="72"/>
        <v>7022917</v>
      </c>
      <c r="AN575" s="45"/>
      <c r="AO575" s="49">
        <f t="shared" si="71"/>
        <v>18564205</v>
      </c>
    </row>
    <row r="576" spans="1:41">
      <c r="A576" s="12" t="s">
        <v>629</v>
      </c>
      <c r="B576" s="12"/>
      <c r="C576" s="12" t="s">
        <v>67</v>
      </c>
      <c r="D576" s="12"/>
      <c r="E576" s="13">
        <v>44966</v>
      </c>
      <c r="F576" s="45"/>
      <c r="G576" s="45">
        <v>6419176</v>
      </c>
      <c r="H576" s="45"/>
      <c r="I576" s="45">
        <v>2085254</v>
      </c>
      <c r="J576" s="45"/>
      <c r="K576" s="45">
        <v>14735900</v>
      </c>
      <c r="L576" s="45"/>
      <c r="M576" s="45">
        <v>56023</v>
      </c>
      <c r="N576" s="45"/>
      <c r="O576" s="45">
        <v>844335</v>
      </c>
      <c r="P576" s="45"/>
      <c r="Q576" s="45">
        <v>124738</v>
      </c>
      <c r="R576" s="45"/>
      <c r="S576" s="45">
        <v>195045</v>
      </c>
      <c r="T576" s="45"/>
      <c r="U576" s="45">
        <v>84297</v>
      </c>
      <c r="V576" s="45"/>
      <c r="W576" s="45">
        <f>416502+149079</f>
        <v>565581</v>
      </c>
      <c r="X576" s="45"/>
      <c r="Y576" s="49">
        <f t="shared" si="73"/>
        <v>25110349</v>
      </c>
      <c r="Z576" s="45"/>
      <c r="AA576" s="45">
        <v>0</v>
      </c>
      <c r="AB576" s="45"/>
      <c r="AC576" s="45"/>
      <c r="AD576" s="45"/>
      <c r="AE576" s="45">
        <v>0</v>
      </c>
      <c r="AF576" s="45"/>
      <c r="AG576" s="45"/>
      <c r="AH576" s="45"/>
      <c r="AI576" s="45">
        <v>0</v>
      </c>
      <c r="AJ576" s="45"/>
      <c r="AK576" s="45">
        <v>0</v>
      </c>
      <c r="AL576" s="45"/>
      <c r="AM576" s="49">
        <f t="shared" si="72"/>
        <v>0</v>
      </c>
      <c r="AN576" s="45"/>
      <c r="AO576" s="49">
        <f t="shared" si="71"/>
        <v>25110349</v>
      </c>
    </row>
    <row r="577" spans="1:41">
      <c r="A577" s="12" t="s">
        <v>507</v>
      </c>
      <c r="B577" s="12"/>
      <c r="C577" s="12" t="s">
        <v>50</v>
      </c>
      <c r="D577" s="12"/>
      <c r="E577" s="13">
        <v>44958</v>
      </c>
      <c r="F577" s="45"/>
      <c r="G577" s="45">
        <v>20531459</v>
      </c>
      <c r="H577" s="45"/>
      <c r="I577" s="45">
        <v>0</v>
      </c>
      <c r="J577" s="45"/>
      <c r="K577" s="45">
        <v>13648138</v>
      </c>
      <c r="L577" s="45"/>
      <c r="M577" s="45">
        <v>1924940</v>
      </c>
      <c r="N577" s="45"/>
      <c r="O577" s="45">
        <v>974007</v>
      </c>
      <c r="P577" s="45"/>
      <c r="Q577" s="45">
        <v>401670</v>
      </c>
      <c r="R577" s="45"/>
      <c r="S577" s="45">
        <v>0</v>
      </c>
      <c r="T577" s="45"/>
      <c r="U577" s="45">
        <v>188406</v>
      </c>
      <c r="V577" s="45"/>
      <c r="W577" s="45">
        <f>986840+106219</f>
        <v>1093059</v>
      </c>
      <c r="X577" s="45"/>
      <c r="Y577" s="49">
        <f t="shared" si="73"/>
        <v>38761679</v>
      </c>
      <c r="Z577" s="45"/>
      <c r="AA577" s="45">
        <v>65525</v>
      </c>
      <c r="AB577" s="45"/>
      <c r="AC577" s="45"/>
      <c r="AD577" s="45"/>
      <c r="AE577" s="45">
        <f>23999318+568242+515659</f>
        <v>25083219</v>
      </c>
      <c r="AF577" s="45"/>
      <c r="AG577" s="45"/>
      <c r="AH577" s="45"/>
      <c r="AI577" s="45">
        <f>1819</f>
        <v>1819</v>
      </c>
      <c r="AJ577" s="45"/>
      <c r="AK577" s="45">
        <v>0</v>
      </c>
      <c r="AL577" s="45"/>
      <c r="AM577" s="49">
        <f t="shared" si="72"/>
        <v>25150563</v>
      </c>
      <c r="AN577" s="45"/>
      <c r="AO577" s="49">
        <f t="shared" si="71"/>
        <v>63912242</v>
      </c>
    </row>
    <row r="578" spans="1:41" hidden="1">
      <c r="A578" s="17" t="s">
        <v>870</v>
      </c>
      <c r="B578" s="12"/>
      <c r="C578" s="12" t="s">
        <v>33</v>
      </c>
      <c r="D578" s="12"/>
      <c r="E578" s="13">
        <v>47472</v>
      </c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9">
        <f t="shared" si="73"/>
        <v>0</v>
      </c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>
        <v>0</v>
      </c>
      <c r="AL578" s="45"/>
      <c r="AM578" s="49">
        <f t="shared" si="72"/>
        <v>0</v>
      </c>
      <c r="AN578" s="45"/>
      <c r="AO578" s="49">
        <f t="shared" si="71"/>
        <v>0</v>
      </c>
    </row>
    <row r="579" spans="1:41">
      <c r="A579" s="12" t="s">
        <v>320</v>
      </c>
      <c r="B579" s="12"/>
      <c r="C579" s="12" t="s">
        <v>24</v>
      </c>
      <c r="D579" s="12"/>
      <c r="E579" s="13">
        <v>46821</v>
      </c>
      <c r="F579" s="45"/>
      <c r="G579" s="45">
        <v>15578948</v>
      </c>
      <c r="H579" s="45"/>
      <c r="I579" s="45">
        <v>0</v>
      </c>
      <c r="J579" s="45"/>
      <c r="K579" s="45">
        <f>8194367+2205995</f>
        <v>10400362</v>
      </c>
      <c r="L579" s="45"/>
      <c r="M579" s="45">
        <v>182661</v>
      </c>
      <c r="N579" s="45"/>
      <c r="O579" s="45">
        <v>470169</v>
      </c>
      <c r="P579" s="45"/>
      <c r="Q579" s="45">
        <v>166229</v>
      </c>
      <c r="R579" s="45"/>
      <c r="S579" s="45">
        <v>0</v>
      </c>
      <c r="T579" s="45"/>
      <c r="U579" s="45">
        <v>35548</v>
      </c>
      <c r="V579" s="45"/>
      <c r="W579" s="45">
        <f>294+368156+107970+30427+86307</f>
        <v>593154</v>
      </c>
      <c r="X579" s="45"/>
      <c r="Y579" s="49">
        <f t="shared" si="73"/>
        <v>27427071</v>
      </c>
      <c r="Z579" s="45"/>
      <c r="AA579" s="45">
        <v>0</v>
      </c>
      <c r="AB579" s="45"/>
      <c r="AC579" s="45"/>
      <c r="AD579" s="45"/>
      <c r="AE579" s="45">
        <v>2303256</v>
      </c>
      <c r="AF579" s="45"/>
      <c r="AG579" s="45"/>
      <c r="AH579" s="45"/>
      <c r="AI579" s="45">
        <v>0</v>
      </c>
      <c r="AJ579" s="45"/>
      <c r="AK579" s="45">
        <v>0</v>
      </c>
      <c r="AL579" s="45"/>
      <c r="AM579" s="49">
        <f t="shared" si="72"/>
        <v>2303256</v>
      </c>
      <c r="AN579" s="45"/>
      <c r="AO579" s="49">
        <f t="shared" si="71"/>
        <v>29730327</v>
      </c>
    </row>
    <row r="580" spans="1:41" hidden="1">
      <c r="A580" s="17" t="s">
        <v>871</v>
      </c>
      <c r="B580" s="17"/>
      <c r="C580" s="17" t="s">
        <v>21</v>
      </c>
      <c r="D580" s="12"/>
      <c r="E580" s="13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9">
        <f t="shared" si="73"/>
        <v>0</v>
      </c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>
        <v>0</v>
      </c>
      <c r="AL580" s="45"/>
      <c r="AM580" s="49">
        <f t="shared" si="72"/>
        <v>0</v>
      </c>
      <c r="AN580" s="45"/>
      <c r="AO580" s="49">
        <f t="shared" si="71"/>
        <v>0</v>
      </c>
    </row>
    <row r="581" spans="1:41">
      <c r="A581" s="12" t="s">
        <v>630</v>
      </c>
      <c r="B581" s="12"/>
      <c r="C581" s="12" t="s">
        <v>68</v>
      </c>
      <c r="D581" s="12"/>
      <c r="E581" s="13">
        <v>50393</v>
      </c>
      <c r="F581" s="45"/>
      <c r="G581" s="45">
        <v>4287847</v>
      </c>
      <c r="H581" s="45"/>
      <c r="I581" s="45">
        <v>0</v>
      </c>
      <c r="J581" s="45"/>
      <c r="K581" s="45">
        <v>22876343</v>
      </c>
      <c r="L581" s="45"/>
      <c r="M581" s="45">
        <v>162698</v>
      </c>
      <c r="N581" s="45"/>
      <c r="O581" s="45">
        <v>395585</v>
      </c>
      <c r="P581" s="45"/>
      <c r="Q581" s="45">
        <v>108313</v>
      </c>
      <c r="R581" s="45"/>
      <c r="S581" s="45">
        <v>692010</v>
      </c>
      <c r="T581" s="45"/>
      <c r="U581" s="45">
        <v>22914</v>
      </c>
      <c r="V581" s="45"/>
      <c r="W581" s="45">
        <f>300+431510+92737</f>
        <v>524547</v>
      </c>
      <c r="X581" s="45"/>
      <c r="Y581" s="49">
        <f t="shared" si="73"/>
        <v>29070257</v>
      </c>
      <c r="Z581" s="45"/>
      <c r="AA581" s="45">
        <v>0</v>
      </c>
      <c r="AB581" s="45"/>
      <c r="AC581" s="45"/>
      <c r="AD581" s="45"/>
      <c r="AE581" s="45">
        <v>524031</v>
      </c>
      <c r="AF581" s="45"/>
      <c r="AG581" s="45"/>
      <c r="AH581" s="45"/>
      <c r="AI581" s="45">
        <f>1926+24367</f>
        <v>26293</v>
      </c>
      <c r="AJ581" s="45"/>
      <c r="AK581" s="45">
        <v>0</v>
      </c>
      <c r="AL581" s="45"/>
      <c r="AM581" s="49">
        <f t="shared" si="72"/>
        <v>550324</v>
      </c>
      <c r="AN581" s="45"/>
      <c r="AO581" s="49">
        <f t="shared" si="71"/>
        <v>29620581</v>
      </c>
    </row>
    <row r="582" spans="1:41">
      <c r="A582" s="12" t="s">
        <v>483</v>
      </c>
      <c r="B582" s="12"/>
      <c r="C582" s="12" t="s">
        <v>47</v>
      </c>
      <c r="D582" s="12"/>
      <c r="E582" s="13">
        <v>44974</v>
      </c>
      <c r="F582" s="45"/>
      <c r="G582" s="45">
        <v>20556858</v>
      </c>
      <c r="H582" s="45"/>
      <c r="I582" s="45">
        <v>0</v>
      </c>
      <c r="J582" s="45"/>
      <c r="K582" s="45">
        <v>43625281</v>
      </c>
      <c r="L582" s="45"/>
      <c r="M582" s="45">
        <v>375609</v>
      </c>
      <c r="N582" s="45"/>
      <c r="O582" s="45">
        <v>1022964</v>
      </c>
      <c r="P582" s="45"/>
      <c r="Q582" s="45">
        <v>528095</v>
      </c>
      <c r="R582" s="45"/>
      <c r="S582" s="45">
        <v>0</v>
      </c>
      <c r="T582" s="45"/>
      <c r="U582" s="45">
        <v>59671</v>
      </c>
      <c r="V582" s="45"/>
      <c r="W582" s="45">
        <f>26940+926937+182677</f>
        <v>1136554</v>
      </c>
      <c r="X582" s="45"/>
      <c r="Y582" s="49">
        <f t="shared" si="73"/>
        <v>67305032</v>
      </c>
      <c r="Z582" s="45"/>
      <c r="AA582" s="45">
        <v>19003348</v>
      </c>
      <c r="AB582" s="45"/>
      <c r="AC582" s="45"/>
      <c r="AD582" s="45"/>
      <c r="AE582" s="45">
        <f>27000000+29050000+461605+574021+15000000</f>
        <v>72085626</v>
      </c>
      <c r="AF582" s="45"/>
      <c r="AG582" s="45"/>
      <c r="AH582" s="45"/>
      <c r="AI582" s="45">
        <f>29110</f>
        <v>29110</v>
      </c>
      <c r="AJ582" s="45"/>
      <c r="AK582" s="45">
        <v>0</v>
      </c>
      <c r="AL582" s="45"/>
      <c r="AM582" s="49">
        <f t="shared" si="72"/>
        <v>91118084</v>
      </c>
      <c r="AN582" s="45"/>
      <c r="AO582" s="49">
        <f t="shared" si="71"/>
        <v>158423116</v>
      </c>
    </row>
    <row r="583" spans="1:41">
      <c r="A583" s="12" t="s">
        <v>616</v>
      </c>
      <c r="B583" s="12"/>
      <c r="C583" s="12" t="s">
        <v>64</v>
      </c>
      <c r="D583" s="12"/>
      <c r="E583" s="13">
        <v>44990</v>
      </c>
      <c r="F583" s="45"/>
      <c r="G583" s="45">
        <v>14258874</v>
      </c>
      <c r="H583" s="45"/>
      <c r="I583" s="45">
        <v>0</v>
      </c>
      <c r="J583" s="45"/>
      <c r="K583" s="45">
        <f>47364452+13203740</f>
        <v>60568192</v>
      </c>
      <c r="L583" s="45"/>
      <c r="M583" s="45">
        <v>644291</v>
      </c>
      <c r="N583" s="45"/>
      <c r="O583" s="45">
        <v>1242659</v>
      </c>
      <c r="P583" s="45"/>
      <c r="Q583" s="45">
        <v>225821</v>
      </c>
      <c r="R583" s="45"/>
      <c r="S583" s="45">
        <v>0</v>
      </c>
      <c r="T583" s="45"/>
      <c r="U583" s="45">
        <v>0</v>
      </c>
      <c r="V583" s="45"/>
      <c r="W583" s="45">
        <f>103420+551378+28019+480254</f>
        <v>1163071</v>
      </c>
      <c r="X583" s="45"/>
      <c r="Y583" s="49">
        <f t="shared" si="73"/>
        <v>78102908</v>
      </c>
      <c r="Z583" s="45"/>
      <c r="AA583" s="45">
        <v>189929</v>
      </c>
      <c r="AB583" s="45"/>
      <c r="AC583" s="45"/>
      <c r="AD583" s="45"/>
      <c r="AE583" s="45">
        <v>875000</v>
      </c>
      <c r="AF583" s="45"/>
      <c r="AG583" s="45"/>
      <c r="AH583" s="45"/>
      <c r="AI583" s="45">
        <v>35317</v>
      </c>
      <c r="AJ583" s="45"/>
      <c r="AK583" s="45">
        <v>0</v>
      </c>
      <c r="AL583" s="45"/>
      <c r="AM583" s="49">
        <f t="shared" si="72"/>
        <v>1100246</v>
      </c>
      <c r="AN583" s="45"/>
      <c r="AO583" s="49">
        <f t="shared" si="71"/>
        <v>79203154</v>
      </c>
    </row>
    <row r="584" spans="1:41">
      <c r="A584" s="12" t="s">
        <v>638</v>
      </c>
      <c r="B584" s="12"/>
      <c r="C584" s="12" t="s">
        <v>70</v>
      </c>
      <c r="D584" s="12"/>
      <c r="E584" s="13">
        <v>50500</v>
      </c>
      <c r="F584" s="45"/>
      <c r="G584" s="45">
        <v>5688062</v>
      </c>
      <c r="H584" s="45"/>
      <c r="I584" s="45">
        <v>0</v>
      </c>
      <c r="J584" s="45"/>
      <c r="K584" s="45">
        <v>14665177</v>
      </c>
      <c r="L584" s="45"/>
      <c r="M584" s="45">
        <v>110760</v>
      </c>
      <c r="N584" s="45"/>
      <c r="O584" s="45">
        <v>1412654</v>
      </c>
      <c r="P584" s="45"/>
      <c r="Q584" s="45">
        <v>167333</v>
      </c>
      <c r="R584" s="45"/>
      <c r="S584" s="45">
        <v>0</v>
      </c>
      <c r="T584" s="45"/>
      <c r="U584" s="45">
        <v>73004</v>
      </c>
      <c r="V584" s="45"/>
      <c r="W584" s="45">
        <v>53904</v>
      </c>
      <c r="X584" s="45"/>
      <c r="Y584" s="49">
        <f t="shared" si="73"/>
        <v>22170894</v>
      </c>
      <c r="Z584" s="45"/>
      <c r="AA584" s="45">
        <v>319301</v>
      </c>
      <c r="AB584" s="45"/>
      <c r="AC584" s="45"/>
      <c r="AD584" s="45"/>
      <c r="AE584" s="45">
        <v>0</v>
      </c>
      <c r="AF584" s="45"/>
      <c r="AG584" s="45"/>
      <c r="AH584" s="45"/>
      <c r="AI584" s="45">
        <f>57420+21023</f>
        <v>78443</v>
      </c>
      <c r="AJ584" s="45"/>
      <c r="AK584" s="45">
        <v>0</v>
      </c>
      <c r="AL584" s="45"/>
      <c r="AM584" s="49">
        <f t="shared" si="72"/>
        <v>397744</v>
      </c>
      <c r="AN584" s="45"/>
      <c r="AO584" s="49">
        <f t="shared" si="71"/>
        <v>22568638</v>
      </c>
    </row>
    <row r="585" spans="1:41">
      <c r="A585" s="12" t="s">
        <v>307</v>
      </c>
      <c r="B585" s="12"/>
      <c r="C585" s="12" t="s">
        <v>20</v>
      </c>
      <c r="D585" s="12"/>
      <c r="E585" s="12">
        <v>45005</v>
      </c>
      <c r="F585" s="45"/>
      <c r="G585" s="45">
        <v>17369444</v>
      </c>
      <c r="H585" s="45"/>
      <c r="I585" s="45">
        <v>0</v>
      </c>
      <c r="J585" s="45"/>
      <c r="K585" s="45">
        <v>19470843</v>
      </c>
      <c r="L585" s="45"/>
      <c r="M585" s="45">
        <v>34650</v>
      </c>
      <c r="N585" s="45"/>
      <c r="O585" s="45">
        <v>117496</v>
      </c>
      <c r="P585" s="45"/>
      <c r="Q585" s="45">
        <v>36838</v>
      </c>
      <c r="R585" s="45"/>
      <c r="S585" s="45">
        <v>0</v>
      </c>
      <c r="T585" s="45"/>
      <c r="U585" s="45">
        <v>2515</v>
      </c>
      <c r="V585" s="45"/>
      <c r="W585" s="45">
        <f>135763+6529+91677</f>
        <v>233969</v>
      </c>
      <c r="X585" s="45"/>
      <c r="Y585" s="49">
        <f t="shared" si="73"/>
        <v>37265755</v>
      </c>
      <c r="Z585" s="45"/>
      <c r="AA585" s="45">
        <v>403295</v>
      </c>
      <c r="AB585" s="45"/>
      <c r="AC585" s="45"/>
      <c r="AD585" s="45"/>
      <c r="AE585" s="45">
        <v>0</v>
      </c>
      <c r="AF585" s="45"/>
      <c r="AG585" s="45"/>
      <c r="AH585" s="45"/>
      <c r="AI585" s="45">
        <v>0</v>
      </c>
      <c r="AJ585" s="45"/>
      <c r="AK585" s="45">
        <v>0</v>
      </c>
      <c r="AL585" s="45"/>
      <c r="AM585" s="49">
        <f t="shared" si="72"/>
        <v>403295</v>
      </c>
      <c r="AN585" s="45"/>
      <c r="AO585" s="49">
        <f t="shared" si="71"/>
        <v>37669050</v>
      </c>
    </row>
    <row r="586" spans="1:41" ht="12" customHeight="1">
      <c r="A586" s="12" t="s">
        <v>328</v>
      </c>
      <c r="B586" s="12"/>
      <c r="C586" s="12" t="s">
        <v>26</v>
      </c>
      <c r="D586" s="12"/>
      <c r="E586" s="13">
        <v>45013</v>
      </c>
      <c r="F586" s="45"/>
      <c r="G586" s="45">
        <v>5759832</v>
      </c>
      <c r="H586" s="45"/>
      <c r="I586" s="45">
        <v>0</v>
      </c>
      <c r="J586" s="45"/>
      <c r="K586" s="45">
        <v>16652006</v>
      </c>
      <c r="L586" s="45"/>
      <c r="M586" s="45">
        <v>0</v>
      </c>
      <c r="N586" s="45"/>
      <c r="O586" s="45">
        <v>755485</v>
      </c>
      <c r="P586" s="45"/>
      <c r="Q586" s="45">
        <v>257339</v>
      </c>
      <c r="R586" s="45"/>
      <c r="S586" s="45">
        <v>19204</v>
      </c>
      <c r="T586" s="45"/>
      <c r="U586" s="45">
        <v>53324</v>
      </c>
      <c r="V586" s="45"/>
      <c r="W586" s="45">
        <f>47378+348184+268397</f>
        <v>663959</v>
      </c>
      <c r="X586" s="45"/>
      <c r="Y586" s="49">
        <f t="shared" si="73"/>
        <v>24161149</v>
      </c>
      <c r="Z586" s="45"/>
      <c r="AA586" s="45">
        <v>2325411</v>
      </c>
      <c r="AB586" s="45"/>
      <c r="AC586" s="45"/>
      <c r="AD586" s="45"/>
      <c r="AE586" s="45">
        <v>0</v>
      </c>
      <c r="AF586" s="45"/>
      <c r="AG586" s="45"/>
      <c r="AH586" s="45"/>
      <c r="AI586" s="45">
        <v>0</v>
      </c>
      <c r="AJ586" s="45"/>
      <c r="AK586" s="45">
        <v>0</v>
      </c>
      <c r="AL586" s="45"/>
      <c r="AM586" s="49">
        <f t="shared" si="72"/>
        <v>2325411</v>
      </c>
      <c r="AN586" s="45"/>
      <c r="AO586" s="49">
        <f t="shared" si="71"/>
        <v>26486560</v>
      </c>
    </row>
    <row r="587" spans="1:41">
      <c r="A587" s="12" t="s">
        <v>456</v>
      </c>
      <c r="B587" s="12"/>
      <c r="C587" s="12" t="s">
        <v>117</v>
      </c>
      <c r="D587" s="12"/>
      <c r="E587" s="13">
        <v>48231</v>
      </c>
      <c r="F587" s="45"/>
      <c r="G587" s="45">
        <v>33273490</v>
      </c>
      <c r="H587" s="45"/>
      <c r="I587" s="45">
        <v>0</v>
      </c>
      <c r="J587" s="45"/>
      <c r="K587" s="45">
        <f>9223+34277407+7445618</f>
        <v>41732248</v>
      </c>
      <c r="L587" s="45"/>
      <c r="M587" s="45">
        <v>369302</v>
      </c>
      <c r="N587" s="45"/>
      <c r="O587" s="45">
        <v>569836</v>
      </c>
      <c r="P587" s="45"/>
      <c r="Q587" s="45">
        <v>411044</v>
      </c>
      <c r="R587" s="45"/>
      <c r="S587" s="45">
        <v>3445196</v>
      </c>
      <c r="T587" s="45"/>
      <c r="U587" s="45">
        <v>26745</v>
      </c>
      <c r="V587" s="45"/>
      <c r="W587" s="45">
        <f>849254+151946+147704+96891+84546+492290</f>
        <v>1822631</v>
      </c>
      <c r="X587" s="45"/>
      <c r="Y587" s="49">
        <f t="shared" si="73"/>
        <v>81650492</v>
      </c>
      <c r="Z587" s="45"/>
      <c r="AA587" s="45">
        <v>671984</v>
      </c>
      <c r="AB587" s="45"/>
      <c r="AC587" s="45"/>
      <c r="AD587" s="45"/>
      <c r="AE587" s="45">
        <v>0</v>
      </c>
      <c r="AF587" s="45"/>
      <c r="AG587" s="45"/>
      <c r="AH587" s="45"/>
      <c r="AI587" s="45">
        <v>13870</v>
      </c>
      <c r="AJ587" s="45"/>
      <c r="AK587" s="45">
        <v>0</v>
      </c>
      <c r="AL587" s="45"/>
      <c r="AM587" s="49">
        <f t="shared" si="72"/>
        <v>685854</v>
      </c>
      <c r="AN587" s="45"/>
      <c r="AO587" s="49">
        <f t="shared" si="71"/>
        <v>82336346</v>
      </c>
    </row>
    <row r="588" spans="1:41">
      <c r="A588" s="12" t="s">
        <v>565</v>
      </c>
      <c r="B588" s="12"/>
      <c r="C588" s="12" t="s">
        <v>59</v>
      </c>
      <c r="D588" s="12"/>
      <c r="E588" s="13">
        <v>49650</v>
      </c>
      <c r="F588" s="45"/>
      <c r="G588" s="45">
        <v>1535777</v>
      </c>
      <c r="H588" s="45"/>
      <c r="I588" s="45">
        <v>0</v>
      </c>
      <c r="J588" s="45"/>
      <c r="K588" s="45">
        <v>17827306</v>
      </c>
      <c r="L588" s="45"/>
      <c r="M588" s="45">
        <v>91037</v>
      </c>
      <c r="N588" s="45"/>
      <c r="O588" s="45">
        <v>1080926</v>
      </c>
      <c r="P588" s="45"/>
      <c r="Q588" s="45">
        <v>209382</v>
      </c>
      <c r="R588" s="45"/>
      <c r="S588" s="45">
        <v>0</v>
      </c>
      <c r="T588" s="45"/>
      <c r="U588" s="45">
        <v>500</v>
      </c>
      <c r="V588" s="45"/>
      <c r="W588" s="45">
        <f>349390+121955</f>
        <v>471345</v>
      </c>
      <c r="X588" s="45"/>
      <c r="Y588" s="49">
        <f t="shared" si="73"/>
        <v>21216273</v>
      </c>
      <c r="Z588" s="45"/>
      <c r="AA588" s="45">
        <v>369939</v>
      </c>
      <c r="AB588" s="45"/>
      <c r="AC588" s="45"/>
      <c r="AD588" s="45"/>
      <c r="AE588" s="45">
        <v>0</v>
      </c>
      <c r="AF588" s="45"/>
      <c r="AG588" s="45"/>
      <c r="AH588" s="45"/>
      <c r="AI588" s="45">
        <v>388</v>
      </c>
      <c r="AJ588" s="45"/>
      <c r="AK588" s="45">
        <v>0</v>
      </c>
      <c r="AL588" s="45"/>
      <c r="AM588" s="49">
        <f t="shared" si="72"/>
        <v>370327</v>
      </c>
      <c r="AN588" s="45"/>
      <c r="AO588" s="49">
        <f t="shared" si="71"/>
        <v>21586600</v>
      </c>
    </row>
    <row r="589" spans="1:41">
      <c r="A589" s="12" t="s">
        <v>539</v>
      </c>
      <c r="B589" s="12"/>
      <c r="C589" s="12" t="s">
        <v>56</v>
      </c>
      <c r="D589" s="12"/>
      <c r="E589" s="13">
        <v>49247</v>
      </c>
      <c r="F589" s="45"/>
      <c r="G589" s="45">
        <v>4163348</v>
      </c>
      <c r="H589" s="45"/>
      <c r="I589" s="45">
        <v>0</v>
      </c>
      <c r="J589" s="45"/>
      <c r="K589" s="45">
        <f>6685781+1393330</f>
        <v>8079111</v>
      </c>
      <c r="L589" s="45"/>
      <c r="M589" s="45">
        <v>21201</v>
      </c>
      <c r="N589" s="45"/>
      <c r="O589" s="45">
        <v>206302</v>
      </c>
      <c r="P589" s="45"/>
      <c r="Q589" s="45">
        <v>134442</v>
      </c>
      <c r="R589" s="45"/>
      <c r="S589" s="45">
        <v>0</v>
      </c>
      <c r="T589" s="45"/>
      <c r="U589" s="45">
        <v>7074</v>
      </c>
      <c r="V589" s="45"/>
      <c r="W589" s="45">
        <f>184565+38854+1130+90434</f>
        <v>314983</v>
      </c>
      <c r="X589" s="45"/>
      <c r="Y589" s="49">
        <f t="shared" si="73"/>
        <v>12926461</v>
      </c>
      <c r="Z589" s="45"/>
      <c r="AA589" s="45">
        <v>19113</v>
      </c>
      <c r="AB589" s="45"/>
      <c r="AC589" s="45"/>
      <c r="AD589" s="45"/>
      <c r="AE589" s="45">
        <f>1307000-20041</f>
        <v>1286959</v>
      </c>
      <c r="AF589" s="45"/>
      <c r="AG589" s="45"/>
      <c r="AH589" s="45"/>
      <c r="AI589" s="45">
        <v>0</v>
      </c>
      <c r="AJ589" s="45"/>
      <c r="AK589" s="45">
        <v>0</v>
      </c>
      <c r="AL589" s="45"/>
      <c r="AM589" s="49">
        <f t="shared" si="72"/>
        <v>1306072</v>
      </c>
      <c r="AN589" s="45"/>
      <c r="AO589" s="49">
        <f t="shared" si="71"/>
        <v>14232533</v>
      </c>
    </row>
    <row r="590" spans="1:41">
      <c r="A590" s="12" t="s">
        <v>348</v>
      </c>
      <c r="B590" s="12"/>
      <c r="C590" s="12" t="s">
        <v>28</v>
      </c>
      <c r="D590" s="12"/>
      <c r="E590" s="13">
        <v>45641</v>
      </c>
      <c r="F590" s="45"/>
      <c r="G590" s="45">
        <v>6494707</v>
      </c>
      <c r="H590" s="45"/>
      <c r="I590" s="45">
        <v>0</v>
      </c>
      <c r="J590" s="45"/>
      <c r="K590" s="45">
        <f>321+10661894+1770623</f>
        <v>12432838</v>
      </c>
      <c r="L590" s="45"/>
      <c r="M590" s="45">
        <v>322792</v>
      </c>
      <c r="N590" s="45"/>
      <c r="O590" s="45">
        <v>728260</v>
      </c>
      <c r="P590" s="45"/>
      <c r="Q590" s="45">
        <v>122374</v>
      </c>
      <c r="R590" s="45"/>
      <c r="S590" s="45">
        <v>0</v>
      </c>
      <c r="T590" s="45"/>
      <c r="U590" s="45">
        <v>0</v>
      </c>
      <c r="V590" s="45"/>
      <c r="W590" s="45">
        <f>23714+450067+60672+105245</f>
        <v>639698</v>
      </c>
      <c r="X590" s="45"/>
      <c r="Y590" s="49">
        <f t="shared" si="73"/>
        <v>20740669</v>
      </c>
      <c r="Z590" s="45"/>
      <c r="AA590" s="45">
        <v>1315081</v>
      </c>
      <c r="AB590" s="45"/>
      <c r="AC590" s="45"/>
      <c r="AD590" s="45"/>
      <c r="AE590" s="45">
        <v>0</v>
      </c>
      <c r="AF590" s="45"/>
      <c r="AG590" s="45"/>
      <c r="AH590" s="45"/>
      <c r="AI590" s="45">
        <f>148409+74698</f>
        <v>223107</v>
      </c>
      <c r="AJ590" s="45"/>
      <c r="AK590" s="45">
        <v>0</v>
      </c>
      <c r="AL590" s="45"/>
      <c r="AM590" s="49">
        <f t="shared" si="72"/>
        <v>1538188</v>
      </c>
      <c r="AN590" s="45"/>
      <c r="AO590" s="49">
        <f t="shared" si="71"/>
        <v>22278857</v>
      </c>
    </row>
    <row r="591" spans="1:41">
      <c r="A591" s="12" t="s">
        <v>530</v>
      </c>
      <c r="B591" s="12"/>
      <c r="C591" s="12" t="s">
        <v>55</v>
      </c>
      <c r="D591" s="12"/>
      <c r="E591" s="13">
        <v>49148</v>
      </c>
      <c r="F591" s="45"/>
      <c r="G591" s="45">
        <v>3707602</v>
      </c>
      <c r="H591" s="45"/>
      <c r="I591" s="45">
        <v>0</v>
      </c>
      <c r="J591" s="45"/>
      <c r="K591" s="45">
        <v>14329355</v>
      </c>
      <c r="L591" s="45"/>
      <c r="M591" s="45">
        <v>8881</v>
      </c>
      <c r="N591" s="45"/>
      <c r="O591" s="45">
        <v>752942</v>
      </c>
      <c r="P591" s="45"/>
      <c r="Q591" s="45">
        <v>187004</v>
      </c>
      <c r="R591" s="45"/>
      <c r="S591" s="45">
        <v>10525</v>
      </c>
      <c r="T591" s="45"/>
      <c r="U591" s="45">
        <v>15220</v>
      </c>
      <c r="V591" s="45"/>
      <c r="W591" s="45">
        <f>229072+1275+111516</f>
        <v>341863</v>
      </c>
      <c r="X591" s="45"/>
      <c r="Y591" s="49">
        <f t="shared" si="73"/>
        <v>19353392</v>
      </c>
      <c r="Z591" s="45"/>
      <c r="AA591" s="45">
        <v>177234</v>
      </c>
      <c r="AB591" s="45"/>
      <c r="AC591" s="45"/>
      <c r="AD591" s="45"/>
      <c r="AE591" s="45">
        <v>0</v>
      </c>
      <c r="AF591" s="45"/>
      <c r="AG591" s="45"/>
      <c r="AH591" s="45"/>
      <c r="AI591" s="45">
        <v>800</v>
      </c>
      <c r="AJ591" s="45"/>
      <c r="AK591" s="45">
        <v>0</v>
      </c>
      <c r="AL591" s="45"/>
      <c r="AM591" s="49">
        <f t="shared" si="72"/>
        <v>178034</v>
      </c>
      <c r="AN591" s="45"/>
      <c r="AO591" s="49">
        <f t="shared" si="71"/>
        <v>19531426</v>
      </c>
    </row>
    <row r="592" spans="1:41" hidden="1">
      <c r="A592" s="17" t="s">
        <v>881</v>
      </c>
      <c r="B592" s="12"/>
      <c r="C592" s="12" t="s">
        <v>69</v>
      </c>
      <c r="D592" s="12"/>
      <c r="E592" s="13">
        <v>50468</v>
      </c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9">
        <f t="shared" si="73"/>
        <v>0</v>
      </c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>
        <v>0</v>
      </c>
      <c r="AL592" s="45"/>
      <c r="AM592" s="49">
        <f t="shared" si="72"/>
        <v>0</v>
      </c>
      <c r="AN592" s="45"/>
      <c r="AO592" s="49">
        <f t="shared" si="71"/>
        <v>0</v>
      </c>
    </row>
    <row r="593" spans="1:41" hidden="1">
      <c r="A593" s="17" t="s">
        <v>746</v>
      </c>
      <c r="B593" s="12"/>
      <c r="C593" s="12" t="s">
        <v>523</v>
      </c>
      <c r="D593" s="12"/>
      <c r="E593" s="13">
        <v>49031</v>
      </c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9">
        <f t="shared" si="73"/>
        <v>0</v>
      </c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>
        <v>0</v>
      </c>
      <c r="AL593" s="45"/>
      <c r="AM593" s="49">
        <f t="shared" si="72"/>
        <v>0</v>
      </c>
      <c r="AN593" s="45"/>
      <c r="AO593" s="49">
        <f t="shared" si="71"/>
        <v>0</v>
      </c>
    </row>
    <row r="594" spans="1:41" hidden="1">
      <c r="A594" s="17" t="s">
        <v>789</v>
      </c>
      <c r="B594" s="12"/>
      <c r="C594" s="12" t="s">
        <v>14</v>
      </c>
      <c r="D594" s="12"/>
      <c r="E594" s="13">
        <v>45971</v>
      </c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9">
        <f t="shared" si="73"/>
        <v>0</v>
      </c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>
        <v>0</v>
      </c>
      <c r="AL594" s="45"/>
      <c r="AM594" s="49">
        <f t="shared" si="72"/>
        <v>0</v>
      </c>
      <c r="AN594" s="45"/>
      <c r="AO594" s="49">
        <f t="shared" si="71"/>
        <v>0</v>
      </c>
    </row>
    <row r="595" spans="1:41">
      <c r="A595" s="17"/>
      <c r="B595" s="12"/>
      <c r="C595" s="12"/>
      <c r="D595" s="12"/>
      <c r="E595" s="13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9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9"/>
      <c r="AN595" s="45"/>
      <c r="AO595" s="49"/>
    </row>
    <row r="596" spans="1:41">
      <c r="A596" s="17"/>
      <c r="B596" s="12"/>
      <c r="C596" s="12"/>
      <c r="D596" s="12"/>
      <c r="E596" s="13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9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9"/>
      <c r="AN596" s="45"/>
      <c r="AO596" s="49" t="s">
        <v>709</v>
      </c>
    </row>
    <row r="597" spans="1:41">
      <c r="A597" s="17"/>
      <c r="B597" s="12"/>
      <c r="C597" s="12"/>
      <c r="D597" s="12"/>
      <c r="E597" s="13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9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9"/>
      <c r="AN597" s="45"/>
      <c r="AO597" s="49"/>
    </row>
    <row r="598" spans="1:41">
      <c r="A598" s="12" t="s">
        <v>617</v>
      </c>
      <c r="B598" s="12"/>
      <c r="C598" s="12" t="s">
        <v>64</v>
      </c>
      <c r="D598" s="12"/>
      <c r="E598" s="13">
        <v>50252</v>
      </c>
      <c r="F598" s="45"/>
      <c r="G598" s="47">
        <v>2429145</v>
      </c>
      <c r="H598" s="47"/>
      <c r="I598" s="47">
        <v>0</v>
      </c>
      <c r="J598" s="47"/>
      <c r="K598" s="47">
        <f>4492536+1035702</f>
        <v>5528238</v>
      </c>
      <c r="L598" s="47"/>
      <c r="M598" s="47">
        <v>29882</v>
      </c>
      <c r="N598" s="47"/>
      <c r="O598" s="47">
        <v>1400718</v>
      </c>
      <c r="P598" s="47"/>
      <c r="Q598" s="47">
        <v>132561</v>
      </c>
      <c r="R598" s="47"/>
      <c r="S598" s="47">
        <v>0</v>
      </c>
      <c r="T598" s="47"/>
      <c r="U598" s="47">
        <v>44943</v>
      </c>
      <c r="V598" s="47"/>
      <c r="W598" s="47">
        <f>161905+26995+14121</f>
        <v>203021</v>
      </c>
      <c r="X598" s="47"/>
      <c r="Y598" s="48">
        <f t="shared" si="73"/>
        <v>9768508</v>
      </c>
      <c r="Z598" s="47"/>
      <c r="AA598" s="47">
        <v>55500</v>
      </c>
      <c r="AB598" s="47"/>
      <c r="AC598" s="47"/>
      <c r="AD598" s="47"/>
      <c r="AE598" s="47">
        <v>0</v>
      </c>
      <c r="AF598" s="47"/>
      <c r="AG598" s="47"/>
      <c r="AH598" s="47"/>
      <c r="AI598" s="47">
        <v>0</v>
      </c>
      <c r="AJ598" s="47"/>
      <c r="AK598" s="47">
        <v>0</v>
      </c>
      <c r="AL598" s="47"/>
      <c r="AM598" s="48">
        <f t="shared" si="72"/>
        <v>55500</v>
      </c>
      <c r="AN598" s="47"/>
      <c r="AO598" s="48">
        <f t="shared" si="71"/>
        <v>9824008</v>
      </c>
    </row>
    <row r="599" spans="1:41">
      <c r="A599" s="12" t="s">
        <v>448</v>
      </c>
      <c r="B599" s="12"/>
      <c r="C599" s="12" t="s">
        <v>44</v>
      </c>
      <c r="D599" s="12"/>
      <c r="E599" s="13">
        <v>45658</v>
      </c>
      <c r="F599" s="45"/>
      <c r="G599" s="45">
        <v>3540530</v>
      </c>
      <c r="H599" s="45"/>
      <c r="I599" s="45">
        <v>1561541</v>
      </c>
      <c r="J599" s="45"/>
      <c r="K599" s="45">
        <v>7690035</v>
      </c>
      <c r="L599" s="45"/>
      <c r="M599" s="45">
        <v>2577</v>
      </c>
      <c r="N599" s="45"/>
      <c r="O599" s="45">
        <v>476234</v>
      </c>
      <c r="P599" s="45"/>
      <c r="Q599" s="45">
        <v>253645</v>
      </c>
      <c r="R599" s="45"/>
      <c r="S599" s="45">
        <v>8823</v>
      </c>
      <c r="T599" s="45"/>
      <c r="U599" s="45">
        <v>78586</v>
      </c>
      <c r="V599" s="45"/>
      <c r="W599" s="45">
        <f>249891+700+16185</f>
        <v>266776</v>
      </c>
      <c r="X599" s="45"/>
      <c r="Y599" s="49">
        <f t="shared" si="73"/>
        <v>13878747</v>
      </c>
      <c r="Z599" s="45"/>
      <c r="AA599" s="45">
        <v>527685</v>
      </c>
      <c r="AB599" s="45"/>
      <c r="AC599" s="45"/>
      <c r="AD599" s="45"/>
      <c r="AE599" s="45">
        <v>0</v>
      </c>
      <c r="AF599" s="45"/>
      <c r="AG599" s="45"/>
      <c r="AH599" s="45"/>
      <c r="AI599" s="45">
        <v>0</v>
      </c>
      <c r="AJ599" s="45"/>
      <c r="AK599" s="45">
        <v>0</v>
      </c>
      <c r="AL599" s="45"/>
      <c r="AM599" s="49">
        <f t="shared" si="72"/>
        <v>527685</v>
      </c>
      <c r="AN599" s="45"/>
      <c r="AO599" s="49">
        <f t="shared" si="71"/>
        <v>14406432</v>
      </c>
    </row>
    <row r="600" spans="1:41">
      <c r="A600" s="12" t="s">
        <v>409</v>
      </c>
      <c r="B600" s="12"/>
      <c r="C600" s="12" t="s">
        <v>38</v>
      </c>
      <c r="D600" s="12"/>
      <c r="E600" s="13">
        <v>45021</v>
      </c>
      <c r="F600" s="45"/>
      <c r="G600" s="45">
        <v>2288874</v>
      </c>
      <c r="H600" s="45"/>
      <c r="I600" s="45">
        <v>0</v>
      </c>
      <c r="J600" s="45"/>
      <c r="K600" s="45">
        <v>15058571</v>
      </c>
      <c r="L600" s="45"/>
      <c r="M600" s="45">
        <v>58136</v>
      </c>
      <c r="N600" s="45"/>
      <c r="O600" s="45">
        <v>477960</v>
      </c>
      <c r="P600" s="45"/>
      <c r="Q600" s="45">
        <v>124923</v>
      </c>
      <c r="R600" s="45"/>
      <c r="S600" s="45">
        <v>0</v>
      </c>
      <c r="T600" s="45"/>
      <c r="U600" s="45">
        <v>72562</v>
      </c>
      <c r="V600" s="45"/>
      <c r="W600" s="45">
        <f>234656+4753+21613</f>
        <v>261022</v>
      </c>
      <c r="X600" s="45"/>
      <c r="Y600" s="49">
        <f t="shared" si="73"/>
        <v>18342048</v>
      </c>
      <c r="Z600" s="45"/>
      <c r="AA600" s="45">
        <v>0</v>
      </c>
      <c r="AB600" s="45"/>
      <c r="AC600" s="45"/>
      <c r="AD600" s="45"/>
      <c r="AE600" s="45">
        <v>0</v>
      </c>
      <c r="AF600" s="45"/>
      <c r="AG600" s="45"/>
      <c r="AH600" s="45"/>
      <c r="AI600" s="45">
        <v>4730</v>
      </c>
      <c r="AJ600" s="45"/>
      <c r="AK600" s="45">
        <v>0</v>
      </c>
      <c r="AL600" s="45"/>
      <c r="AM600" s="49">
        <f t="shared" si="72"/>
        <v>4730</v>
      </c>
      <c r="AN600" s="45"/>
      <c r="AO600" s="49">
        <f t="shared" si="71"/>
        <v>18346778</v>
      </c>
    </row>
    <row r="601" spans="1:41">
      <c r="A601" s="12" t="s">
        <v>271</v>
      </c>
      <c r="B601" s="12"/>
      <c r="C601" s="12" t="s">
        <v>114</v>
      </c>
      <c r="D601" s="12"/>
      <c r="E601" s="13">
        <v>45039</v>
      </c>
      <c r="F601" s="45"/>
      <c r="G601" s="45">
        <v>1018582</v>
      </c>
      <c r="H601" s="45"/>
      <c r="I601" s="45">
        <v>0</v>
      </c>
      <c r="J601" s="45"/>
      <c r="K601" s="45">
        <f>5973830+1596398</f>
        <v>7570228</v>
      </c>
      <c r="L601" s="45"/>
      <c r="M601" s="45">
        <v>47186</v>
      </c>
      <c r="N601" s="45"/>
      <c r="O601" s="45">
        <v>785066</v>
      </c>
      <c r="P601" s="45"/>
      <c r="Q601" s="45">
        <v>92039</v>
      </c>
      <c r="R601" s="45"/>
      <c r="S601" s="45">
        <v>0</v>
      </c>
      <c r="T601" s="45"/>
      <c r="U601" s="45">
        <v>4430</v>
      </c>
      <c r="V601" s="45"/>
      <c r="W601" s="45">
        <f>71729+1205+2865</f>
        <v>75799</v>
      </c>
      <c r="X601" s="45"/>
      <c r="Y601" s="49">
        <f t="shared" si="73"/>
        <v>9593330</v>
      </c>
      <c r="Z601" s="45"/>
      <c r="AA601" s="45">
        <v>0</v>
      </c>
      <c r="AB601" s="45"/>
      <c r="AC601" s="45"/>
      <c r="AD601" s="45"/>
      <c r="AE601" s="45">
        <v>0</v>
      </c>
      <c r="AF601" s="45"/>
      <c r="AG601" s="45"/>
      <c r="AH601" s="45"/>
      <c r="AI601" s="45">
        <v>75000</v>
      </c>
      <c r="AJ601" s="45"/>
      <c r="AK601" s="45">
        <v>0</v>
      </c>
      <c r="AL601" s="45"/>
      <c r="AM601" s="49">
        <f t="shared" si="72"/>
        <v>75000</v>
      </c>
      <c r="AN601" s="45"/>
      <c r="AO601" s="49">
        <f t="shared" si="71"/>
        <v>9668330</v>
      </c>
    </row>
    <row r="602" spans="1:41">
      <c r="A602" s="12" t="s">
        <v>471</v>
      </c>
      <c r="B602" s="12"/>
      <c r="C602" s="12" t="s">
        <v>45</v>
      </c>
      <c r="D602" s="12"/>
      <c r="E602" s="13">
        <v>48389</v>
      </c>
      <c r="F602" s="45"/>
      <c r="G602" s="45">
        <v>4652720</v>
      </c>
      <c r="H602" s="45"/>
      <c r="I602" s="45">
        <v>0</v>
      </c>
      <c r="J602" s="45"/>
      <c r="K602" s="45">
        <f>3672+12407673+2528130</f>
        <v>14939475</v>
      </c>
      <c r="L602" s="45"/>
      <c r="M602" s="45">
        <v>12726</v>
      </c>
      <c r="N602" s="45"/>
      <c r="O602" s="45">
        <v>1631398</v>
      </c>
      <c r="P602" s="45"/>
      <c r="Q602" s="45">
        <v>277145</v>
      </c>
      <c r="R602" s="45"/>
      <c r="S602" s="45">
        <v>0</v>
      </c>
      <c r="T602" s="45"/>
      <c r="U602" s="45">
        <v>0</v>
      </c>
      <c r="V602" s="45"/>
      <c r="W602" s="45">
        <f>539652+31520+349340</f>
        <v>920512</v>
      </c>
      <c r="X602" s="45"/>
      <c r="Y602" s="49">
        <f t="shared" si="73"/>
        <v>22433976</v>
      </c>
      <c r="Z602" s="45"/>
      <c r="AA602" s="45">
        <v>75595</v>
      </c>
      <c r="AB602" s="45"/>
      <c r="AC602" s="45"/>
      <c r="AD602" s="45"/>
      <c r="AE602" s="45">
        <v>0</v>
      </c>
      <c r="AF602" s="45"/>
      <c r="AG602" s="45"/>
      <c r="AH602" s="45"/>
      <c r="AI602" s="45">
        <v>2341</v>
      </c>
      <c r="AJ602" s="45"/>
      <c r="AK602" s="45">
        <v>0</v>
      </c>
      <c r="AL602" s="45"/>
      <c r="AM602" s="49">
        <f t="shared" si="72"/>
        <v>77936</v>
      </c>
      <c r="AN602" s="45"/>
      <c r="AO602" s="49">
        <f t="shared" si="71"/>
        <v>22511912</v>
      </c>
    </row>
    <row r="603" spans="1:41">
      <c r="A603" s="17" t="s">
        <v>880</v>
      </c>
      <c r="B603" s="17"/>
      <c r="C603" s="17" t="s">
        <v>50</v>
      </c>
      <c r="D603" s="12"/>
      <c r="E603" s="13"/>
      <c r="F603" s="45"/>
      <c r="G603" s="45">
        <v>16585342</v>
      </c>
      <c r="H603" s="45"/>
      <c r="I603" s="45">
        <v>0</v>
      </c>
      <c r="J603" s="45"/>
      <c r="K603" s="45">
        <f>19075759+4479124</f>
        <v>23554883</v>
      </c>
      <c r="L603" s="45"/>
      <c r="M603" s="45">
        <v>537225</v>
      </c>
      <c r="N603" s="45"/>
      <c r="O603" s="45">
        <v>371483</v>
      </c>
      <c r="P603" s="45"/>
      <c r="Q603" s="45">
        <v>154677</v>
      </c>
      <c r="R603" s="45"/>
      <c r="S603" s="45">
        <v>0</v>
      </c>
      <c r="T603" s="45"/>
      <c r="U603" s="45">
        <v>106596</v>
      </c>
      <c r="V603" s="45"/>
      <c r="W603" s="45">
        <f>27685+519181+111516+104375+231379</f>
        <v>994136</v>
      </c>
      <c r="X603" s="45"/>
      <c r="Y603" s="49">
        <f t="shared" si="73"/>
        <v>42304342</v>
      </c>
      <c r="Z603" s="45"/>
      <c r="AA603" s="45">
        <v>0</v>
      </c>
      <c r="AB603" s="45"/>
      <c r="AC603" s="45"/>
      <c r="AD603" s="45"/>
      <c r="AE603" s="45">
        <v>2100000</v>
      </c>
      <c r="AF603" s="45"/>
      <c r="AG603" s="45"/>
      <c r="AH603" s="45"/>
      <c r="AI603" s="45">
        <v>0</v>
      </c>
      <c r="AJ603" s="45"/>
      <c r="AK603" s="45">
        <v>0</v>
      </c>
      <c r="AL603" s="45"/>
      <c r="AM603" s="49">
        <f t="shared" si="72"/>
        <v>2100000</v>
      </c>
      <c r="AN603" s="45"/>
      <c r="AO603" s="49">
        <f t="shared" si="71"/>
        <v>44404342</v>
      </c>
    </row>
    <row r="604" spans="1:41">
      <c r="A604" s="12" t="s">
        <v>257</v>
      </c>
      <c r="B604" s="12"/>
      <c r="C604" s="12" t="s">
        <v>115</v>
      </c>
      <c r="D604" s="12"/>
      <c r="E604" s="13">
        <v>46359</v>
      </c>
      <c r="F604" s="45"/>
      <c r="G604" s="45">
        <v>42522065</v>
      </c>
      <c r="H604" s="45"/>
      <c r="I604" s="45">
        <v>0</v>
      </c>
      <c r="J604" s="45"/>
      <c r="K604" s="45">
        <v>39893819</v>
      </c>
      <c r="L604" s="45"/>
      <c r="M604" s="45">
        <v>614307</v>
      </c>
      <c r="N604" s="45"/>
      <c r="O604" s="45">
        <v>931476</v>
      </c>
      <c r="P604" s="45"/>
      <c r="Q604" s="45">
        <v>425571</v>
      </c>
      <c r="R604" s="45"/>
      <c r="S604" s="45">
        <v>0</v>
      </c>
      <c r="T604" s="45"/>
      <c r="U604" s="45">
        <v>0</v>
      </c>
      <c r="V604" s="45"/>
      <c r="W604" s="45">
        <f>1281374+610896</f>
        <v>1892270</v>
      </c>
      <c r="X604" s="45"/>
      <c r="Y604" s="49">
        <f t="shared" si="73"/>
        <v>86279508</v>
      </c>
      <c r="Z604" s="45"/>
      <c r="AA604" s="45">
        <v>0</v>
      </c>
      <c r="AB604" s="45"/>
      <c r="AC604" s="45"/>
      <c r="AD604" s="45"/>
      <c r="AE604" s="45">
        <v>528961</v>
      </c>
      <c r="AF604" s="45"/>
      <c r="AG604" s="45"/>
      <c r="AH604" s="45"/>
      <c r="AI604" s="45">
        <v>0</v>
      </c>
      <c r="AJ604" s="45"/>
      <c r="AK604" s="45">
        <v>0</v>
      </c>
      <c r="AL604" s="45"/>
      <c r="AM604" s="49">
        <f t="shared" si="72"/>
        <v>528961</v>
      </c>
      <c r="AN604" s="45"/>
      <c r="AO604" s="49">
        <f t="shared" si="71"/>
        <v>86808469</v>
      </c>
    </row>
    <row r="605" spans="1:41">
      <c r="A605" s="12" t="s">
        <v>356</v>
      </c>
      <c r="B605" s="12"/>
      <c r="C605" s="12" t="s">
        <v>30</v>
      </c>
      <c r="D605" s="12"/>
      <c r="E605" s="13">
        <v>47225</v>
      </c>
      <c r="F605" s="45"/>
      <c r="G605" s="45">
        <v>18889263</v>
      </c>
      <c r="H605" s="45"/>
      <c r="I605" s="45">
        <v>0</v>
      </c>
      <c r="J605" s="45"/>
      <c r="K605" s="45">
        <v>8471553</v>
      </c>
      <c r="L605" s="45"/>
      <c r="M605" s="45">
        <v>119598</v>
      </c>
      <c r="N605" s="45"/>
      <c r="O605" s="45">
        <v>750821</v>
      </c>
      <c r="P605" s="45"/>
      <c r="Q605" s="45">
        <v>512437</v>
      </c>
      <c r="R605" s="45"/>
      <c r="S605" s="45">
        <v>0</v>
      </c>
      <c r="T605" s="45"/>
      <c r="U605" s="45">
        <v>77474</v>
      </c>
      <c r="V605" s="45"/>
      <c r="W605" s="45">
        <f>13746+5702+43924</f>
        <v>63372</v>
      </c>
      <c r="X605" s="45"/>
      <c r="Y605" s="49">
        <f t="shared" si="73"/>
        <v>28884518</v>
      </c>
      <c r="Z605" s="45"/>
      <c r="AA605" s="45">
        <v>2387</v>
      </c>
      <c r="AB605" s="45"/>
      <c r="AC605" s="45"/>
      <c r="AD605" s="45"/>
      <c r="AE605" s="45">
        <v>0</v>
      </c>
      <c r="AF605" s="45"/>
      <c r="AG605" s="45"/>
      <c r="AH605" s="45"/>
      <c r="AI605" s="45">
        <v>0</v>
      </c>
      <c r="AJ605" s="45"/>
      <c r="AK605" s="45">
        <v>0</v>
      </c>
      <c r="AL605" s="45"/>
      <c r="AM605" s="49">
        <f t="shared" si="72"/>
        <v>2387</v>
      </c>
      <c r="AN605" s="45"/>
      <c r="AO605" s="49">
        <f t="shared" si="71"/>
        <v>28886905</v>
      </c>
    </row>
    <row r="606" spans="1:41">
      <c r="A606" s="12" t="s">
        <v>402</v>
      </c>
      <c r="B606" s="12"/>
      <c r="C606" s="12" t="s">
        <v>36</v>
      </c>
      <c r="D606" s="12"/>
      <c r="E606" s="13">
        <v>47696</v>
      </c>
      <c r="F606" s="45"/>
      <c r="G606" s="45">
        <v>9593041</v>
      </c>
      <c r="H606" s="45"/>
      <c r="I606" s="45">
        <v>0</v>
      </c>
      <c r="J606" s="45"/>
      <c r="K606" s="45">
        <v>15126400</v>
      </c>
      <c r="L606" s="45"/>
      <c r="M606" s="45">
        <v>114765</v>
      </c>
      <c r="N606" s="45"/>
      <c r="O606" s="45">
        <v>533607</v>
      </c>
      <c r="P606" s="45"/>
      <c r="Q606" s="45">
        <v>329845</v>
      </c>
      <c r="R606" s="45"/>
      <c r="S606" s="45">
        <v>0</v>
      </c>
      <c r="T606" s="45"/>
      <c r="U606" s="45">
        <v>36848</v>
      </c>
      <c r="V606" s="45"/>
      <c r="W606" s="45">
        <f>24945+451238+136571</f>
        <v>612754</v>
      </c>
      <c r="X606" s="45"/>
      <c r="Y606" s="49">
        <f t="shared" si="73"/>
        <v>26347260</v>
      </c>
      <c r="Z606" s="45"/>
      <c r="AA606" s="45">
        <v>0</v>
      </c>
      <c r="AB606" s="45"/>
      <c r="AC606" s="45"/>
      <c r="AD606" s="45"/>
      <c r="AE606" s="45">
        <v>0</v>
      </c>
      <c r="AF606" s="45"/>
      <c r="AG606" s="45"/>
      <c r="AH606" s="45"/>
      <c r="AI606" s="45">
        <v>0</v>
      </c>
      <c r="AJ606" s="45"/>
      <c r="AK606" s="45">
        <v>0</v>
      </c>
      <c r="AL606" s="45"/>
      <c r="AM606" s="49">
        <f t="shared" si="72"/>
        <v>0</v>
      </c>
      <c r="AN606" s="45"/>
      <c r="AO606" s="49">
        <f t="shared" si="71"/>
        <v>26347260</v>
      </c>
    </row>
    <row r="607" spans="1:41">
      <c r="A607" s="12" t="s">
        <v>244</v>
      </c>
      <c r="B607" s="12"/>
      <c r="C607" s="12" t="s">
        <v>240</v>
      </c>
      <c r="D607" s="12"/>
      <c r="E607" s="13">
        <v>46219</v>
      </c>
      <c r="F607" s="45"/>
      <c r="G607" s="45">
        <v>1933528</v>
      </c>
      <c r="H607" s="45"/>
      <c r="I607" s="45">
        <v>1601689</v>
      </c>
      <c r="J607" s="45"/>
      <c r="K607" s="45">
        <f>6021642+1022758</f>
        <v>7044400</v>
      </c>
      <c r="L607" s="45"/>
      <c r="M607" s="45">
        <v>72301</v>
      </c>
      <c r="N607" s="45"/>
      <c r="O607" s="45">
        <v>1206729</v>
      </c>
      <c r="P607" s="45"/>
      <c r="Q607" s="45">
        <v>209196</v>
      </c>
      <c r="R607" s="45"/>
      <c r="S607" s="45">
        <v>0</v>
      </c>
      <c r="T607" s="45"/>
      <c r="U607" s="45">
        <v>14030</v>
      </c>
      <c r="V607" s="45"/>
      <c r="W607" s="45">
        <f>109722+8920+520+345550</f>
        <v>464712</v>
      </c>
      <c r="X607" s="45"/>
      <c r="Y607" s="49">
        <f t="shared" si="73"/>
        <v>12546585</v>
      </c>
      <c r="Z607" s="45"/>
      <c r="AA607" s="45">
        <v>19050</v>
      </c>
      <c r="AB607" s="45"/>
      <c r="AC607" s="45"/>
      <c r="AD607" s="45"/>
      <c r="AE607" s="45">
        <v>0</v>
      </c>
      <c r="AF607" s="45"/>
      <c r="AG607" s="45"/>
      <c r="AH607" s="45"/>
      <c r="AI607" s="45">
        <v>0</v>
      </c>
      <c r="AJ607" s="45"/>
      <c r="AK607" s="45">
        <v>0</v>
      </c>
      <c r="AL607" s="45"/>
      <c r="AM607" s="49">
        <f t="shared" si="72"/>
        <v>19050</v>
      </c>
      <c r="AN607" s="45"/>
      <c r="AO607" s="49">
        <f t="shared" si="71"/>
        <v>12565635</v>
      </c>
    </row>
    <row r="608" spans="1:41">
      <c r="A608" s="12" t="s">
        <v>515</v>
      </c>
      <c r="B608" s="12"/>
      <c r="C608" s="12" t="s">
        <v>51</v>
      </c>
      <c r="D608" s="12"/>
      <c r="E608" s="13">
        <v>48884</v>
      </c>
      <c r="F608" s="45"/>
      <c r="G608" s="45">
        <v>6543076</v>
      </c>
      <c r="H608" s="45"/>
      <c r="I608" s="45">
        <v>0</v>
      </c>
      <c r="J608" s="45"/>
      <c r="K608" s="45">
        <v>9640752</v>
      </c>
      <c r="L608" s="45"/>
      <c r="M608" s="45">
        <v>36477</v>
      </c>
      <c r="N608" s="45"/>
      <c r="O608" s="45">
        <v>1001128</v>
      </c>
      <c r="P608" s="45"/>
      <c r="Q608" s="45">
        <v>194604</v>
      </c>
      <c r="R608" s="45"/>
      <c r="S608" s="45">
        <v>94944</v>
      </c>
      <c r="T608" s="45"/>
      <c r="U608" s="45">
        <v>73394</v>
      </c>
      <c r="V608" s="45"/>
      <c r="W608" s="45">
        <f>19966+269384+99891</f>
        <v>389241</v>
      </c>
      <c r="X608" s="45"/>
      <c r="Y608" s="49">
        <f t="shared" si="73"/>
        <v>17973616</v>
      </c>
      <c r="Z608" s="45"/>
      <c r="AA608" s="45">
        <v>70000</v>
      </c>
      <c r="AB608" s="45"/>
      <c r="AC608" s="45"/>
      <c r="AD608" s="45"/>
      <c r="AE608" s="45">
        <v>0</v>
      </c>
      <c r="AF608" s="45"/>
      <c r="AG608" s="45"/>
      <c r="AH608" s="45"/>
      <c r="AI608" s="45">
        <v>103357</v>
      </c>
      <c r="AJ608" s="45"/>
      <c r="AK608" s="45">
        <v>0</v>
      </c>
      <c r="AL608" s="45"/>
      <c r="AM608" s="49">
        <f t="shared" si="72"/>
        <v>173357</v>
      </c>
      <c r="AN608" s="45"/>
      <c r="AO608" s="49">
        <f t="shared" si="71"/>
        <v>18146973</v>
      </c>
    </row>
    <row r="609" spans="1:41">
      <c r="A609" s="12" t="s">
        <v>225</v>
      </c>
      <c r="B609" s="12"/>
      <c r="C609" s="12" t="s">
        <v>77</v>
      </c>
      <c r="D609" s="12"/>
      <c r="E609" s="13">
        <v>46060</v>
      </c>
      <c r="F609" s="45"/>
      <c r="G609" s="45">
        <v>4624437</v>
      </c>
      <c r="H609" s="45"/>
      <c r="I609" s="45">
        <v>0</v>
      </c>
      <c r="J609" s="45"/>
      <c r="K609" s="45">
        <v>23274692</v>
      </c>
      <c r="L609" s="45"/>
      <c r="M609" s="45">
        <v>19643</v>
      </c>
      <c r="N609" s="45"/>
      <c r="O609" s="45">
        <v>1419764</v>
      </c>
      <c r="P609" s="45"/>
      <c r="Q609" s="45">
        <v>335596</v>
      </c>
      <c r="R609" s="45"/>
      <c r="S609" s="45">
        <v>88076</v>
      </c>
      <c r="T609" s="45"/>
      <c r="U609" s="45">
        <v>116138</v>
      </c>
      <c r="V609" s="45"/>
      <c r="W609" s="45">
        <f>15568+253410</f>
        <v>268978</v>
      </c>
      <c r="X609" s="45"/>
      <c r="Y609" s="49">
        <f t="shared" si="73"/>
        <v>30147324</v>
      </c>
      <c r="Z609" s="45"/>
      <c r="AA609" s="45">
        <v>0</v>
      </c>
      <c r="AB609" s="45"/>
      <c r="AC609" s="45"/>
      <c r="AD609" s="45"/>
      <c r="AE609" s="45">
        <v>610000</v>
      </c>
      <c r="AF609" s="45"/>
      <c r="AG609" s="45"/>
      <c r="AH609" s="45"/>
      <c r="AI609" s="45">
        <f>36500</f>
        <v>36500</v>
      </c>
      <c r="AJ609" s="45"/>
      <c r="AK609" s="45">
        <v>0</v>
      </c>
      <c r="AL609" s="45"/>
      <c r="AM609" s="49">
        <f t="shared" si="72"/>
        <v>646500</v>
      </c>
      <c r="AN609" s="45"/>
      <c r="AO609" s="49">
        <f t="shared" si="71"/>
        <v>30793824</v>
      </c>
    </row>
    <row r="610" spans="1:41">
      <c r="A610" s="12" t="s">
        <v>531</v>
      </c>
      <c r="B610" s="12"/>
      <c r="C610" s="12" t="s">
        <v>55</v>
      </c>
      <c r="D610" s="12"/>
      <c r="E610" s="13">
        <v>49155</v>
      </c>
      <c r="F610" s="45"/>
      <c r="G610" s="45">
        <v>823044</v>
      </c>
      <c r="H610" s="45"/>
      <c r="I610" s="45">
        <v>0</v>
      </c>
      <c r="J610" s="45"/>
      <c r="K610" s="45">
        <v>8462248</v>
      </c>
      <c r="L610" s="45"/>
      <c r="M610" s="45">
        <v>90610</v>
      </c>
      <c r="N610" s="45"/>
      <c r="O610" s="45">
        <v>168641</v>
      </c>
      <c r="P610" s="45"/>
      <c r="Q610" s="45">
        <v>50385</v>
      </c>
      <c r="R610" s="45"/>
      <c r="S610" s="45">
        <v>0</v>
      </c>
      <c r="T610" s="45"/>
      <c r="U610" s="45">
        <v>7673</v>
      </c>
      <c r="V610" s="45"/>
      <c r="W610" s="45">
        <f>143+52420+3540</f>
        <v>56103</v>
      </c>
      <c r="X610" s="45"/>
      <c r="Y610" s="49">
        <f t="shared" si="73"/>
        <v>9658704</v>
      </c>
      <c r="Z610" s="45"/>
      <c r="AA610" s="45">
        <v>40000</v>
      </c>
      <c r="AB610" s="45"/>
      <c r="AC610" s="45"/>
      <c r="AD610" s="45"/>
      <c r="AE610" s="45">
        <v>500000</v>
      </c>
      <c r="AF610" s="45"/>
      <c r="AG610" s="45"/>
      <c r="AH610" s="45"/>
      <c r="AI610" s="45">
        <v>0</v>
      </c>
      <c r="AJ610" s="45"/>
      <c r="AK610" s="45">
        <v>0</v>
      </c>
      <c r="AL610" s="45"/>
      <c r="AM610" s="49">
        <f t="shared" si="72"/>
        <v>540000</v>
      </c>
      <c r="AN610" s="45"/>
      <c r="AO610" s="49">
        <f t="shared" si="71"/>
        <v>10198704</v>
      </c>
    </row>
    <row r="611" spans="1:41">
      <c r="A611" s="12" t="s">
        <v>407</v>
      </c>
      <c r="B611" s="12"/>
      <c r="C611" s="12" t="s">
        <v>37</v>
      </c>
      <c r="D611" s="12"/>
      <c r="E611" s="13">
        <v>47746</v>
      </c>
      <c r="F611" s="45"/>
      <c r="G611" s="45">
        <v>2433633</v>
      </c>
      <c r="H611" s="45"/>
      <c r="I611" s="45">
        <v>1546735</v>
      </c>
      <c r="J611" s="45"/>
      <c r="K611" s="45">
        <f>45055+6486687+1319718</f>
        <v>7851460</v>
      </c>
      <c r="L611" s="45"/>
      <c r="M611" s="45">
        <v>38633</v>
      </c>
      <c r="N611" s="45"/>
      <c r="O611" s="45">
        <v>552747</v>
      </c>
      <c r="P611" s="45"/>
      <c r="Q611" s="45">
        <v>210334</v>
      </c>
      <c r="R611" s="45"/>
      <c r="S611" s="45">
        <v>0</v>
      </c>
      <c r="T611" s="45"/>
      <c r="U611" s="45">
        <v>0</v>
      </c>
      <c r="V611" s="45"/>
      <c r="W611" s="45">
        <f>215299+27945+15892+93324</f>
        <v>352460</v>
      </c>
      <c r="X611" s="45"/>
      <c r="Y611" s="49">
        <f t="shared" si="73"/>
        <v>12986002</v>
      </c>
      <c r="Z611" s="45"/>
      <c r="AA611" s="45">
        <v>55365</v>
      </c>
      <c r="AB611" s="45"/>
      <c r="AC611" s="45"/>
      <c r="AD611" s="45"/>
      <c r="AE611" s="45">
        <v>0</v>
      </c>
      <c r="AF611" s="45"/>
      <c r="AG611" s="45"/>
      <c r="AH611" s="45"/>
      <c r="AI611" s="45">
        <v>0</v>
      </c>
      <c r="AJ611" s="45"/>
      <c r="AK611" s="45">
        <v>0</v>
      </c>
      <c r="AL611" s="45"/>
      <c r="AM611" s="49">
        <f t="shared" si="72"/>
        <v>55365</v>
      </c>
      <c r="AN611" s="45"/>
      <c r="AO611" s="49">
        <f t="shared" si="71"/>
        <v>13041367</v>
      </c>
    </row>
    <row r="612" spans="1:41">
      <c r="A612" s="14" t="s">
        <v>407</v>
      </c>
      <c r="B612" s="14"/>
      <c r="C612" s="14" t="s">
        <v>45</v>
      </c>
      <c r="D612" s="14"/>
      <c r="E612" s="14">
        <v>48397</v>
      </c>
      <c r="F612" s="47"/>
      <c r="G612" s="45">
        <v>3302865</v>
      </c>
      <c r="H612" s="45"/>
      <c r="I612" s="45">
        <v>0</v>
      </c>
      <c r="J612" s="45"/>
      <c r="K612" s="45">
        <v>11768655</v>
      </c>
      <c r="L612" s="45"/>
      <c r="M612" s="45">
        <v>154028</v>
      </c>
      <c r="N612" s="45"/>
      <c r="O612" s="45">
        <v>757663</v>
      </c>
      <c r="P612" s="45"/>
      <c r="Q612" s="45">
        <v>103956</v>
      </c>
      <c r="R612" s="45"/>
      <c r="S612" s="45">
        <v>0</v>
      </c>
      <c r="T612" s="45"/>
      <c r="U612" s="45">
        <v>13605</v>
      </c>
      <c r="V612" s="45"/>
      <c r="W612" s="45">
        <f>71544+787+167009</f>
        <v>239340</v>
      </c>
      <c r="X612" s="45"/>
      <c r="Y612" s="49">
        <f t="shared" si="73"/>
        <v>16340112</v>
      </c>
      <c r="Z612" s="45"/>
      <c r="AA612" s="45">
        <v>445030</v>
      </c>
      <c r="AB612" s="45"/>
      <c r="AC612" s="45"/>
      <c r="AD612" s="45"/>
      <c r="AE612" s="45">
        <f>158779+11243164</f>
        <v>11401943</v>
      </c>
      <c r="AF612" s="45"/>
      <c r="AG612" s="45"/>
      <c r="AH612" s="45"/>
      <c r="AI612" s="45">
        <v>0</v>
      </c>
      <c r="AJ612" s="45"/>
      <c r="AK612" s="45">
        <v>0</v>
      </c>
      <c r="AL612" s="45"/>
      <c r="AM612" s="49">
        <f t="shared" si="72"/>
        <v>11846973</v>
      </c>
      <c r="AN612" s="45"/>
      <c r="AO612" s="49">
        <f t="shared" si="71"/>
        <v>28187085</v>
      </c>
    </row>
    <row r="613" spans="1:41">
      <c r="A613" s="12" t="s">
        <v>342</v>
      </c>
      <c r="B613" s="12"/>
      <c r="C613" s="12" t="s">
        <v>27</v>
      </c>
      <c r="D613" s="12"/>
      <c r="E613" s="13">
        <v>45047</v>
      </c>
      <c r="F613" s="45"/>
      <c r="G613" s="45">
        <v>108538581</v>
      </c>
      <c r="H613" s="45"/>
      <c r="I613" s="45">
        <v>0</v>
      </c>
      <c r="J613" s="45"/>
      <c r="K613" s="45">
        <f>51330484+8627884</f>
        <v>59958368</v>
      </c>
      <c r="L613" s="45"/>
      <c r="M613" s="45">
        <v>53787</v>
      </c>
      <c r="N613" s="45"/>
      <c r="O613" s="45">
        <v>1448710</v>
      </c>
      <c r="P613" s="45"/>
      <c r="Q613" s="45">
        <v>1410889</v>
      </c>
      <c r="R613" s="45"/>
      <c r="S613" s="45">
        <v>1117132</v>
      </c>
      <c r="T613" s="45"/>
      <c r="U613" s="45">
        <v>0</v>
      </c>
      <c r="V613" s="45"/>
      <c r="W613" s="45">
        <v>896921</v>
      </c>
      <c r="X613" s="45"/>
      <c r="Y613" s="49">
        <f t="shared" si="73"/>
        <v>173424388</v>
      </c>
      <c r="Z613" s="45"/>
      <c r="AA613" s="45">
        <v>2687736</v>
      </c>
      <c r="AB613" s="45"/>
      <c r="AC613" s="45"/>
      <c r="AD613" s="45"/>
      <c r="AE613" s="45">
        <f>24415000+1488342</f>
        <v>25903342</v>
      </c>
      <c r="AF613" s="45"/>
      <c r="AG613" s="45"/>
      <c r="AH613" s="45"/>
      <c r="AI613" s="45">
        <v>0</v>
      </c>
      <c r="AJ613" s="45"/>
      <c r="AK613" s="45">
        <v>0</v>
      </c>
      <c r="AL613" s="45"/>
      <c r="AM613" s="49">
        <f t="shared" si="72"/>
        <v>28591078</v>
      </c>
      <c r="AN613" s="45"/>
      <c r="AO613" s="49">
        <f t="shared" si="71"/>
        <v>202015466</v>
      </c>
    </row>
    <row r="614" spans="1:41">
      <c r="A614" s="12" t="s">
        <v>528</v>
      </c>
      <c r="B614" s="12"/>
      <c r="C614" s="12" t="s">
        <v>54</v>
      </c>
      <c r="D614" s="12"/>
      <c r="E614" s="13">
        <v>49106</v>
      </c>
      <c r="F614" s="45"/>
      <c r="G614" s="45">
        <v>3938464</v>
      </c>
      <c r="H614" s="45"/>
      <c r="I614" s="45">
        <v>0</v>
      </c>
      <c r="J614" s="45"/>
      <c r="K614" s="45">
        <v>9819607</v>
      </c>
      <c r="L614" s="45"/>
      <c r="M614" s="45">
        <v>38943</v>
      </c>
      <c r="N614" s="45"/>
      <c r="O614" s="45">
        <v>713395</v>
      </c>
      <c r="P614" s="45"/>
      <c r="Q614" s="45">
        <v>258906</v>
      </c>
      <c r="R614" s="45"/>
      <c r="S614" s="45">
        <v>505815</v>
      </c>
      <c r="T614" s="45"/>
      <c r="U614" s="45">
        <v>20752</v>
      </c>
      <c r="V614" s="45"/>
      <c r="W614" s="45">
        <f>337471+268443</f>
        <v>605914</v>
      </c>
      <c r="X614" s="45"/>
      <c r="Y614" s="49">
        <f t="shared" si="73"/>
        <v>15901796</v>
      </c>
      <c r="Z614" s="45"/>
      <c r="AA614" s="45">
        <v>37954</v>
      </c>
      <c r="AB614" s="45"/>
      <c r="AC614" s="45"/>
      <c r="AD614" s="45"/>
      <c r="AE614" s="45">
        <v>0</v>
      </c>
      <c r="AF614" s="45"/>
      <c r="AG614" s="45"/>
      <c r="AH614" s="45"/>
      <c r="AI614" s="45">
        <v>0</v>
      </c>
      <c r="AJ614" s="45"/>
      <c r="AK614" s="45">
        <v>0</v>
      </c>
      <c r="AL614" s="45"/>
      <c r="AM614" s="49">
        <f t="shared" si="72"/>
        <v>37954</v>
      </c>
      <c r="AN614" s="45"/>
      <c r="AO614" s="49">
        <f t="shared" si="71"/>
        <v>15939750</v>
      </c>
    </row>
    <row r="615" spans="1:41">
      <c r="A615" s="12" t="s">
        <v>308</v>
      </c>
      <c r="B615" s="12"/>
      <c r="C615" s="12" t="s">
        <v>20</v>
      </c>
      <c r="D615" s="12"/>
      <c r="E615" s="13">
        <v>45062</v>
      </c>
      <c r="F615" s="45"/>
      <c r="G615" s="45">
        <v>41131376</v>
      </c>
      <c r="H615" s="45"/>
      <c r="I615" s="45">
        <v>0</v>
      </c>
      <c r="J615" s="45"/>
      <c r="K615" s="45">
        <f>11708444+2498456</f>
        <v>14206900</v>
      </c>
      <c r="L615" s="45"/>
      <c r="M615" s="45">
        <v>278293</v>
      </c>
      <c r="N615" s="45"/>
      <c r="O615" s="45">
        <v>403330</v>
      </c>
      <c r="P615" s="45"/>
      <c r="Q615" s="45">
        <v>332193</v>
      </c>
      <c r="R615" s="45"/>
      <c r="S615" s="45">
        <v>0</v>
      </c>
      <c r="T615" s="45"/>
      <c r="U615" s="45">
        <v>154134</v>
      </c>
      <c r="V615" s="45"/>
      <c r="W615" s="45">
        <f>8867+963486+289196+70613+108120+16769</f>
        <v>1457051</v>
      </c>
      <c r="X615" s="45"/>
      <c r="Y615" s="49">
        <f t="shared" si="73"/>
        <v>57963277</v>
      </c>
      <c r="Z615" s="45"/>
      <c r="AA615" s="45">
        <v>10000</v>
      </c>
      <c r="AB615" s="45"/>
      <c r="AC615" s="45"/>
      <c r="AD615" s="45"/>
      <c r="AE615" s="45">
        <v>0</v>
      </c>
      <c r="AF615" s="45"/>
      <c r="AG615" s="45"/>
      <c r="AH615" s="45"/>
      <c r="AI615" s="45">
        <v>900</v>
      </c>
      <c r="AJ615" s="45"/>
      <c r="AK615" s="45">
        <v>0</v>
      </c>
      <c r="AL615" s="45"/>
      <c r="AM615" s="49">
        <f t="shared" si="72"/>
        <v>10900</v>
      </c>
      <c r="AN615" s="45"/>
      <c r="AO615" s="49">
        <f t="shared" si="71"/>
        <v>57974177</v>
      </c>
    </row>
    <row r="616" spans="1:41">
      <c r="A616" s="12" t="s">
        <v>566</v>
      </c>
      <c r="B616" s="12"/>
      <c r="C616" s="12" t="s">
        <v>59</v>
      </c>
      <c r="D616" s="12"/>
      <c r="E616" s="13">
        <v>49668</v>
      </c>
      <c r="F616" s="45"/>
      <c r="G616" s="45">
        <v>3365855</v>
      </c>
      <c r="H616" s="45"/>
      <c r="I616" s="45">
        <v>0</v>
      </c>
      <c r="J616" s="45"/>
      <c r="K616" s="45">
        <v>9247629</v>
      </c>
      <c r="L616" s="45"/>
      <c r="M616" s="45">
        <v>75743</v>
      </c>
      <c r="N616" s="45"/>
      <c r="O616" s="45">
        <v>1829676</v>
      </c>
      <c r="P616" s="45"/>
      <c r="Q616" s="45">
        <v>317639</v>
      </c>
      <c r="R616" s="45"/>
      <c r="S616" s="45">
        <v>0</v>
      </c>
      <c r="T616" s="45"/>
      <c r="U616" s="45">
        <v>72698</v>
      </c>
      <c r="V616" s="45"/>
      <c r="W616" s="45">
        <f>75+276267+62709</f>
        <v>339051</v>
      </c>
      <c r="X616" s="45"/>
      <c r="Y616" s="49">
        <f t="shared" si="73"/>
        <v>15248291</v>
      </c>
      <c r="Z616" s="45"/>
      <c r="AA616" s="45">
        <v>172080</v>
      </c>
      <c r="AB616" s="45"/>
      <c r="AC616" s="45"/>
      <c r="AD616" s="45"/>
      <c r="AE616" s="45">
        <v>0</v>
      </c>
      <c r="AF616" s="45"/>
      <c r="AG616" s="45"/>
      <c r="AH616" s="45"/>
      <c r="AI616" s="45">
        <f>5350+25000</f>
        <v>30350</v>
      </c>
      <c r="AJ616" s="45"/>
      <c r="AK616" s="45">
        <v>0</v>
      </c>
      <c r="AL616" s="45"/>
      <c r="AM616" s="49">
        <f t="shared" si="72"/>
        <v>202430</v>
      </c>
      <c r="AN616" s="45"/>
      <c r="AO616" s="49">
        <f t="shared" si="71"/>
        <v>15450721</v>
      </c>
    </row>
    <row r="617" spans="1:41">
      <c r="A617" s="12" t="s">
        <v>343</v>
      </c>
      <c r="B617" s="12"/>
      <c r="C617" s="12" t="s">
        <v>27</v>
      </c>
      <c r="D617" s="12"/>
      <c r="E617" s="13">
        <v>45070</v>
      </c>
      <c r="F617" s="45"/>
      <c r="G617" s="45">
        <v>10878442</v>
      </c>
      <c r="H617" s="45"/>
      <c r="I617" s="45">
        <v>0</v>
      </c>
      <c r="J617" s="45"/>
      <c r="K617" s="45">
        <f>4947828+18507957+6299216</f>
        <v>29755001</v>
      </c>
      <c r="L617" s="45"/>
      <c r="M617" s="45">
        <v>1127552</v>
      </c>
      <c r="N617" s="45"/>
      <c r="O617" s="45">
        <v>393689</v>
      </c>
      <c r="P617" s="45"/>
      <c r="Q617" s="45">
        <v>85328</v>
      </c>
      <c r="R617" s="45"/>
      <c r="S617" s="45">
        <v>1611576</v>
      </c>
      <c r="T617" s="45"/>
      <c r="U617" s="45">
        <v>0</v>
      </c>
      <c r="V617" s="45"/>
      <c r="W617" s="45">
        <v>159389</v>
      </c>
      <c r="X617" s="45"/>
      <c r="Y617" s="49">
        <f t="shared" si="73"/>
        <v>44010977</v>
      </c>
      <c r="Z617" s="45"/>
      <c r="AA617" s="45">
        <v>337436</v>
      </c>
      <c r="AB617" s="45"/>
      <c r="AC617" s="45"/>
      <c r="AD617" s="45"/>
      <c r="AE617" s="45">
        <v>0</v>
      </c>
      <c r="AF617" s="45"/>
      <c r="AG617" s="45"/>
      <c r="AH617" s="45"/>
      <c r="AI617" s="45">
        <v>0</v>
      </c>
      <c r="AJ617" s="45"/>
      <c r="AK617" s="45">
        <v>0</v>
      </c>
      <c r="AL617" s="45"/>
      <c r="AM617" s="49">
        <f t="shared" si="72"/>
        <v>337436</v>
      </c>
      <c r="AN617" s="45"/>
      <c r="AO617" s="49">
        <f t="shared" si="71"/>
        <v>44348413</v>
      </c>
    </row>
    <row r="618" spans="1:41" hidden="1">
      <c r="A618" s="17" t="s">
        <v>744</v>
      </c>
      <c r="B618" s="12"/>
      <c r="C618" s="12" t="s">
        <v>41</v>
      </c>
      <c r="D618" s="12"/>
      <c r="E618" s="13">
        <v>45088</v>
      </c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9">
        <f t="shared" si="73"/>
        <v>0</v>
      </c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>
        <v>0</v>
      </c>
      <c r="AL618" s="45"/>
      <c r="AM618" s="49">
        <f t="shared" si="72"/>
        <v>0</v>
      </c>
      <c r="AN618" s="45"/>
      <c r="AO618" s="49">
        <f t="shared" si="71"/>
        <v>0</v>
      </c>
    </row>
    <row r="619" spans="1:41">
      <c r="A619" s="12" t="s">
        <v>408</v>
      </c>
      <c r="B619" s="12"/>
      <c r="C619" s="12" t="s">
        <v>37</v>
      </c>
      <c r="D619" s="12"/>
      <c r="E619" s="13">
        <v>45096</v>
      </c>
      <c r="F619" s="45"/>
      <c r="G619" s="45">
        <v>5020330</v>
      </c>
      <c r="H619" s="45"/>
      <c r="I619" s="45">
        <v>0</v>
      </c>
      <c r="J619" s="45"/>
      <c r="K619" s="45">
        <f>7300+11008433+2889096</f>
        <v>13904829</v>
      </c>
      <c r="L619" s="45"/>
      <c r="M619" s="45">
        <v>26543</v>
      </c>
      <c r="N619" s="45"/>
      <c r="O619" s="45">
        <v>223344</v>
      </c>
      <c r="P619" s="45"/>
      <c r="Q619" s="45">
        <v>363879</v>
      </c>
      <c r="R619" s="45"/>
      <c r="S619" s="45">
        <v>0</v>
      </c>
      <c r="T619" s="45"/>
      <c r="U619" s="45">
        <v>10005</v>
      </c>
      <c r="V619" s="45"/>
      <c r="W619" s="45">
        <f>129558+1940+6441+38238+331264+12560</f>
        <v>520001</v>
      </c>
      <c r="X619" s="45"/>
      <c r="Y619" s="49">
        <f t="shared" si="73"/>
        <v>20068931</v>
      </c>
      <c r="Z619" s="45"/>
      <c r="AA619" s="45">
        <v>58248</v>
      </c>
      <c r="AB619" s="45"/>
      <c r="AC619" s="45"/>
      <c r="AD619" s="45"/>
      <c r="AE619" s="45">
        <v>0</v>
      </c>
      <c r="AF619" s="45"/>
      <c r="AG619" s="45"/>
      <c r="AH619" s="45"/>
      <c r="AI619" s="45">
        <v>3494</v>
      </c>
      <c r="AJ619" s="45"/>
      <c r="AK619" s="45">
        <v>0</v>
      </c>
      <c r="AL619" s="45"/>
      <c r="AM619" s="49">
        <f t="shared" si="72"/>
        <v>61742</v>
      </c>
      <c r="AN619" s="45"/>
      <c r="AO619" s="49">
        <f t="shared" si="71"/>
        <v>20130673</v>
      </c>
    </row>
    <row r="620" spans="1:41">
      <c r="A620" s="12" t="s">
        <v>258</v>
      </c>
      <c r="B620" s="12"/>
      <c r="C620" s="12" t="s">
        <v>115</v>
      </c>
      <c r="D620" s="12"/>
      <c r="E620" s="13">
        <v>46367</v>
      </c>
      <c r="F620" s="45"/>
      <c r="G620" s="45">
        <v>3691487</v>
      </c>
      <c r="H620" s="45"/>
      <c r="I620" s="45">
        <v>0</v>
      </c>
      <c r="J620" s="45"/>
      <c r="K620" s="45">
        <v>5590807</v>
      </c>
      <c r="L620" s="45"/>
      <c r="M620" s="45">
        <v>27824</v>
      </c>
      <c r="N620" s="45"/>
      <c r="O620" s="45">
        <v>478920</v>
      </c>
      <c r="P620" s="45"/>
      <c r="Q620" s="45">
        <v>119076</v>
      </c>
      <c r="R620" s="45"/>
      <c r="S620" s="45">
        <v>0</v>
      </c>
      <c r="T620" s="45"/>
      <c r="U620" s="45">
        <v>248543</v>
      </c>
      <c r="V620" s="45"/>
      <c r="W620" s="45">
        <f>247619+82373+224490</f>
        <v>554482</v>
      </c>
      <c r="X620" s="45"/>
      <c r="Y620" s="49">
        <f t="shared" si="73"/>
        <v>10711139</v>
      </c>
      <c r="Z620" s="45"/>
      <c r="AA620" s="45">
        <v>364400</v>
      </c>
      <c r="AB620" s="45"/>
      <c r="AC620" s="45"/>
      <c r="AD620" s="45"/>
      <c r="AE620" s="45">
        <v>0</v>
      </c>
      <c r="AF620" s="45"/>
      <c r="AG620" s="45"/>
      <c r="AH620" s="45"/>
      <c r="AI620" s="45">
        <v>0</v>
      </c>
      <c r="AJ620" s="45"/>
      <c r="AK620" s="45">
        <v>0</v>
      </c>
      <c r="AL620" s="45"/>
      <c r="AM620" s="49">
        <f t="shared" si="72"/>
        <v>364400</v>
      </c>
      <c r="AN620" s="45"/>
      <c r="AO620" s="49">
        <f t="shared" si="71"/>
        <v>11075539</v>
      </c>
    </row>
    <row r="621" spans="1:41">
      <c r="A621" s="12" t="s">
        <v>418</v>
      </c>
      <c r="B621" s="12"/>
      <c r="C621" s="12" t="s">
        <v>41</v>
      </c>
      <c r="D621" s="12"/>
      <c r="E621" s="13">
        <v>45104</v>
      </c>
      <c r="F621" s="45"/>
      <c r="G621" s="45">
        <v>55222234</v>
      </c>
      <c r="H621" s="45"/>
      <c r="I621" s="45">
        <v>0</v>
      </c>
      <c r="J621" s="45"/>
      <c r="K621" s="45">
        <v>34503763</v>
      </c>
      <c r="L621" s="45"/>
      <c r="M621" s="45">
        <v>125148</v>
      </c>
      <c r="N621" s="45"/>
      <c r="O621" s="45">
        <v>2589833</v>
      </c>
      <c r="P621" s="45"/>
      <c r="Q621" s="45">
        <v>701861</v>
      </c>
      <c r="R621" s="45"/>
      <c r="S621" s="45">
        <v>0</v>
      </c>
      <c r="T621" s="45"/>
      <c r="U621" s="45">
        <v>134621</v>
      </c>
      <c r="V621" s="45"/>
      <c r="W621" s="45">
        <f>219960+1745292+474155</f>
        <v>2439407</v>
      </c>
      <c r="X621" s="45"/>
      <c r="Y621" s="49">
        <f t="shared" si="73"/>
        <v>95716867</v>
      </c>
      <c r="Z621" s="45"/>
      <c r="AA621" s="45">
        <v>2213936</v>
      </c>
      <c r="AB621" s="45"/>
      <c r="AC621" s="45"/>
      <c r="AD621" s="45"/>
      <c r="AE621" s="45">
        <v>0</v>
      </c>
      <c r="AF621" s="45"/>
      <c r="AG621" s="45"/>
      <c r="AH621" s="45"/>
      <c r="AI621" s="45">
        <v>5132</v>
      </c>
      <c r="AJ621" s="45"/>
      <c r="AK621" s="45">
        <v>0</v>
      </c>
      <c r="AL621" s="45"/>
      <c r="AM621" s="49">
        <f t="shared" si="72"/>
        <v>2219068</v>
      </c>
      <c r="AN621" s="45"/>
      <c r="AO621" s="49">
        <f t="shared" si="71"/>
        <v>97935935</v>
      </c>
    </row>
    <row r="622" spans="1:41" ht="13.5" customHeight="1">
      <c r="A622" s="12" t="s">
        <v>262</v>
      </c>
      <c r="B622" s="12"/>
      <c r="C622" s="12" t="s">
        <v>18</v>
      </c>
      <c r="D622" s="12"/>
      <c r="E622" s="13">
        <v>45112</v>
      </c>
      <c r="F622" s="45"/>
      <c r="G622" s="45">
        <v>13769842</v>
      </c>
      <c r="H622" s="45"/>
      <c r="I622" s="45">
        <v>0</v>
      </c>
      <c r="J622" s="45"/>
      <c r="K622" s="45">
        <v>14219020</v>
      </c>
      <c r="L622" s="45"/>
      <c r="M622" s="45">
        <v>28438</v>
      </c>
      <c r="N622" s="45"/>
      <c r="O622" s="45">
        <v>773049</v>
      </c>
      <c r="P622" s="45"/>
      <c r="Q622" s="45">
        <v>122080</v>
      </c>
      <c r="R622" s="45"/>
      <c r="S622" s="45">
        <v>5355</v>
      </c>
      <c r="T622" s="45"/>
      <c r="U622" s="45">
        <v>0</v>
      </c>
      <c r="V622" s="45"/>
      <c r="W622" s="45">
        <f>570944+117799</f>
        <v>688743</v>
      </c>
      <c r="X622" s="45"/>
      <c r="Y622" s="49">
        <f t="shared" si="73"/>
        <v>29606527</v>
      </c>
      <c r="Z622" s="45"/>
      <c r="AA622" s="45">
        <v>287430</v>
      </c>
      <c r="AB622" s="45"/>
      <c r="AC622" s="45"/>
      <c r="AD622" s="45"/>
      <c r="AE622" s="45">
        <v>0</v>
      </c>
      <c r="AF622" s="45"/>
      <c r="AG622" s="45"/>
      <c r="AH622" s="45"/>
      <c r="AI622" s="45">
        <v>20136</v>
      </c>
      <c r="AJ622" s="45"/>
      <c r="AK622" s="45">
        <v>0</v>
      </c>
      <c r="AL622" s="45"/>
      <c r="AM622" s="49">
        <f t="shared" si="72"/>
        <v>307566</v>
      </c>
      <c r="AN622" s="45"/>
      <c r="AO622" s="49">
        <f t="shared" ref="AO622:AO632" si="76">Y622+AM622</f>
        <v>29914093</v>
      </c>
    </row>
    <row r="623" spans="1:41">
      <c r="A623" s="12" t="s">
        <v>540</v>
      </c>
      <c r="B623" s="12"/>
      <c r="C623" s="12" t="s">
        <v>56</v>
      </c>
      <c r="D623" s="12"/>
      <c r="E623" s="13">
        <v>45666</v>
      </c>
      <c r="F623" s="45"/>
      <c r="G623" s="45">
        <v>1560662</v>
      </c>
      <c r="H623" s="45"/>
      <c r="I623" s="45">
        <v>0</v>
      </c>
      <c r="J623" s="45"/>
      <c r="K623" s="45">
        <f>6616037+1166819</f>
        <v>7782856</v>
      </c>
      <c r="L623" s="45"/>
      <c r="M623" s="45">
        <v>10597</v>
      </c>
      <c r="N623" s="45"/>
      <c r="O623" s="45">
        <v>218393</v>
      </c>
      <c r="P623" s="45"/>
      <c r="Q623" s="45">
        <v>98886</v>
      </c>
      <c r="R623" s="45"/>
      <c r="S623" s="45">
        <v>11022</v>
      </c>
      <c r="T623" s="45"/>
      <c r="U623" s="45">
        <v>0</v>
      </c>
      <c r="V623" s="45"/>
      <c r="W623" s="45">
        <f>84803+3240+106336</f>
        <v>194379</v>
      </c>
      <c r="X623" s="45"/>
      <c r="Y623" s="49">
        <f t="shared" si="73"/>
        <v>9876795</v>
      </c>
      <c r="Z623" s="45"/>
      <c r="AA623" s="45">
        <v>42425</v>
      </c>
      <c r="AB623" s="45"/>
      <c r="AC623" s="45"/>
      <c r="AD623" s="45"/>
      <c r="AE623" s="45">
        <v>91137</v>
      </c>
      <c r="AF623" s="45"/>
      <c r="AG623" s="45"/>
      <c r="AH623" s="45"/>
      <c r="AI623" s="45">
        <f>197600</f>
        <v>197600</v>
      </c>
      <c r="AJ623" s="45"/>
      <c r="AK623" s="45">
        <v>0</v>
      </c>
      <c r="AL623" s="45"/>
      <c r="AM623" s="49">
        <f t="shared" si="72"/>
        <v>331162</v>
      </c>
      <c r="AN623" s="45"/>
      <c r="AO623" s="49">
        <f t="shared" si="76"/>
        <v>10207957</v>
      </c>
    </row>
    <row r="624" spans="1:41">
      <c r="A624" s="12" t="s">
        <v>376</v>
      </c>
      <c r="B624" s="12"/>
      <c r="C624" s="12" t="s">
        <v>32</v>
      </c>
      <c r="D624" s="12"/>
      <c r="E624" s="13">
        <v>44081</v>
      </c>
      <c r="F624" s="45"/>
      <c r="G624" s="45">
        <v>22564803</v>
      </c>
      <c r="H624" s="45"/>
      <c r="I624" s="45">
        <v>0</v>
      </c>
      <c r="J624" s="45"/>
      <c r="K624" s="45">
        <v>23688010</v>
      </c>
      <c r="L624" s="45"/>
      <c r="M624" s="45">
        <v>33569</v>
      </c>
      <c r="N624" s="45"/>
      <c r="O624" s="45">
        <v>611231</v>
      </c>
      <c r="P624" s="45"/>
      <c r="Q624" s="45">
        <v>240216</v>
      </c>
      <c r="R624" s="45"/>
      <c r="S624" s="45">
        <v>311830</v>
      </c>
      <c r="T624" s="45"/>
      <c r="U624" s="45">
        <v>0</v>
      </c>
      <c r="V624" s="45"/>
      <c r="W624" s="45">
        <f>447027+475551</f>
        <v>922578</v>
      </c>
      <c r="X624" s="45"/>
      <c r="Y624" s="49">
        <f t="shared" si="73"/>
        <v>48372237</v>
      </c>
      <c r="Z624" s="45"/>
      <c r="AA624" s="45">
        <v>0</v>
      </c>
      <c r="AB624" s="45"/>
      <c r="AC624" s="45"/>
      <c r="AD624" s="45"/>
      <c r="AE624" s="45">
        <v>15704</v>
      </c>
      <c r="AF624" s="45"/>
      <c r="AG624" s="45"/>
      <c r="AH624" s="45"/>
      <c r="AI624" s="45">
        <f>21172</f>
        <v>21172</v>
      </c>
      <c r="AJ624" s="45"/>
      <c r="AK624" s="45">
        <v>0</v>
      </c>
      <c r="AL624" s="45"/>
      <c r="AM624" s="49">
        <f t="shared" si="72"/>
        <v>36876</v>
      </c>
      <c r="AN624" s="45"/>
      <c r="AO624" s="49">
        <f t="shared" si="76"/>
        <v>48409113</v>
      </c>
    </row>
    <row r="625" spans="1:41">
      <c r="A625" s="12" t="s">
        <v>639</v>
      </c>
      <c r="B625" s="12"/>
      <c r="C625" s="12" t="s">
        <v>70</v>
      </c>
      <c r="D625" s="12"/>
      <c r="E625" s="13">
        <v>50518</v>
      </c>
      <c r="F625" s="45"/>
      <c r="G625" s="45">
        <v>4689098</v>
      </c>
      <c r="H625" s="45"/>
      <c r="I625" s="45">
        <v>0</v>
      </c>
      <c r="J625" s="45"/>
      <c r="K625" s="45">
        <v>3244253</v>
      </c>
      <c r="L625" s="45"/>
      <c r="M625" s="45">
        <v>128965</v>
      </c>
      <c r="N625" s="45"/>
      <c r="O625" s="45">
        <v>387427</v>
      </c>
      <c r="P625" s="45"/>
      <c r="Q625" s="45">
        <v>112402</v>
      </c>
      <c r="R625" s="45"/>
      <c r="S625" s="45">
        <v>0</v>
      </c>
      <c r="T625" s="45"/>
      <c r="U625" s="45">
        <v>76550</v>
      </c>
      <c r="V625" s="45"/>
      <c r="W625" s="45">
        <f>47948+98627</f>
        <v>146575</v>
      </c>
      <c r="X625" s="45"/>
      <c r="Y625" s="49">
        <f t="shared" si="73"/>
        <v>8785270</v>
      </c>
      <c r="Z625" s="45"/>
      <c r="AA625" s="45">
        <v>100000</v>
      </c>
      <c r="AB625" s="45"/>
      <c r="AC625" s="45"/>
      <c r="AD625" s="45"/>
      <c r="AE625" s="45">
        <v>0</v>
      </c>
      <c r="AF625" s="45"/>
      <c r="AG625" s="45"/>
      <c r="AH625" s="45"/>
      <c r="AI625" s="45">
        <v>0</v>
      </c>
      <c r="AJ625" s="45"/>
      <c r="AK625" s="45">
        <v>0</v>
      </c>
      <c r="AL625" s="45"/>
      <c r="AM625" s="49">
        <f t="shared" si="72"/>
        <v>100000</v>
      </c>
      <c r="AN625" s="45"/>
      <c r="AO625" s="49">
        <f t="shared" si="76"/>
        <v>8885270</v>
      </c>
    </row>
    <row r="626" spans="1:41">
      <c r="A626" s="12" t="s">
        <v>558</v>
      </c>
      <c r="B626" s="12"/>
      <c r="C626" s="12" t="s">
        <v>79</v>
      </c>
      <c r="D626" s="12"/>
      <c r="E626" s="13">
        <v>49577</v>
      </c>
      <c r="F626" s="45"/>
      <c r="G626" s="45">
        <v>4102961</v>
      </c>
      <c r="H626" s="45"/>
      <c r="I626" s="45">
        <v>0</v>
      </c>
      <c r="J626" s="45"/>
      <c r="K626" s="45">
        <f>5043883+791426</f>
        <v>5835309</v>
      </c>
      <c r="L626" s="45"/>
      <c r="M626" s="45">
        <v>2792</v>
      </c>
      <c r="N626" s="45"/>
      <c r="O626" s="45">
        <v>367745</v>
      </c>
      <c r="P626" s="45"/>
      <c r="Q626" s="45">
        <v>142378</v>
      </c>
      <c r="R626" s="45"/>
      <c r="S626" s="45">
        <v>85000</v>
      </c>
      <c r="T626" s="45"/>
      <c r="U626" s="45">
        <v>0</v>
      </c>
      <c r="V626" s="45"/>
      <c r="W626" s="45">
        <f>254197+36955+66407</f>
        <v>357559</v>
      </c>
      <c r="X626" s="45"/>
      <c r="Y626" s="49">
        <f t="shared" si="73"/>
        <v>10893744</v>
      </c>
      <c r="Z626" s="45"/>
      <c r="AA626" s="45">
        <v>0</v>
      </c>
      <c r="AB626" s="45"/>
      <c r="AC626" s="45"/>
      <c r="AD626" s="45"/>
      <c r="AE626" s="45">
        <v>0</v>
      </c>
      <c r="AF626" s="45"/>
      <c r="AG626" s="45"/>
      <c r="AH626" s="45"/>
      <c r="AI626" s="45">
        <v>0</v>
      </c>
      <c r="AJ626" s="45"/>
      <c r="AK626" s="45">
        <v>0</v>
      </c>
      <c r="AL626" s="45"/>
      <c r="AM626" s="49">
        <f t="shared" si="72"/>
        <v>0</v>
      </c>
      <c r="AN626" s="45"/>
      <c r="AO626" s="49">
        <f t="shared" si="76"/>
        <v>10893744</v>
      </c>
    </row>
    <row r="627" spans="1:41">
      <c r="A627" s="12" t="s">
        <v>598</v>
      </c>
      <c r="B627" s="12"/>
      <c r="C627" s="12" t="s">
        <v>63</v>
      </c>
      <c r="D627" s="12"/>
      <c r="E627" s="13">
        <v>49973</v>
      </c>
      <c r="F627" s="45"/>
      <c r="G627" s="45">
        <v>15934436</v>
      </c>
      <c r="H627" s="45"/>
      <c r="I627" s="45">
        <v>0</v>
      </c>
      <c r="J627" s="45"/>
      <c r="K627" s="45">
        <v>7731021</v>
      </c>
      <c r="L627" s="45"/>
      <c r="M627" s="45">
        <v>32482</v>
      </c>
      <c r="N627" s="45"/>
      <c r="O627" s="45">
        <v>1130313</v>
      </c>
      <c r="P627" s="45"/>
      <c r="Q627" s="45">
        <v>257522</v>
      </c>
      <c r="R627" s="45"/>
      <c r="S627" s="45">
        <v>311461</v>
      </c>
      <c r="T627" s="45"/>
      <c r="U627" s="45">
        <v>30020</v>
      </c>
      <c r="V627" s="45"/>
      <c r="W627" s="45">
        <f>1092+157684+335734</f>
        <v>494510</v>
      </c>
      <c r="X627" s="45"/>
      <c r="Y627" s="49">
        <f t="shared" si="73"/>
        <v>25921765</v>
      </c>
      <c r="Z627" s="45"/>
      <c r="AA627" s="1">
        <v>93225</v>
      </c>
      <c r="AB627" s="45"/>
      <c r="AC627" s="45"/>
      <c r="AD627" s="45"/>
      <c r="AE627" s="45">
        <v>0</v>
      </c>
      <c r="AF627" s="45"/>
      <c r="AG627" s="45"/>
      <c r="AH627" s="45"/>
      <c r="AI627" s="45">
        <v>0</v>
      </c>
      <c r="AJ627" s="45"/>
      <c r="AK627" s="45">
        <v>0</v>
      </c>
      <c r="AL627" s="45"/>
      <c r="AM627" s="49">
        <f t="shared" ref="AM627:AM635" si="77">AI627+AE627+AA627</f>
        <v>93225</v>
      </c>
      <c r="AN627" s="45"/>
      <c r="AO627" s="49">
        <f t="shared" si="76"/>
        <v>26014990</v>
      </c>
    </row>
    <row r="628" spans="1:41">
      <c r="A628" s="12" t="s">
        <v>745</v>
      </c>
      <c r="B628" s="12"/>
      <c r="C628" s="12" t="s">
        <v>71</v>
      </c>
      <c r="D628" s="12"/>
      <c r="E628" s="13">
        <v>45138</v>
      </c>
      <c r="F628" s="45"/>
      <c r="G628" s="45">
        <v>23049267</v>
      </c>
      <c r="H628" s="45"/>
      <c r="I628" s="45">
        <v>0</v>
      </c>
      <c r="J628" s="45"/>
      <c r="K628" s="45">
        <v>21280688</v>
      </c>
      <c r="L628" s="45"/>
      <c r="M628" s="45">
        <v>168062</v>
      </c>
      <c r="N628" s="45"/>
      <c r="O628" s="45">
        <v>744161</v>
      </c>
      <c r="P628" s="45"/>
      <c r="Q628" s="45">
        <v>289209</v>
      </c>
      <c r="R628" s="45"/>
      <c r="S628" s="45">
        <v>0</v>
      </c>
      <c r="T628" s="45"/>
      <c r="U628" s="45">
        <v>78165</v>
      </c>
      <c r="V628" s="45"/>
      <c r="W628" s="45">
        <f>17850+108509</f>
        <v>126359</v>
      </c>
      <c r="X628" s="45"/>
      <c r="Y628" s="49">
        <f t="shared" si="73"/>
        <v>45735911</v>
      </c>
      <c r="Z628" s="45"/>
      <c r="AA628" s="45">
        <v>270225</v>
      </c>
      <c r="AB628" s="45"/>
      <c r="AC628" s="45"/>
      <c r="AD628" s="45"/>
      <c r="AE628" s="45">
        <v>0</v>
      </c>
      <c r="AF628" s="45"/>
      <c r="AG628" s="45"/>
      <c r="AH628" s="45"/>
      <c r="AI628" s="45">
        <v>0</v>
      </c>
      <c r="AJ628" s="45"/>
      <c r="AK628" s="45">
        <v>0</v>
      </c>
      <c r="AL628" s="45"/>
      <c r="AM628" s="49">
        <f t="shared" si="77"/>
        <v>270225</v>
      </c>
      <c r="AN628" s="45"/>
      <c r="AO628" s="49">
        <f t="shared" si="76"/>
        <v>46006136</v>
      </c>
    </row>
    <row r="629" spans="1:41">
      <c r="A629" s="12" t="s">
        <v>344</v>
      </c>
      <c r="B629" s="12"/>
      <c r="C629" s="12" t="s">
        <v>27</v>
      </c>
      <c r="D629" s="12"/>
      <c r="E629" s="13">
        <v>46524</v>
      </c>
      <c r="F629" s="45"/>
      <c r="G629" s="45">
        <v>83553441</v>
      </c>
      <c r="H629" s="45"/>
      <c r="I629" s="45">
        <v>0</v>
      </c>
      <c r="J629" s="45"/>
      <c r="K629" s="45">
        <v>45826401</v>
      </c>
      <c r="L629" s="45"/>
      <c r="M629" s="45">
        <v>429863</v>
      </c>
      <c r="N629" s="45"/>
      <c r="O629" s="45">
        <v>2179882</v>
      </c>
      <c r="P629" s="45"/>
      <c r="Q629" s="45">
        <v>764662</v>
      </c>
      <c r="R629" s="45"/>
      <c r="S629" s="45">
        <v>0</v>
      </c>
      <c r="T629" s="45"/>
      <c r="U629" s="45">
        <v>0</v>
      </c>
      <c r="V629" s="45"/>
      <c r="W629" s="45">
        <f>2274518+1171663</f>
        <v>3446181</v>
      </c>
      <c r="X629" s="45"/>
      <c r="Y629" s="49">
        <f t="shared" si="73"/>
        <v>136200430</v>
      </c>
      <c r="Z629" s="45"/>
      <c r="AA629" s="45">
        <v>966144</v>
      </c>
      <c r="AB629" s="45"/>
      <c r="AC629" s="45"/>
      <c r="AD629" s="45"/>
      <c r="AE629" s="45">
        <v>0</v>
      </c>
      <c r="AF629" s="45"/>
      <c r="AG629" s="45"/>
      <c r="AH629" s="45"/>
      <c r="AI629" s="45">
        <v>71429</v>
      </c>
      <c r="AJ629" s="45"/>
      <c r="AK629" s="45">
        <v>0</v>
      </c>
      <c r="AL629" s="45"/>
      <c r="AM629" s="49">
        <f t="shared" si="77"/>
        <v>1037573</v>
      </c>
      <c r="AN629" s="45"/>
      <c r="AO629" s="49">
        <f t="shared" si="76"/>
        <v>137238003</v>
      </c>
    </row>
    <row r="630" spans="1:41">
      <c r="A630" s="12" t="s">
        <v>279</v>
      </c>
      <c r="B630" s="12"/>
      <c r="C630" s="12" t="s">
        <v>113</v>
      </c>
      <c r="D630" s="12"/>
      <c r="E630" s="13">
        <v>45146</v>
      </c>
      <c r="F630" s="45"/>
      <c r="G630" s="45">
        <v>3839468</v>
      </c>
      <c r="H630" s="45"/>
      <c r="I630" s="45">
        <v>0</v>
      </c>
      <c r="J630" s="45"/>
      <c r="K630" s="45">
        <f>5707476+1107654</f>
        <v>6815130</v>
      </c>
      <c r="L630" s="45"/>
      <c r="M630" s="45">
        <v>46549</v>
      </c>
      <c r="N630" s="45"/>
      <c r="O630" s="45">
        <v>650577</v>
      </c>
      <c r="P630" s="45"/>
      <c r="Q630" s="45">
        <v>155673</v>
      </c>
      <c r="R630" s="45"/>
      <c r="S630" s="45">
        <v>0</v>
      </c>
      <c r="T630" s="45"/>
      <c r="U630" s="45">
        <v>32479</v>
      </c>
      <c r="V630" s="45"/>
      <c r="W630" s="45">
        <f>1785+50027+250932+57055</f>
        <v>359799</v>
      </c>
      <c r="X630" s="45"/>
      <c r="Y630" s="49">
        <f t="shared" si="73"/>
        <v>11899675</v>
      </c>
      <c r="Z630" s="45"/>
      <c r="AA630" s="45">
        <v>53384</v>
      </c>
      <c r="AB630" s="45"/>
      <c r="AC630" s="45"/>
      <c r="AD630" s="45"/>
      <c r="AE630" s="45">
        <v>33100</v>
      </c>
      <c r="AF630" s="45"/>
      <c r="AG630" s="45"/>
      <c r="AH630" s="45"/>
      <c r="AI630" s="45">
        <v>0</v>
      </c>
      <c r="AJ630" s="45"/>
      <c r="AK630" s="45">
        <v>0</v>
      </c>
      <c r="AL630" s="45"/>
      <c r="AM630" s="49">
        <f t="shared" si="77"/>
        <v>86484</v>
      </c>
      <c r="AN630" s="45"/>
      <c r="AO630" s="49">
        <f t="shared" si="76"/>
        <v>11986159</v>
      </c>
    </row>
    <row r="631" spans="1:41">
      <c r="A631" s="12" t="s">
        <v>377</v>
      </c>
      <c r="B631" s="12"/>
      <c r="C631" s="12" t="s">
        <v>32</v>
      </c>
      <c r="D631" s="12"/>
      <c r="E631" s="13">
        <v>45153</v>
      </c>
      <c r="F631" s="45"/>
      <c r="G631" s="45">
        <v>15937261</v>
      </c>
      <c r="H631" s="45"/>
      <c r="I631" s="45">
        <v>0</v>
      </c>
      <c r="J631" s="45"/>
      <c r="K631" s="45">
        <v>8222643</v>
      </c>
      <c r="L631" s="45"/>
      <c r="M631" s="45">
        <v>145555</v>
      </c>
      <c r="N631" s="45"/>
      <c r="O631" s="45">
        <v>677892</v>
      </c>
      <c r="P631" s="45"/>
      <c r="Q631" s="45">
        <v>196299</v>
      </c>
      <c r="R631" s="45"/>
      <c r="S631" s="45">
        <v>0</v>
      </c>
      <c r="T631" s="45"/>
      <c r="U631" s="45">
        <v>0</v>
      </c>
      <c r="V631" s="45"/>
      <c r="W631" s="45">
        <f>416521+534605</f>
        <v>951126</v>
      </c>
      <c r="X631" s="45"/>
      <c r="Y631" s="49">
        <f t="shared" si="73"/>
        <v>26130776</v>
      </c>
      <c r="Z631" s="45"/>
      <c r="AA631" s="45">
        <v>225000</v>
      </c>
      <c r="AB631" s="45"/>
      <c r="AC631" s="45"/>
      <c r="AD631" s="45"/>
      <c r="AE631" s="45">
        <v>0</v>
      </c>
      <c r="AF631" s="45"/>
      <c r="AG631" s="45"/>
      <c r="AH631" s="45"/>
      <c r="AI631" s="45">
        <v>0</v>
      </c>
      <c r="AJ631" s="45"/>
      <c r="AK631" s="45">
        <v>0</v>
      </c>
      <c r="AL631" s="45"/>
      <c r="AM631" s="49">
        <f t="shared" si="77"/>
        <v>225000</v>
      </c>
      <c r="AN631" s="45"/>
      <c r="AO631" s="49">
        <f t="shared" si="76"/>
        <v>26355776</v>
      </c>
    </row>
    <row r="632" spans="1:41">
      <c r="A632" s="12" t="s">
        <v>359</v>
      </c>
      <c r="B632" s="12"/>
      <c r="C632" s="12" t="s">
        <v>116</v>
      </c>
      <c r="D632" s="12"/>
      <c r="E632" s="13">
        <v>45674</v>
      </c>
      <c r="F632" s="45"/>
      <c r="G632" s="45">
        <v>3569928</v>
      </c>
      <c r="H632" s="45"/>
      <c r="I632" s="45">
        <v>1076060</v>
      </c>
      <c r="J632" s="45"/>
      <c r="K632" s="45">
        <v>2534030</v>
      </c>
      <c r="L632" s="45"/>
      <c r="M632" s="45">
        <v>31675</v>
      </c>
      <c r="N632" s="45"/>
      <c r="O632" s="45">
        <v>939085</v>
      </c>
      <c r="P632" s="45"/>
      <c r="Q632" s="45">
        <v>93645</v>
      </c>
      <c r="R632" s="45"/>
      <c r="S632" s="45">
        <v>0</v>
      </c>
      <c r="T632" s="45"/>
      <c r="U632" s="45">
        <v>19641</v>
      </c>
      <c r="V632" s="45"/>
      <c r="W632" s="45">
        <f>97975+11459+2400</f>
        <v>111834</v>
      </c>
      <c r="X632" s="45"/>
      <c r="Y632" s="49">
        <f t="shared" si="73"/>
        <v>8375898</v>
      </c>
      <c r="Z632" s="45"/>
      <c r="AA632" s="45">
        <v>26000</v>
      </c>
      <c r="AB632" s="45"/>
      <c r="AC632" s="45"/>
      <c r="AD632" s="45"/>
      <c r="AE632" s="45">
        <v>0</v>
      </c>
      <c r="AF632" s="45"/>
      <c r="AG632" s="45"/>
      <c r="AH632" s="45"/>
      <c r="AI632" s="45">
        <v>0</v>
      </c>
      <c r="AJ632" s="45"/>
      <c r="AK632" s="45">
        <v>0</v>
      </c>
      <c r="AL632" s="45"/>
      <c r="AM632" s="49">
        <f t="shared" si="77"/>
        <v>26000</v>
      </c>
      <c r="AN632" s="45"/>
      <c r="AO632" s="49">
        <f t="shared" si="76"/>
        <v>8401898</v>
      </c>
    </row>
    <row r="633" spans="1:41">
      <c r="A633" s="12" t="s">
        <v>472</v>
      </c>
      <c r="B633" s="12"/>
      <c r="C633" s="12" t="s">
        <v>45</v>
      </c>
      <c r="D633" s="12"/>
      <c r="E633" s="13">
        <v>45161</v>
      </c>
      <c r="F633" s="45"/>
      <c r="G633" s="45">
        <v>21919601</v>
      </c>
      <c r="H633" s="45"/>
      <c r="I633" s="45">
        <v>0</v>
      </c>
      <c r="J633" s="45"/>
      <c r="K633" s="45">
        <v>112054208</v>
      </c>
      <c r="L633" s="45"/>
      <c r="M633" s="45">
        <v>129713</v>
      </c>
      <c r="N633" s="45"/>
      <c r="O633" s="45">
        <v>1680153</v>
      </c>
      <c r="P633" s="45"/>
      <c r="Q633" s="45">
        <v>119709</v>
      </c>
      <c r="R633" s="45"/>
      <c r="S633" s="45">
        <v>232157</v>
      </c>
      <c r="T633" s="45"/>
      <c r="U633" s="45">
        <v>171343</v>
      </c>
      <c r="V633" s="45"/>
      <c r="W633" s="45">
        <f>17417+497467</f>
        <v>514884</v>
      </c>
      <c r="X633" s="45"/>
      <c r="Y633" s="49">
        <f t="shared" si="73"/>
        <v>136821768</v>
      </c>
      <c r="Z633" s="45"/>
      <c r="AA633" s="45">
        <v>82053</v>
      </c>
      <c r="AB633" s="45"/>
      <c r="AC633" s="45"/>
      <c r="AD633" s="45"/>
      <c r="AE633" s="45">
        <v>0</v>
      </c>
      <c r="AF633" s="45"/>
      <c r="AG633" s="45"/>
      <c r="AH633" s="45"/>
      <c r="AI633" s="45">
        <v>0</v>
      </c>
      <c r="AJ633" s="45"/>
      <c r="AK633" s="45">
        <v>0</v>
      </c>
      <c r="AL633" s="45"/>
      <c r="AM633" s="49">
        <f t="shared" si="77"/>
        <v>82053</v>
      </c>
      <c r="AN633" s="45"/>
      <c r="AO633" s="49">
        <f>Y633+AM633</f>
        <v>136903821</v>
      </c>
    </row>
    <row r="634" spans="1:41">
      <c r="A634" s="12" t="s">
        <v>554</v>
      </c>
      <c r="B634" s="12"/>
      <c r="C634" s="12" t="s">
        <v>58</v>
      </c>
      <c r="D634" s="12"/>
      <c r="E634" s="13">
        <v>49544</v>
      </c>
      <c r="F634" s="45"/>
      <c r="G634" s="45">
        <v>4264465</v>
      </c>
      <c r="H634" s="45"/>
      <c r="I634" s="45">
        <v>4951</v>
      </c>
      <c r="J634" s="45"/>
      <c r="K634" s="45">
        <v>9170242</v>
      </c>
      <c r="L634" s="45"/>
      <c r="M634" s="45">
        <v>89831</v>
      </c>
      <c r="N634" s="45"/>
      <c r="O634" s="45">
        <v>432413</v>
      </c>
      <c r="P634" s="45"/>
      <c r="Q634" s="45">
        <v>240231</v>
      </c>
      <c r="R634" s="45"/>
      <c r="S634" s="45">
        <v>0</v>
      </c>
      <c r="T634" s="45"/>
      <c r="U634" s="45">
        <v>36515</v>
      </c>
      <c r="V634" s="45"/>
      <c r="W634" s="45">
        <f>419994+80208</f>
        <v>500202</v>
      </c>
      <c r="X634" s="45"/>
      <c r="Y634" s="49">
        <f>SUM(G634:W634)</f>
        <v>14738850</v>
      </c>
      <c r="Z634" s="45"/>
      <c r="AA634" s="45">
        <v>170596</v>
      </c>
      <c r="AB634" s="45"/>
      <c r="AC634" s="45"/>
      <c r="AD634" s="45"/>
      <c r="AE634" s="45">
        <v>7535</v>
      </c>
      <c r="AF634" s="45"/>
      <c r="AG634" s="45"/>
      <c r="AH634" s="45"/>
      <c r="AI634" s="45">
        <v>0</v>
      </c>
      <c r="AJ634" s="45"/>
      <c r="AK634" s="45">
        <v>0</v>
      </c>
      <c r="AL634" s="45"/>
      <c r="AM634" s="49">
        <f t="shared" si="77"/>
        <v>178131</v>
      </c>
      <c r="AN634" s="45"/>
      <c r="AO634" s="49">
        <f>Y634+AM634</f>
        <v>14916981</v>
      </c>
    </row>
    <row r="635" spans="1:41">
      <c r="A635" s="12" t="s">
        <v>516</v>
      </c>
      <c r="B635" s="12"/>
      <c r="C635" s="12" t="s">
        <v>51</v>
      </c>
      <c r="D635" s="12"/>
      <c r="E635" s="13">
        <v>45179</v>
      </c>
      <c r="F635" s="45"/>
      <c r="G635" s="45">
        <v>9977827</v>
      </c>
      <c r="H635" s="45"/>
      <c r="I635" s="45">
        <v>0</v>
      </c>
      <c r="J635" s="45"/>
      <c r="K635" s="45">
        <v>60658603</v>
      </c>
      <c r="L635" s="45"/>
      <c r="M635" s="45">
        <v>91828</v>
      </c>
      <c r="N635" s="45"/>
      <c r="O635" s="45">
        <v>1712750</v>
      </c>
      <c r="P635" s="45"/>
      <c r="Q635" s="45">
        <v>280510</v>
      </c>
      <c r="R635" s="45"/>
      <c r="S635" s="45">
        <v>21928</v>
      </c>
      <c r="T635" s="45"/>
      <c r="U635" s="45">
        <v>110909</v>
      </c>
      <c r="V635" s="45"/>
      <c r="W635" s="45">
        <f>581527+122900</f>
        <v>704427</v>
      </c>
      <c r="X635" s="45"/>
      <c r="Y635" s="49">
        <f>SUM(G635:W635)</f>
        <v>73558782</v>
      </c>
      <c r="Z635" s="45"/>
      <c r="AA635" s="45">
        <v>30059</v>
      </c>
      <c r="AB635" s="45"/>
      <c r="AC635" s="45"/>
      <c r="AD635" s="45"/>
      <c r="AE635" s="45">
        <v>333899</v>
      </c>
      <c r="AF635" s="45"/>
      <c r="AG635" s="45"/>
      <c r="AH635" s="45"/>
      <c r="AI635" s="45">
        <f>8455</f>
        <v>8455</v>
      </c>
      <c r="AJ635" s="45"/>
      <c r="AK635" s="45">
        <v>0</v>
      </c>
      <c r="AL635" s="45"/>
      <c r="AM635" s="49">
        <f t="shared" si="77"/>
        <v>372413</v>
      </c>
      <c r="AN635" s="45"/>
      <c r="AO635" s="49">
        <f>Y635+AM635</f>
        <v>73931195</v>
      </c>
    </row>
    <row r="636" spans="1:41">
      <c r="A636" s="12"/>
      <c r="B636" s="12"/>
      <c r="C636" s="12"/>
      <c r="D636" s="12"/>
    </row>
    <row r="637" spans="1:41">
      <c r="AK637" s="20">
        <f>SUM(AK11:AK636)</f>
        <v>2016628</v>
      </c>
    </row>
    <row r="639" spans="1:41">
      <c r="E639" s="1"/>
      <c r="G639" s="1"/>
      <c r="H639" s="1"/>
      <c r="I639" s="1"/>
    </row>
  </sheetData>
  <mergeCells count="1">
    <mergeCell ref="AA6:AI6"/>
  </mergeCells>
  <pageMargins left="0.9" right="0.75" top="0.5" bottom="0.5" header="0.25" footer="0.25"/>
  <pageSetup scale="77" firstPageNumber="150" pageOrder="overThenDown" orientation="portrait" useFirstPageNumber="1" r:id="rId1"/>
  <headerFooter scaleWithDoc="0" alignWithMargins="0">
    <oddFooter>&amp;C&amp;"Times New Roman,Regular"&amp;11&amp;P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BW642"/>
  <sheetViews>
    <sheetView zoomScaleNormal="100" zoomScaleSheetLayoutView="10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G10" sqref="G10"/>
    </sheetView>
  </sheetViews>
  <sheetFormatPr defaultColWidth="9.140625" defaultRowHeight="12"/>
  <cols>
    <col min="1" max="1" width="32" style="1" customWidth="1"/>
    <col min="2" max="2" width="1.7109375" style="1" customWidth="1"/>
    <col min="3" max="3" width="10.140625" style="1" bestFit="1" customWidth="1"/>
    <col min="4" max="4" width="1.7109375" style="1" hidden="1" customWidth="1"/>
    <col min="5" max="5" width="11.7109375" style="3" hidden="1" customWidth="1"/>
    <col min="6" max="6" width="1.7109375" style="1" customWidth="1"/>
    <col min="7" max="7" width="10.140625" style="1" bestFit="1" customWidth="1"/>
    <col min="8" max="8" width="1.7109375" style="1" customWidth="1"/>
    <col min="9" max="9" width="10.140625" style="1" bestFit="1" customWidth="1"/>
    <col min="10" max="10" width="1.7109375" style="1" customWidth="1"/>
    <col min="11" max="11" width="9.28515625" style="1" bestFit="1" customWidth="1"/>
    <col min="12" max="12" width="1.7109375" style="1" customWidth="1"/>
    <col min="13" max="13" width="9.28515625" style="1" bestFit="1" customWidth="1"/>
    <col min="14" max="14" width="1.7109375" style="1" customWidth="1"/>
    <col min="15" max="15" width="10.140625" style="1" bestFit="1" customWidth="1"/>
    <col min="16" max="16" width="1.7109375" style="1" customWidth="1"/>
    <col min="17" max="17" width="9.7109375" style="1" bestFit="1" customWidth="1"/>
    <col min="18" max="18" width="1.7109375" style="1" customWidth="1"/>
    <col min="19" max="19" width="11.7109375" style="1" customWidth="1"/>
    <col min="20" max="20" width="1.7109375" style="1" customWidth="1"/>
    <col min="21" max="21" width="11.7109375" style="1" customWidth="1"/>
    <col min="22" max="22" width="1.7109375" style="1" customWidth="1"/>
    <col min="23" max="23" width="9.28515625" style="1" bestFit="1" customWidth="1"/>
    <col min="24" max="24" width="1.7109375" style="1" customWidth="1"/>
    <col min="25" max="25" width="9.28515625" style="1" bestFit="1" customWidth="1"/>
    <col min="26" max="26" width="1.7109375" style="1" customWidth="1"/>
    <col min="27" max="27" width="11.7109375" style="1" customWidth="1"/>
    <col min="28" max="28" width="1.7109375" style="1" customWidth="1"/>
    <col min="29" max="29" width="11.42578125" style="1" bestFit="1" customWidth="1"/>
    <col min="30" max="30" width="1.7109375" style="1" customWidth="1"/>
    <col min="31" max="31" width="9.28515625" style="1" bestFit="1" customWidth="1"/>
    <col min="32" max="32" width="1.7109375" style="1" customWidth="1"/>
    <col min="33" max="33" width="9.28515625" style="1" bestFit="1" customWidth="1"/>
    <col min="34" max="34" width="1.7109375" style="1" customWidth="1"/>
    <col min="35" max="35" width="9.28515625" style="1" bestFit="1" customWidth="1"/>
    <col min="36" max="36" width="32" style="1" customWidth="1"/>
    <col min="37" max="37" width="1.7109375" style="1" customWidth="1"/>
    <col min="38" max="38" width="10.140625" style="1" bestFit="1" customWidth="1"/>
    <col min="39" max="39" width="1.7109375" style="1" customWidth="1"/>
    <col min="40" max="40" width="11" style="1" bestFit="1" customWidth="1"/>
    <col min="41" max="41" width="1.7109375" style="1" customWidth="1"/>
    <col min="42" max="42" width="10.140625" style="1" bestFit="1" customWidth="1"/>
    <col min="43" max="43" width="1.7109375" style="1" customWidth="1"/>
    <col min="44" max="44" width="10.140625" style="1" bestFit="1" customWidth="1"/>
    <col min="45" max="45" width="1.7109375" style="1" customWidth="1"/>
    <col min="46" max="46" width="11" style="1" bestFit="1" customWidth="1"/>
    <col min="47" max="47" width="1.7109375" style="1" customWidth="1"/>
    <col min="48" max="48" width="10.140625" style="1" bestFit="1" customWidth="1"/>
    <col min="49" max="49" width="1.7109375" style="1" customWidth="1"/>
    <col min="50" max="50" width="10" style="1" bestFit="1" customWidth="1"/>
    <col min="51" max="51" width="1" style="1" customWidth="1"/>
    <col min="52" max="52" width="11.42578125" style="1" bestFit="1" customWidth="1"/>
    <col min="53" max="53" width="1.140625" style="1" customWidth="1"/>
    <col min="54" max="54" width="10.140625" style="1" bestFit="1" customWidth="1"/>
    <col min="55" max="55" width="1.7109375" style="1" hidden="1" customWidth="1"/>
    <col min="56" max="56" width="11.7109375" style="1" hidden="1" customWidth="1"/>
    <col min="57" max="57" width="1.7109375" style="1" hidden="1" customWidth="1"/>
    <col min="58" max="58" width="11.7109375" style="1" hidden="1" customWidth="1"/>
    <col min="59" max="59" width="1" style="1" customWidth="1"/>
    <col min="60" max="60" width="10.140625" style="1" bestFit="1" customWidth="1"/>
    <col min="61" max="61" width="0.85546875" style="1" customWidth="1"/>
    <col min="62" max="62" width="11.42578125" style="1" bestFit="1" customWidth="1"/>
    <col min="63" max="63" width="0.85546875" style="1" customWidth="1"/>
    <col min="64" max="64" width="10.7109375" style="1" bestFit="1" customWidth="1"/>
    <col min="65" max="65" width="0.7109375" style="1" customWidth="1"/>
    <col min="66" max="66" width="10.140625" style="1" bestFit="1" customWidth="1"/>
    <col min="67" max="67" width="1" style="1" customWidth="1"/>
    <col min="68" max="68" width="10.5703125" style="1" customWidth="1"/>
    <col min="69" max="69" width="1" style="1" customWidth="1"/>
    <col min="70" max="70" width="10.42578125" style="1" bestFit="1" customWidth="1"/>
    <col min="71" max="71" width="1.140625" style="1" customWidth="1"/>
    <col min="72" max="72" width="10.140625" style="1" bestFit="1" customWidth="1"/>
    <col min="73" max="73" width="1.7109375" style="1" customWidth="1"/>
    <col min="74" max="74" width="11.7109375" style="1" customWidth="1"/>
    <col min="75" max="75" width="1.7109375" style="1" customWidth="1"/>
    <col min="76" max="16384" width="9.140625" style="1"/>
  </cols>
  <sheetData>
    <row r="1" spans="1:74" s="2" customFormat="1">
      <c r="A1" s="55" t="s">
        <v>710</v>
      </c>
      <c r="B1" s="55"/>
      <c r="C1" s="55"/>
      <c r="D1" s="55"/>
      <c r="E1" s="63"/>
      <c r="F1" s="55"/>
      <c r="G1" s="55"/>
      <c r="H1" s="55"/>
      <c r="I1" s="56"/>
      <c r="J1" s="56"/>
      <c r="K1" s="56"/>
      <c r="L1" s="56"/>
      <c r="M1" s="56"/>
      <c r="N1" s="56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55" t="s">
        <v>710</v>
      </c>
      <c r="AK1" s="9"/>
      <c r="AL1" s="9"/>
      <c r="AM1" s="9"/>
      <c r="AN1" s="9"/>
      <c r="AO1" s="9"/>
      <c r="AP1" s="9"/>
      <c r="AQ1" s="9"/>
      <c r="AR1" s="9"/>
      <c r="AS1" s="9"/>
      <c r="AT1" s="9"/>
      <c r="AU1" s="35"/>
    </row>
    <row r="2" spans="1:74" s="2" customFormat="1">
      <c r="A2" s="55" t="s">
        <v>919</v>
      </c>
      <c r="B2" s="55"/>
      <c r="C2" s="55"/>
      <c r="D2" s="55"/>
      <c r="E2" s="63"/>
      <c r="F2" s="55"/>
      <c r="G2" s="55"/>
      <c r="H2" s="55"/>
      <c r="J2" s="56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55" t="s">
        <v>919</v>
      </c>
      <c r="AK2" s="55"/>
      <c r="AL2" s="55"/>
      <c r="AM2" s="9"/>
      <c r="AN2" s="9"/>
      <c r="AO2" s="9"/>
      <c r="AP2" s="9"/>
      <c r="AQ2" s="9"/>
      <c r="AR2" s="9"/>
      <c r="AS2" s="9"/>
      <c r="AT2" s="9"/>
      <c r="AU2" s="35"/>
    </row>
    <row r="3" spans="1:74" s="2" customFormat="1">
      <c r="A3" s="35"/>
      <c r="B3" s="55"/>
      <c r="C3" s="55"/>
      <c r="D3" s="55"/>
      <c r="E3" s="63"/>
      <c r="F3" s="55"/>
      <c r="G3" s="55"/>
      <c r="H3" s="55"/>
      <c r="I3" s="56"/>
      <c r="J3" s="56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35" t="s">
        <v>709</v>
      </c>
      <c r="AK3" s="55"/>
      <c r="AL3" s="55"/>
      <c r="AM3" s="9"/>
      <c r="AN3" s="9"/>
      <c r="AO3" s="9"/>
      <c r="AP3" s="9"/>
      <c r="AQ3" s="9"/>
      <c r="AR3" s="64"/>
      <c r="AS3" s="9"/>
      <c r="AT3" s="9"/>
      <c r="AU3" s="35"/>
    </row>
    <row r="4" spans="1:74">
      <c r="A4" s="35" t="s">
        <v>171</v>
      </c>
      <c r="B4" s="35"/>
      <c r="C4" s="35"/>
      <c r="D4" s="35"/>
      <c r="E4" s="36"/>
      <c r="F4" s="35"/>
      <c r="G4" s="8"/>
      <c r="H4" s="8"/>
      <c r="I4" s="9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35" t="s">
        <v>171</v>
      </c>
      <c r="AK4" s="35"/>
      <c r="AL4" s="35"/>
      <c r="AM4" s="8"/>
      <c r="AN4" s="8"/>
      <c r="AO4" s="8"/>
      <c r="AP4" s="65"/>
      <c r="AQ4" s="8"/>
      <c r="AR4" s="8"/>
      <c r="AS4" s="8"/>
      <c r="AT4" s="8"/>
      <c r="AU4" s="8"/>
    </row>
    <row r="5" spans="1:74" s="2" customFormat="1">
      <c r="B5" s="8"/>
      <c r="C5" s="8"/>
      <c r="D5" s="8"/>
      <c r="E5" s="66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AK5" s="8"/>
      <c r="AL5" s="8"/>
    </row>
    <row r="6" spans="1:74">
      <c r="A6" s="77" t="s">
        <v>696</v>
      </c>
      <c r="B6" s="2"/>
      <c r="C6" s="2"/>
      <c r="D6" s="2"/>
      <c r="E6" s="21"/>
      <c r="F6" s="2"/>
      <c r="G6" s="22" t="s">
        <v>145</v>
      </c>
      <c r="H6" s="22"/>
      <c r="I6" s="22"/>
      <c r="J6" s="22"/>
      <c r="K6" s="22"/>
      <c r="L6" s="22"/>
      <c r="M6" s="22"/>
      <c r="O6" s="105" t="s">
        <v>146</v>
      </c>
      <c r="P6" s="105"/>
      <c r="Q6" s="105"/>
      <c r="R6" s="9"/>
      <c r="S6" s="105" t="s">
        <v>955</v>
      </c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G6" s="22" t="s">
        <v>158</v>
      </c>
      <c r="AH6" s="22"/>
      <c r="AI6" s="22"/>
      <c r="AJ6" s="77" t="s">
        <v>696</v>
      </c>
      <c r="AK6" s="2"/>
      <c r="AL6" s="2"/>
      <c r="AT6" s="105" t="s">
        <v>181</v>
      </c>
      <c r="AU6" s="105"/>
      <c r="AV6" s="105"/>
      <c r="AW6" s="8"/>
      <c r="AX6" s="8"/>
      <c r="BB6" s="22" t="s">
        <v>182</v>
      </c>
      <c r="BC6" s="22"/>
      <c r="BD6" s="22"/>
      <c r="BE6" s="22"/>
      <c r="BF6" s="22"/>
      <c r="BG6" s="22"/>
      <c r="BH6" s="22"/>
      <c r="BJ6" s="103" t="s">
        <v>3</v>
      </c>
      <c r="BK6" s="103"/>
      <c r="BL6" s="103" t="s">
        <v>186</v>
      </c>
      <c r="BM6" s="103"/>
      <c r="BN6" s="103" t="s">
        <v>91</v>
      </c>
      <c r="BO6" s="103"/>
      <c r="BP6" s="103" t="s">
        <v>690</v>
      </c>
      <c r="BQ6" s="103"/>
      <c r="BR6" s="103"/>
      <c r="BS6" s="103"/>
      <c r="BT6" s="103" t="s">
        <v>91</v>
      </c>
      <c r="BU6" s="103"/>
      <c r="BV6" s="103" t="s">
        <v>135</v>
      </c>
    </row>
    <row r="7" spans="1:74">
      <c r="A7" s="84" t="s">
        <v>697</v>
      </c>
      <c r="M7" s="103"/>
      <c r="AA7" s="103" t="s">
        <v>153</v>
      </c>
      <c r="AJ7" s="84" t="s">
        <v>697</v>
      </c>
      <c r="AR7" s="103" t="s">
        <v>1</v>
      </c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 t="s">
        <v>681</v>
      </c>
      <c r="BG7" s="103"/>
      <c r="BH7" s="103" t="s">
        <v>185</v>
      </c>
      <c r="BJ7" s="103" t="s">
        <v>74</v>
      </c>
      <c r="BK7" s="103"/>
      <c r="BL7" s="103" t="s">
        <v>121</v>
      </c>
      <c r="BM7" s="103"/>
      <c r="BN7" s="103" t="s">
        <v>187</v>
      </c>
      <c r="BO7" s="103"/>
      <c r="BP7" s="103" t="s">
        <v>691</v>
      </c>
      <c r="BQ7" s="103"/>
      <c r="BR7" s="103"/>
      <c r="BS7" s="103"/>
      <c r="BT7" s="103" t="s">
        <v>187</v>
      </c>
      <c r="BU7" s="103"/>
      <c r="BV7" s="103" t="s">
        <v>136</v>
      </c>
    </row>
    <row r="8" spans="1:74">
      <c r="A8" s="77" t="s">
        <v>916</v>
      </c>
      <c r="B8" s="102"/>
      <c r="C8" s="102"/>
      <c r="D8" s="102"/>
      <c r="E8" s="26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 t="s">
        <v>147</v>
      </c>
      <c r="R8" s="102"/>
      <c r="S8" s="102" t="s">
        <v>149</v>
      </c>
      <c r="T8" s="102"/>
      <c r="U8" s="102"/>
      <c r="V8" s="102"/>
      <c r="W8" s="102"/>
      <c r="X8" s="102"/>
      <c r="Y8" s="102"/>
      <c r="Z8" s="102"/>
      <c r="AA8" s="102" t="s">
        <v>154</v>
      </c>
      <c r="AB8" s="102"/>
      <c r="AC8" s="102" t="s">
        <v>156</v>
      </c>
      <c r="AD8" s="102"/>
      <c r="AE8" s="102"/>
      <c r="AF8" s="102"/>
      <c r="AG8" s="103" t="s">
        <v>159</v>
      </c>
      <c r="AH8" s="103"/>
      <c r="AI8" s="103"/>
      <c r="AJ8" s="77" t="s">
        <v>916</v>
      </c>
      <c r="AK8" s="102"/>
      <c r="AL8" s="102"/>
      <c r="AM8" s="103"/>
      <c r="AN8" s="103" t="s">
        <v>161</v>
      </c>
      <c r="AO8" s="103"/>
      <c r="AP8" s="103" t="s">
        <v>73</v>
      </c>
      <c r="AQ8" s="103"/>
      <c r="AR8" s="103" t="s">
        <v>7</v>
      </c>
      <c r="AS8" s="103"/>
      <c r="AT8" s="103" t="s">
        <v>76</v>
      </c>
      <c r="AU8" s="103"/>
      <c r="AV8" s="103"/>
      <c r="AW8" s="103"/>
      <c r="AX8" s="103" t="s">
        <v>129</v>
      </c>
      <c r="AY8" s="103"/>
      <c r="AZ8" s="103" t="s">
        <v>3</v>
      </c>
      <c r="BA8" s="103"/>
      <c r="BB8" s="103" t="s">
        <v>164</v>
      </c>
      <c r="BC8" s="103"/>
      <c r="BD8" s="103" t="s">
        <v>183</v>
      </c>
      <c r="BE8" s="103"/>
      <c r="BF8" s="103" t="s">
        <v>682</v>
      </c>
      <c r="BG8" s="103"/>
      <c r="BH8" s="103" t="s">
        <v>82</v>
      </c>
      <c r="BI8" s="103"/>
      <c r="BJ8" s="103" t="s">
        <v>179</v>
      </c>
      <c r="BK8" s="103"/>
      <c r="BL8" s="103" t="s">
        <v>91</v>
      </c>
      <c r="BM8" s="103"/>
      <c r="BN8" s="102" t="s">
        <v>165</v>
      </c>
      <c r="BO8" s="103"/>
      <c r="BP8" s="103" t="s">
        <v>679</v>
      </c>
      <c r="BQ8" s="103"/>
      <c r="BR8" s="103" t="s">
        <v>705</v>
      </c>
      <c r="BS8" s="103"/>
      <c r="BT8" s="102" t="s">
        <v>188</v>
      </c>
      <c r="BU8" s="103"/>
      <c r="BV8" s="103" t="s">
        <v>198</v>
      </c>
    </row>
    <row r="9" spans="1:74">
      <c r="A9" s="101" t="s">
        <v>202</v>
      </c>
      <c r="B9" s="103"/>
      <c r="C9" s="101" t="s">
        <v>4</v>
      </c>
      <c r="D9" s="103"/>
      <c r="E9" s="11" t="s">
        <v>201</v>
      </c>
      <c r="F9" s="102"/>
      <c r="G9" s="67" t="s">
        <v>689</v>
      </c>
      <c r="I9" s="67" t="s">
        <v>2</v>
      </c>
      <c r="K9" s="67" t="s">
        <v>144</v>
      </c>
      <c r="M9" s="67" t="s">
        <v>82</v>
      </c>
      <c r="O9" s="67" t="s">
        <v>695</v>
      </c>
      <c r="Q9" s="67" t="s">
        <v>148</v>
      </c>
      <c r="S9" s="67" t="s">
        <v>150</v>
      </c>
      <c r="U9" s="67" t="s">
        <v>151</v>
      </c>
      <c r="W9" s="67" t="s">
        <v>152</v>
      </c>
      <c r="X9" s="102"/>
      <c r="Y9" s="101" t="s">
        <v>654</v>
      </c>
      <c r="AA9" s="67" t="s">
        <v>155</v>
      </c>
      <c r="AB9" s="102"/>
      <c r="AC9" s="101" t="s">
        <v>157</v>
      </c>
      <c r="AD9" s="102"/>
      <c r="AE9" s="101" t="s">
        <v>655</v>
      </c>
      <c r="AG9" s="101" t="s">
        <v>160</v>
      </c>
      <c r="AI9" s="101" t="s">
        <v>82</v>
      </c>
      <c r="AJ9" s="101" t="s">
        <v>202</v>
      </c>
      <c r="AK9" s="103"/>
      <c r="AL9" s="101" t="s">
        <v>4</v>
      </c>
      <c r="AM9" s="102"/>
      <c r="AN9" s="101" t="s">
        <v>162</v>
      </c>
      <c r="AO9" s="102"/>
      <c r="AP9" s="101" t="s">
        <v>75</v>
      </c>
      <c r="AQ9" s="102"/>
      <c r="AR9" s="101" t="s">
        <v>680</v>
      </c>
      <c r="AS9" s="102"/>
      <c r="AT9" s="101" t="s">
        <v>699</v>
      </c>
      <c r="AU9" s="102"/>
      <c r="AV9" s="101" t="s">
        <v>163</v>
      </c>
      <c r="AW9" s="102"/>
      <c r="AX9" s="101" t="s">
        <v>74</v>
      </c>
      <c r="AY9" s="102"/>
      <c r="AZ9" s="101" t="s">
        <v>74</v>
      </c>
      <c r="BA9" s="102"/>
      <c r="BB9" s="101" t="s">
        <v>120</v>
      </c>
      <c r="BC9" s="102"/>
      <c r="BD9" s="101" t="s">
        <v>120</v>
      </c>
      <c r="BE9" s="102"/>
      <c r="BF9" s="102" t="s">
        <v>684</v>
      </c>
      <c r="BG9" s="102"/>
      <c r="BH9" s="101" t="s">
        <v>184</v>
      </c>
      <c r="BI9" s="102"/>
      <c r="BJ9" s="101" t="s">
        <v>189</v>
      </c>
      <c r="BK9" s="102"/>
      <c r="BL9" s="101" t="s">
        <v>187</v>
      </c>
      <c r="BM9" s="103"/>
      <c r="BN9" s="101" t="s">
        <v>166</v>
      </c>
      <c r="BO9" s="103"/>
      <c r="BP9" s="101" t="s">
        <v>677</v>
      </c>
      <c r="BQ9" s="103"/>
      <c r="BR9" s="101" t="s">
        <v>704</v>
      </c>
      <c r="BS9" s="103"/>
      <c r="BT9" s="101" t="s">
        <v>166</v>
      </c>
      <c r="BU9" s="103"/>
      <c r="BV9" s="101" t="s">
        <v>137</v>
      </c>
    </row>
    <row r="10" spans="1:74">
      <c r="A10" s="12"/>
      <c r="B10" s="12"/>
      <c r="C10" s="12"/>
      <c r="D10" s="12"/>
      <c r="E10" s="13"/>
      <c r="F10" s="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12"/>
      <c r="AK10" s="12"/>
      <c r="AL10" s="12"/>
      <c r="AM10" s="58"/>
      <c r="AN10" s="58"/>
      <c r="AO10" s="58"/>
      <c r="AP10" s="58"/>
      <c r="AQ10" s="58"/>
      <c r="AR10" s="58"/>
      <c r="AS10" s="58"/>
      <c r="AT10" s="58"/>
      <c r="AU10" s="68"/>
    </row>
    <row r="11" spans="1:74" s="72" customFormat="1">
      <c r="A11" s="14" t="s">
        <v>920</v>
      </c>
      <c r="B11" s="69"/>
      <c r="C11" s="70" t="s">
        <v>203</v>
      </c>
      <c r="D11" s="69"/>
      <c r="E11" s="71">
        <v>61903</v>
      </c>
      <c r="F11" s="59"/>
      <c r="G11" s="16">
        <v>18606744</v>
      </c>
      <c r="H11" s="16"/>
      <c r="I11" s="16">
        <v>4506895</v>
      </c>
      <c r="J11" s="16"/>
      <c r="K11" s="16">
        <v>2727570</v>
      </c>
      <c r="L11" s="16"/>
      <c r="M11" s="16">
        <f>392655+520397</f>
        <v>913052</v>
      </c>
      <c r="N11" s="16"/>
      <c r="O11" s="16">
        <v>2089750</v>
      </c>
      <c r="P11" s="16"/>
      <c r="Q11" s="16">
        <v>3137068</v>
      </c>
      <c r="R11" s="16"/>
      <c r="S11" s="16">
        <v>42433</v>
      </c>
      <c r="T11" s="16"/>
      <c r="U11" s="16">
        <v>3010711</v>
      </c>
      <c r="V11" s="16"/>
      <c r="W11" s="16">
        <v>1029991</v>
      </c>
      <c r="X11" s="16"/>
      <c r="Y11" s="16">
        <v>477976</v>
      </c>
      <c r="Z11" s="16"/>
      <c r="AA11" s="16">
        <v>2967345</v>
      </c>
      <c r="AB11" s="16"/>
      <c r="AC11" s="16">
        <v>2568538</v>
      </c>
      <c r="AD11" s="16"/>
      <c r="AE11" s="16">
        <v>302231</v>
      </c>
      <c r="AF11" s="16"/>
      <c r="AG11" s="16">
        <v>2431512</v>
      </c>
      <c r="AH11" s="16"/>
      <c r="AI11" s="16">
        <v>0</v>
      </c>
      <c r="AJ11" s="14" t="s">
        <v>920</v>
      </c>
      <c r="AK11" s="69"/>
      <c r="AL11" s="70" t="s">
        <v>203</v>
      </c>
      <c r="AM11" s="16"/>
      <c r="AN11" s="16">
        <v>551472</v>
      </c>
      <c r="AO11" s="16"/>
      <c r="AP11" s="16">
        <v>17752380</v>
      </c>
      <c r="AQ11" s="16"/>
      <c r="AR11" s="16">
        <v>0</v>
      </c>
      <c r="AS11" s="16"/>
      <c r="AT11" s="16">
        <v>1240896</v>
      </c>
      <c r="AU11" s="16"/>
      <c r="AV11" s="16">
        <v>1781813</v>
      </c>
      <c r="AW11" s="16"/>
      <c r="AX11" s="16">
        <v>0</v>
      </c>
      <c r="AY11" s="16"/>
      <c r="AZ11" s="72">
        <f>SUM(G11:AX11)</f>
        <v>66138377</v>
      </c>
      <c r="BA11" s="16"/>
      <c r="BB11" s="16">
        <v>111465</v>
      </c>
      <c r="BC11" s="16"/>
      <c r="BD11" s="16"/>
      <c r="BE11" s="16"/>
      <c r="BF11" s="16"/>
      <c r="BG11" s="16"/>
      <c r="BH11" s="16">
        <v>0</v>
      </c>
      <c r="BI11" s="16"/>
      <c r="BJ11" s="72">
        <f>AZ11+BB11+BH11</f>
        <v>66249842</v>
      </c>
      <c r="BK11" s="16"/>
      <c r="BL11" s="72">
        <f>'Gov Fd Rv'!AO11-'Gov Fnd Exp'!BJ11</f>
        <v>-16245191</v>
      </c>
      <c r="BM11" s="16"/>
      <c r="BN11" s="16">
        <v>28293175</v>
      </c>
      <c r="BO11" s="16"/>
      <c r="BP11" s="16">
        <v>0</v>
      </c>
      <c r="BQ11" s="16"/>
      <c r="BR11" s="16">
        <v>0</v>
      </c>
      <c r="BS11" s="16"/>
      <c r="BT11" s="72">
        <f>BL11+BN11+BP11+BR11</f>
        <v>12047984</v>
      </c>
      <c r="BU11" s="20"/>
      <c r="BV11" s="20">
        <f>BT11-'Gov Fd BS'!AA11</f>
        <v>0</v>
      </c>
    </row>
    <row r="12" spans="1:74">
      <c r="A12" s="12" t="s">
        <v>549</v>
      </c>
      <c r="B12" s="12"/>
      <c r="C12" s="12" t="s">
        <v>58</v>
      </c>
      <c r="D12" s="12"/>
      <c r="E12" s="13">
        <v>49494</v>
      </c>
      <c r="G12" s="1">
        <v>4789457</v>
      </c>
      <c r="I12" s="1">
        <v>1270119</v>
      </c>
      <c r="K12" s="1">
        <v>1279</v>
      </c>
      <c r="M12" s="1">
        <v>796024</v>
      </c>
      <c r="O12" s="1">
        <v>417397</v>
      </c>
      <c r="Q12" s="1">
        <v>568953</v>
      </c>
      <c r="S12" s="1">
        <v>43281</v>
      </c>
      <c r="U12" s="1">
        <v>914409</v>
      </c>
      <c r="W12" s="1">
        <v>327780</v>
      </c>
      <c r="Y12" s="1">
        <v>0</v>
      </c>
      <c r="AA12" s="1">
        <v>978732</v>
      </c>
      <c r="AC12" s="1">
        <v>745010</v>
      </c>
      <c r="AE12" s="1">
        <v>75541</v>
      </c>
      <c r="AG12" s="1">
        <v>406528</v>
      </c>
      <c r="AI12" s="1">
        <v>0</v>
      </c>
      <c r="AJ12" s="12" t="s">
        <v>549</v>
      </c>
      <c r="AK12" s="12"/>
      <c r="AL12" s="12" t="s">
        <v>58</v>
      </c>
      <c r="AN12" s="1">
        <v>301170</v>
      </c>
      <c r="AP12" s="1">
        <v>379615</v>
      </c>
      <c r="AR12" s="1">
        <v>0</v>
      </c>
      <c r="AT12" s="1">
        <v>130244</v>
      </c>
      <c r="AV12" s="1">
        <v>114914</v>
      </c>
      <c r="AX12" s="1">
        <v>0</v>
      </c>
      <c r="AZ12" s="20">
        <f>SUM(G12:AX12)</f>
        <v>12260453</v>
      </c>
      <c r="BB12" s="1">
        <v>128128</v>
      </c>
      <c r="BH12" s="1">
        <v>0</v>
      </c>
      <c r="BJ12" s="20">
        <f>AZ12+BB12+BH12</f>
        <v>12388581</v>
      </c>
      <c r="BL12" s="20">
        <f>'Gov Fd Rv'!AO12-'Gov Fnd Exp'!BJ12</f>
        <v>936135</v>
      </c>
      <c r="BN12" s="1">
        <v>3477025</v>
      </c>
      <c r="BP12" s="1">
        <v>0</v>
      </c>
      <c r="BR12" s="1">
        <v>0</v>
      </c>
      <c r="BT12" s="20">
        <f>BL12+BN12+BP12+BR12</f>
        <v>4413160</v>
      </c>
      <c r="BU12" s="20"/>
      <c r="BV12" s="20">
        <f>BT12-'Gov Fd BS'!AA12</f>
        <v>0</v>
      </c>
    </row>
    <row r="13" spans="1:74">
      <c r="A13" s="12" t="s">
        <v>586</v>
      </c>
      <c r="B13" s="12"/>
      <c r="C13" s="12" t="s">
        <v>63</v>
      </c>
      <c r="D13" s="12"/>
      <c r="E13" s="13">
        <v>43489</v>
      </c>
      <c r="G13" s="1">
        <v>153859290</v>
      </c>
      <c r="I13" s="1">
        <v>34074168</v>
      </c>
      <c r="K13" s="1">
        <v>11969268</v>
      </c>
      <c r="M13" s="1">
        <f>689795+10884893</f>
        <v>11574688</v>
      </c>
      <c r="O13" s="1">
        <v>19528810</v>
      </c>
      <c r="Q13" s="1">
        <v>26563196</v>
      </c>
      <c r="S13" s="1">
        <v>85942</v>
      </c>
      <c r="U13" s="1">
        <v>21214138</v>
      </c>
      <c r="W13" s="1">
        <v>4270603</v>
      </c>
      <c r="Y13" s="1">
        <v>2488885</v>
      </c>
      <c r="AA13" s="1">
        <v>31702487</v>
      </c>
      <c r="AC13" s="1">
        <v>11339089</v>
      </c>
      <c r="AE13" s="1">
        <v>10341765</v>
      </c>
      <c r="AG13" s="1">
        <v>9351845</v>
      </c>
      <c r="AI13" s="1">
        <v>3677814</v>
      </c>
      <c r="AJ13" s="12" t="s">
        <v>586</v>
      </c>
      <c r="AK13" s="12"/>
      <c r="AL13" s="12" t="s">
        <v>63</v>
      </c>
      <c r="AN13" s="1">
        <v>3555817</v>
      </c>
      <c r="AP13" s="1">
        <v>42962049</v>
      </c>
      <c r="AR13" s="1">
        <v>0</v>
      </c>
      <c r="AT13" s="1">
        <v>0</v>
      </c>
      <c r="AV13" s="1">
        <v>0</v>
      </c>
      <c r="AX13" s="1">
        <v>0</v>
      </c>
      <c r="AZ13" s="20">
        <f>SUM(G13:AX13)</f>
        <v>398559854</v>
      </c>
      <c r="BB13" s="1">
        <v>1709807</v>
      </c>
      <c r="BH13" s="1">
        <v>0</v>
      </c>
      <c r="BJ13" s="20">
        <f>AZ13+BB13+BH13</f>
        <v>400269661</v>
      </c>
      <c r="BL13" s="20">
        <f>'Gov Fd Rv'!AO13-'Gov Fnd Exp'!BJ13</f>
        <v>-460639</v>
      </c>
      <c r="BN13" s="1">
        <v>68114401</v>
      </c>
      <c r="BP13" s="1">
        <v>0</v>
      </c>
      <c r="BR13" s="1">
        <v>0</v>
      </c>
      <c r="BT13" s="20">
        <f>BL13+BN13+BP13+BR13</f>
        <v>67653762</v>
      </c>
      <c r="BU13" s="20"/>
      <c r="BV13" s="20">
        <f>BT13-'Gov Fd BS'!AA13</f>
        <v>0</v>
      </c>
    </row>
    <row r="14" spans="1:74" hidden="1">
      <c r="A14" s="12" t="s">
        <v>738</v>
      </c>
      <c r="B14" s="12"/>
      <c r="C14" s="12" t="s">
        <v>13</v>
      </c>
      <c r="D14" s="12"/>
      <c r="E14" s="13">
        <v>45906</v>
      </c>
      <c r="AJ14" s="12" t="s">
        <v>738</v>
      </c>
      <c r="AK14" s="12"/>
      <c r="AL14" s="12" t="s">
        <v>13</v>
      </c>
      <c r="AZ14" s="20">
        <f t="shared" ref="AZ14:AZ32" si="0">SUM(G14:AX14)</f>
        <v>0</v>
      </c>
      <c r="BJ14" s="20">
        <f t="shared" ref="BJ14:BJ79" si="1">AZ14+BB14+BH14</f>
        <v>0</v>
      </c>
      <c r="BL14" s="20">
        <f>'Gov Fd Rv'!AO14-'Gov Fnd Exp'!BJ14</f>
        <v>0</v>
      </c>
      <c r="BT14" s="20">
        <f t="shared" ref="BT14:BT16" si="2">BL14+BN14+BP14+BR14</f>
        <v>0</v>
      </c>
      <c r="BU14" s="20"/>
      <c r="BV14" s="20">
        <f>BT14-'Gov Fd BS'!AA14</f>
        <v>0</v>
      </c>
    </row>
    <row r="15" spans="1:74">
      <c r="A15" s="12" t="s">
        <v>572</v>
      </c>
      <c r="B15" s="12"/>
      <c r="C15" s="12" t="s">
        <v>62</v>
      </c>
      <c r="D15" s="12"/>
      <c r="E15" s="13">
        <v>43497</v>
      </c>
      <c r="G15" s="1">
        <v>11530298</v>
      </c>
      <c r="I15" s="1">
        <v>4956447</v>
      </c>
      <c r="K15" s="1">
        <v>1218777</v>
      </c>
      <c r="M15" s="1">
        <f>839306+466202+120394</f>
        <v>1425902</v>
      </c>
      <c r="O15" s="1">
        <v>1999877</v>
      </c>
      <c r="Q15" s="1">
        <v>1452164</v>
      </c>
      <c r="S15" s="1">
        <v>35352</v>
      </c>
      <c r="U15" s="1">
        <v>2920793</v>
      </c>
      <c r="W15" s="1">
        <v>318915</v>
      </c>
      <c r="Y15" s="1">
        <v>376744</v>
      </c>
      <c r="AA15" s="1">
        <v>3097023</v>
      </c>
      <c r="AC15" s="1">
        <v>837146</v>
      </c>
      <c r="AE15" s="1">
        <v>181037</v>
      </c>
      <c r="AG15" s="1">
        <v>1447692</v>
      </c>
      <c r="AI15" s="1">
        <f>134602+10322</f>
        <v>144924</v>
      </c>
      <c r="AJ15" s="12" t="s">
        <v>572</v>
      </c>
      <c r="AK15" s="12"/>
      <c r="AL15" s="12" t="s">
        <v>62</v>
      </c>
      <c r="AN15" s="1">
        <v>598349</v>
      </c>
      <c r="AP15" s="1">
        <v>5502</v>
      </c>
      <c r="AR15" s="1">
        <v>0</v>
      </c>
      <c r="AT15" s="1">
        <v>290687</v>
      </c>
      <c r="AV15" s="1">
        <f>560787+13200</f>
        <v>573987</v>
      </c>
      <c r="AX15" s="1">
        <v>0</v>
      </c>
      <c r="AZ15" s="20">
        <f t="shared" si="0"/>
        <v>33411616</v>
      </c>
      <c r="BB15" s="1">
        <v>0</v>
      </c>
      <c r="BH15" s="1">
        <v>0</v>
      </c>
      <c r="BJ15" s="20">
        <f t="shared" si="1"/>
        <v>33411616</v>
      </c>
      <c r="BL15" s="20">
        <f>'Gov Fd Rv'!AO15-'Gov Fnd Exp'!BJ15</f>
        <v>1019515</v>
      </c>
      <c r="BN15" s="1">
        <v>4735780</v>
      </c>
      <c r="BP15" s="1">
        <v>0</v>
      </c>
      <c r="BR15" s="1">
        <v>0</v>
      </c>
      <c r="BT15" s="20">
        <f t="shared" si="2"/>
        <v>5755295</v>
      </c>
      <c r="BU15" s="20"/>
      <c r="BV15" s="20">
        <f>BT15-'Gov Fd BS'!AA15</f>
        <v>0</v>
      </c>
    </row>
    <row r="16" spans="1:74">
      <c r="A16" s="12" t="s">
        <v>321</v>
      </c>
      <c r="B16" s="12"/>
      <c r="C16" s="12" t="s">
        <v>25</v>
      </c>
      <c r="D16" s="12"/>
      <c r="E16" s="13">
        <v>46847</v>
      </c>
      <c r="G16" s="1">
        <v>5936062</v>
      </c>
      <c r="I16" s="1">
        <v>2040914</v>
      </c>
      <c r="K16" s="1">
        <v>472611</v>
      </c>
      <c r="M16" s="1">
        <f>130932+21686</f>
        <v>152618</v>
      </c>
      <c r="O16" s="1">
        <v>547993</v>
      </c>
      <c r="Q16" s="1">
        <v>367221</v>
      </c>
      <c r="S16" s="1">
        <v>48863</v>
      </c>
      <c r="U16" s="1">
        <v>1084750</v>
      </c>
      <c r="W16" s="1">
        <v>345010</v>
      </c>
      <c r="Y16" s="1">
        <v>35752</v>
      </c>
      <c r="AA16" s="1">
        <v>1470069</v>
      </c>
      <c r="AC16" s="1">
        <v>1083189</v>
      </c>
      <c r="AE16" s="1">
        <v>15800</v>
      </c>
      <c r="AG16" s="1">
        <v>775351</v>
      </c>
      <c r="AI16" s="1">
        <v>0</v>
      </c>
      <c r="AJ16" s="12" t="s">
        <v>321</v>
      </c>
      <c r="AK16" s="12"/>
      <c r="AL16" s="12" t="s">
        <v>25</v>
      </c>
      <c r="AN16" s="1">
        <v>378018</v>
      </c>
      <c r="AP16" s="1">
        <v>478461</v>
      </c>
      <c r="AR16" s="1">
        <v>0</v>
      </c>
      <c r="AT16" s="1">
        <v>248060</v>
      </c>
      <c r="AV16" s="1">
        <v>155344</v>
      </c>
      <c r="AX16" s="1">
        <v>0</v>
      </c>
      <c r="AZ16" s="20">
        <f t="shared" si="0"/>
        <v>15636086</v>
      </c>
      <c r="BB16" s="1">
        <v>0</v>
      </c>
      <c r="BH16" s="1">
        <v>0</v>
      </c>
      <c r="BJ16" s="20">
        <f t="shared" si="1"/>
        <v>15636086</v>
      </c>
      <c r="BL16" s="20">
        <f>'Gov Fd Rv'!AO16-'Gov Fnd Exp'!BJ16</f>
        <v>250304</v>
      </c>
      <c r="BN16" s="1">
        <v>1154786</v>
      </c>
      <c r="BP16" s="1">
        <v>0</v>
      </c>
      <c r="BR16" s="1">
        <v>0</v>
      </c>
      <c r="BT16" s="20">
        <f t="shared" si="2"/>
        <v>1405090</v>
      </c>
      <c r="BU16" s="20"/>
      <c r="BV16" s="20">
        <f>BT16-'Gov Fd BS'!AA16</f>
        <v>0</v>
      </c>
    </row>
    <row r="17" spans="1:74">
      <c r="A17" s="12" t="s">
        <v>685</v>
      </c>
      <c r="B17" s="12"/>
      <c r="C17" s="12" t="s">
        <v>44</v>
      </c>
      <c r="D17" s="12"/>
      <c r="E17" s="13">
        <v>45195</v>
      </c>
      <c r="F17" s="8"/>
      <c r="G17" s="1">
        <v>18379362</v>
      </c>
      <c r="I17" s="1">
        <v>5442622</v>
      </c>
      <c r="K17" s="1">
        <v>360331</v>
      </c>
      <c r="M17" s="1">
        <v>0</v>
      </c>
      <c r="O17" s="1">
        <v>1484941</v>
      </c>
      <c r="Q17" s="1">
        <v>1873629</v>
      </c>
      <c r="S17" s="1">
        <v>156624</v>
      </c>
      <c r="U17" s="1">
        <v>3039051</v>
      </c>
      <c r="W17" s="1">
        <v>765851</v>
      </c>
      <c r="Y17" s="1">
        <v>0</v>
      </c>
      <c r="AA17" s="1">
        <v>3632426</v>
      </c>
      <c r="AC17" s="1">
        <v>1253209</v>
      </c>
      <c r="AE17" s="1">
        <v>17574</v>
      </c>
      <c r="AG17" s="1">
        <v>1733145</v>
      </c>
      <c r="AI17" s="1">
        <v>0</v>
      </c>
      <c r="AJ17" s="12" t="s">
        <v>685</v>
      </c>
      <c r="AK17" s="12"/>
      <c r="AL17" s="12" t="s">
        <v>44</v>
      </c>
      <c r="AN17" s="1">
        <v>679301</v>
      </c>
      <c r="AP17" s="1">
        <v>378343</v>
      </c>
      <c r="AR17" s="1">
        <v>0</v>
      </c>
      <c r="AT17" s="1">
        <v>1370000</v>
      </c>
      <c r="AV17" s="1">
        <v>832631</v>
      </c>
      <c r="AX17" s="1">
        <v>0</v>
      </c>
      <c r="AZ17" s="20">
        <f t="shared" si="0"/>
        <v>41399040</v>
      </c>
      <c r="BB17" s="1">
        <v>21975</v>
      </c>
      <c r="BH17" s="1">
        <v>0</v>
      </c>
      <c r="BJ17" s="20">
        <f t="shared" si="1"/>
        <v>41421015</v>
      </c>
      <c r="BL17" s="20">
        <f>'Gov Fd Rv'!AO17-'Gov Fnd Exp'!BJ17</f>
        <v>486831</v>
      </c>
      <c r="BN17" s="1">
        <v>4470245</v>
      </c>
      <c r="BP17" s="1">
        <v>0</v>
      </c>
      <c r="BR17" s="1">
        <v>0</v>
      </c>
      <c r="BT17" s="20">
        <f t="shared" ref="BT17:BT84" si="3">BL17+BN17+BP17+BR17</f>
        <v>4957076</v>
      </c>
      <c r="BU17" s="20"/>
      <c r="BV17" s="20">
        <f>BT17-'Gov Fd BS'!AA17</f>
        <v>0</v>
      </c>
    </row>
    <row r="18" spans="1:74" hidden="1">
      <c r="A18" s="12" t="s">
        <v>921</v>
      </c>
      <c r="B18" s="12"/>
      <c r="C18" s="12" t="s">
        <v>61</v>
      </c>
      <c r="D18" s="12"/>
      <c r="E18" s="13">
        <v>49759</v>
      </c>
      <c r="AJ18" s="12" t="s">
        <v>921</v>
      </c>
      <c r="AK18" s="12"/>
      <c r="AL18" s="12" t="s">
        <v>61</v>
      </c>
      <c r="AZ18" s="20">
        <f t="shared" si="0"/>
        <v>0</v>
      </c>
      <c r="BJ18" s="20">
        <f t="shared" si="1"/>
        <v>0</v>
      </c>
      <c r="BL18" s="20">
        <f>'Gov Fd Rv'!AO18-'Gov Fnd Exp'!BJ18</f>
        <v>0</v>
      </c>
      <c r="BT18" s="20">
        <f t="shared" si="3"/>
        <v>0</v>
      </c>
      <c r="BU18" s="20"/>
      <c r="BV18" s="20">
        <f>BT18-'Gov Fd BS'!AA18</f>
        <v>0</v>
      </c>
    </row>
    <row r="19" spans="1:74" hidden="1">
      <c r="A19" s="12" t="s">
        <v>860</v>
      </c>
      <c r="B19" s="12"/>
      <c r="C19" s="12" t="s">
        <v>718</v>
      </c>
      <c r="D19" s="12"/>
      <c r="E19" s="13"/>
      <c r="AJ19" s="12" t="s">
        <v>860</v>
      </c>
      <c r="AK19" s="12"/>
      <c r="AL19" s="12" t="s">
        <v>718</v>
      </c>
      <c r="AZ19" s="20">
        <f t="shared" si="0"/>
        <v>0</v>
      </c>
      <c r="BJ19" s="20">
        <f t="shared" si="1"/>
        <v>0</v>
      </c>
      <c r="BL19" s="20">
        <f>'Gov Fd Rv'!AO19-'Gov Fnd Exp'!BJ19</f>
        <v>0</v>
      </c>
      <c r="BT19" s="20">
        <f t="shared" si="3"/>
        <v>0</v>
      </c>
      <c r="BU19" s="20"/>
      <c r="BV19" s="20">
        <f>BT19-'Gov Fd BS'!AA19</f>
        <v>0</v>
      </c>
    </row>
    <row r="20" spans="1:74">
      <c r="A20" s="12" t="s">
        <v>449</v>
      </c>
      <c r="B20" s="12"/>
      <c r="C20" s="12" t="s">
        <v>117</v>
      </c>
      <c r="D20" s="12"/>
      <c r="E20" s="13">
        <v>48207</v>
      </c>
      <c r="G20" s="1">
        <v>17834586</v>
      </c>
      <c r="I20" s="1">
        <v>2995834</v>
      </c>
      <c r="K20" s="1">
        <v>3159</v>
      </c>
      <c r="M20" s="1">
        <v>0</v>
      </c>
      <c r="O20" s="1">
        <v>1740008</v>
      </c>
      <c r="Q20" s="1">
        <v>998405</v>
      </c>
      <c r="S20" s="1">
        <v>806612</v>
      </c>
      <c r="U20" s="1">
        <v>2957605</v>
      </c>
      <c r="W20" s="1">
        <v>880651</v>
      </c>
      <c r="Y20" s="1">
        <v>31778</v>
      </c>
      <c r="AA20" s="1">
        <v>4243448</v>
      </c>
      <c r="AC20" s="1">
        <v>2242217</v>
      </c>
      <c r="AE20" s="1">
        <v>67063</v>
      </c>
      <c r="AG20" s="1">
        <v>1077881</v>
      </c>
      <c r="AI20" s="1">
        <v>215040</v>
      </c>
      <c r="AJ20" s="12" t="s">
        <v>449</v>
      </c>
      <c r="AK20" s="12"/>
      <c r="AL20" s="12" t="s">
        <v>117</v>
      </c>
      <c r="AN20" s="1">
        <v>985595</v>
      </c>
      <c r="AP20" s="1">
        <v>140087</v>
      </c>
      <c r="AR20" s="1">
        <v>0</v>
      </c>
      <c r="AT20" s="1">
        <v>1247579</v>
      </c>
      <c r="AV20" s="1">
        <v>1583445</v>
      </c>
      <c r="AX20" s="1">
        <v>0</v>
      </c>
      <c r="AZ20" s="20">
        <f t="shared" si="0"/>
        <v>40050993</v>
      </c>
      <c r="BB20" s="1">
        <v>742581</v>
      </c>
      <c r="BH20" s="1">
        <v>0</v>
      </c>
      <c r="BJ20" s="20">
        <f t="shared" si="1"/>
        <v>40793574</v>
      </c>
      <c r="BL20" s="20">
        <f>'Gov Fd Rv'!AO20-'Gov Fnd Exp'!BJ20</f>
        <v>1248048</v>
      </c>
      <c r="BN20" s="1">
        <v>6020876</v>
      </c>
      <c r="BP20" s="1">
        <v>-3778</v>
      </c>
      <c r="BR20" s="1">
        <v>0</v>
      </c>
      <c r="BT20" s="20">
        <f t="shared" si="3"/>
        <v>7265146</v>
      </c>
      <c r="BU20" s="20"/>
      <c r="BV20" s="20">
        <f>BT20-'Gov Fd BS'!AA20</f>
        <v>0</v>
      </c>
    </row>
    <row r="21" spans="1:74">
      <c r="A21" s="12" t="s">
        <v>378</v>
      </c>
      <c r="B21" s="12"/>
      <c r="C21" s="12" t="s">
        <v>33</v>
      </c>
      <c r="D21" s="12"/>
      <c r="E21" s="13">
        <v>47415</v>
      </c>
      <c r="G21" s="1">
        <v>2738763</v>
      </c>
      <c r="I21" s="1">
        <v>561556</v>
      </c>
      <c r="K21" s="1">
        <v>310198</v>
      </c>
      <c r="M21" s="1">
        <v>0</v>
      </c>
      <c r="O21" s="1">
        <v>221093</v>
      </c>
      <c r="Q21" s="1">
        <v>180697</v>
      </c>
      <c r="S21" s="1">
        <v>29806</v>
      </c>
      <c r="U21" s="1">
        <v>554643</v>
      </c>
      <c r="W21" s="1">
        <v>184219</v>
      </c>
      <c r="Y21" s="1">
        <v>0</v>
      </c>
      <c r="AA21" s="1">
        <v>446978</v>
      </c>
      <c r="AC21" s="1">
        <v>425308</v>
      </c>
      <c r="AE21" s="1">
        <v>2000</v>
      </c>
      <c r="AG21" s="1">
        <v>263397</v>
      </c>
      <c r="AI21" s="1">
        <v>0</v>
      </c>
      <c r="AJ21" s="12" t="s">
        <v>378</v>
      </c>
      <c r="AK21" s="12"/>
      <c r="AL21" s="12" t="s">
        <v>33</v>
      </c>
      <c r="AN21" s="1">
        <v>247640</v>
      </c>
      <c r="AP21" s="1">
        <v>3911</v>
      </c>
      <c r="AR21" s="1">
        <v>0</v>
      </c>
      <c r="AT21" s="1">
        <v>0</v>
      </c>
      <c r="AV21" s="1">
        <v>0</v>
      </c>
      <c r="AX21" s="1">
        <v>0</v>
      </c>
      <c r="AZ21" s="20">
        <f t="shared" si="0"/>
        <v>6170209</v>
      </c>
      <c r="BB21" s="1">
        <v>0</v>
      </c>
      <c r="BH21" s="1">
        <v>0</v>
      </c>
      <c r="BJ21" s="20">
        <f t="shared" si="1"/>
        <v>6170209</v>
      </c>
      <c r="BL21" s="20">
        <f>'Gov Fd Rv'!AO21-'Gov Fnd Exp'!BJ21</f>
        <v>196803</v>
      </c>
      <c r="BN21" s="1">
        <v>2858540</v>
      </c>
      <c r="BP21" s="1">
        <v>0</v>
      </c>
      <c r="BR21" s="1">
        <v>0</v>
      </c>
      <c r="BT21" s="20">
        <f t="shared" si="3"/>
        <v>3055343</v>
      </c>
      <c r="BU21" s="20"/>
      <c r="BV21" s="20">
        <f>BT21-'Gov Fd BS'!AA21</f>
        <v>0</v>
      </c>
    </row>
    <row r="22" spans="1:74" hidden="1">
      <c r="A22" s="12" t="s">
        <v>823</v>
      </c>
      <c r="B22" s="12"/>
      <c r="C22" s="12" t="s">
        <v>21</v>
      </c>
      <c r="D22" s="12"/>
      <c r="E22" s="13">
        <v>46631</v>
      </c>
      <c r="AJ22" s="12" t="s">
        <v>823</v>
      </c>
      <c r="AK22" s="12"/>
      <c r="AL22" s="12" t="s">
        <v>21</v>
      </c>
      <c r="AZ22" s="20">
        <f t="shared" si="0"/>
        <v>0</v>
      </c>
      <c r="BJ22" s="20">
        <f t="shared" si="1"/>
        <v>0</v>
      </c>
      <c r="BL22" s="20">
        <f>'Gov Fd Rv'!AO22-'Gov Fnd Exp'!BJ22</f>
        <v>0</v>
      </c>
      <c r="BT22" s="20">
        <f t="shared" si="3"/>
        <v>0</v>
      </c>
      <c r="BU22" s="20"/>
      <c r="BV22" s="20">
        <f>BT22-'Gov Fd BS'!AA22</f>
        <v>0</v>
      </c>
    </row>
    <row r="23" spans="1:74">
      <c r="A23" s="12" t="s">
        <v>922</v>
      </c>
      <c r="B23" s="12"/>
      <c r="C23" s="12" t="s">
        <v>28</v>
      </c>
      <c r="D23" s="12"/>
      <c r="E23" s="13">
        <v>47043</v>
      </c>
      <c r="G23" s="1">
        <v>6496150</v>
      </c>
      <c r="I23" s="1">
        <v>1003108</v>
      </c>
      <c r="K23" s="1">
        <v>180065</v>
      </c>
      <c r="M23" s="1">
        <f>10453+11487</f>
        <v>21940</v>
      </c>
      <c r="O23" s="1">
        <v>913930</v>
      </c>
      <c r="Q23" s="1">
        <v>526068</v>
      </c>
      <c r="S23" s="1">
        <v>87537</v>
      </c>
      <c r="U23" s="1">
        <v>762421</v>
      </c>
      <c r="W23" s="1">
        <v>371474</v>
      </c>
      <c r="Y23" s="1">
        <v>0</v>
      </c>
      <c r="AA23" s="1">
        <v>1071844</v>
      </c>
      <c r="AC23" s="1">
        <v>450438</v>
      </c>
      <c r="AE23" s="1">
        <v>0</v>
      </c>
      <c r="AG23" s="1">
        <v>511826</v>
      </c>
      <c r="AI23" s="1">
        <v>0</v>
      </c>
      <c r="AJ23" s="12" t="s">
        <v>922</v>
      </c>
      <c r="AK23" s="12"/>
      <c r="AL23" s="12" t="s">
        <v>28</v>
      </c>
      <c r="AN23" s="1">
        <v>615160</v>
      </c>
      <c r="AP23" s="1">
        <v>152900</v>
      </c>
      <c r="AR23" s="1">
        <v>0</v>
      </c>
      <c r="AT23" s="1">
        <v>1215000</v>
      </c>
      <c r="AV23" s="1">
        <v>425186</v>
      </c>
      <c r="AX23" s="1">
        <v>0</v>
      </c>
      <c r="AZ23" s="20">
        <f t="shared" si="0"/>
        <v>14805047</v>
      </c>
      <c r="BB23" s="1">
        <v>0</v>
      </c>
      <c r="BH23" s="1">
        <v>0</v>
      </c>
      <c r="BJ23" s="20">
        <f t="shared" si="1"/>
        <v>14805047</v>
      </c>
      <c r="BL23" s="20">
        <f>'Gov Fd Rv'!AO23-'Gov Fnd Exp'!BJ23</f>
        <v>553396</v>
      </c>
      <c r="BN23" s="1">
        <v>7262513</v>
      </c>
      <c r="BP23" s="1">
        <v>0</v>
      </c>
      <c r="BR23" s="1">
        <v>0</v>
      </c>
      <c r="BT23" s="20">
        <f>BL23+BN23+BP23+BR23-BB23</f>
        <v>7815909</v>
      </c>
      <c r="BU23" s="20"/>
      <c r="BV23" s="20">
        <f>BT23-'Gov Fd BS'!AA23</f>
        <v>0</v>
      </c>
    </row>
    <row r="24" spans="1:74">
      <c r="A24" s="12" t="s">
        <v>379</v>
      </c>
      <c r="B24" s="12"/>
      <c r="C24" s="12" t="s">
        <v>33</v>
      </c>
      <c r="D24" s="12"/>
      <c r="E24" s="13">
        <v>47423</v>
      </c>
      <c r="G24" s="1">
        <v>3154688</v>
      </c>
      <c r="I24" s="1">
        <v>786021</v>
      </c>
      <c r="K24" s="1">
        <v>275643</v>
      </c>
      <c r="M24" s="1">
        <v>0</v>
      </c>
      <c r="O24" s="1">
        <v>279989</v>
      </c>
      <c r="Q24" s="1">
        <v>347019</v>
      </c>
      <c r="S24" s="1">
        <v>25208</v>
      </c>
      <c r="U24" s="1">
        <v>493540</v>
      </c>
      <c r="W24" s="1">
        <v>185136</v>
      </c>
      <c r="Y24" s="1">
        <v>0</v>
      </c>
      <c r="AA24" s="1">
        <v>1087624</v>
      </c>
      <c r="AC24" s="1">
        <v>285299</v>
      </c>
      <c r="AE24" s="1">
        <v>1428</v>
      </c>
      <c r="AG24" s="1">
        <v>268585</v>
      </c>
      <c r="AI24" s="1">
        <v>0</v>
      </c>
      <c r="AJ24" s="12" t="s">
        <v>379</v>
      </c>
      <c r="AK24" s="12"/>
      <c r="AL24" s="12" t="s">
        <v>33</v>
      </c>
      <c r="AN24" s="1">
        <v>288621</v>
      </c>
      <c r="AP24" s="1">
        <v>0</v>
      </c>
      <c r="AR24" s="1">
        <v>0</v>
      </c>
      <c r="AT24" s="1">
        <v>25880</v>
      </c>
      <c r="AV24" s="1">
        <f>74120+35878</f>
        <v>109998</v>
      </c>
      <c r="AX24" s="1">
        <v>0</v>
      </c>
      <c r="AZ24" s="20">
        <f t="shared" si="0"/>
        <v>7614679</v>
      </c>
      <c r="BB24" s="1">
        <v>95889</v>
      </c>
      <c r="BH24" s="1">
        <v>0</v>
      </c>
      <c r="BJ24" s="20">
        <f t="shared" si="1"/>
        <v>7710568</v>
      </c>
      <c r="BL24" s="20">
        <f>'Gov Fd Rv'!AO24-'Gov Fnd Exp'!BJ24</f>
        <v>-429864</v>
      </c>
      <c r="BN24" s="1">
        <v>3112289</v>
      </c>
      <c r="BP24" s="1">
        <v>0</v>
      </c>
      <c r="BR24" s="1">
        <v>0</v>
      </c>
      <c r="BT24" s="20">
        <f t="shared" si="3"/>
        <v>2682425</v>
      </c>
      <c r="BU24" s="20"/>
      <c r="BV24" s="20">
        <f>BT24-'Gov Fd BS'!AA24</f>
        <v>0</v>
      </c>
    </row>
    <row r="25" spans="1:74">
      <c r="A25" s="12" t="s">
        <v>206</v>
      </c>
      <c r="B25" s="12"/>
      <c r="C25" s="12" t="s">
        <v>11</v>
      </c>
      <c r="D25" s="12"/>
      <c r="E25" s="13">
        <v>43505</v>
      </c>
      <c r="G25" s="1">
        <v>13795450</v>
      </c>
      <c r="I25" s="1">
        <v>4684462</v>
      </c>
      <c r="K25" s="1">
        <v>908909</v>
      </c>
      <c r="M25" s="1">
        <f>37955+1823259</f>
        <v>1861214</v>
      </c>
      <c r="O25" s="1">
        <v>1614989</v>
      </c>
      <c r="Q25" s="1">
        <v>1918890</v>
      </c>
      <c r="S25" s="1">
        <v>148295</v>
      </c>
      <c r="U25" s="1">
        <v>2582674</v>
      </c>
      <c r="W25" s="1">
        <v>755690</v>
      </c>
      <c r="Y25" s="1">
        <v>370134</v>
      </c>
      <c r="AA25" s="1">
        <v>2583733</v>
      </c>
      <c r="AC25" s="1">
        <v>1228248</v>
      </c>
      <c r="AE25" s="1">
        <v>313049</v>
      </c>
      <c r="AG25" s="1">
        <v>1353856</v>
      </c>
      <c r="AI25" s="1">
        <v>172167</v>
      </c>
      <c r="AJ25" s="12" t="s">
        <v>206</v>
      </c>
      <c r="AK25" s="12"/>
      <c r="AL25" s="12" t="s">
        <v>11</v>
      </c>
      <c r="AN25" s="1">
        <v>910634</v>
      </c>
      <c r="AP25" s="1">
        <v>175385</v>
      </c>
      <c r="AR25" s="1">
        <v>0</v>
      </c>
      <c r="AT25" s="1">
        <v>702031</v>
      </c>
      <c r="AV25" s="1">
        <v>148121</v>
      </c>
      <c r="AX25" s="1">
        <v>0</v>
      </c>
      <c r="AZ25" s="20">
        <f t="shared" si="0"/>
        <v>36227931</v>
      </c>
      <c r="BB25" s="1">
        <v>0</v>
      </c>
      <c r="BH25" s="1">
        <v>0</v>
      </c>
      <c r="BJ25" s="20">
        <f>AZ25+BB25+BH25+BB25</f>
        <v>36227931</v>
      </c>
      <c r="BL25" s="20">
        <f>'Gov Fd Rv'!AO25-'Gov Fnd Exp'!BJ25</f>
        <v>-716047</v>
      </c>
      <c r="BN25" s="1">
        <v>9155497</v>
      </c>
      <c r="BP25" s="1">
        <v>0</v>
      </c>
      <c r="BR25" s="1">
        <v>0</v>
      </c>
      <c r="BT25" s="20">
        <f t="shared" si="3"/>
        <v>8439450</v>
      </c>
      <c r="BU25" s="20"/>
      <c r="BV25" s="20">
        <f>BT25-'Gov Fd BS'!AA25</f>
        <v>0</v>
      </c>
    </row>
    <row r="26" spans="1:74">
      <c r="A26" s="12" t="s">
        <v>672</v>
      </c>
      <c r="B26" s="12"/>
      <c r="C26" s="12" t="s">
        <v>12</v>
      </c>
      <c r="D26" s="12"/>
      <c r="E26" s="13">
        <v>43513</v>
      </c>
      <c r="G26" s="1">
        <v>19314231</v>
      </c>
      <c r="I26" s="1">
        <v>7556687</v>
      </c>
      <c r="K26" s="1">
        <v>198196</v>
      </c>
      <c r="M26" s="1">
        <v>829885</v>
      </c>
      <c r="O26" s="1">
        <v>1811597</v>
      </c>
      <c r="Q26" s="1">
        <v>3277684</v>
      </c>
      <c r="S26" s="1">
        <v>185946</v>
      </c>
      <c r="U26" s="1">
        <v>2554075</v>
      </c>
      <c r="W26" s="1">
        <v>932695</v>
      </c>
      <c r="Y26" s="1">
        <v>641437</v>
      </c>
      <c r="AA26" s="1">
        <v>4143128</v>
      </c>
      <c r="AC26" s="1">
        <v>2333435</v>
      </c>
      <c r="AE26" s="1">
        <v>31629</v>
      </c>
      <c r="AG26" s="1">
        <v>1685704</v>
      </c>
      <c r="AI26" s="1">
        <v>0</v>
      </c>
      <c r="AJ26" s="12" t="s">
        <v>672</v>
      </c>
      <c r="AK26" s="12"/>
      <c r="AL26" s="12" t="s">
        <v>12</v>
      </c>
      <c r="AN26" s="1">
        <v>830447</v>
      </c>
      <c r="AP26" s="1">
        <v>13141124</v>
      </c>
      <c r="AR26" s="1">
        <v>0</v>
      </c>
      <c r="AT26" s="1">
        <v>1475000</v>
      </c>
      <c r="AV26" s="1">
        <v>1716838</v>
      </c>
      <c r="AX26" s="1">
        <v>0</v>
      </c>
      <c r="AZ26" s="20">
        <f t="shared" si="0"/>
        <v>62659738</v>
      </c>
      <c r="BB26" s="1">
        <v>35385</v>
      </c>
      <c r="BH26" s="1">
        <v>0</v>
      </c>
      <c r="BJ26" s="20">
        <f t="shared" si="1"/>
        <v>62695123</v>
      </c>
      <c r="BL26" s="20">
        <f>'Gov Fd Rv'!AO26-'Gov Fnd Exp'!BJ26</f>
        <v>-6906574</v>
      </c>
      <c r="BN26" s="1">
        <v>27732379</v>
      </c>
      <c r="BP26" s="1">
        <v>0</v>
      </c>
      <c r="BR26" s="1">
        <v>0</v>
      </c>
      <c r="BS26" s="1" t="s">
        <v>131</v>
      </c>
      <c r="BT26" s="20">
        <f t="shared" si="3"/>
        <v>20825805</v>
      </c>
      <c r="BU26" s="20"/>
      <c r="BV26" s="20">
        <f>BT26-'Gov Fd BS'!AA26</f>
        <v>0</v>
      </c>
    </row>
    <row r="27" spans="1:74">
      <c r="A27" s="12" t="s">
        <v>214</v>
      </c>
      <c r="B27" s="12"/>
      <c r="C27" s="12" t="s">
        <v>13</v>
      </c>
      <c r="D27" s="12"/>
      <c r="E27" s="13">
        <v>43521</v>
      </c>
      <c r="G27" s="1">
        <v>15169196</v>
      </c>
      <c r="I27" s="1">
        <v>3713100</v>
      </c>
      <c r="K27" s="1">
        <v>417827</v>
      </c>
      <c r="M27" s="1">
        <v>148127</v>
      </c>
      <c r="O27" s="1">
        <v>1500851</v>
      </c>
      <c r="Q27" s="1">
        <v>2476175</v>
      </c>
      <c r="S27" s="1">
        <v>164071</v>
      </c>
      <c r="U27" s="1">
        <v>1936911</v>
      </c>
      <c r="W27" s="1">
        <v>699206</v>
      </c>
      <c r="Y27" s="1">
        <v>601228</v>
      </c>
      <c r="AA27" s="1">
        <v>4040823</v>
      </c>
      <c r="AC27" s="1">
        <v>1985101</v>
      </c>
      <c r="AE27" s="1">
        <v>202738</v>
      </c>
      <c r="AG27" s="1">
        <v>849821</v>
      </c>
      <c r="AI27" s="1">
        <v>0</v>
      </c>
      <c r="AJ27" s="12" t="s">
        <v>214</v>
      </c>
      <c r="AK27" s="12"/>
      <c r="AL27" s="12" t="s">
        <v>13</v>
      </c>
      <c r="AN27" s="1">
        <v>438261</v>
      </c>
      <c r="AP27" s="1">
        <v>491599</v>
      </c>
      <c r="AR27" s="1">
        <v>0</v>
      </c>
      <c r="AT27" s="1">
        <v>650000</v>
      </c>
      <c r="AV27" s="1">
        <v>618702</v>
      </c>
      <c r="AX27" s="1">
        <v>0</v>
      </c>
      <c r="AZ27" s="20">
        <f t="shared" si="0"/>
        <v>36103737</v>
      </c>
      <c r="BB27" s="1">
        <v>138097</v>
      </c>
      <c r="BH27" s="1">
        <v>0</v>
      </c>
      <c r="BJ27" s="20">
        <f t="shared" si="1"/>
        <v>36241834</v>
      </c>
      <c r="BL27" s="20">
        <f>'Gov Fd Rv'!AO27-'Gov Fnd Exp'!BJ27</f>
        <v>-202387</v>
      </c>
      <c r="BN27" s="1">
        <v>13978626</v>
      </c>
      <c r="BP27" s="1">
        <v>0</v>
      </c>
      <c r="BR27" s="1">
        <v>0</v>
      </c>
      <c r="BT27" s="20">
        <f>BL27+BN27+BP27+BR27</f>
        <v>13776239</v>
      </c>
      <c r="BU27" s="20"/>
      <c r="BV27" s="20">
        <f>BT27-'Gov Fd BS'!AA27</f>
        <v>0</v>
      </c>
    </row>
    <row r="28" spans="1:74">
      <c r="A28" s="12" t="s">
        <v>532</v>
      </c>
      <c r="B28" s="12"/>
      <c r="C28" s="12" t="s">
        <v>56</v>
      </c>
      <c r="D28" s="12"/>
      <c r="E28" s="13">
        <v>49171</v>
      </c>
      <c r="G28" s="1">
        <v>13842943</v>
      </c>
      <c r="I28" s="1">
        <v>2179449</v>
      </c>
      <c r="K28" s="1">
        <v>220848</v>
      </c>
      <c r="M28" s="1">
        <v>1283778</v>
      </c>
      <c r="O28" s="1">
        <v>1863902</v>
      </c>
      <c r="Q28" s="1">
        <v>2161117</v>
      </c>
      <c r="S28" s="1">
        <v>175828</v>
      </c>
      <c r="U28" s="1">
        <v>2585576</v>
      </c>
      <c r="W28" s="1">
        <v>836152</v>
      </c>
      <c r="Y28" s="1">
        <v>180408</v>
      </c>
      <c r="AA28" s="1">
        <v>3568210</v>
      </c>
      <c r="AC28" s="1">
        <v>1425942</v>
      </c>
      <c r="AE28" s="1">
        <v>109479</v>
      </c>
      <c r="AG28" s="1">
        <v>879851</v>
      </c>
      <c r="AI28" s="1">
        <v>0</v>
      </c>
      <c r="AJ28" s="12" t="s">
        <v>532</v>
      </c>
      <c r="AK28" s="12"/>
      <c r="AL28" s="12" t="s">
        <v>56</v>
      </c>
      <c r="AN28" s="1">
        <v>882488</v>
      </c>
      <c r="AP28" s="1">
        <v>12601590</v>
      </c>
      <c r="AR28" s="1">
        <v>0</v>
      </c>
      <c r="AT28" s="1">
        <v>1445000</v>
      </c>
      <c r="AV28" s="1">
        <v>1509341</v>
      </c>
      <c r="AX28" s="1">
        <v>0</v>
      </c>
      <c r="AZ28" s="20">
        <f t="shared" si="0"/>
        <v>47751902</v>
      </c>
      <c r="BB28" s="1">
        <v>0</v>
      </c>
      <c r="BH28" s="1">
        <v>0</v>
      </c>
      <c r="BJ28" s="20">
        <f t="shared" si="1"/>
        <v>47751902</v>
      </c>
      <c r="BL28" s="20">
        <f>'Gov Fd Rv'!AO28-'Gov Fnd Exp'!BJ28-BB28</f>
        <v>-13184006</v>
      </c>
      <c r="BN28" s="1">
        <v>21185350</v>
      </c>
      <c r="BP28" s="1">
        <v>0</v>
      </c>
      <c r="BR28" s="1">
        <v>0</v>
      </c>
      <c r="BT28" s="20">
        <f t="shared" si="3"/>
        <v>8001344</v>
      </c>
      <c r="BU28" s="20"/>
      <c r="BV28" s="20">
        <f>BT28-'Gov Fd BS'!AA28</f>
        <v>0</v>
      </c>
    </row>
    <row r="29" spans="1:74">
      <c r="A29" s="12" t="s">
        <v>461</v>
      </c>
      <c r="B29" s="12"/>
      <c r="C29" s="12" t="s">
        <v>45</v>
      </c>
      <c r="D29" s="12"/>
      <c r="E29" s="13">
        <v>48298</v>
      </c>
      <c r="G29" s="1">
        <v>18935450</v>
      </c>
      <c r="I29" s="1">
        <v>5855395</v>
      </c>
      <c r="K29" s="1">
        <v>251216</v>
      </c>
      <c r="M29" s="1">
        <v>1851855</v>
      </c>
      <c r="O29" s="1">
        <v>2796078</v>
      </c>
      <c r="Q29" s="1">
        <v>1797980</v>
      </c>
      <c r="S29" s="1">
        <v>51886</v>
      </c>
      <c r="U29" s="1">
        <v>3680843</v>
      </c>
      <c r="W29" s="1">
        <v>881289</v>
      </c>
      <c r="Y29" s="1">
        <v>3772</v>
      </c>
      <c r="AA29" s="1">
        <v>4091115</v>
      </c>
      <c r="AC29" s="1">
        <v>2291795</v>
      </c>
      <c r="AE29" s="1">
        <v>337</v>
      </c>
      <c r="AG29" s="1">
        <v>1744407</v>
      </c>
      <c r="AI29" s="1">
        <v>337797</v>
      </c>
      <c r="AJ29" s="12" t="s">
        <v>461</v>
      </c>
      <c r="AK29" s="12"/>
      <c r="AL29" s="12" t="s">
        <v>45</v>
      </c>
      <c r="AN29" s="1">
        <v>989059</v>
      </c>
      <c r="AP29" s="1">
        <v>169283</v>
      </c>
      <c r="AR29" s="1">
        <v>0</v>
      </c>
      <c r="AT29" s="1">
        <v>570552</v>
      </c>
      <c r="AV29" s="1">
        <v>1117785</v>
      </c>
      <c r="AX29" s="1">
        <v>0</v>
      </c>
      <c r="AZ29" s="20">
        <f t="shared" si="0"/>
        <v>47417894</v>
      </c>
      <c r="BB29" s="1">
        <v>251934</v>
      </c>
      <c r="BH29" s="1">
        <v>0</v>
      </c>
      <c r="BJ29" s="20">
        <f t="shared" si="1"/>
        <v>47669828</v>
      </c>
      <c r="BL29" s="20">
        <f>'Gov Fd Rv'!AO29-'Gov Fnd Exp'!BJ29</f>
        <v>1689747</v>
      </c>
      <c r="BN29" s="1">
        <v>885366</v>
      </c>
      <c r="BP29" s="1">
        <v>-2542</v>
      </c>
      <c r="BR29" s="1">
        <v>0</v>
      </c>
      <c r="BT29" s="20">
        <f t="shared" si="3"/>
        <v>2572571</v>
      </c>
      <c r="BU29" s="20"/>
      <c r="BV29" s="20">
        <f>BT29-'Gov Fd BS'!AA29</f>
        <v>0</v>
      </c>
    </row>
    <row r="30" spans="1:74">
      <c r="A30" s="12" t="s">
        <v>436</v>
      </c>
      <c r="B30" s="12"/>
      <c r="C30" s="12" t="s">
        <v>44</v>
      </c>
      <c r="D30" s="12"/>
      <c r="E30" s="13">
        <v>48124</v>
      </c>
      <c r="G30" s="1">
        <v>17796812</v>
      </c>
      <c r="I30" s="1">
        <v>2960127</v>
      </c>
      <c r="K30" s="1">
        <v>210124</v>
      </c>
      <c r="M30" s="1">
        <f>19879+1140459</f>
        <v>1160338</v>
      </c>
      <c r="O30" s="1">
        <v>3228080</v>
      </c>
      <c r="Q30" s="1">
        <v>956756</v>
      </c>
      <c r="S30" s="1">
        <v>32737</v>
      </c>
      <c r="U30" s="1">
        <v>3340083</v>
      </c>
      <c r="W30" s="1">
        <v>1125868</v>
      </c>
      <c r="Y30" s="1">
        <v>117271</v>
      </c>
      <c r="AA30" s="1">
        <v>4980130</v>
      </c>
      <c r="AC30" s="1">
        <v>1641022</v>
      </c>
      <c r="AE30" s="1">
        <v>158131</v>
      </c>
      <c r="AG30" s="1">
        <v>1198927</v>
      </c>
      <c r="AI30" s="1">
        <v>214944</v>
      </c>
      <c r="AJ30" s="12" t="s">
        <v>436</v>
      </c>
      <c r="AK30" s="12"/>
      <c r="AL30" s="12" t="s">
        <v>44</v>
      </c>
      <c r="AN30" s="1">
        <v>1184128</v>
      </c>
      <c r="AP30" s="1">
        <v>3857450</v>
      </c>
      <c r="AR30" s="1">
        <v>0</v>
      </c>
      <c r="AT30" s="1">
        <v>1322087</v>
      </c>
      <c r="AV30" s="1">
        <v>2840639</v>
      </c>
      <c r="AX30" s="1">
        <v>0</v>
      </c>
      <c r="AZ30" s="20">
        <f t="shared" si="0"/>
        <v>48325654</v>
      </c>
      <c r="BB30" s="1">
        <v>221850</v>
      </c>
      <c r="BH30" s="1">
        <v>0</v>
      </c>
      <c r="BJ30" s="20">
        <f t="shared" si="1"/>
        <v>48547504</v>
      </c>
      <c r="BL30" s="20">
        <f>'Gov Fd Rv'!AO30-'Gov Fnd Exp'!BJ30</f>
        <v>11848996</v>
      </c>
      <c r="BN30" s="1">
        <v>19047359</v>
      </c>
      <c r="BP30" s="1">
        <v>0</v>
      </c>
      <c r="BR30" s="1">
        <v>0</v>
      </c>
      <c r="BT30" s="20">
        <f t="shared" si="3"/>
        <v>30896355</v>
      </c>
      <c r="BU30" s="20"/>
      <c r="BV30" s="20">
        <f>BT30-'Gov Fd BS'!AA30</f>
        <v>0</v>
      </c>
    </row>
    <row r="31" spans="1:74">
      <c r="A31" s="12" t="s">
        <v>437</v>
      </c>
      <c r="B31" s="12"/>
      <c r="C31" s="12" t="s">
        <v>44</v>
      </c>
      <c r="D31" s="12"/>
      <c r="E31" s="13">
        <v>48116</v>
      </c>
      <c r="G31" s="1">
        <v>13360793</v>
      </c>
      <c r="I31" s="1">
        <v>4006111</v>
      </c>
      <c r="K31" s="1">
        <v>165683</v>
      </c>
      <c r="M31" s="1">
        <v>578742</v>
      </c>
      <c r="O31" s="1">
        <v>1252746</v>
      </c>
      <c r="Q31" s="1">
        <v>1721264</v>
      </c>
      <c r="S31" s="1">
        <v>228608</v>
      </c>
      <c r="U31" s="1">
        <v>2098506</v>
      </c>
      <c r="W31" s="1">
        <v>811225</v>
      </c>
      <c r="Y31" s="1">
        <v>41761</v>
      </c>
      <c r="AA31" s="1">
        <v>2274393</v>
      </c>
      <c r="AC31" s="1">
        <v>1738830</v>
      </c>
      <c r="AE31" s="1">
        <v>362701</v>
      </c>
      <c r="AG31" s="1">
        <v>878600</v>
      </c>
      <c r="AI31" s="1">
        <f>218804+140080</f>
        <v>358884</v>
      </c>
      <c r="AJ31" s="12" t="s">
        <v>437</v>
      </c>
      <c r="AK31" s="12"/>
      <c r="AL31" s="12" t="s">
        <v>44</v>
      </c>
      <c r="AN31" s="1">
        <v>811898</v>
      </c>
      <c r="AP31" s="1">
        <v>559345</v>
      </c>
      <c r="AR31" s="1">
        <v>0</v>
      </c>
      <c r="AT31" s="1">
        <v>2580000</v>
      </c>
      <c r="AV31" s="1">
        <v>1724228</v>
      </c>
      <c r="AX31" s="1">
        <v>0</v>
      </c>
      <c r="AZ31" s="20">
        <f t="shared" si="0"/>
        <v>35554318</v>
      </c>
      <c r="BB31" s="1">
        <v>0</v>
      </c>
      <c r="BH31" s="1">
        <v>0</v>
      </c>
      <c r="BJ31" s="20">
        <f t="shared" si="1"/>
        <v>35554318</v>
      </c>
      <c r="BL31" s="20">
        <f>'Gov Fd Rv'!AO31-'Gov Fnd Exp'!BJ31</f>
        <v>-2199047</v>
      </c>
      <c r="BN31" s="1">
        <v>6442439</v>
      </c>
      <c r="BP31" s="1">
        <v>0</v>
      </c>
      <c r="BR31" s="1">
        <v>0</v>
      </c>
      <c r="BT31" s="20">
        <f t="shared" si="3"/>
        <v>4243392</v>
      </c>
      <c r="BU31" s="20"/>
      <c r="BV31" s="20">
        <f>BT31-'Gov Fd BS'!AA31</f>
        <v>0</v>
      </c>
    </row>
    <row r="32" spans="1:74">
      <c r="A32" s="12" t="s">
        <v>310</v>
      </c>
      <c r="B32" s="12"/>
      <c r="C32" s="12" t="s">
        <v>22</v>
      </c>
      <c r="D32" s="12"/>
      <c r="E32" s="13">
        <v>46706</v>
      </c>
      <c r="G32" s="1">
        <v>3780187</v>
      </c>
      <c r="I32" s="1">
        <v>453086</v>
      </c>
      <c r="K32" s="1">
        <v>54888</v>
      </c>
      <c r="M32" s="1">
        <v>462955</v>
      </c>
      <c r="O32" s="1">
        <v>406202</v>
      </c>
      <c r="Q32" s="1">
        <v>356386</v>
      </c>
      <c r="S32" s="1">
        <v>33603</v>
      </c>
      <c r="U32" s="1">
        <v>660356</v>
      </c>
      <c r="W32" s="1">
        <v>289413</v>
      </c>
      <c r="Y32" s="1">
        <v>0</v>
      </c>
      <c r="AA32" s="1">
        <v>598678</v>
      </c>
      <c r="AC32" s="1">
        <v>218272</v>
      </c>
      <c r="AE32" s="1">
        <v>62654</v>
      </c>
      <c r="AG32" s="1">
        <v>337803</v>
      </c>
      <c r="AI32" s="1">
        <v>117636</v>
      </c>
      <c r="AJ32" s="12" t="s">
        <v>310</v>
      </c>
      <c r="AK32" s="12"/>
      <c r="AL32" s="12" t="s">
        <v>22</v>
      </c>
      <c r="AN32" s="1">
        <v>447658</v>
      </c>
      <c r="AP32" s="1">
        <v>0</v>
      </c>
      <c r="AR32" s="1">
        <v>0</v>
      </c>
      <c r="AT32" s="1">
        <v>47286</v>
      </c>
      <c r="AV32" s="1">
        <v>6643</v>
      </c>
      <c r="AX32" s="1">
        <v>0</v>
      </c>
      <c r="AZ32" s="20">
        <f t="shared" si="0"/>
        <v>8333706</v>
      </c>
      <c r="BB32" s="1">
        <v>106118</v>
      </c>
      <c r="BH32" s="1">
        <v>0</v>
      </c>
      <c r="BJ32" s="20">
        <f t="shared" si="1"/>
        <v>8439824</v>
      </c>
      <c r="BL32" s="20">
        <f>'Gov Fd Rv'!AO32-'Gov Fnd Exp'!BJ32</f>
        <v>314474</v>
      </c>
      <c r="BN32" s="1">
        <v>2888210</v>
      </c>
      <c r="BP32" s="1">
        <v>-4689</v>
      </c>
      <c r="BR32" s="1">
        <v>0</v>
      </c>
      <c r="BT32" s="20">
        <f t="shared" si="3"/>
        <v>3197995</v>
      </c>
      <c r="BU32" s="20"/>
      <c r="BV32" s="20">
        <f>BT32-'Gov Fd BS'!AA32</f>
        <v>0</v>
      </c>
    </row>
    <row r="33" spans="1:74">
      <c r="A33" s="12" t="s">
        <v>587</v>
      </c>
      <c r="B33" s="12"/>
      <c r="C33" s="12" t="s">
        <v>63</v>
      </c>
      <c r="D33" s="12"/>
      <c r="E33" s="13">
        <v>43539</v>
      </c>
      <c r="G33" s="1">
        <v>16762620</v>
      </c>
      <c r="I33" s="1">
        <v>6804781</v>
      </c>
      <c r="K33" s="1">
        <v>1320862</v>
      </c>
      <c r="M33" s="1">
        <v>4551487</v>
      </c>
      <c r="O33" s="1">
        <v>2182360</v>
      </c>
      <c r="Q33" s="1">
        <v>2473703</v>
      </c>
      <c r="S33" s="1">
        <v>30701</v>
      </c>
      <c r="U33" s="1">
        <v>3207582</v>
      </c>
      <c r="W33" s="1">
        <v>678611</v>
      </c>
      <c r="Y33" s="1">
        <v>273857</v>
      </c>
      <c r="AA33" s="1">
        <v>4191307</v>
      </c>
      <c r="AC33" s="1">
        <v>1384122</v>
      </c>
      <c r="AE33" s="1">
        <v>120227</v>
      </c>
      <c r="AG33" s="1">
        <v>2024666</v>
      </c>
      <c r="AI33" s="1">
        <v>290832</v>
      </c>
      <c r="AJ33" s="12" t="s">
        <v>587</v>
      </c>
      <c r="AK33" s="12"/>
      <c r="AL33" s="12" t="s">
        <v>63</v>
      </c>
      <c r="AN33" s="1">
        <v>1582270</v>
      </c>
      <c r="AP33" s="1">
        <v>11779671</v>
      </c>
      <c r="AR33" s="1">
        <v>0</v>
      </c>
      <c r="AT33" s="1">
        <v>2085000</v>
      </c>
      <c r="AV33" s="1">
        <f>2541583+7411</f>
        <v>2548994</v>
      </c>
      <c r="AX33" s="1">
        <v>0</v>
      </c>
      <c r="AZ33" s="20">
        <f t="shared" ref="AZ33:AZ49" si="4">SUM(G33:AX33)</f>
        <v>64293653</v>
      </c>
      <c r="BB33" s="1">
        <v>21638</v>
      </c>
      <c r="BH33" s="1">
        <v>0</v>
      </c>
      <c r="BJ33" s="20">
        <f t="shared" si="1"/>
        <v>64315291</v>
      </c>
      <c r="BL33" s="20">
        <f>'Gov Fd Rv'!AO33-'Gov Fnd Exp'!BJ33</f>
        <v>2473164</v>
      </c>
      <c r="BN33" s="1">
        <v>44415268</v>
      </c>
      <c r="BP33" s="1">
        <v>0</v>
      </c>
      <c r="BR33" s="1">
        <v>0</v>
      </c>
      <c r="BT33" s="20">
        <f t="shared" si="3"/>
        <v>46888432</v>
      </c>
      <c r="BU33" s="20"/>
      <c r="BV33" s="20">
        <f>BT33-'Gov Fd BS'!AA33</f>
        <v>0</v>
      </c>
    </row>
    <row r="34" spans="1:74">
      <c r="A34" s="12" t="s">
        <v>719</v>
      </c>
      <c r="B34" s="12"/>
      <c r="C34" s="12" t="s">
        <v>15</v>
      </c>
      <c r="D34" s="12"/>
      <c r="E34" s="13"/>
      <c r="G34" s="1">
        <v>4729779</v>
      </c>
      <c r="I34" s="1">
        <v>992626</v>
      </c>
      <c r="K34" s="1">
        <v>92152</v>
      </c>
      <c r="M34" s="1">
        <v>207868</v>
      </c>
      <c r="O34" s="1">
        <v>548348</v>
      </c>
      <c r="Q34" s="1">
        <v>260052</v>
      </c>
      <c r="S34" s="1">
        <v>166801</v>
      </c>
      <c r="U34" s="1">
        <v>901027</v>
      </c>
      <c r="W34" s="1">
        <v>384212</v>
      </c>
      <c r="Y34" s="1">
        <v>36801</v>
      </c>
      <c r="AA34" s="1">
        <v>1235365</v>
      </c>
      <c r="AC34" s="1">
        <v>434472</v>
      </c>
      <c r="AE34" s="1">
        <v>127741</v>
      </c>
      <c r="AG34" s="1">
        <v>380958</v>
      </c>
      <c r="AI34" s="1">
        <v>44715</v>
      </c>
      <c r="AJ34" s="12" t="s">
        <v>719</v>
      </c>
      <c r="AK34" s="12"/>
      <c r="AL34" s="12" t="s">
        <v>15</v>
      </c>
      <c r="AN34" s="1">
        <v>196873</v>
      </c>
      <c r="AP34" s="1">
        <v>951728</v>
      </c>
      <c r="AR34" s="1">
        <v>0</v>
      </c>
      <c r="AT34" s="1">
        <v>154225</v>
      </c>
      <c r="AV34" s="1">
        <f>122924+14289</f>
        <v>137213</v>
      </c>
      <c r="AX34" s="1">
        <v>0</v>
      </c>
      <c r="AZ34" s="20">
        <f t="shared" si="4"/>
        <v>11982956</v>
      </c>
      <c r="BB34" s="1">
        <v>2277244</v>
      </c>
      <c r="BH34" s="1">
        <v>0</v>
      </c>
      <c r="BJ34" s="20">
        <f t="shared" si="1"/>
        <v>14260200</v>
      </c>
      <c r="BL34" s="20">
        <f>'Gov Fd Rv'!AO34-'Gov Fnd Exp'!BJ34</f>
        <v>228321</v>
      </c>
      <c r="BN34" s="1">
        <v>2611881</v>
      </c>
      <c r="BP34" s="1">
        <v>0</v>
      </c>
      <c r="BR34" s="1">
        <v>0</v>
      </c>
      <c r="BT34" s="20">
        <f t="shared" si="3"/>
        <v>2840202</v>
      </c>
      <c r="BU34" s="20"/>
      <c r="BV34" s="20">
        <f>BT34-'Gov Fd BS'!AA34</f>
        <v>0</v>
      </c>
    </row>
    <row r="35" spans="1:74">
      <c r="A35" s="12" t="s">
        <v>251</v>
      </c>
      <c r="B35" s="12"/>
      <c r="C35" s="12" t="s">
        <v>115</v>
      </c>
      <c r="D35" s="12"/>
      <c r="E35" s="13">
        <v>46300</v>
      </c>
      <c r="G35" s="1">
        <v>8455660</v>
      </c>
      <c r="I35" s="1">
        <v>4193567</v>
      </c>
      <c r="K35" s="1">
        <v>0</v>
      </c>
      <c r="M35" s="1">
        <v>156543</v>
      </c>
      <c r="O35" s="1">
        <v>544058</v>
      </c>
      <c r="Q35" s="1">
        <v>492391</v>
      </c>
      <c r="S35" s="1">
        <v>125415</v>
      </c>
      <c r="U35" s="1">
        <v>1315860</v>
      </c>
      <c r="W35" s="1">
        <v>453633</v>
      </c>
      <c r="Y35" s="1">
        <v>0</v>
      </c>
      <c r="AA35" s="1">
        <v>1327640</v>
      </c>
      <c r="AC35" s="1">
        <v>1183057</v>
      </c>
      <c r="AE35" s="1">
        <v>3917</v>
      </c>
      <c r="AG35" s="1">
        <v>0</v>
      </c>
      <c r="AI35" s="1">
        <v>0</v>
      </c>
      <c r="AJ35" s="12" t="s">
        <v>251</v>
      </c>
      <c r="AK35" s="12"/>
      <c r="AL35" s="12" t="s">
        <v>115</v>
      </c>
      <c r="AN35" s="1">
        <v>448903</v>
      </c>
      <c r="AP35" s="1">
        <v>148156</v>
      </c>
      <c r="AR35" s="1">
        <v>0</v>
      </c>
      <c r="AT35" s="1">
        <v>148452</v>
      </c>
      <c r="AV35" s="1">
        <v>623858</v>
      </c>
      <c r="AX35" s="1">
        <v>0</v>
      </c>
      <c r="AZ35" s="20">
        <f t="shared" si="4"/>
        <v>19621110</v>
      </c>
      <c r="BB35" s="1">
        <v>150500</v>
      </c>
      <c r="BH35" s="1">
        <v>0</v>
      </c>
      <c r="BJ35" s="20">
        <f t="shared" si="1"/>
        <v>19771610</v>
      </c>
      <c r="BL35" s="20">
        <f>'Gov Fd Rv'!AO35-'Gov Fnd Exp'!BJ35</f>
        <v>-345762</v>
      </c>
      <c r="BN35" s="1">
        <v>2611312</v>
      </c>
      <c r="BP35" s="1">
        <v>0</v>
      </c>
      <c r="BR35" s="1">
        <v>0</v>
      </c>
      <c r="BT35" s="20">
        <f t="shared" si="3"/>
        <v>2265550</v>
      </c>
      <c r="BU35" s="20"/>
      <c r="BV35" s="20">
        <f>BT35-'Gov Fd BS'!AA35</f>
        <v>0</v>
      </c>
    </row>
    <row r="36" spans="1:74" hidden="1">
      <c r="A36" s="12" t="s">
        <v>824</v>
      </c>
      <c r="B36" s="12"/>
      <c r="C36" s="12" t="s">
        <v>10</v>
      </c>
      <c r="D36" s="12"/>
      <c r="E36" s="13">
        <v>45765</v>
      </c>
      <c r="AJ36" s="12" t="s">
        <v>824</v>
      </c>
      <c r="AK36" s="12"/>
      <c r="AL36" s="12" t="s">
        <v>10</v>
      </c>
      <c r="AZ36" s="20">
        <f t="shared" si="4"/>
        <v>0</v>
      </c>
      <c r="BJ36" s="20">
        <f t="shared" si="1"/>
        <v>0</v>
      </c>
      <c r="BL36" s="20">
        <f>'Gov Fd Rv'!AO36-'Gov Fnd Exp'!BJ36</f>
        <v>0</v>
      </c>
      <c r="BT36" s="20">
        <f t="shared" si="3"/>
        <v>0</v>
      </c>
      <c r="BU36" s="20"/>
      <c r="BV36" s="20">
        <f>BT36-'Gov Fd BS'!AA36</f>
        <v>0</v>
      </c>
    </row>
    <row r="37" spans="1:74">
      <c r="A37" s="12" t="s">
        <v>280</v>
      </c>
      <c r="B37" s="12"/>
      <c r="C37" s="12" t="s">
        <v>20</v>
      </c>
      <c r="D37" s="12"/>
      <c r="E37" s="13">
        <v>43547</v>
      </c>
      <c r="G37" s="1">
        <v>12593211</v>
      </c>
      <c r="I37" s="1">
        <v>2120498</v>
      </c>
      <c r="K37" s="1">
        <v>308778</v>
      </c>
      <c r="M37" s="1">
        <v>834016</v>
      </c>
      <c r="O37" s="1">
        <v>2909312</v>
      </c>
      <c r="Q37" s="1">
        <v>963433</v>
      </c>
      <c r="S37" s="1">
        <v>27094</v>
      </c>
      <c r="U37" s="1">
        <v>2092945</v>
      </c>
      <c r="W37" s="1">
        <v>658583</v>
      </c>
      <c r="Y37" s="1">
        <v>378639</v>
      </c>
      <c r="AA37" s="1">
        <v>2904151</v>
      </c>
      <c r="AC37" s="1">
        <v>901578</v>
      </c>
      <c r="AE37" s="1">
        <v>406503</v>
      </c>
      <c r="AG37" s="1">
        <v>828387</v>
      </c>
      <c r="AI37" s="1">
        <f>571159+835766</f>
        <v>1406925</v>
      </c>
      <c r="AJ37" s="12" t="s">
        <v>280</v>
      </c>
      <c r="AK37" s="12"/>
      <c r="AL37" s="12" t="s">
        <v>20</v>
      </c>
      <c r="AN37" s="1">
        <f>301860+853455</f>
        <v>1155315</v>
      </c>
      <c r="AP37" s="1">
        <v>363903</v>
      </c>
      <c r="AR37" s="1">
        <v>0</v>
      </c>
      <c r="AT37" s="1">
        <v>1003013</v>
      </c>
      <c r="AV37" s="1">
        <v>933803</v>
      </c>
      <c r="AX37" s="1">
        <v>0</v>
      </c>
      <c r="AZ37" s="20">
        <f t="shared" si="4"/>
        <v>32790087</v>
      </c>
      <c r="BB37" s="1">
        <v>63896</v>
      </c>
      <c r="BH37" s="1">
        <v>0</v>
      </c>
      <c r="BJ37" s="20">
        <f>AZ37+BB37+BH37</f>
        <v>32853983</v>
      </c>
      <c r="BL37" s="20">
        <f>'Gov Fd Rv'!AO37-'Gov Fnd Exp'!BJ37</f>
        <v>-220615</v>
      </c>
      <c r="BN37" s="1">
        <v>9163189</v>
      </c>
      <c r="BP37" s="1">
        <v>0</v>
      </c>
      <c r="BR37" s="1">
        <v>0</v>
      </c>
      <c r="BT37" s="20">
        <f t="shared" si="3"/>
        <v>8942574</v>
      </c>
      <c r="BU37" s="20"/>
      <c r="BV37" s="20">
        <f>BT37-'Gov Fd BS'!AA37</f>
        <v>0</v>
      </c>
    </row>
    <row r="38" spans="1:74">
      <c r="A38" s="12" t="s">
        <v>281</v>
      </c>
      <c r="B38" s="12"/>
      <c r="C38" s="12" t="s">
        <v>20</v>
      </c>
      <c r="D38" s="12"/>
      <c r="E38" s="13">
        <v>43554</v>
      </c>
      <c r="G38" s="1">
        <v>10942914</v>
      </c>
      <c r="I38" s="1">
        <v>5883317</v>
      </c>
      <c r="K38" s="1">
        <v>1460388</v>
      </c>
      <c r="M38" s="1">
        <f>229349+225758</f>
        <v>455107</v>
      </c>
      <c r="O38" s="1">
        <v>2638931</v>
      </c>
      <c r="Q38" s="1">
        <v>1109864</v>
      </c>
      <c r="S38" s="1">
        <v>502689</v>
      </c>
      <c r="U38" s="1">
        <v>2295127</v>
      </c>
      <c r="W38" s="1">
        <v>982071</v>
      </c>
      <c r="Y38" s="1">
        <v>485105</v>
      </c>
      <c r="AA38" s="1">
        <v>3310293</v>
      </c>
      <c r="AC38" s="1">
        <v>2189730</v>
      </c>
      <c r="AE38" s="1">
        <v>742267</v>
      </c>
      <c r="AG38" s="1">
        <v>576678</v>
      </c>
      <c r="AI38" s="1">
        <v>915641</v>
      </c>
      <c r="AJ38" s="12" t="s">
        <v>281</v>
      </c>
      <c r="AK38" s="12"/>
      <c r="AL38" s="12" t="s">
        <v>20</v>
      </c>
      <c r="AN38" s="1">
        <v>956455</v>
      </c>
      <c r="AP38" s="1">
        <v>397220</v>
      </c>
      <c r="AR38" s="1">
        <v>0</v>
      </c>
      <c r="AT38" s="1">
        <v>1450000</v>
      </c>
      <c r="AV38" s="1">
        <f>533620+111570</f>
        <v>645190</v>
      </c>
      <c r="AX38" s="1">
        <v>0</v>
      </c>
      <c r="AZ38" s="20">
        <f t="shared" si="4"/>
        <v>37938987</v>
      </c>
      <c r="BB38" s="1">
        <v>240000</v>
      </c>
      <c r="BH38" s="1">
        <v>0</v>
      </c>
      <c r="BJ38" s="20">
        <f t="shared" si="1"/>
        <v>38178987</v>
      </c>
      <c r="BL38" s="20">
        <f>'Gov Fd Rv'!AO38-'Gov Fnd Exp'!BJ38</f>
        <v>4699125</v>
      </c>
      <c r="BN38" s="1">
        <v>21721229</v>
      </c>
      <c r="BP38" s="1">
        <v>0</v>
      </c>
      <c r="BR38" s="1">
        <v>0</v>
      </c>
      <c r="BT38" s="20">
        <f t="shared" si="3"/>
        <v>26420354</v>
      </c>
      <c r="BU38" s="20"/>
      <c r="BV38" s="20">
        <f>BT38-'Gov Fd BS'!AA38</f>
        <v>0</v>
      </c>
    </row>
    <row r="39" spans="1:74">
      <c r="A39" s="12" t="s">
        <v>263</v>
      </c>
      <c r="B39" s="12"/>
      <c r="C39" s="12" t="s">
        <v>114</v>
      </c>
      <c r="D39" s="12"/>
      <c r="E39" s="13">
        <v>46425</v>
      </c>
      <c r="G39" s="1">
        <v>10568753</v>
      </c>
      <c r="I39" s="1">
        <v>2621262</v>
      </c>
      <c r="K39" s="1">
        <v>19560</v>
      </c>
      <c r="M39" s="1">
        <f>12+8506</f>
        <v>8518</v>
      </c>
      <c r="O39" s="1">
        <v>579681</v>
      </c>
      <c r="Q39" s="1">
        <v>367604</v>
      </c>
      <c r="S39" s="1">
        <v>30707</v>
      </c>
      <c r="U39" s="1">
        <v>1793229</v>
      </c>
      <c r="W39" s="1">
        <v>429756</v>
      </c>
      <c r="Y39" s="1">
        <v>0</v>
      </c>
      <c r="AA39" s="1">
        <v>1540803</v>
      </c>
      <c r="AC39" s="1">
        <v>1221360</v>
      </c>
      <c r="AE39" s="1">
        <v>0</v>
      </c>
      <c r="AG39" s="1">
        <v>877187</v>
      </c>
      <c r="AI39" s="1">
        <v>0</v>
      </c>
      <c r="AJ39" s="12" t="s">
        <v>263</v>
      </c>
      <c r="AK39" s="12"/>
      <c r="AL39" s="12" t="s">
        <v>114</v>
      </c>
      <c r="AN39" s="1">
        <v>526259</v>
      </c>
      <c r="AP39" s="1">
        <v>0</v>
      </c>
      <c r="AR39" s="1">
        <v>0</v>
      </c>
      <c r="AT39" s="1">
        <v>12918</v>
      </c>
      <c r="AV39" s="1">
        <v>40239</v>
      </c>
      <c r="AX39" s="1">
        <v>0</v>
      </c>
      <c r="AZ39" s="20">
        <f t="shared" si="4"/>
        <v>20637836</v>
      </c>
      <c r="BB39" s="1">
        <v>227971</v>
      </c>
      <c r="BH39" s="1">
        <v>0</v>
      </c>
      <c r="BJ39" s="20">
        <f t="shared" si="1"/>
        <v>20865807</v>
      </c>
      <c r="BL39" s="20">
        <f>'Gov Fd Rv'!AO39-'Gov Fnd Exp'!BJ39</f>
        <v>1432226</v>
      </c>
      <c r="BN39" s="1">
        <v>-2440502</v>
      </c>
      <c r="BP39" s="1">
        <v>0</v>
      </c>
      <c r="BR39" s="1">
        <v>0</v>
      </c>
      <c r="BT39" s="20">
        <f t="shared" si="3"/>
        <v>-1008276</v>
      </c>
      <c r="BU39" s="20"/>
      <c r="BV39" s="20">
        <f>BT39-'Gov Fd BS'!AA39</f>
        <v>0</v>
      </c>
    </row>
    <row r="40" spans="1:74">
      <c r="A40" s="12" t="s">
        <v>357</v>
      </c>
      <c r="B40" s="12"/>
      <c r="C40" s="12" t="s">
        <v>116</v>
      </c>
      <c r="D40" s="12"/>
      <c r="E40" s="13">
        <v>47241</v>
      </c>
      <c r="G40" s="1">
        <v>33165077</v>
      </c>
      <c r="I40" s="1">
        <v>9701519</v>
      </c>
      <c r="K40" s="1">
        <v>333840</v>
      </c>
      <c r="M40" s="1">
        <f>876536+966983</f>
        <v>1843519</v>
      </c>
      <c r="O40" s="1">
        <v>4807672</v>
      </c>
      <c r="Q40" s="1">
        <v>5830270</v>
      </c>
      <c r="S40" s="1">
        <v>51360</v>
      </c>
      <c r="U40" s="1">
        <v>4449922</v>
      </c>
      <c r="W40" s="1">
        <v>1918019</v>
      </c>
      <c r="Y40" s="1">
        <v>528026</v>
      </c>
      <c r="AA40" s="1">
        <v>6392170</v>
      </c>
      <c r="AC40" s="1">
        <v>5721302</v>
      </c>
      <c r="AE40" s="1">
        <v>1313700</v>
      </c>
      <c r="AG40" s="1">
        <v>2705689</v>
      </c>
      <c r="AI40" s="1">
        <f>1026023+7744</f>
        <v>1033767</v>
      </c>
      <c r="AJ40" s="12" t="s">
        <v>357</v>
      </c>
      <c r="AK40" s="12"/>
      <c r="AL40" s="12" t="s">
        <v>116</v>
      </c>
      <c r="AN40" s="1">
        <f>454349+1130951+29248</f>
        <v>1614548</v>
      </c>
      <c r="AP40" s="1">
        <f>1318454+179815+3720209+2246481+231479</f>
        <v>7696438</v>
      </c>
      <c r="AR40" s="1">
        <v>0</v>
      </c>
      <c r="AT40" s="1">
        <v>87627000</v>
      </c>
      <c r="AV40" s="1">
        <v>6074016</v>
      </c>
      <c r="AX40" s="1">
        <v>0</v>
      </c>
      <c r="AZ40" s="20">
        <f t="shared" si="4"/>
        <v>182807854</v>
      </c>
      <c r="BB40" s="1">
        <v>31038</v>
      </c>
      <c r="BH40" s="1">
        <v>0</v>
      </c>
      <c r="BJ40" s="20">
        <f t="shared" si="1"/>
        <v>182838892</v>
      </c>
      <c r="BL40" s="20">
        <f>'Gov Fd Rv'!AO40-'Gov Fnd Exp'!BJ40</f>
        <v>-92093819</v>
      </c>
      <c r="BN40" s="1">
        <v>206768531</v>
      </c>
      <c r="BP40" s="1">
        <v>0</v>
      </c>
      <c r="BR40" s="1">
        <v>0</v>
      </c>
      <c r="BT40" s="20">
        <f t="shared" si="3"/>
        <v>114674712</v>
      </c>
      <c r="BU40" s="20"/>
      <c r="BV40" s="20">
        <f>BT40-'Gov Fd BS'!AA40</f>
        <v>0</v>
      </c>
    </row>
    <row r="41" spans="1:74">
      <c r="A41" s="12" t="s">
        <v>282</v>
      </c>
      <c r="B41" s="12"/>
      <c r="C41" s="12" t="s">
        <v>20</v>
      </c>
      <c r="D41" s="12"/>
      <c r="E41" s="13">
        <v>43562</v>
      </c>
      <c r="G41" s="1">
        <v>19118563</v>
      </c>
      <c r="I41" s="1">
        <v>6075852</v>
      </c>
      <c r="K41" s="1">
        <v>1319226</v>
      </c>
      <c r="M41" s="1">
        <v>94775</v>
      </c>
      <c r="O41" s="1">
        <v>3044855</v>
      </c>
      <c r="Q41" s="1">
        <v>2501589</v>
      </c>
      <c r="S41" s="1">
        <v>243585</v>
      </c>
      <c r="U41" s="1">
        <v>2831149</v>
      </c>
      <c r="W41" s="1">
        <v>1358705</v>
      </c>
      <c r="Y41" s="1">
        <v>665426</v>
      </c>
      <c r="AA41" s="1">
        <v>6663901</v>
      </c>
      <c r="AC41" s="1">
        <v>3313997</v>
      </c>
      <c r="AE41" s="1">
        <v>321490</v>
      </c>
      <c r="AG41" s="1">
        <v>1674162</v>
      </c>
      <c r="AI41" s="1">
        <v>309029</v>
      </c>
      <c r="AJ41" s="12" t="s">
        <v>282</v>
      </c>
      <c r="AK41" s="12"/>
      <c r="AL41" s="12" t="s">
        <v>20</v>
      </c>
      <c r="AN41" s="1">
        <v>672221</v>
      </c>
      <c r="AP41" s="1">
        <v>78408</v>
      </c>
      <c r="AR41" s="1">
        <v>0</v>
      </c>
      <c r="AT41" s="1">
        <v>1448248</v>
      </c>
      <c r="AV41" s="1">
        <v>286647</v>
      </c>
      <c r="AX41" s="1">
        <v>0</v>
      </c>
      <c r="AZ41" s="20">
        <f t="shared" si="4"/>
        <v>52021828</v>
      </c>
      <c r="BB41" s="1">
        <v>395712</v>
      </c>
      <c r="BH41" s="1">
        <v>0</v>
      </c>
      <c r="BJ41" s="20">
        <f t="shared" si="1"/>
        <v>52417540</v>
      </c>
      <c r="BL41" s="20">
        <f>'Gov Fd Rv'!AO41-'Gov Fnd Exp'!BJ41</f>
        <v>783104</v>
      </c>
      <c r="BN41" s="1">
        <v>16864331</v>
      </c>
      <c r="BP41" s="1">
        <v>0</v>
      </c>
      <c r="BR41" s="1">
        <v>0</v>
      </c>
      <c r="BT41" s="20">
        <f t="shared" si="3"/>
        <v>17647435</v>
      </c>
      <c r="BU41" s="20"/>
      <c r="BV41" s="20">
        <f>BT41-'Gov Fd BS'!AA41</f>
        <v>0</v>
      </c>
    </row>
    <row r="42" spans="1:74">
      <c r="A42" s="12" t="s">
        <v>219</v>
      </c>
      <c r="B42" s="12"/>
      <c r="C42" s="12" t="s">
        <v>15</v>
      </c>
      <c r="D42" s="12"/>
      <c r="E42" s="13">
        <v>43570</v>
      </c>
      <c r="G42" s="1">
        <v>8285233</v>
      </c>
      <c r="I42" s="1">
        <v>2216653</v>
      </c>
      <c r="K42" s="1">
        <v>43580</v>
      </c>
      <c r="M42" s="1">
        <v>22876</v>
      </c>
      <c r="O42" s="1">
        <v>1409415</v>
      </c>
      <c r="Q42" s="1">
        <v>82645</v>
      </c>
      <c r="S42" s="1">
        <v>22518</v>
      </c>
      <c r="U42" s="1">
        <v>1407636</v>
      </c>
      <c r="W42" s="1">
        <v>400503</v>
      </c>
      <c r="Y42" s="1">
        <v>0</v>
      </c>
      <c r="AA42" s="1">
        <v>1657426</v>
      </c>
      <c r="AC42" s="1">
        <v>983586</v>
      </c>
      <c r="AE42" s="1">
        <v>0</v>
      </c>
      <c r="AG42" s="1">
        <v>841620</v>
      </c>
      <c r="AI42" s="1">
        <v>229638</v>
      </c>
      <c r="AJ42" s="12" t="s">
        <v>219</v>
      </c>
      <c r="AK42" s="12"/>
      <c r="AL42" s="12" t="s">
        <v>15</v>
      </c>
      <c r="AN42" s="1">
        <v>262307</v>
      </c>
      <c r="AP42" s="1">
        <v>229094</v>
      </c>
      <c r="AR42" s="1">
        <v>0</v>
      </c>
      <c r="AT42" s="1">
        <v>258891</v>
      </c>
      <c r="AV42" s="1">
        <v>146472</v>
      </c>
      <c r="AX42" s="1">
        <v>0</v>
      </c>
      <c r="AZ42" s="20">
        <f t="shared" si="4"/>
        <v>18500093</v>
      </c>
      <c r="BB42" s="1">
        <v>626705</v>
      </c>
      <c r="BH42" s="1">
        <v>0</v>
      </c>
      <c r="BJ42" s="20">
        <f>AZ42+BB42+BH42</f>
        <v>19126798</v>
      </c>
      <c r="BL42" s="20">
        <f>'Gov Fd Rv'!AO42-'Gov Fnd Exp'!BJ42</f>
        <v>-1789829</v>
      </c>
      <c r="BN42" s="1">
        <v>-1297310</v>
      </c>
      <c r="BP42" s="1">
        <v>0</v>
      </c>
      <c r="BR42" s="1">
        <v>0</v>
      </c>
      <c r="BT42" s="20">
        <f t="shared" si="3"/>
        <v>-3087139</v>
      </c>
      <c r="BU42" s="20"/>
      <c r="BV42" s="20">
        <f>BT42-'Gov Fd BS'!AA42</f>
        <v>0</v>
      </c>
    </row>
    <row r="43" spans="1:74">
      <c r="A43" s="17" t="s">
        <v>951</v>
      </c>
      <c r="B43" s="12"/>
      <c r="C43" s="12" t="s">
        <v>116</v>
      </c>
      <c r="D43" s="12"/>
      <c r="E43" s="13">
        <v>47274</v>
      </c>
      <c r="G43" s="1">
        <v>10608719</v>
      </c>
      <c r="I43" s="1">
        <v>1839351</v>
      </c>
      <c r="K43" s="1">
        <v>6203</v>
      </c>
      <c r="M43" s="1">
        <v>0</v>
      </c>
      <c r="O43" s="1">
        <v>2367165</v>
      </c>
      <c r="Q43" s="1">
        <v>1086129</v>
      </c>
      <c r="S43" s="1">
        <v>71446</v>
      </c>
      <c r="U43" s="1">
        <v>1789229</v>
      </c>
      <c r="W43" s="1">
        <v>949688</v>
      </c>
      <c r="Y43" s="1">
        <v>100259</v>
      </c>
      <c r="AA43" s="1">
        <v>2387031</v>
      </c>
      <c r="AC43" s="1">
        <v>1229445</v>
      </c>
      <c r="AE43" s="1">
        <v>40300</v>
      </c>
      <c r="AG43" s="1">
        <v>0</v>
      </c>
      <c r="AI43" s="1">
        <v>683472</v>
      </c>
      <c r="AJ43" s="17" t="s">
        <v>951</v>
      </c>
      <c r="AK43" s="12"/>
      <c r="AL43" s="12" t="s">
        <v>116</v>
      </c>
      <c r="AN43" s="1">
        <v>1102543</v>
      </c>
      <c r="AP43" s="1">
        <v>217204</v>
      </c>
      <c r="AR43" s="1">
        <v>0</v>
      </c>
      <c r="AT43" s="1">
        <v>2475884</v>
      </c>
      <c r="AV43" s="1">
        <v>2021631</v>
      </c>
      <c r="AX43" s="1">
        <v>0</v>
      </c>
      <c r="AZ43" s="20">
        <f t="shared" si="4"/>
        <v>28975699</v>
      </c>
      <c r="BB43" s="1">
        <v>38800</v>
      </c>
      <c r="BH43" s="1">
        <v>0</v>
      </c>
      <c r="BJ43" s="20">
        <f t="shared" ref="BJ43" si="5">AZ43+BB43+BH43</f>
        <v>29014499</v>
      </c>
      <c r="BL43" s="20">
        <f>'Gov Fd Rv'!AO43-'Gov Fnd Exp'!BJ43</f>
        <v>1168194</v>
      </c>
      <c r="BN43" s="1">
        <v>-812033</v>
      </c>
      <c r="BP43" s="1">
        <v>0</v>
      </c>
      <c r="BR43" s="1">
        <v>0</v>
      </c>
      <c r="BT43" s="20">
        <f>BL43+BN43+BP43+BR43</f>
        <v>356161</v>
      </c>
      <c r="BU43" s="20"/>
      <c r="BV43" s="20">
        <f>BT43-'Gov Fd BS'!AA43</f>
        <v>0</v>
      </c>
    </row>
    <row r="44" spans="1:74">
      <c r="A44" s="12" t="s">
        <v>403</v>
      </c>
      <c r="B44" s="12"/>
      <c r="C44" s="12" t="s">
        <v>37</v>
      </c>
      <c r="D44" s="12"/>
      <c r="E44" s="13">
        <v>43596</v>
      </c>
      <c r="G44" s="1">
        <v>7471026</v>
      </c>
      <c r="I44" s="1">
        <v>2997465</v>
      </c>
      <c r="K44" s="1">
        <v>413369</v>
      </c>
      <c r="M44" s="1">
        <f>5308+973174</f>
        <v>978482</v>
      </c>
      <c r="O44" s="1">
        <v>1303450</v>
      </c>
      <c r="Q44" s="1">
        <v>865762</v>
      </c>
      <c r="S44" s="1">
        <v>20924</v>
      </c>
      <c r="U44" s="1">
        <v>1786749</v>
      </c>
      <c r="W44" s="1">
        <v>509440</v>
      </c>
      <c r="Y44" s="1">
        <v>12618</v>
      </c>
      <c r="AA44" s="1">
        <v>1797272</v>
      </c>
      <c r="AC44" s="1">
        <v>1188825</v>
      </c>
      <c r="AE44" s="1">
        <v>75608</v>
      </c>
      <c r="AG44" s="1">
        <v>814633</v>
      </c>
      <c r="AI44" s="1">
        <v>91692</v>
      </c>
      <c r="AJ44" s="12" t="s">
        <v>403</v>
      </c>
      <c r="AK44" s="12"/>
      <c r="AL44" s="12" t="s">
        <v>37</v>
      </c>
      <c r="AN44" s="1">
        <v>652799</v>
      </c>
      <c r="AP44" s="1">
        <f>1450586+13664</f>
        <v>1464250</v>
      </c>
      <c r="AR44" s="1">
        <v>0</v>
      </c>
      <c r="AT44" s="1">
        <v>14165317</v>
      </c>
      <c r="AV44" s="1">
        <f>269469+357155+44710</f>
        <v>671334</v>
      </c>
      <c r="AX44" s="1">
        <v>0</v>
      </c>
      <c r="AZ44" s="20">
        <f t="shared" si="4"/>
        <v>37281015</v>
      </c>
      <c r="BB44" s="1">
        <v>708853</v>
      </c>
      <c r="BH44" s="1">
        <v>0</v>
      </c>
      <c r="BJ44" s="20">
        <f t="shared" si="1"/>
        <v>37989868</v>
      </c>
      <c r="BL44" s="20">
        <f>'Gov Fd Rv'!AO44-'Gov Fnd Exp'!BJ44</f>
        <v>25959757</v>
      </c>
      <c r="BN44" s="1">
        <v>2906372</v>
      </c>
      <c r="BP44" s="1">
        <v>43647</v>
      </c>
      <c r="BR44" s="1">
        <v>0</v>
      </c>
      <c r="BT44" s="20">
        <f t="shared" si="3"/>
        <v>28909776</v>
      </c>
      <c r="BU44" s="20"/>
      <c r="BV44" s="20">
        <f>BT44-'Gov Fd BS'!AA44</f>
        <v>0</v>
      </c>
    </row>
    <row r="45" spans="1:74">
      <c r="A45" s="12" t="s">
        <v>636</v>
      </c>
      <c r="B45" s="12"/>
      <c r="C45" s="12" t="s">
        <v>70</v>
      </c>
      <c r="D45" s="12"/>
      <c r="E45" s="13">
        <v>43604</v>
      </c>
      <c r="G45" s="1">
        <v>4700428</v>
      </c>
      <c r="I45" s="1">
        <v>1616465</v>
      </c>
      <c r="K45" s="1">
        <v>0</v>
      </c>
      <c r="M45" s="1">
        <v>34505</v>
      </c>
      <c r="O45" s="1">
        <v>985977</v>
      </c>
      <c r="Q45" s="1">
        <v>536539</v>
      </c>
      <c r="S45" s="1">
        <v>57876</v>
      </c>
      <c r="U45" s="1">
        <v>901541</v>
      </c>
      <c r="W45" s="1">
        <v>374239</v>
      </c>
      <c r="Y45" s="1">
        <v>790</v>
      </c>
      <c r="AA45" s="1">
        <v>1131596</v>
      </c>
      <c r="AC45" s="1">
        <v>362995</v>
      </c>
      <c r="AE45" s="1">
        <v>5013</v>
      </c>
      <c r="AG45" s="1">
        <v>0</v>
      </c>
      <c r="AI45" s="1">
        <v>1783</v>
      </c>
      <c r="AJ45" s="12" t="s">
        <v>636</v>
      </c>
      <c r="AK45" s="12"/>
      <c r="AL45" s="12" t="s">
        <v>70</v>
      </c>
      <c r="AN45" s="1">
        <v>289437</v>
      </c>
      <c r="AP45" s="1">
        <v>118160</v>
      </c>
      <c r="AR45" s="1">
        <v>0</v>
      </c>
      <c r="AT45" s="1">
        <v>34000</v>
      </c>
      <c r="AV45" s="1">
        <v>1969</v>
      </c>
      <c r="AX45" s="1">
        <v>0</v>
      </c>
      <c r="AZ45" s="20">
        <f t="shared" si="4"/>
        <v>11153313</v>
      </c>
      <c r="BB45" s="1">
        <v>41448</v>
      </c>
      <c r="BH45" s="1">
        <v>0</v>
      </c>
      <c r="BJ45" s="20">
        <f t="shared" si="1"/>
        <v>11194761</v>
      </c>
      <c r="BL45" s="20">
        <f>'Gov Fd Rv'!AO45-'Gov Fnd Exp'!BJ45</f>
        <v>94836</v>
      </c>
      <c r="BN45" s="1">
        <v>441669</v>
      </c>
      <c r="BP45" s="1">
        <v>0</v>
      </c>
      <c r="BR45" s="1">
        <v>0</v>
      </c>
      <c r="BT45" s="20">
        <f t="shared" si="3"/>
        <v>536505</v>
      </c>
      <c r="BU45" s="20"/>
      <c r="BV45" s="20">
        <f>BT45-'Gov Fd BS'!AA45</f>
        <v>0</v>
      </c>
    </row>
    <row r="46" spans="1:74">
      <c r="A46" s="12" t="s">
        <v>519</v>
      </c>
      <c r="B46" s="12"/>
      <c r="C46" s="12" t="s">
        <v>53</v>
      </c>
      <c r="D46" s="12"/>
      <c r="E46" s="13">
        <v>48926</v>
      </c>
      <c r="G46" s="1">
        <v>9321713</v>
      </c>
      <c r="I46" s="1">
        <v>1996009</v>
      </c>
      <c r="K46" s="1">
        <v>23091</v>
      </c>
      <c r="M46" s="1">
        <f>14607+194628</f>
        <v>209235</v>
      </c>
      <c r="O46" s="1">
        <v>971252</v>
      </c>
      <c r="Q46" s="1">
        <v>1294993</v>
      </c>
      <c r="S46" s="1">
        <v>83409</v>
      </c>
      <c r="U46" s="1">
        <v>1815515</v>
      </c>
      <c r="W46" s="1">
        <v>447702</v>
      </c>
      <c r="Y46" s="1">
        <v>0</v>
      </c>
      <c r="AA46" s="1">
        <v>2637878</v>
      </c>
      <c r="AC46" s="1">
        <v>1099019</v>
      </c>
      <c r="AE46" s="1">
        <v>250323</v>
      </c>
      <c r="AG46" s="1">
        <v>865981</v>
      </c>
      <c r="AI46" s="1">
        <v>224188</v>
      </c>
      <c r="AJ46" s="12" t="s">
        <v>519</v>
      </c>
      <c r="AK46" s="12"/>
      <c r="AL46" s="12" t="s">
        <v>53</v>
      </c>
      <c r="AN46" s="1">
        <v>631651</v>
      </c>
      <c r="AP46" s="1">
        <v>555181</v>
      </c>
      <c r="AR46" s="1">
        <v>0</v>
      </c>
      <c r="AT46" s="1">
        <v>0</v>
      </c>
      <c r="AV46" s="1">
        <v>0</v>
      </c>
      <c r="AX46" s="1">
        <v>0</v>
      </c>
      <c r="AZ46" s="20">
        <f t="shared" si="4"/>
        <v>22427140</v>
      </c>
      <c r="BB46" s="1">
        <v>0</v>
      </c>
      <c r="BH46" s="1">
        <v>0</v>
      </c>
      <c r="BJ46" s="20">
        <f t="shared" si="1"/>
        <v>22427140</v>
      </c>
      <c r="BL46" s="20">
        <f>'Gov Fd Rv'!AO46-'Gov Fnd Exp'!BJ46</f>
        <v>-855332</v>
      </c>
      <c r="BN46" s="1">
        <v>6389379</v>
      </c>
      <c r="BP46" s="1">
        <v>0</v>
      </c>
      <c r="BR46" s="1">
        <v>0</v>
      </c>
      <c r="BT46" s="20">
        <f t="shared" si="3"/>
        <v>5534047</v>
      </c>
      <c r="BU46" s="20"/>
      <c r="BV46" s="20">
        <f>BT46-'Gov Fd BS'!AA46</f>
        <v>0</v>
      </c>
    </row>
    <row r="47" spans="1:74">
      <c r="A47" s="12" t="s">
        <v>283</v>
      </c>
      <c r="B47" s="12"/>
      <c r="C47" s="12" t="s">
        <v>20</v>
      </c>
      <c r="D47" s="12"/>
      <c r="E47" s="13">
        <v>43612</v>
      </c>
      <c r="G47" s="1">
        <v>38432683</v>
      </c>
      <c r="I47" s="1">
        <v>10312422</v>
      </c>
      <c r="K47" s="1">
        <v>843469</v>
      </c>
      <c r="M47" s="1">
        <v>235330</v>
      </c>
      <c r="O47" s="1">
        <v>5372728</v>
      </c>
      <c r="Q47" s="1">
        <v>8203956</v>
      </c>
      <c r="S47" s="1">
        <v>40655</v>
      </c>
      <c r="U47" s="1">
        <v>4859059</v>
      </c>
      <c r="W47" s="1">
        <v>1693464</v>
      </c>
      <c r="Y47" s="1">
        <v>746207</v>
      </c>
      <c r="AA47" s="1">
        <v>8090494</v>
      </c>
      <c r="AC47" s="1">
        <v>4112181</v>
      </c>
      <c r="AE47" s="1">
        <v>2751609</v>
      </c>
      <c r="AG47" s="1">
        <v>3741752</v>
      </c>
      <c r="AI47" s="1">
        <v>0</v>
      </c>
      <c r="AJ47" s="12" t="s">
        <v>283</v>
      </c>
      <c r="AK47" s="12"/>
      <c r="AL47" s="12" t="s">
        <v>20</v>
      </c>
      <c r="AN47" s="1">
        <v>1832564</v>
      </c>
      <c r="AP47" s="1">
        <v>7643405</v>
      </c>
      <c r="AR47" s="1">
        <v>0</v>
      </c>
      <c r="AT47" s="1">
        <v>1275000</v>
      </c>
      <c r="AV47" s="1">
        <f>1324505+490946</f>
        <v>1815451</v>
      </c>
      <c r="AX47" s="1">
        <v>0</v>
      </c>
      <c r="AZ47" s="20">
        <f t="shared" si="4"/>
        <v>102002429</v>
      </c>
      <c r="BB47" s="1">
        <v>572338</v>
      </c>
      <c r="BH47" s="1">
        <v>406581</v>
      </c>
      <c r="BJ47" s="20">
        <f t="shared" si="1"/>
        <v>102981348</v>
      </c>
      <c r="BL47" s="20">
        <f>'Gov Fd Rv'!AO47-'Gov Fnd Exp'!BJ47</f>
        <v>16327810</v>
      </c>
      <c r="BN47" s="1">
        <v>35305360</v>
      </c>
      <c r="BP47" s="1">
        <v>0</v>
      </c>
      <c r="BR47" s="1">
        <v>0</v>
      </c>
      <c r="BT47" s="20">
        <f t="shared" si="3"/>
        <v>51633170</v>
      </c>
      <c r="BU47" s="20"/>
      <c r="BV47" s="20">
        <f>BT47-'Gov Fd BS'!AA47</f>
        <v>0</v>
      </c>
    </row>
    <row r="48" spans="1:74">
      <c r="A48" s="12" t="s">
        <v>351</v>
      </c>
      <c r="B48" s="12"/>
      <c r="C48" s="12" t="s">
        <v>30</v>
      </c>
      <c r="D48" s="12"/>
      <c r="E48" s="13">
        <v>47167</v>
      </c>
      <c r="G48" s="1">
        <v>4598101</v>
      </c>
      <c r="I48" s="1">
        <v>1560754</v>
      </c>
      <c r="K48" s="1">
        <v>70925</v>
      </c>
      <c r="M48" s="1">
        <v>339048</v>
      </c>
      <c r="O48" s="1">
        <v>587278</v>
      </c>
      <c r="Q48" s="1">
        <v>444152</v>
      </c>
      <c r="S48" s="1">
        <v>41679</v>
      </c>
      <c r="U48" s="1">
        <v>1084482</v>
      </c>
      <c r="W48" s="1">
        <v>376220</v>
      </c>
      <c r="Y48" s="1">
        <v>28687</v>
      </c>
      <c r="AA48" s="1">
        <v>963066</v>
      </c>
      <c r="AC48" s="1">
        <v>854523</v>
      </c>
      <c r="AE48" s="1">
        <v>0</v>
      </c>
      <c r="AG48" s="1">
        <v>244249</v>
      </c>
      <c r="AI48" s="1">
        <v>0</v>
      </c>
      <c r="AJ48" s="12" t="s">
        <v>351</v>
      </c>
      <c r="AK48" s="12"/>
      <c r="AL48" s="12" t="s">
        <v>30</v>
      </c>
      <c r="AN48" s="1">
        <v>381611</v>
      </c>
      <c r="AP48" s="1">
        <v>622245</v>
      </c>
      <c r="AR48" s="1">
        <v>0</v>
      </c>
      <c r="AT48" s="1">
        <v>0</v>
      </c>
      <c r="AV48" s="1">
        <v>0</v>
      </c>
      <c r="AX48" s="1">
        <v>0</v>
      </c>
      <c r="AZ48" s="20">
        <f t="shared" si="4"/>
        <v>12197020</v>
      </c>
      <c r="BB48" s="1">
        <v>416600</v>
      </c>
      <c r="BH48" s="1">
        <v>0</v>
      </c>
      <c r="BJ48" s="20">
        <f t="shared" si="1"/>
        <v>12613620</v>
      </c>
      <c r="BL48" s="20">
        <f>'Gov Fd Rv'!AO48-'Gov Fnd Exp'!BJ48</f>
        <v>-689650</v>
      </c>
      <c r="BN48" s="1">
        <v>3476081</v>
      </c>
      <c r="BP48" s="1">
        <v>0</v>
      </c>
      <c r="BR48" s="1">
        <v>0</v>
      </c>
      <c r="BT48" s="20">
        <f t="shared" si="3"/>
        <v>2786431</v>
      </c>
      <c r="BU48" s="20"/>
      <c r="BV48" s="20">
        <f>BT48-'Gov Fd BS'!AA48</f>
        <v>0</v>
      </c>
    </row>
    <row r="49" spans="1:74">
      <c r="A49" s="12" t="s">
        <v>314</v>
      </c>
      <c r="B49" s="12"/>
      <c r="C49" s="12" t="s">
        <v>24</v>
      </c>
      <c r="D49" s="12"/>
      <c r="E49" s="13">
        <v>46789</v>
      </c>
      <c r="G49" s="1">
        <v>7234569</v>
      </c>
      <c r="I49" s="1">
        <v>2628774</v>
      </c>
      <c r="K49" s="1">
        <v>69046</v>
      </c>
      <c r="M49" s="1">
        <v>526695</v>
      </c>
      <c r="O49" s="1">
        <v>927123</v>
      </c>
      <c r="Q49" s="1">
        <v>387965</v>
      </c>
      <c r="S49" s="1">
        <v>34622</v>
      </c>
      <c r="U49" s="1">
        <v>1261355</v>
      </c>
      <c r="W49" s="1">
        <v>297070</v>
      </c>
      <c r="Y49" s="1">
        <v>0</v>
      </c>
      <c r="AA49" s="1">
        <v>951319</v>
      </c>
      <c r="AC49" s="1">
        <v>764107</v>
      </c>
      <c r="AE49" s="1">
        <v>150693</v>
      </c>
      <c r="AG49" s="1">
        <v>602338</v>
      </c>
      <c r="AI49" s="1">
        <v>114897</v>
      </c>
      <c r="AJ49" s="12" t="s">
        <v>314</v>
      </c>
      <c r="AK49" s="12"/>
      <c r="AL49" s="12" t="s">
        <v>24</v>
      </c>
      <c r="AN49" s="1">
        <v>744248</v>
      </c>
      <c r="AP49" s="1">
        <v>189084</v>
      </c>
      <c r="AR49" s="1">
        <v>0</v>
      </c>
      <c r="AT49" s="1">
        <v>0</v>
      </c>
      <c r="AV49" s="1">
        <v>0</v>
      </c>
      <c r="AX49" s="1">
        <v>0</v>
      </c>
      <c r="AZ49" s="20">
        <f t="shared" si="4"/>
        <v>16883905</v>
      </c>
      <c r="BB49" s="1">
        <v>0</v>
      </c>
      <c r="BH49" s="1">
        <v>0</v>
      </c>
      <c r="BJ49" s="20">
        <f t="shared" si="1"/>
        <v>16883905</v>
      </c>
      <c r="BL49" s="20">
        <f>'Gov Fd Rv'!AO49-'Gov Fnd Exp'!BJ49</f>
        <v>39745</v>
      </c>
      <c r="BN49" s="1">
        <v>5197384</v>
      </c>
      <c r="BP49" s="1">
        <v>3611</v>
      </c>
      <c r="BR49" s="1">
        <v>0</v>
      </c>
      <c r="BT49" s="20">
        <f t="shared" si="3"/>
        <v>5240740</v>
      </c>
      <c r="BU49" s="20"/>
      <c r="BV49" s="20">
        <f>BT49-'Gov Fd BS'!AA49</f>
        <v>0</v>
      </c>
    </row>
    <row r="50" spans="1:74">
      <c r="A50" s="12" t="s">
        <v>322</v>
      </c>
      <c r="B50" s="12"/>
      <c r="C50" s="12" t="s">
        <v>25</v>
      </c>
      <c r="D50" s="12"/>
      <c r="E50" s="13">
        <v>46854</v>
      </c>
      <c r="G50" s="1">
        <v>4095730</v>
      </c>
      <c r="I50" s="1">
        <v>1377469</v>
      </c>
      <c r="K50" s="1">
        <v>136554</v>
      </c>
      <c r="M50" s="1">
        <v>200496</v>
      </c>
      <c r="O50" s="1">
        <v>242121</v>
      </c>
      <c r="Q50" s="1">
        <v>573227</v>
      </c>
      <c r="S50" s="1">
        <v>15317</v>
      </c>
      <c r="U50" s="1">
        <v>867978</v>
      </c>
      <c r="W50" s="1">
        <v>291823</v>
      </c>
      <c r="Y50" s="1">
        <v>13162</v>
      </c>
      <c r="AA50" s="1">
        <v>750942</v>
      </c>
      <c r="AC50" s="1">
        <v>602442</v>
      </c>
      <c r="AE50" s="1">
        <v>32713</v>
      </c>
      <c r="AG50" s="1">
        <v>288070</v>
      </c>
      <c r="AI50" s="1">
        <v>0</v>
      </c>
      <c r="AJ50" s="12" t="s">
        <v>322</v>
      </c>
      <c r="AK50" s="12"/>
      <c r="AL50" s="12" t="s">
        <v>25</v>
      </c>
      <c r="AN50" s="1">
        <v>302411</v>
      </c>
      <c r="AP50" s="1">
        <v>0</v>
      </c>
      <c r="AR50" s="1">
        <v>0</v>
      </c>
      <c r="AT50" s="1">
        <v>385682</v>
      </c>
      <c r="AV50" s="1">
        <v>239930</v>
      </c>
      <c r="AX50" s="1">
        <v>0</v>
      </c>
      <c r="AZ50" s="20">
        <f t="shared" ref="AZ50:AZ82" si="6">SUM(G50:AX50)</f>
        <v>10416067</v>
      </c>
      <c r="BB50" s="1">
        <v>133126</v>
      </c>
      <c r="BH50" s="1">
        <v>0</v>
      </c>
      <c r="BJ50" s="20">
        <f t="shared" si="1"/>
        <v>10549193</v>
      </c>
      <c r="BL50" s="20">
        <f>'Gov Fd Rv'!AO50-'Gov Fnd Exp'!BJ50</f>
        <v>33053</v>
      </c>
      <c r="BN50" s="1">
        <v>2526931</v>
      </c>
      <c r="BP50" s="1">
        <v>0</v>
      </c>
      <c r="BR50" s="1">
        <v>0</v>
      </c>
      <c r="BT50" s="20">
        <f t="shared" si="3"/>
        <v>2559984</v>
      </c>
      <c r="BU50" s="20"/>
      <c r="BV50" s="20">
        <f>BT50-'Gov Fd BS'!AA50</f>
        <v>0</v>
      </c>
    </row>
    <row r="51" spans="1:74">
      <c r="A51" s="12" t="s">
        <v>487</v>
      </c>
      <c r="B51" s="12"/>
      <c r="C51" s="12" t="s">
        <v>48</v>
      </c>
      <c r="D51" s="12"/>
      <c r="E51" s="13">
        <v>48611</v>
      </c>
      <c r="G51" s="1">
        <v>3466289</v>
      </c>
      <c r="I51" s="1">
        <v>1028766</v>
      </c>
      <c r="K51" s="1">
        <v>0</v>
      </c>
      <c r="M51" s="1">
        <v>465981</v>
      </c>
      <c r="O51" s="1">
        <v>392404</v>
      </c>
      <c r="Q51" s="1">
        <v>249991</v>
      </c>
      <c r="S51" s="1">
        <v>31903</v>
      </c>
      <c r="U51" s="1">
        <v>705931</v>
      </c>
      <c r="W51" s="1">
        <v>313119</v>
      </c>
      <c r="Y51" s="1">
        <v>65454</v>
      </c>
      <c r="AA51" s="1">
        <v>722167</v>
      </c>
      <c r="AC51" s="1">
        <v>668448</v>
      </c>
      <c r="AE51" s="1">
        <v>162234</v>
      </c>
      <c r="AG51" s="1">
        <v>796473</v>
      </c>
      <c r="AI51" s="1">
        <v>0</v>
      </c>
      <c r="AJ51" s="12" t="s">
        <v>487</v>
      </c>
      <c r="AK51" s="12"/>
      <c r="AL51" s="12" t="s">
        <v>48</v>
      </c>
      <c r="AN51" s="1">
        <v>291253</v>
      </c>
      <c r="AP51" s="1">
        <v>0</v>
      </c>
      <c r="AR51" s="1">
        <v>0</v>
      </c>
      <c r="AT51" s="1">
        <v>22000</v>
      </c>
      <c r="AV51" s="1">
        <v>46406</v>
      </c>
      <c r="AX51" s="1">
        <v>0</v>
      </c>
      <c r="AZ51" s="20">
        <f t="shared" si="6"/>
        <v>9428819</v>
      </c>
      <c r="BB51" s="1">
        <v>0</v>
      </c>
      <c r="BH51" s="1">
        <v>0</v>
      </c>
      <c r="BJ51" s="20">
        <f t="shared" si="1"/>
        <v>9428819</v>
      </c>
      <c r="BL51" s="20">
        <f>'Gov Fd Rv'!AO51-'Gov Fnd Exp'!BJ51</f>
        <v>-827163</v>
      </c>
      <c r="BN51" s="1">
        <v>1903587</v>
      </c>
      <c r="BP51" s="1">
        <v>0</v>
      </c>
      <c r="BR51" s="1">
        <v>0</v>
      </c>
      <c r="BT51" s="20">
        <f t="shared" si="3"/>
        <v>1076424</v>
      </c>
      <c r="BU51" s="20"/>
      <c r="BV51" s="20">
        <f>BT51-'Gov Fd BS'!AA51</f>
        <v>0</v>
      </c>
    </row>
    <row r="52" spans="1:74">
      <c r="A52" s="12" t="s">
        <v>252</v>
      </c>
      <c r="B52" s="12"/>
      <c r="C52" s="12" t="s">
        <v>115</v>
      </c>
      <c r="D52" s="12"/>
      <c r="E52" s="13">
        <v>46318</v>
      </c>
      <c r="G52" s="1">
        <v>7972648</v>
      </c>
      <c r="I52" s="1">
        <v>1775097</v>
      </c>
      <c r="K52" s="1">
        <v>147512</v>
      </c>
      <c r="M52" s="1">
        <v>35228</v>
      </c>
      <c r="O52" s="1">
        <v>587389</v>
      </c>
      <c r="Q52" s="1">
        <v>533911</v>
      </c>
      <c r="S52" s="1">
        <v>9764</v>
      </c>
      <c r="U52" s="1">
        <v>1136675</v>
      </c>
      <c r="W52" s="1">
        <v>369601</v>
      </c>
      <c r="Y52" s="1">
        <v>0</v>
      </c>
      <c r="AA52" s="1">
        <v>1377190</v>
      </c>
      <c r="AC52" s="1">
        <v>754898</v>
      </c>
      <c r="AE52" s="1">
        <v>144263</v>
      </c>
      <c r="AG52" s="1">
        <v>542097</v>
      </c>
      <c r="AI52" s="1">
        <v>0</v>
      </c>
      <c r="AJ52" s="12" t="s">
        <v>252</v>
      </c>
      <c r="AK52" s="12"/>
      <c r="AL52" s="12" t="s">
        <v>115</v>
      </c>
      <c r="AN52" s="1">
        <v>332432</v>
      </c>
      <c r="AP52" s="1">
        <v>248659</v>
      </c>
      <c r="AR52" s="1">
        <v>0</v>
      </c>
      <c r="AT52" s="1">
        <v>348198</v>
      </c>
      <c r="AV52" s="1">
        <v>358708</v>
      </c>
      <c r="AX52" s="1">
        <v>0</v>
      </c>
      <c r="AZ52" s="20">
        <f t="shared" si="6"/>
        <v>16674270</v>
      </c>
      <c r="BB52" s="1">
        <v>333000</v>
      </c>
      <c r="BH52" s="1">
        <v>0</v>
      </c>
      <c r="BJ52" s="20">
        <f t="shared" si="1"/>
        <v>17007270</v>
      </c>
      <c r="BL52" s="20">
        <f>'Gov Fd Rv'!AO52-'Gov Fnd Exp'!BJ52</f>
        <v>1199820</v>
      </c>
      <c r="BN52" s="1">
        <v>2017812</v>
      </c>
      <c r="BP52" s="1">
        <v>0</v>
      </c>
      <c r="BR52" s="1">
        <v>0</v>
      </c>
      <c r="BT52" s="20">
        <f t="shared" si="3"/>
        <v>3217632</v>
      </c>
      <c r="BU52" s="20"/>
      <c r="BV52" s="20">
        <f>BT52-'Gov Fd BS'!AA52</f>
        <v>0</v>
      </c>
    </row>
    <row r="53" spans="1:74" hidden="1">
      <c r="A53" s="12" t="s">
        <v>825</v>
      </c>
      <c r="B53" s="12"/>
      <c r="C53" s="12" t="s">
        <v>60</v>
      </c>
      <c r="D53" s="12"/>
      <c r="E53" s="13">
        <v>49692</v>
      </c>
      <c r="AJ53" s="12" t="s">
        <v>825</v>
      </c>
      <c r="AK53" s="12"/>
      <c r="AL53" s="12" t="s">
        <v>60</v>
      </c>
      <c r="AZ53" s="20">
        <f t="shared" si="6"/>
        <v>0</v>
      </c>
      <c r="BJ53" s="20">
        <f t="shared" si="1"/>
        <v>0</v>
      </c>
      <c r="BL53" s="20">
        <f>'Gov Fd Rv'!AO53-'Gov Fnd Exp'!BJ53</f>
        <v>0</v>
      </c>
      <c r="BT53" s="20">
        <f t="shared" si="3"/>
        <v>0</v>
      </c>
      <c r="BU53" s="20"/>
      <c r="BV53" s="20">
        <f>BT53-'Gov Fd BS'!AA53</f>
        <v>0</v>
      </c>
    </row>
    <row r="54" spans="1:74">
      <c r="A54" s="12" t="s">
        <v>329</v>
      </c>
      <c r="B54" s="12"/>
      <c r="C54" s="12" t="s">
        <v>27</v>
      </c>
      <c r="D54" s="12"/>
      <c r="E54" s="13">
        <v>43620</v>
      </c>
      <c r="G54" s="1">
        <v>15082897</v>
      </c>
      <c r="I54" s="1">
        <v>3564351</v>
      </c>
      <c r="K54" s="1">
        <v>301985</v>
      </c>
      <c r="M54" s="1">
        <v>0</v>
      </c>
      <c r="O54" s="1">
        <v>1541404</v>
      </c>
      <c r="Q54" s="1">
        <v>2101787</v>
      </c>
      <c r="S54" s="1">
        <v>55370</v>
      </c>
      <c r="U54" s="1">
        <v>2011681</v>
      </c>
      <c r="W54" s="1">
        <v>0</v>
      </c>
      <c r="Y54" s="1">
        <v>1171197</v>
      </c>
      <c r="AA54" s="1">
        <v>3135694</v>
      </c>
      <c r="AC54" s="1">
        <v>458661</v>
      </c>
      <c r="AE54" s="1">
        <v>138709</v>
      </c>
      <c r="AG54" s="1">
        <v>571968</v>
      </c>
      <c r="AI54" s="1">
        <v>640035</v>
      </c>
      <c r="AJ54" s="12" t="s">
        <v>329</v>
      </c>
      <c r="AK54" s="12"/>
      <c r="AL54" s="12" t="s">
        <v>27</v>
      </c>
      <c r="AN54" s="1">
        <v>959829</v>
      </c>
      <c r="AP54" s="1">
        <v>446600</v>
      </c>
      <c r="AR54" s="1">
        <v>0</v>
      </c>
      <c r="AT54" s="1">
        <v>1869998</v>
      </c>
      <c r="AV54" s="1">
        <v>1123556</v>
      </c>
      <c r="AX54" s="1">
        <v>0</v>
      </c>
      <c r="AZ54" s="20">
        <f t="shared" si="6"/>
        <v>35175722</v>
      </c>
      <c r="BB54" s="1">
        <v>163810</v>
      </c>
      <c r="BH54" s="1">
        <v>0</v>
      </c>
      <c r="BJ54" s="20">
        <f t="shared" si="1"/>
        <v>35339532</v>
      </c>
      <c r="BL54" s="20">
        <f>'Gov Fd Rv'!AO54-'Gov Fnd Exp'!BJ54</f>
        <v>317201</v>
      </c>
      <c r="BN54" s="1">
        <v>24474934</v>
      </c>
      <c r="BP54" s="1">
        <v>0</v>
      </c>
      <c r="BR54" s="1">
        <v>0</v>
      </c>
      <c r="BT54" s="20">
        <f t="shared" si="3"/>
        <v>24792135</v>
      </c>
      <c r="BU54" s="20"/>
      <c r="BV54" s="20">
        <f>BT54-'Gov Fd BS'!AA54</f>
        <v>0</v>
      </c>
    </row>
    <row r="55" spans="1:74">
      <c r="A55" s="12" t="s">
        <v>311</v>
      </c>
      <c r="B55" s="12"/>
      <c r="C55" s="12" t="s">
        <v>23</v>
      </c>
      <c r="D55" s="12"/>
      <c r="E55" s="13">
        <v>46748</v>
      </c>
      <c r="G55" s="1">
        <v>12611011</v>
      </c>
      <c r="I55" s="1">
        <v>2432415</v>
      </c>
      <c r="K55" s="1">
        <v>299416</v>
      </c>
      <c r="M55" s="1">
        <v>0</v>
      </c>
      <c r="O55" s="1">
        <v>1414192</v>
      </c>
      <c r="Q55" s="1">
        <v>1818766</v>
      </c>
      <c r="S55" s="1">
        <v>132398</v>
      </c>
      <c r="U55" s="1">
        <v>2564264</v>
      </c>
      <c r="W55" s="1">
        <v>828018</v>
      </c>
      <c r="Y55" s="1">
        <v>256270</v>
      </c>
      <c r="AA55" s="1">
        <v>2142212</v>
      </c>
      <c r="AC55" s="1">
        <v>1945087</v>
      </c>
      <c r="AE55" s="1">
        <v>13076</v>
      </c>
      <c r="AG55" s="1">
        <v>1173563</v>
      </c>
      <c r="AI55" s="1">
        <v>0</v>
      </c>
      <c r="AJ55" s="12" t="s">
        <v>311</v>
      </c>
      <c r="AK55" s="12"/>
      <c r="AL55" s="12" t="s">
        <v>23</v>
      </c>
      <c r="AN55" s="1">
        <v>681466</v>
      </c>
      <c r="AP55" s="1">
        <v>11667097</v>
      </c>
      <c r="AR55" s="1">
        <v>0</v>
      </c>
      <c r="AT55" s="1">
        <v>2212892</v>
      </c>
      <c r="AV55" s="1">
        <f>1786579+592793</f>
        <v>2379372</v>
      </c>
      <c r="AX55" s="1">
        <v>0</v>
      </c>
      <c r="AZ55" s="20">
        <f t="shared" si="6"/>
        <v>44571515</v>
      </c>
      <c r="BB55" s="1">
        <v>137625</v>
      </c>
      <c r="BH55" s="1">
        <v>0</v>
      </c>
      <c r="BJ55" s="20">
        <f>AZ55+BB55+BH55</f>
        <v>44709140</v>
      </c>
      <c r="BL55" s="20">
        <f>'Gov Fd Rv'!AO55-'Gov Fnd Exp'!BJ55</f>
        <v>8148621</v>
      </c>
      <c r="BN55" s="1">
        <v>11769532</v>
      </c>
      <c r="BP55" s="1">
        <v>0</v>
      </c>
      <c r="BR55" s="1">
        <v>0</v>
      </c>
      <c r="BT55" s="20">
        <f t="shared" si="3"/>
        <v>19918153</v>
      </c>
      <c r="BU55" s="20"/>
      <c r="BV55" s="20">
        <f>BT55-'Gov Fd BS'!AA55</f>
        <v>0</v>
      </c>
    </row>
    <row r="56" spans="1:74">
      <c r="A56" s="12" t="s">
        <v>478</v>
      </c>
      <c r="B56" s="12"/>
      <c r="C56" s="12" t="s">
        <v>47</v>
      </c>
      <c r="D56" s="12"/>
      <c r="E56" s="13">
        <v>48462</v>
      </c>
      <c r="G56" s="1">
        <v>7326156</v>
      </c>
      <c r="I56" s="1">
        <v>1940859</v>
      </c>
      <c r="K56" s="1">
        <v>84313</v>
      </c>
      <c r="M56" s="1">
        <v>2344</v>
      </c>
      <c r="O56" s="1">
        <v>737691</v>
      </c>
      <c r="Q56" s="1">
        <v>666687</v>
      </c>
      <c r="S56" s="1">
        <v>31989</v>
      </c>
      <c r="U56" s="1">
        <v>1143664</v>
      </c>
      <c r="W56" s="1">
        <v>376055</v>
      </c>
      <c r="Y56" s="1">
        <v>26901</v>
      </c>
      <c r="AA56" s="1">
        <v>1014968</v>
      </c>
      <c r="AC56" s="1">
        <v>1159282</v>
      </c>
      <c r="AE56" s="1">
        <v>103537</v>
      </c>
      <c r="AG56" s="1">
        <v>471820</v>
      </c>
      <c r="AI56" s="1">
        <v>1835</v>
      </c>
      <c r="AJ56" s="12" t="s">
        <v>478</v>
      </c>
      <c r="AK56" s="12"/>
      <c r="AL56" s="12" t="s">
        <v>47</v>
      </c>
      <c r="AN56" s="1">
        <v>585317</v>
      </c>
      <c r="AP56" s="1">
        <v>0</v>
      </c>
      <c r="AR56" s="1">
        <v>0</v>
      </c>
      <c r="AT56" s="1">
        <v>706126</v>
      </c>
      <c r="AV56" s="1">
        <v>153588</v>
      </c>
      <c r="AX56" s="1">
        <v>0</v>
      </c>
      <c r="AZ56" s="20">
        <f t="shared" si="6"/>
        <v>16533132</v>
      </c>
      <c r="BB56" s="1">
        <v>199424</v>
      </c>
      <c r="BH56" s="1">
        <v>0</v>
      </c>
      <c r="BJ56" s="20">
        <f>AZ56+BB56+BH56</f>
        <v>16732556</v>
      </c>
      <c r="BL56" s="20">
        <f>'Gov Fd Rv'!AO56-'Gov Fnd Exp'!BJ56</f>
        <v>-800857</v>
      </c>
      <c r="BN56" s="1">
        <v>139834</v>
      </c>
      <c r="BP56" s="1">
        <v>0</v>
      </c>
      <c r="BR56" s="1">
        <v>0</v>
      </c>
      <c r="BT56" s="20">
        <f t="shared" si="3"/>
        <v>-661023</v>
      </c>
      <c r="BU56" s="20"/>
      <c r="BV56" s="20">
        <f>BT56-'Gov Fd BS'!AA56</f>
        <v>0</v>
      </c>
    </row>
    <row r="57" spans="1:74">
      <c r="A57" s="12" t="s">
        <v>259</v>
      </c>
      <c r="B57" s="12"/>
      <c r="C57" s="12" t="s">
        <v>18</v>
      </c>
      <c r="D57" s="12"/>
      <c r="E57" s="13">
        <v>46383</v>
      </c>
      <c r="G57" s="1">
        <v>5974316</v>
      </c>
      <c r="I57" s="1">
        <v>1099782</v>
      </c>
      <c r="K57" s="1">
        <v>376885</v>
      </c>
      <c r="M57" s="1">
        <v>650148</v>
      </c>
      <c r="O57" s="1">
        <v>657028</v>
      </c>
      <c r="Q57" s="1">
        <v>1769623</v>
      </c>
      <c r="S57" s="1">
        <v>30287</v>
      </c>
      <c r="U57" s="1">
        <v>1270185</v>
      </c>
      <c r="W57" s="1">
        <v>384229</v>
      </c>
      <c r="Y57" s="1">
        <v>7499</v>
      </c>
      <c r="AA57" s="1">
        <v>1420231</v>
      </c>
      <c r="AC57" s="1">
        <v>865831</v>
      </c>
      <c r="AE57" s="1">
        <v>16832</v>
      </c>
      <c r="AG57" s="1">
        <v>856125</v>
      </c>
      <c r="AI57" s="1">
        <v>0</v>
      </c>
      <c r="AJ57" s="12" t="s">
        <v>259</v>
      </c>
      <c r="AK57" s="12"/>
      <c r="AL57" s="12" t="s">
        <v>18</v>
      </c>
      <c r="AN57" s="1">
        <v>405400</v>
      </c>
      <c r="AP57" s="1">
        <v>127460</v>
      </c>
      <c r="AR57" s="1">
        <v>0</v>
      </c>
      <c r="AT57" s="1">
        <v>220000</v>
      </c>
      <c r="AV57" s="1">
        <v>144045</v>
      </c>
      <c r="AX57" s="1">
        <v>0</v>
      </c>
      <c r="AZ57" s="20">
        <f t="shared" si="6"/>
        <v>16275906</v>
      </c>
      <c r="BB57" s="1">
        <v>2016</v>
      </c>
      <c r="BH57" s="1">
        <v>0</v>
      </c>
      <c r="BJ57" s="20">
        <f t="shared" si="1"/>
        <v>16277922</v>
      </c>
      <c r="BL57" s="20">
        <f>'Gov Fd Rv'!AO57-'Gov Fnd Exp'!BJ57</f>
        <v>90177</v>
      </c>
      <c r="BN57" s="1">
        <v>1467557</v>
      </c>
      <c r="BP57" s="1">
        <v>0</v>
      </c>
      <c r="BR57" s="1">
        <v>0</v>
      </c>
      <c r="BT57" s="20">
        <f t="shared" si="3"/>
        <v>1557734</v>
      </c>
      <c r="BU57" s="20"/>
      <c r="BV57" s="20">
        <f>BT57-'Gov Fd BS'!AA57</f>
        <v>0</v>
      </c>
    </row>
    <row r="58" spans="1:74">
      <c r="A58" s="12" t="s">
        <v>323</v>
      </c>
      <c r="B58" s="12"/>
      <c r="C58" s="12" t="s">
        <v>25</v>
      </c>
      <c r="D58" s="12"/>
      <c r="E58" s="13">
        <v>46862</v>
      </c>
      <c r="G58" s="1">
        <v>5445676</v>
      </c>
      <c r="I58" s="1">
        <v>1643981</v>
      </c>
      <c r="K58" s="1">
        <v>242891</v>
      </c>
      <c r="M58" s="1">
        <f>90963+539304</f>
        <v>630267</v>
      </c>
      <c r="O58" s="1">
        <v>855412</v>
      </c>
      <c r="Q58" s="1">
        <v>828855</v>
      </c>
      <c r="S58" s="1">
        <v>145778</v>
      </c>
      <c r="U58" s="1">
        <v>1698981</v>
      </c>
      <c r="W58" s="1">
        <v>259307</v>
      </c>
      <c r="Y58" s="1">
        <v>0</v>
      </c>
      <c r="AA58" s="1">
        <v>1371875</v>
      </c>
      <c r="AC58" s="1">
        <v>1083254</v>
      </c>
      <c r="AE58" s="1">
        <v>108198</v>
      </c>
      <c r="AG58" s="1">
        <v>434627</v>
      </c>
      <c r="AI58" s="1">
        <v>552886</v>
      </c>
      <c r="AJ58" s="12" t="s">
        <v>323</v>
      </c>
      <c r="AK58" s="12"/>
      <c r="AL58" s="12" t="s">
        <v>25</v>
      </c>
      <c r="AN58" s="1">
        <v>420739</v>
      </c>
      <c r="AP58" s="1">
        <v>0</v>
      </c>
      <c r="AR58" s="1">
        <v>0</v>
      </c>
      <c r="AT58" s="1">
        <v>458220</v>
      </c>
      <c r="AV58" s="1">
        <v>55344</v>
      </c>
      <c r="AX58" s="1">
        <v>0</v>
      </c>
      <c r="AZ58" s="20">
        <f t="shared" si="6"/>
        <v>16236291</v>
      </c>
      <c r="BB58" s="1">
        <v>65000</v>
      </c>
      <c r="BH58" s="1">
        <v>0</v>
      </c>
      <c r="BJ58" s="20">
        <f t="shared" si="1"/>
        <v>16301291</v>
      </c>
      <c r="BL58" s="20">
        <f>'Gov Fd Rv'!AO58-'Gov Fnd Exp'!BJ58</f>
        <v>26479655</v>
      </c>
      <c r="BN58" s="1">
        <v>2763076</v>
      </c>
      <c r="BP58" s="1">
        <v>0</v>
      </c>
      <c r="BR58" s="1">
        <v>0</v>
      </c>
      <c r="BT58" s="20">
        <f t="shared" si="3"/>
        <v>29242731</v>
      </c>
      <c r="BU58" s="20"/>
      <c r="BV58" s="20">
        <f>BT58-'Gov Fd BS'!AA58</f>
        <v>0</v>
      </c>
    </row>
    <row r="59" spans="1:74">
      <c r="A59" s="12" t="s">
        <v>599</v>
      </c>
      <c r="B59" s="12"/>
      <c r="C59" s="12" t="s">
        <v>64</v>
      </c>
      <c r="D59" s="12"/>
      <c r="E59" s="13">
        <v>50096</v>
      </c>
      <c r="G59" s="1">
        <v>1570996</v>
      </c>
      <c r="I59" s="1">
        <v>606040</v>
      </c>
      <c r="K59" s="1">
        <v>67183</v>
      </c>
      <c r="M59" s="1">
        <v>0</v>
      </c>
      <c r="O59" s="1">
        <v>132280</v>
      </c>
      <c r="Q59" s="1">
        <v>258458</v>
      </c>
      <c r="S59" s="1">
        <v>12950</v>
      </c>
      <c r="U59" s="1">
        <v>435632</v>
      </c>
      <c r="W59" s="1">
        <v>230081</v>
      </c>
      <c r="Y59" s="1">
        <v>0</v>
      </c>
      <c r="AA59" s="1">
        <v>658231</v>
      </c>
      <c r="AC59" s="1">
        <v>203675</v>
      </c>
      <c r="AE59" s="1">
        <v>4573</v>
      </c>
      <c r="AG59" s="1">
        <v>137763</v>
      </c>
      <c r="AI59" s="1">
        <v>3426</v>
      </c>
      <c r="AJ59" s="12" t="s">
        <v>599</v>
      </c>
      <c r="AK59" s="12"/>
      <c r="AL59" s="12" t="s">
        <v>64</v>
      </c>
      <c r="AN59" s="1">
        <v>99103</v>
      </c>
      <c r="AP59" s="1">
        <v>0</v>
      </c>
      <c r="AR59" s="1">
        <v>0</v>
      </c>
      <c r="AT59" s="1">
        <v>13596</v>
      </c>
      <c r="AV59" s="1">
        <f>4297+5831</f>
        <v>10128</v>
      </c>
      <c r="AX59" s="1">
        <v>0</v>
      </c>
      <c r="AZ59" s="20">
        <f t="shared" si="6"/>
        <v>4444115</v>
      </c>
      <c r="BB59" s="1">
        <v>0</v>
      </c>
      <c r="BH59" s="1">
        <v>0</v>
      </c>
      <c r="BJ59" s="20">
        <f t="shared" si="1"/>
        <v>4444115</v>
      </c>
      <c r="BL59" s="20">
        <f>'Gov Fd Rv'!AO59-'Gov Fnd Exp'!BJ59</f>
        <v>18331</v>
      </c>
      <c r="BN59" s="1">
        <v>654814</v>
      </c>
      <c r="BP59" s="1">
        <v>0</v>
      </c>
      <c r="BR59" s="1">
        <v>0</v>
      </c>
      <c r="BT59" s="20">
        <f t="shared" si="3"/>
        <v>673145</v>
      </c>
      <c r="BU59" s="20"/>
      <c r="BV59" s="20">
        <f>BT59-'Gov Fd BS'!AA59</f>
        <v>0</v>
      </c>
    </row>
    <row r="60" spans="1:74">
      <c r="A60" s="12" t="s">
        <v>559</v>
      </c>
      <c r="B60" s="12"/>
      <c r="C60" s="12" t="s">
        <v>59</v>
      </c>
      <c r="D60" s="12"/>
      <c r="E60" s="13">
        <v>49593</v>
      </c>
      <c r="G60" s="1">
        <v>3976492</v>
      </c>
      <c r="I60" s="1">
        <v>1265297</v>
      </c>
      <c r="K60" s="1">
        <v>15000</v>
      </c>
      <c r="M60" s="1">
        <v>176225</v>
      </c>
      <c r="O60" s="1">
        <v>330014</v>
      </c>
      <c r="Q60" s="1">
        <v>354361</v>
      </c>
      <c r="S60" s="1">
        <v>32996</v>
      </c>
      <c r="U60" s="1">
        <v>783582</v>
      </c>
      <c r="W60" s="1">
        <v>199026</v>
      </c>
      <c r="Y60" s="1">
        <v>19581</v>
      </c>
      <c r="AA60" s="1">
        <v>1065220</v>
      </c>
      <c r="AC60" s="1">
        <v>849636</v>
      </c>
      <c r="AE60" s="1">
        <v>9558</v>
      </c>
      <c r="AG60" s="1">
        <v>492430</v>
      </c>
      <c r="AI60" s="1">
        <v>130</v>
      </c>
      <c r="AJ60" s="12" t="s">
        <v>559</v>
      </c>
      <c r="AK60" s="12"/>
      <c r="AL60" s="12" t="s">
        <v>59</v>
      </c>
      <c r="AN60" s="1">
        <v>170574</v>
      </c>
      <c r="AP60" s="1">
        <v>42619</v>
      </c>
      <c r="AR60" s="1">
        <v>0</v>
      </c>
      <c r="AT60" s="1">
        <v>35000</v>
      </c>
      <c r="AV60" s="1">
        <v>31335</v>
      </c>
      <c r="AX60" s="1">
        <v>29000</v>
      </c>
      <c r="AZ60" s="20">
        <f>SUM(G60:AX60)</f>
        <v>9878076</v>
      </c>
      <c r="BB60" s="1">
        <v>742</v>
      </c>
      <c r="BH60" s="1">
        <v>0</v>
      </c>
      <c r="BJ60" s="20">
        <f>AZ60+BB60+BH60</f>
        <v>9878818</v>
      </c>
      <c r="BL60" s="20">
        <f>'Gov Fd Rv'!AO60-'Gov Fnd Exp'!BJ60</f>
        <v>295986</v>
      </c>
      <c r="BN60" s="1">
        <v>791551</v>
      </c>
      <c r="BP60" s="1">
        <v>0</v>
      </c>
      <c r="BR60" s="1">
        <v>0</v>
      </c>
      <c r="BT60" s="20">
        <f>BL60+BN60+BP60+BR60</f>
        <v>1087537</v>
      </c>
      <c r="BU60" s="20"/>
      <c r="BV60" s="20">
        <f>BT60-'Gov Fd BS'!AA60</f>
        <v>0</v>
      </c>
    </row>
    <row r="61" spans="1:74" hidden="1">
      <c r="A61" s="12" t="s">
        <v>791</v>
      </c>
      <c r="B61" s="12"/>
      <c r="C61" s="12" t="s">
        <v>10</v>
      </c>
      <c r="D61" s="12"/>
      <c r="E61" s="13">
        <v>49593</v>
      </c>
      <c r="AJ61" s="12" t="s">
        <v>791</v>
      </c>
      <c r="AK61" s="12"/>
      <c r="AL61" s="12" t="s">
        <v>10</v>
      </c>
      <c r="AZ61" s="20">
        <f t="shared" si="6"/>
        <v>0</v>
      </c>
      <c r="BJ61" s="20">
        <f t="shared" si="1"/>
        <v>0</v>
      </c>
      <c r="BL61" s="20">
        <f>'Gov Fd Rv'!AO61-'Gov Fnd Exp'!BJ61</f>
        <v>0</v>
      </c>
      <c r="BT61" s="20">
        <f t="shared" si="3"/>
        <v>0</v>
      </c>
      <c r="BU61" s="20"/>
      <c r="BV61" s="20">
        <f>BT61-'Gov Fd BS'!AA61</f>
        <v>0</v>
      </c>
    </row>
    <row r="62" spans="1:74">
      <c r="A62" s="12" t="s">
        <v>462</v>
      </c>
      <c r="B62" s="12"/>
      <c r="C62" s="12" t="s">
        <v>45</v>
      </c>
      <c r="D62" s="12"/>
      <c r="E62" s="13">
        <v>48306</v>
      </c>
      <c r="G62" s="1">
        <v>22605691</v>
      </c>
      <c r="I62" s="1">
        <v>4723121</v>
      </c>
      <c r="K62" s="1">
        <v>2376</v>
      </c>
      <c r="M62" s="1">
        <v>209042</v>
      </c>
      <c r="O62" s="1">
        <v>2057311</v>
      </c>
      <c r="Q62" s="1">
        <v>2760122</v>
      </c>
      <c r="S62" s="1">
        <v>113187</v>
      </c>
      <c r="U62" s="1">
        <v>2705058</v>
      </c>
      <c r="W62" s="1">
        <v>996032</v>
      </c>
      <c r="Y62" s="1">
        <v>147158</v>
      </c>
      <c r="AA62" s="1">
        <v>4291215</v>
      </c>
      <c r="AC62" s="1">
        <v>2999841</v>
      </c>
      <c r="AE62" s="1">
        <v>87144</v>
      </c>
      <c r="AG62" s="1">
        <v>1411782</v>
      </c>
      <c r="AI62" s="1">
        <v>746748</v>
      </c>
      <c r="AJ62" s="12" t="s">
        <v>462</v>
      </c>
      <c r="AK62" s="12"/>
      <c r="AL62" s="12" t="s">
        <v>45</v>
      </c>
      <c r="AN62" s="1">
        <v>1112234</v>
      </c>
      <c r="AP62" s="1">
        <v>5317120</v>
      </c>
      <c r="AR62" s="1">
        <v>0</v>
      </c>
      <c r="AT62" s="1">
        <v>494274</v>
      </c>
      <c r="AV62" s="1">
        <v>507851</v>
      </c>
      <c r="AX62" s="1">
        <v>0</v>
      </c>
      <c r="AZ62" s="20">
        <f t="shared" si="6"/>
        <v>53287307</v>
      </c>
      <c r="BB62" s="1">
        <v>254520</v>
      </c>
      <c r="BH62" s="1">
        <v>0</v>
      </c>
      <c r="BJ62" s="20">
        <f t="shared" si="1"/>
        <v>53541827</v>
      </c>
      <c r="BL62" s="20">
        <f>'Gov Fd Rv'!AO62-'Gov Fnd Exp'!BJ62</f>
        <v>-7361844</v>
      </c>
      <c r="BN62" s="1">
        <v>14567009</v>
      </c>
      <c r="BP62" s="1">
        <v>0</v>
      </c>
      <c r="BR62" s="1">
        <v>0</v>
      </c>
      <c r="BT62" s="20">
        <f t="shared" si="3"/>
        <v>7205165</v>
      </c>
      <c r="BU62" s="20"/>
      <c r="BV62" s="20">
        <f>BT62-'Gov Fd BS'!AA62</f>
        <v>0</v>
      </c>
    </row>
    <row r="63" spans="1:74" hidden="1">
      <c r="A63" s="12" t="s">
        <v>923</v>
      </c>
      <c r="B63" s="12"/>
      <c r="C63" s="12" t="s">
        <v>61</v>
      </c>
      <c r="D63" s="12"/>
      <c r="E63" s="13">
        <v>49767</v>
      </c>
      <c r="AJ63" s="12" t="s">
        <v>923</v>
      </c>
      <c r="AK63" s="12"/>
      <c r="AL63" s="12" t="s">
        <v>61</v>
      </c>
      <c r="AZ63" s="20">
        <f t="shared" si="6"/>
        <v>0</v>
      </c>
      <c r="BJ63" s="20">
        <f t="shared" si="1"/>
        <v>0</v>
      </c>
      <c r="BL63" s="20">
        <f>'Gov Fd Rv'!AO63-'Gov Fnd Exp'!BJ63</f>
        <v>0</v>
      </c>
      <c r="BT63" s="20">
        <f t="shared" si="3"/>
        <v>0</v>
      </c>
      <c r="BU63" s="20"/>
      <c r="BV63" s="20">
        <f>BT63-'Gov Fd BS'!AA63</f>
        <v>0</v>
      </c>
    </row>
    <row r="64" spans="1:74">
      <c r="A64" s="12" t="s">
        <v>646</v>
      </c>
      <c r="B64" s="12"/>
      <c r="C64" s="12" t="s">
        <v>72</v>
      </c>
      <c r="D64" s="12"/>
      <c r="E64" s="13">
        <v>43638</v>
      </c>
      <c r="G64" s="1">
        <v>19159614</v>
      </c>
      <c r="I64" s="1">
        <v>0</v>
      </c>
      <c r="K64" s="1">
        <v>0</v>
      </c>
      <c r="M64" s="1">
        <v>0</v>
      </c>
      <c r="O64" s="1">
        <v>11223305</v>
      </c>
      <c r="Q64" s="1">
        <v>0</v>
      </c>
      <c r="S64" s="1">
        <v>0</v>
      </c>
      <c r="U64" s="1">
        <v>0</v>
      </c>
      <c r="W64" s="1">
        <v>0</v>
      </c>
      <c r="Y64" s="1">
        <v>0</v>
      </c>
      <c r="AA64" s="1">
        <v>0</v>
      </c>
      <c r="AC64" s="1">
        <v>0</v>
      </c>
      <c r="AE64" s="1">
        <v>0</v>
      </c>
      <c r="AG64" s="1">
        <v>331824</v>
      </c>
      <c r="AI64" s="1">
        <v>0</v>
      </c>
      <c r="AJ64" s="12" t="s">
        <v>646</v>
      </c>
      <c r="AK64" s="12"/>
      <c r="AL64" s="12" t="s">
        <v>72</v>
      </c>
      <c r="AN64" s="1">
        <v>782714</v>
      </c>
      <c r="AP64" s="1">
        <v>4701982</v>
      </c>
      <c r="AR64" s="1">
        <v>0</v>
      </c>
      <c r="AT64" s="1">
        <v>845000</v>
      </c>
      <c r="AV64" s="1">
        <v>1293420</v>
      </c>
      <c r="AX64" s="1">
        <v>0</v>
      </c>
      <c r="AZ64" s="20">
        <f t="shared" si="6"/>
        <v>38337859</v>
      </c>
      <c r="BB64" s="1">
        <v>436000</v>
      </c>
      <c r="BH64" s="1">
        <v>11571</v>
      </c>
      <c r="BJ64" s="20">
        <f t="shared" si="1"/>
        <v>38785430</v>
      </c>
      <c r="BL64" s="20">
        <f>'Gov Fd Rv'!AO64-'Gov Fnd Exp'!BJ64</f>
        <v>-4625868</v>
      </c>
      <c r="BN64" s="1">
        <v>19208680</v>
      </c>
      <c r="BP64" s="1">
        <v>0</v>
      </c>
      <c r="BR64" s="1">
        <v>0</v>
      </c>
      <c r="BT64" s="20">
        <f t="shared" si="3"/>
        <v>14582812</v>
      </c>
      <c r="BU64" s="20"/>
      <c r="BV64" s="20">
        <f>BT64-'Gov Fd BS'!AA64</f>
        <v>0</v>
      </c>
    </row>
    <row r="65" spans="1:74" hidden="1">
      <c r="A65" s="12" t="s">
        <v>832</v>
      </c>
      <c r="B65" s="12"/>
      <c r="C65" s="12" t="s">
        <v>48</v>
      </c>
      <c r="D65" s="12"/>
      <c r="E65" s="13">
        <v>43646</v>
      </c>
      <c r="AJ65" s="12" t="s">
        <v>832</v>
      </c>
      <c r="AK65" s="12"/>
      <c r="AL65" s="12" t="s">
        <v>48</v>
      </c>
      <c r="AZ65" s="20">
        <f>SUM(G65:AX65)</f>
        <v>0</v>
      </c>
      <c r="BJ65" s="20">
        <f>AZ65+BB65+BH65</f>
        <v>0</v>
      </c>
      <c r="BL65" s="20">
        <f>'Gov Fd Rv'!AO65-'Gov Fnd Exp'!BJ65</f>
        <v>0</v>
      </c>
      <c r="BT65" s="20">
        <f>BL65+BN65+BP65+BR65</f>
        <v>0</v>
      </c>
      <c r="BU65" s="20"/>
      <c r="BV65" s="20">
        <f>BT65-'Gov Fd BS'!AA65</f>
        <v>0</v>
      </c>
    </row>
    <row r="66" spans="1:74">
      <c r="A66" s="12" t="s">
        <v>772</v>
      </c>
      <c r="B66" s="12"/>
      <c r="C66" s="12" t="s">
        <v>20</v>
      </c>
      <c r="D66" s="12"/>
      <c r="E66" s="13">
        <v>43646</v>
      </c>
      <c r="G66" s="1">
        <v>22667984</v>
      </c>
      <c r="I66" s="1">
        <v>6834079</v>
      </c>
      <c r="K66" s="1">
        <v>195862</v>
      </c>
      <c r="M66" s="1">
        <f>47725+19989</f>
        <v>67714</v>
      </c>
      <c r="O66" s="1">
        <v>3585734</v>
      </c>
      <c r="Q66" s="1">
        <v>2930492</v>
      </c>
      <c r="S66" s="1">
        <v>84986</v>
      </c>
      <c r="U66" s="1">
        <v>3504839</v>
      </c>
      <c r="W66" s="1">
        <v>1269110</v>
      </c>
      <c r="Y66" s="1">
        <v>536463</v>
      </c>
      <c r="AA66" s="1">
        <v>4456369</v>
      </c>
      <c r="AC66" s="1">
        <v>3565426</v>
      </c>
      <c r="AE66" s="1">
        <v>247665</v>
      </c>
      <c r="AG66" s="1">
        <v>1616808</v>
      </c>
      <c r="AI66" s="1">
        <f>641832+394809</f>
        <v>1036641</v>
      </c>
      <c r="AJ66" s="12" t="s">
        <v>772</v>
      </c>
      <c r="AK66" s="12"/>
      <c r="AL66" s="12" t="s">
        <v>20</v>
      </c>
      <c r="AN66" s="1">
        <v>1143751</v>
      </c>
      <c r="AP66" s="1">
        <v>2901361</v>
      </c>
      <c r="AR66" s="1">
        <v>0</v>
      </c>
      <c r="AT66" s="1">
        <v>1678449</v>
      </c>
      <c r="AV66" s="1">
        <v>1277513</v>
      </c>
      <c r="AX66" s="1">
        <v>0</v>
      </c>
      <c r="AZ66" s="20">
        <f t="shared" si="6"/>
        <v>59601246</v>
      </c>
      <c r="BB66" s="1">
        <v>269230</v>
      </c>
      <c r="BH66" s="1">
        <v>0</v>
      </c>
      <c r="BJ66" s="20">
        <f t="shared" si="1"/>
        <v>59870476</v>
      </c>
      <c r="BL66" s="20">
        <f>'Gov Fd Rv'!AO66-'Gov Fnd Exp'!BJ66</f>
        <v>-3985981</v>
      </c>
      <c r="BN66" s="1">
        <v>18831747</v>
      </c>
      <c r="BP66" s="1">
        <v>0</v>
      </c>
      <c r="BR66" s="1">
        <v>0</v>
      </c>
      <c r="BT66" s="20">
        <f t="shared" si="3"/>
        <v>14845766</v>
      </c>
      <c r="BU66" s="20"/>
      <c r="BV66" s="20">
        <f>BT66-'Gov Fd BS'!AA66</f>
        <v>0</v>
      </c>
    </row>
    <row r="67" spans="1:74">
      <c r="A67" s="17" t="s">
        <v>220</v>
      </c>
      <c r="B67" s="12"/>
      <c r="C67" s="12" t="s">
        <v>15</v>
      </c>
      <c r="D67" s="12"/>
      <c r="E67" s="13">
        <v>45237</v>
      </c>
      <c r="G67" s="1">
        <v>3828959</v>
      </c>
      <c r="I67" s="1">
        <v>1111444</v>
      </c>
      <c r="K67" s="1">
        <v>50121</v>
      </c>
      <c r="M67" s="1">
        <v>62726</v>
      </c>
      <c r="O67" s="1">
        <v>185071</v>
      </c>
      <c r="Q67" s="1">
        <v>373483</v>
      </c>
      <c r="S67" s="1">
        <v>22561</v>
      </c>
      <c r="U67" s="1">
        <v>598913</v>
      </c>
      <c r="W67" s="1">
        <v>271391</v>
      </c>
      <c r="Y67" s="1">
        <v>46429</v>
      </c>
      <c r="AA67" s="1">
        <v>747611</v>
      </c>
      <c r="AC67" s="1">
        <v>271758</v>
      </c>
      <c r="AE67" s="1">
        <v>11090</v>
      </c>
      <c r="AG67" s="1">
        <v>378728</v>
      </c>
      <c r="AI67" s="1">
        <v>74898</v>
      </c>
      <c r="AJ67" s="12" t="s">
        <v>220</v>
      </c>
      <c r="AK67" s="12"/>
      <c r="AL67" s="12" t="s">
        <v>15</v>
      </c>
      <c r="AN67" s="1">
        <v>139126</v>
      </c>
      <c r="AP67" s="1">
        <v>57032</v>
      </c>
      <c r="AR67" s="1">
        <v>0</v>
      </c>
      <c r="AT67" s="1">
        <v>239569</v>
      </c>
      <c r="AV67" s="1">
        <v>212581</v>
      </c>
      <c r="AX67" s="1">
        <v>264024</v>
      </c>
      <c r="AZ67" s="20">
        <f t="shared" si="6"/>
        <v>8947515</v>
      </c>
      <c r="BB67" s="1">
        <v>40275</v>
      </c>
      <c r="BH67" s="1">
        <v>0</v>
      </c>
      <c r="BJ67" s="20">
        <f t="shared" si="1"/>
        <v>8987790</v>
      </c>
      <c r="BL67" s="20">
        <f>'Gov Fd Rv'!AO67-'Gov Fnd Exp'!BJ67</f>
        <v>96295</v>
      </c>
      <c r="BN67" s="1">
        <v>947559</v>
      </c>
      <c r="BP67" s="1">
        <v>0</v>
      </c>
      <c r="BR67" s="1">
        <v>0</v>
      </c>
      <c r="BT67" s="20">
        <f t="shared" si="3"/>
        <v>1043854</v>
      </c>
      <c r="BU67" s="20"/>
      <c r="BV67" s="20">
        <f>BT67-'Gov Fd BS'!AA67</f>
        <v>0</v>
      </c>
    </row>
    <row r="68" spans="1:74">
      <c r="A68" s="12" t="s">
        <v>394</v>
      </c>
      <c r="B68" s="12"/>
      <c r="C68" s="12" t="s">
        <v>395</v>
      </c>
      <c r="D68" s="12"/>
      <c r="E68" s="13">
        <v>47613</v>
      </c>
      <c r="G68" s="1">
        <v>3855988</v>
      </c>
      <c r="I68" s="1">
        <v>901952</v>
      </c>
      <c r="K68" s="1">
        <v>186340</v>
      </c>
      <c r="M68" s="1">
        <v>61061</v>
      </c>
      <c r="O68" s="1">
        <v>448804</v>
      </c>
      <c r="Q68" s="1">
        <v>516642</v>
      </c>
      <c r="S68" s="1">
        <v>32340</v>
      </c>
      <c r="U68" s="1">
        <v>431995</v>
      </c>
      <c r="W68" s="1">
        <v>287776</v>
      </c>
      <c r="Y68" s="1">
        <v>4280</v>
      </c>
      <c r="AA68" s="1">
        <v>618533</v>
      </c>
      <c r="AC68" s="1">
        <v>656339</v>
      </c>
      <c r="AE68" s="1">
        <v>0</v>
      </c>
      <c r="AG68" s="1">
        <v>341021</v>
      </c>
      <c r="AI68" s="1">
        <v>406</v>
      </c>
      <c r="AJ68" s="12" t="s">
        <v>394</v>
      </c>
      <c r="AK68" s="12"/>
      <c r="AL68" s="12" t="s">
        <v>395</v>
      </c>
      <c r="AN68" s="1">
        <v>118177</v>
      </c>
      <c r="AP68" s="1">
        <v>0</v>
      </c>
      <c r="AR68" s="1">
        <v>0</v>
      </c>
      <c r="AT68" s="1">
        <v>35000</v>
      </c>
      <c r="AV68" s="1">
        <f>21680+10199</f>
        <v>31879</v>
      </c>
      <c r="AX68" s="1">
        <v>0</v>
      </c>
      <c r="AZ68" s="20">
        <f t="shared" si="6"/>
        <v>8528533</v>
      </c>
      <c r="BB68" s="1">
        <v>333390</v>
      </c>
      <c r="BH68" s="1">
        <v>0</v>
      </c>
      <c r="BJ68" s="20">
        <f t="shared" si="1"/>
        <v>8861923</v>
      </c>
      <c r="BL68" s="20">
        <f>'Gov Fd Rv'!AO68-'Gov Fnd Exp'!BJ68</f>
        <v>-75021</v>
      </c>
      <c r="BN68" s="1">
        <v>2003667</v>
      </c>
      <c r="BP68" s="1">
        <v>0</v>
      </c>
      <c r="BR68" s="1">
        <v>0</v>
      </c>
      <c r="BT68" s="20">
        <f t="shared" si="3"/>
        <v>1928646</v>
      </c>
      <c r="BU68" s="20"/>
      <c r="BV68" s="20">
        <f>BT68-'Gov Fd BS'!AA68</f>
        <v>0</v>
      </c>
    </row>
    <row r="69" spans="1:74">
      <c r="A69" s="12" t="s">
        <v>600</v>
      </c>
      <c r="B69" s="12"/>
      <c r="C69" s="12" t="s">
        <v>64</v>
      </c>
      <c r="D69" s="12"/>
      <c r="E69" s="13">
        <v>50112</v>
      </c>
      <c r="G69" s="1">
        <v>3659544</v>
      </c>
      <c r="I69" s="1">
        <v>852984</v>
      </c>
      <c r="K69" s="1">
        <v>68181</v>
      </c>
      <c r="M69" s="1">
        <v>2964</v>
      </c>
      <c r="O69" s="1">
        <v>225945</v>
      </c>
      <c r="Q69" s="1">
        <v>193752</v>
      </c>
      <c r="S69" s="1">
        <v>26820</v>
      </c>
      <c r="U69" s="1">
        <v>554535</v>
      </c>
      <c r="W69" s="1">
        <v>217170</v>
      </c>
      <c r="Y69" s="1">
        <v>26209</v>
      </c>
      <c r="AA69" s="1">
        <v>604922</v>
      </c>
      <c r="AC69" s="1">
        <v>444150</v>
      </c>
      <c r="AE69" s="1">
        <v>7658</v>
      </c>
      <c r="AG69" s="1">
        <v>226498</v>
      </c>
      <c r="AI69" s="1">
        <v>0</v>
      </c>
      <c r="AJ69" s="12" t="s">
        <v>600</v>
      </c>
      <c r="AK69" s="12"/>
      <c r="AL69" s="12" t="s">
        <v>64</v>
      </c>
      <c r="AN69" s="1">
        <v>175977</v>
      </c>
      <c r="AP69" s="1">
        <v>32975</v>
      </c>
      <c r="AR69" s="1">
        <v>0</v>
      </c>
      <c r="AT69" s="1">
        <v>106039</v>
      </c>
      <c r="AV69" s="1">
        <v>81163</v>
      </c>
      <c r="AX69" s="1">
        <v>0</v>
      </c>
      <c r="AZ69" s="20">
        <f t="shared" si="6"/>
        <v>7507486</v>
      </c>
      <c r="BB69" s="1">
        <v>98604</v>
      </c>
      <c r="BH69" s="1">
        <v>0</v>
      </c>
      <c r="BJ69" s="20">
        <f t="shared" si="1"/>
        <v>7606090</v>
      </c>
      <c r="BL69" s="20">
        <f>'Gov Fd Rv'!AO69-'Gov Fnd Exp'!BJ69</f>
        <v>403428</v>
      </c>
      <c r="BN69" s="1">
        <v>1711184</v>
      </c>
      <c r="BP69" s="1">
        <v>60</v>
      </c>
      <c r="BR69" s="1">
        <v>0</v>
      </c>
      <c r="BT69" s="20">
        <f t="shared" si="3"/>
        <v>2114672</v>
      </c>
      <c r="BU69" s="20"/>
      <c r="BV69" s="20">
        <f>BT69-'Gov Fd BS'!AA69</f>
        <v>0</v>
      </c>
    </row>
    <row r="70" spans="1:74">
      <c r="A70" s="12" t="s">
        <v>827</v>
      </c>
      <c r="B70" s="12"/>
      <c r="C70" s="12" t="s">
        <v>64</v>
      </c>
      <c r="D70" s="12"/>
      <c r="E70" s="13">
        <v>50120</v>
      </c>
      <c r="G70" s="1">
        <v>4989640</v>
      </c>
      <c r="I70" s="1">
        <v>1808872</v>
      </c>
      <c r="K70" s="1">
        <v>140200</v>
      </c>
      <c r="M70" s="1">
        <v>0</v>
      </c>
      <c r="O70" s="1">
        <v>489837</v>
      </c>
      <c r="Q70" s="1">
        <v>323551</v>
      </c>
      <c r="S70" s="1">
        <v>8108</v>
      </c>
      <c r="U70" s="1">
        <v>828674</v>
      </c>
      <c r="W70" s="1">
        <v>306240</v>
      </c>
      <c r="Y70" s="1">
        <v>38307</v>
      </c>
      <c r="AA70" s="1">
        <v>1048198</v>
      </c>
      <c r="AC70" s="1">
        <v>598360</v>
      </c>
      <c r="AE70" s="1">
        <v>3175</v>
      </c>
      <c r="AG70" s="1">
        <v>573742</v>
      </c>
      <c r="AI70" s="1">
        <v>0</v>
      </c>
      <c r="AJ70" s="12" t="s">
        <v>827</v>
      </c>
      <c r="AK70" s="12"/>
      <c r="AL70" s="12" t="s">
        <v>64</v>
      </c>
      <c r="AN70" s="1">
        <v>312812</v>
      </c>
      <c r="AP70" s="1">
        <v>11524471</v>
      </c>
      <c r="AR70" s="1">
        <v>0</v>
      </c>
      <c r="AT70" s="1">
        <v>187511</v>
      </c>
      <c r="AV70" s="1">
        <v>703892</v>
      </c>
      <c r="AX70" s="1">
        <v>0</v>
      </c>
      <c r="AZ70" s="20">
        <f t="shared" si="6"/>
        <v>23885590</v>
      </c>
      <c r="BB70" s="1">
        <v>0</v>
      </c>
      <c r="BH70" s="1">
        <v>0</v>
      </c>
      <c r="BJ70" s="20">
        <f t="shared" si="1"/>
        <v>23885590</v>
      </c>
      <c r="BL70" s="20">
        <f>'Gov Fd Rv'!AO70-'Gov Fnd Exp'!BJ70</f>
        <v>-6177029</v>
      </c>
      <c r="BN70" s="1">
        <v>24481015</v>
      </c>
      <c r="BP70" s="1">
        <v>0</v>
      </c>
      <c r="BR70" s="1">
        <v>0</v>
      </c>
      <c r="BT70" s="20">
        <f t="shared" si="3"/>
        <v>18303986</v>
      </c>
      <c r="BU70" s="20"/>
      <c r="BV70" s="20">
        <f>BT70-'Gov Fd BS'!AA70</f>
        <v>0</v>
      </c>
    </row>
    <row r="71" spans="1:74">
      <c r="A71" s="12" t="s">
        <v>284</v>
      </c>
      <c r="B71" s="12"/>
      <c r="C71" s="12" t="s">
        <v>20</v>
      </c>
      <c r="D71" s="12"/>
      <c r="E71" s="13">
        <v>43653</v>
      </c>
      <c r="G71" s="1">
        <v>6991329</v>
      </c>
      <c r="I71" s="1">
        <v>2243202</v>
      </c>
      <c r="K71" s="1">
        <v>117796</v>
      </c>
      <c r="M71" s="1">
        <v>0</v>
      </c>
      <c r="O71" s="1">
        <v>1389327</v>
      </c>
      <c r="Q71" s="1">
        <v>98547</v>
      </c>
      <c r="S71" s="1">
        <v>33659</v>
      </c>
      <c r="U71" s="1">
        <v>1602425</v>
      </c>
      <c r="W71" s="1">
        <v>653480</v>
      </c>
      <c r="Y71" s="1">
        <v>98712</v>
      </c>
      <c r="AA71" s="1">
        <v>1247764</v>
      </c>
      <c r="AC71" s="1">
        <v>283705</v>
      </c>
      <c r="AE71" s="1">
        <v>124211</v>
      </c>
      <c r="AG71" s="1">
        <v>474058</v>
      </c>
      <c r="AI71" s="1">
        <v>338987</v>
      </c>
      <c r="AJ71" s="12" t="s">
        <v>284</v>
      </c>
      <c r="AK71" s="12"/>
      <c r="AL71" s="12" t="s">
        <v>20</v>
      </c>
      <c r="AN71" s="1">
        <v>428606</v>
      </c>
      <c r="AP71" s="1">
        <v>126523</v>
      </c>
      <c r="AR71" s="1">
        <v>0</v>
      </c>
      <c r="AT71" s="1">
        <v>0</v>
      </c>
      <c r="AV71" s="1">
        <v>0</v>
      </c>
      <c r="AX71" s="1">
        <v>0</v>
      </c>
      <c r="AZ71" s="20">
        <f t="shared" si="6"/>
        <v>16252331</v>
      </c>
      <c r="BB71" s="1">
        <v>19323</v>
      </c>
      <c r="BH71" s="1">
        <v>0</v>
      </c>
      <c r="BJ71" s="20">
        <f t="shared" si="1"/>
        <v>16271654</v>
      </c>
      <c r="BL71" s="20">
        <f>'Gov Fd Rv'!AO71-'Gov Fnd Exp'!BJ71</f>
        <v>199340</v>
      </c>
      <c r="BN71" s="1">
        <v>3157491</v>
      </c>
      <c r="BP71" s="1">
        <v>0</v>
      </c>
      <c r="BR71" s="1">
        <v>0</v>
      </c>
      <c r="BT71" s="20">
        <f t="shared" si="3"/>
        <v>3356831</v>
      </c>
      <c r="BU71" s="20"/>
      <c r="BV71" s="20">
        <f>BT71-'Gov Fd BS'!AA71</f>
        <v>0</v>
      </c>
    </row>
    <row r="72" spans="1:74">
      <c r="A72" s="12" t="s">
        <v>494</v>
      </c>
      <c r="B72" s="12"/>
      <c r="C72" s="12" t="s">
        <v>50</v>
      </c>
      <c r="D72" s="12"/>
      <c r="E72" s="13">
        <v>48678</v>
      </c>
      <c r="G72" s="1">
        <v>5558883</v>
      </c>
      <c r="I72" s="1">
        <v>1286310</v>
      </c>
      <c r="K72" s="1">
        <v>185153</v>
      </c>
      <c r="M72" s="1">
        <v>33921</v>
      </c>
      <c r="O72" s="1">
        <v>921619</v>
      </c>
      <c r="Q72" s="1">
        <v>957765</v>
      </c>
      <c r="S72" s="1">
        <v>28122</v>
      </c>
      <c r="U72" s="1">
        <v>1382651</v>
      </c>
      <c r="W72" s="1">
        <v>315335</v>
      </c>
      <c r="Y72" s="1">
        <v>4835</v>
      </c>
      <c r="AA72" s="1">
        <v>1198990</v>
      </c>
      <c r="AC72" s="1">
        <v>612442</v>
      </c>
      <c r="AE72" s="1">
        <v>33955</v>
      </c>
      <c r="AG72" s="1">
        <v>736088</v>
      </c>
      <c r="AI72" s="1">
        <v>0</v>
      </c>
      <c r="AJ72" s="12" t="s">
        <v>494</v>
      </c>
      <c r="AK72" s="12"/>
      <c r="AL72" s="12" t="s">
        <v>50</v>
      </c>
      <c r="AN72" s="1">
        <v>585480</v>
      </c>
      <c r="AP72" s="1">
        <v>422888</v>
      </c>
      <c r="AR72" s="1">
        <v>0</v>
      </c>
      <c r="AT72" s="1">
        <v>570000</v>
      </c>
      <c r="AV72" s="1">
        <v>821308</v>
      </c>
      <c r="AX72" s="1">
        <v>0</v>
      </c>
      <c r="AZ72" s="20">
        <f t="shared" si="6"/>
        <v>15655745</v>
      </c>
      <c r="BB72" s="1">
        <v>213962</v>
      </c>
      <c r="BH72" s="1">
        <v>0</v>
      </c>
      <c r="BJ72" s="20">
        <f t="shared" si="1"/>
        <v>15869707</v>
      </c>
      <c r="BL72" s="20">
        <f>'Gov Fd Rv'!AO72-'Gov Fnd Exp'!BJ72</f>
        <v>5328362</v>
      </c>
      <c r="BN72" s="1">
        <v>10954537</v>
      </c>
      <c r="BP72" s="1">
        <v>0</v>
      </c>
      <c r="BR72" s="1">
        <v>0</v>
      </c>
      <c r="BT72" s="20">
        <f t="shared" si="3"/>
        <v>16282899</v>
      </c>
      <c r="BU72" s="20"/>
      <c r="BV72" s="20">
        <f>BT72-'Gov Fd BS'!AA72</f>
        <v>0</v>
      </c>
    </row>
    <row r="73" spans="1:74">
      <c r="A73" s="12" t="s">
        <v>237</v>
      </c>
      <c r="B73" s="12"/>
      <c r="C73" s="12" t="s">
        <v>16</v>
      </c>
      <c r="D73" s="12"/>
      <c r="E73" s="13">
        <v>46177</v>
      </c>
      <c r="G73" s="1">
        <v>4061023</v>
      </c>
      <c r="I73" s="1">
        <v>490662</v>
      </c>
      <c r="K73" s="1">
        <v>53883</v>
      </c>
      <c r="M73" s="1">
        <v>0</v>
      </c>
      <c r="O73" s="1">
        <v>247490</v>
      </c>
      <c r="Q73" s="1">
        <v>365301</v>
      </c>
      <c r="S73" s="1">
        <v>197633</v>
      </c>
      <c r="U73" s="1">
        <v>630133</v>
      </c>
      <c r="W73" s="1">
        <v>156045</v>
      </c>
      <c r="Y73" s="1">
        <v>5234</v>
      </c>
      <c r="AA73" s="1">
        <v>483842</v>
      </c>
      <c r="AC73" s="1">
        <v>323488</v>
      </c>
      <c r="AE73" s="1">
        <v>10430</v>
      </c>
      <c r="AG73" s="1">
        <v>345779</v>
      </c>
      <c r="AI73" s="1">
        <v>0</v>
      </c>
      <c r="AJ73" s="12" t="s">
        <v>237</v>
      </c>
      <c r="AK73" s="12"/>
      <c r="AL73" s="12" t="s">
        <v>16</v>
      </c>
      <c r="AN73" s="1">
        <v>285954</v>
      </c>
      <c r="AP73" s="1">
        <v>1842</v>
      </c>
      <c r="AR73" s="1">
        <v>0</v>
      </c>
      <c r="AT73" s="1">
        <v>15825</v>
      </c>
      <c r="AV73" s="1">
        <v>3422</v>
      </c>
      <c r="AX73" s="1">
        <v>0</v>
      </c>
      <c r="AZ73" s="20">
        <f t="shared" si="6"/>
        <v>7677986</v>
      </c>
      <c r="BB73" s="1">
        <v>0</v>
      </c>
      <c r="BH73" s="1">
        <v>0</v>
      </c>
      <c r="BJ73" s="20">
        <f t="shared" si="1"/>
        <v>7677986</v>
      </c>
      <c r="BL73" s="20">
        <f>'Gov Fd Rv'!AO73-'Gov Fnd Exp'!BJ73</f>
        <v>-317714</v>
      </c>
      <c r="BN73" s="1">
        <v>3014593</v>
      </c>
      <c r="BP73" s="1">
        <v>0</v>
      </c>
      <c r="BR73" s="1">
        <v>0</v>
      </c>
      <c r="BT73" s="20">
        <f t="shared" si="3"/>
        <v>2696879</v>
      </c>
      <c r="BU73" s="20"/>
      <c r="BV73" s="20">
        <f>BT73-'Gov Fd BS'!AA73</f>
        <v>0</v>
      </c>
    </row>
    <row r="74" spans="1:74">
      <c r="A74" s="12" t="s">
        <v>479</v>
      </c>
      <c r="B74" s="12"/>
      <c r="C74" s="12" t="s">
        <v>47</v>
      </c>
      <c r="D74" s="12"/>
      <c r="E74" s="13">
        <v>43661</v>
      </c>
      <c r="G74" s="1">
        <v>30244375</v>
      </c>
      <c r="I74" s="1">
        <v>7554767</v>
      </c>
      <c r="K74" s="1">
        <v>163246</v>
      </c>
      <c r="M74" s="1">
        <v>1755908</v>
      </c>
      <c r="O74" s="1">
        <v>5564976</v>
      </c>
      <c r="Q74" s="1">
        <v>2976213</v>
      </c>
      <c r="S74" s="1">
        <v>732256</v>
      </c>
      <c r="U74" s="1">
        <v>4535575</v>
      </c>
      <c r="W74" s="1">
        <v>554799</v>
      </c>
      <c r="Y74" s="1">
        <v>429869</v>
      </c>
      <c r="AA74" s="1">
        <v>6327482</v>
      </c>
      <c r="AC74" s="1">
        <v>4548650</v>
      </c>
      <c r="AE74" s="1">
        <v>254358</v>
      </c>
      <c r="AG74" s="1">
        <v>2084112</v>
      </c>
      <c r="AI74" s="1">
        <v>438223</v>
      </c>
      <c r="AJ74" s="12" t="s">
        <v>479</v>
      </c>
      <c r="AK74" s="12"/>
      <c r="AL74" s="12" t="s">
        <v>47</v>
      </c>
      <c r="AN74" s="1">
        <v>1719088</v>
      </c>
      <c r="AP74" s="1">
        <v>927731</v>
      </c>
      <c r="AR74" s="1">
        <v>0</v>
      </c>
      <c r="AT74" s="1">
        <v>2663938</v>
      </c>
      <c r="AV74" s="1">
        <v>791043</v>
      </c>
      <c r="AX74" s="1">
        <v>0</v>
      </c>
      <c r="AZ74" s="20">
        <f t="shared" si="6"/>
        <v>74266609</v>
      </c>
      <c r="BB74" s="1">
        <v>10000</v>
      </c>
      <c r="BH74" s="1">
        <v>0</v>
      </c>
      <c r="BJ74" s="20">
        <f t="shared" si="1"/>
        <v>74276609</v>
      </c>
      <c r="BL74" s="20">
        <f>'Gov Fd Rv'!AO74-'Gov Fnd Exp'!BJ74</f>
        <v>3596219</v>
      </c>
      <c r="BN74" s="1">
        <v>9849686</v>
      </c>
      <c r="BP74" s="1">
        <v>0</v>
      </c>
      <c r="BR74" s="1">
        <v>0</v>
      </c>
      <c r="BT74" s="20">
        <f t="shared" si="3"/>
        <v>13445905</v>
      </c>
      <c r="BU74" s="20"/>
      <c r="BV74" s="20">
        <f>BT74-'Gov Fd BS'!AA74</f>
        <v>0</v>
      </c>
    </row>
    <row r="75" spans="1:74" hidden="1">
      <c r="A75" s="12" t="s">
        <v>829</v>
      </c>
      <c r="B75" s="12"/>
      <c r="C75" s="12" t="s">
        <v>643</v>
      </c>
      <c r="D75" s="12"/>
      <c r="E75" s="13">
        <v>43679</v>
      </c>
      <c r="AJ75" s="12" t="s">
        <v>829</v>
      </c>
      <c r="AK75" s="12"/>
      <c r="AL75" s="12" t="s">
        <v>643</v>
      </c>
      <c r="AZ75" s="20">
        <f t="shared" si="6"/>
        <v>0</v>
      </c>
      <c r="BJ75" s="20">
        <f t="shared" si="1"/>
        <v>0</v>
      </c>
      <c r="BL75" s="20">
        <f>'Gov Fd Rv'!AO75-'Gov Fnd Exp'!BJ75</f>
        <v>0</v>
      </c>
      <c r="BT75" s="20">
        <f t="shared" si="3"/>
        <v>0</v>
      </c>
      <c r="BU75" s="20"/>
      <c r="BV75" s="20">
        <f>BT75-'Gov Fd BS'!AA75</f>
        <v>0</v>
      </c>
    </row>
    <row r="76" spans="1:74">
      <c r="A76" s="12" t="s">
        <v>275</v>
      </c>
      <c r="B76" s="12"/>
      <c r="C76" s="12" t="s">
        <v>113</v>
      </c>
      <c r="D76" s="12"/>
      <c r="E76" s="13">
        <v>46508</v>
      </c>
      <c r="G76" s="1">
        <v>4421894</v>
      </c>
      <c r="I76" s="1">
        <v>737486</v>
      </c>
      <c r="K76" s="1">
        <v>102915</v>
      </c>
      <c r="M76" s="1">
        <v>5280</v>
      </c>
      <c r="O76" s="1">
        <v>177222</v>
      </c>
      <c r="Q76" s="1">
        <v>244092</v>
      </c>
      <c r="S76" s="1">
        <v>16639</v>
      </c>
      <c r="U76" s="1">
        <v>799692</v>
      </c>
      <c r="W76" s="1">
        <v>257628</v>
      </c>
      <c r="Y76" s="1">
        <v>2707</v>
      </c>
      <c r="AA76" s="1">
        <v>570249</v>
      </c>
      <c r="AC76" s="1">
        <v>546699</v>
      </c>
      <c r="AE76" s="1">
        <v>51217</v>
      </c>
      <c r="AG76" s="1">
        <v>272699</v>
      </c>
      <c r="AI76" s="1">
        <v>126053</v>
      </c>
      <c r="AJ76" s="12" t="s">
        <v>275</v>
      </c>
      <c r="AK76" s="12"/>
      <c r="AL76" s="12" t="s">
        <v>113</v>
      </c>
      <c r="AN76" s="1">
        <v>363203</v>
      </c>
      <c r="AP76" s="1">
        <f>6172920+111488</f>
        <v>6284408</v>
      </c>
      <c r="AR76" s="1">
        <v>0</v>
      </c>
      <c r="AT76" s="1">
        <v>221816</v>
      </c>
      <c r="AV76" s="1">
        <v>362922</v>
      </c>
      <c r="AX76" s="1">
        <v>0</v>
      </c>
      <c r="AZ76" s="20">
        <f t="shared" si="6"/>
        <v>15564821</v>
      </c>
      <c r="BB76" s="45">
        <v>32500</v>
      </c>
      <c r="BH76" s="1">
        <v>0</v>
      </c>
      <c r="BJ76" s="20">
        <f t="shared" si="1"/>
        <v>15597321</v>
      </c>
      <c r="BL76" s="20">
        <f>'Gov Fd Rv'!AO76-'Gov Fnd Exp'!BJ76</f>
        <v>-5160032</v>
      </c>
      <c r="BN76" s="1">
        <v>10711853</v>
      </c>
      <c r="BP76" s="1">
        <v>0</v>
      </c>
      <c r="BR76" s="1">
        <v>0</v>
      </c>
      <c r="BT76" s="20">
        <f t="shared" si="3"/>
        <v>5551821</v>
      </c>
      <c r="BU76" s="20"/>
      <c r="BV76" s="20">
        <f>BT76-'Gov Fd BS'!AA76</f>
        <v>0</v>
      </c>
    </row>
    <row r="77" spans="1:74">
      <c r="A77" s="12" t="s">
        <v>209</v>
      </c>
      <c r="B77" s="12"/>
      <c r="C77" s="12" t="s">
        <v>12</v>
      </c>
      <c r="D77" s="12"/>
      <c r="E77" s="13">
        <v>45856</v>
      </c>
      <c r="G77" s="1">
        <v>10249673</v>
      </c>
      <c r="I77" s="1">
        <v>1929191</v>
      </c>
      <c r="K77" s="1">
        <v>241901</v>
      </c>
      <c r="M77" s="1">
        <v>4411</v>
      </c>
      <c r="O77" s="1">
        <v>561165</v>
      </c>
      <c r="Q77" s="1">
        <v>289672</v>
      </c>
      <c r="S77" s="1">
        <v>27617</v>
      </c>
      <c r="U77" s="1">
        <v>1326365</v>
      </c>
      <c r="W77" s="1">
        <v>514479</v>
      </c>
      <c r="Y77" s="1">
        <v>88624</v>
      </c>
      <c r="AA77" s="1">
        <v>2027392</v>
      </c>
      <c r="AC77" s="1">
        <v>1212673</v>
      </c>
      <c r="AE77" s="1">
        <v>43506</v>
      </c>
      <c r="AG77" s="1">
        <v>875675</v>
      </c>
      <c r="AI77" s="1">
        <v>3405</v>
      </c>
      <c r="AJ77" s="12" t="s">
        <v>209</v>
      </c>
      <c r="AK77" s="12"/>
      <c r="AL77" s="12" t="s">
        <v>12</v>
      </c>
      <c r="AN77" s="1">
        <v>481349</v>
      </c>
      <c r="AP77" s="1">
        <v>545848</v>
      </c>
      <c r="AR77" s="1">
        <v>0</v>
      </c>
      <c r="AT77" s="1">
        <v>102057</v>
      </c>
      <c r="AV77" s="1">
        <v>16771</v>
      </c>
      <c r="AX77" s="1">
        <v>0</v>
      </c>
      <c r="AZ77" s="20">
        <f t="shared" si="6"/>
        <v>20541774</v>
      </c>
      <c r="BB77" s="1">
        <v>0</v>
      </c>
      <c r="BH77" s="1">
        <v>0</v>
      </c>
      <c r="BJ77" s="20">
        <f t="shared" si="1"/>
        <v>20541774</v>
      </c>
      <c r="BL77" s="20">
        <f>'Gov Fd Rv'!AO77-'Gov Fnd Exp'!BJ77</f>
        <v>149669</v>
      </c>
      <c r="BN77" s="1">
        <v>5978889</v>
      </c>
      <c r="BP77" s="1">
        <v>0</v>
      </c>
      <c r="BR77" s="1">
        <v>0</v>
      </c>
      <c r="BT77" s="20">
        <f t="shared" si="3"/>
        <v>6128558</v>
      </c>
      <c r="BU77" s="20"/>
      <c r="BV77" s="20">
        <f>BT77-'Gov Fd BS'!AA77</f>
        <v>0</v>
      </c>
    </row>
    <row r="78" spans="1:74">
      <c r="A78" s="12" t="s">
        <v>209</v>
      </c>
      <c r="B78" s="12"/>
      <c r="C78" s="12" t="s">
        <v>39</v>
      </c>
      <c r="D78" s="12"/>
      <c r="E78" s="13">
        <v>47787</v>
      </c>
      <c r="G78" s="1">
        <v>8769916</v>
      </c>
      <c r="I78" s="1">
        <v>2535533</v>
      </c>
      <c r="K78" s="1">
        <v>750348</v>
      </c>
      <c r="M78" s="1">
        <v>288768</v>
      </c>
      <c r="O78" s="1">
        <v>761388</v>
      </c>
      <c r="Q78" s="1">
        <v>902236</v>
      </c>
      <c r="S78" s="1">
        <v>137355</v>
      </c>
      <c r="U78" s="1">
        <v>1980727</v>
      </c>
      <c r="W78" s="1">
        <v>440914</v>
      </c>
      <c r="Y78" s="1">
        <v>39536</v>
      </c>
      <c r="AA78" s="1">
        <v>2043578</v>
      </c>
      <c r="AC78" s="1">
        <v>1844856</v>
      </c>
      <c r="AE78" s="1">
        <v>0</v>
      </c>
      <c r="AG78" s="1">
        <v>1008114</v>
      </c>
      <c r="AI78" s="1">
        <v>11227</v>
      </c>
      <c r="AJ78" s="12" t="s">
        <v>209</v>
      </c>
      <c r="AK78" s="12"/>
      <c r="AL78" s="12" t="s">
        <v>39</v>
      </c>
      <c r="AN78" s="1">
        <v>422483</v>
      </c>
      <c r="AP78" s="1">
        <v>0</v>
      </c>
      <c r="AR78" s="1">
        <v>0</v>
      </c>
      <c r="AT78" s="1">
        <v>635610</v>
      </c>
      <c r="AV78" s="1">
        <f>199390+56287</f>
        <v>255677</v>
      </c>
      <c r="AX78" s="1">
        <v>0</v>
      </c>
      <c r="AZ78" s="20">
        <f t="shared" si="6"/>
        <v>22828266</v>
      </c>
      <c r="BB78" s="1">
        <v>158623</v>
      </c>
      <c r="BH78" s="1">
        <v>0</v>
      </c>
      <c r="BJ78" s="20">
        <f t="shared" si="1"/>
        <v>22986889</v>
      </c>
      <c r="BL78" s="20">
        <f>'Gov Fd Rv'!AO78-'Gov Fnd Exp'!BJ78</f>
        <v>23913</v>
      </c>
      <c r="BN78" s="1">
        <v>248118</v>
      </c>
      <c r="BP78" s="1">
        <v>0</v>
      </c>
      <c r="BR78" s="1">
        <v>0</v>
      </c>
      <c r="BT78" s="20">
        <f t="shared" si="3"/>
        <v>272031</v>
      </c>
      <c r="BU78" s="20"/>
      <c r="BV78" s="20">
        <f>BT78-'Gov Fd BS'!AA78</f>
        <v>0</v>
      </c>
    </row>
    <row r="79" spans="1:74">
      <c r="A79" s="12" t="s">
        <v>209</v>
      </c>
      <c r="B79" s="12"/>
      <c r="C79" s="12" t="s">
        <v>47</v>
      </c>
      <c r="D79" s="12"/>
      <c r="E79" s="13">
        <v>48470</v>
      </c>
      <c r="G79" s="1">
        <v>9450588</v>
      </c>
      <c r="I79" s="1">
        <v>2238996</v>
      </c>
      <c r="K79" s="1">
        <v>213188</v>
      </c>
      <c r="M79" s="1">
        <v>547575</v>
      </c>
      <c r="O79" s="1">
        <v>1077010</v>
      </c>
      <c r="Q79" s="1">
        <v>1205180</v>
      </c>
      <c r="S79" s="1">
        <v>34238</v>
      </c>
      <c r="U79" s="1">
        <v>1873532</v>
      </c>
      <c r="W79" s="1">
        <v>655161</v>
      </c>
      <c r="Y79" s="1">
        <v>35787</v>
      </c>
      <c r="AA79" s="1">
        <v>1711813</v>
      </c>
      <c r="AC79" s="1">
        <v>1478520</v>
      </c>
      <c r="AE79" s="1">
        <v>44292</v>
      </c>
      <c r="AG79" s="1">
        <v>569127</v>
      </c>
      <c r="AI79" s="1">
        <v>35301</v>
      </c>
      <c r="AJ79" s="12" t="s">
        <v>209</v>
      </c>
      <c r="AK79" s="12"/>
      <c r="AL79" s="12" t="s">
        <v>47</v>
      </c>
      <c r="AN79" s="1">
        <v>721361</v>
      </c>
      <c r="AP79" s="1">
        <v>2715300</v>
      </c>
      <c r="AR79" s="1">
        <v>0</v>
      </c>
      <c r="AT79" s="1">
        <v>438000</v>
      </c>
      <c r="AV79" s="1">
        <f>1367572+156805</f>
        <v>1524377</v>
      </c>
      <c r="AX79" s="1">
        <v>0</v>
      </c>
      <c r="AZ79" s="20">
        <f t="shared" si="6"/>
        <v>26569346</v>
      </c>
      <c r="BB79" s="1">
        <v>229488</v>
      </c>
      <c r="BH79" s="1">
        <v>6140</v>
      </c>
      <c r="BJ79" s="20">
        <f t="shared" si="1"/>
        <v>26804974</v>
      </c>
      <c r="BL79" s="20">
        <f>'Gov Fd Rv'!AO79-'Gov Fnd Exp'!BJ79</f>
        <v>695198</v>
      </c>
      <c r="BN79" s="1">
        <v>1850108</v>
      </c>
      <c r="BP79" s="1">
        <v>0</v>
      </c>
      <c r="BR79" s="1">
        <v>0</v>
      </c>
      <c r="BT79" s="20">
        <f t="shared" si="3"/>
        <v>2545306</v>
      </c>
      <c r="BU79" s="20"/>
      <c r="BV79" s="20">
        <f>BT79-'Gov Fd BS'!AA79</f>
        <v>0</v>
      </c>
    </row>
    <row r="80" spans="1:74">
      <c r="A80" s="1" t="s">
        <v>775</v>
      </c>
      <c r="B80" s="12"/>
      <c r="C80" s="12" t="s">
        <v>114</v>
      </c>
      <c r="D80" s="12"/>
      <c r="E80" s="13">
        <v>46755</v>
      </c>
      <c r="G80" s="1">
        <f>3860230+1358401</f>
        <v>5218631</v>
      </c>
      <c r="I80" s="1">
        <v>0</v>
      </c>
      <c r="K80" s="1">
        <v>0</v>
      </c>
      <c r="M80" s="1">
        <v>0</v>
      </c>
      <c r="O80" s="1">
        <v>2233005</v>
      </c>
      <c r="Q80" s="1">
        <v>0</v>
      </c>
      <c r="S80" s="1">
        <v>0</v>
      </c>
      <c r="U80" s="1">
        <v>0</v>
      </c>
      <c r="W80" s="1">
        <v>0</v>
      </c>
      <c r="Y80" s="1">
        <v>0</v>
      </c>
      <c r="AA80" s="1">
        <v>0</v>
      </c>
      <c r="AC80" s="1">
        <v>0</v>
      </c>
      <c r="AE80" s="1">
        <v>0</v>
      </c>
      <c r="AG80" s="1">
        <v>0</v>
      </c>
      <c r="AI80" s="1">
        <v>2589745</v>
      </c>
      <c r="AJ80" s="12" t="s">
        <v>775</v>
      </c>
      <c r="AK80" s="12"/>
      <c r="AL80" s="12" t="s">
        <v>114</v>
      </c>
      <c r="AN80" s="1">
        <v>0</v>
      </c>
      <c r="AP80" s="1">
        <v>0</v>
      </c>
      <c r="AR80" s="1">
        <v>0</v>
      </c>
      <c r="AT80" s="1">
        <v>0</v>
      </c>
      <c r="AV80" s="1">
        <f>970935+86564</f>
        <v>1057499</v>
      </c>
      <c r="AX80" s="1">
        <f>50098+88</f>
        <v>50186</v>
      </c>
      <c r="AZ80" s="20">
        <f>SUM(G80:AX80)</f>
        <v>11149066</v>
      </c>
      <c r="BB80" s="1">
        <v>0</v>
      </c>
      <c r="BH80" s="1">
        <v>0</v>
      </c>
      <c r="BJ80" s="20">
        <f>AZ80+BB80+BH80</f>
        <v>11149066</v>
      </c>
      <c r="BL80" s="20">
        <f>'Gov Fd Rv'!AO80-'Gov Fnd Exp'!BJ80</f>
        <v>298144</v>
      </c>
      <c r="BN80" s="1">
        <v>3169819</v>
      </c>
      <c r="BP80" s="1">
        <v>0</v>
      </c>
      <c r="BR80" s="1">
        <v>0</v>
      </c>
      <c r="BT80" s="20">
        <f>BL80+BN80+BP80+BR80</f>
        <v>3467963</v>
      </c>
      <c r="BU80" s="20"/>
      <c r="BV80" s="20">
        <f>BT80-'Gov Fd BS'!AA80</f>
        <v>0</v>
      </c>
    </row>
    <row r="81" spans="1:74">
      <c r="A81" s="12" t="s">
        <v>312</v>
      </c>
      <c r="B81" s="12"/>
      <c r="C81" s="12" t="s">
        <v>23</v>
      </c>
      <c r="D81" s="12"/>
      <c r="E81" s="13">
        <v>46755</v>
      </c>
      <c r="G81" s="1">
        <v>11226304</v>
      </c>
      <c r="I81" s="1">
        <v>2145780</v>
      </c>
      <c r="K81" s="1">
        <v>283142</v>
      </c>
      <c r="M81" s="1">
        <v>16562</v>
      </c>
      <c r="O81" s="1">
        <v>2241402</v>
      </c>
      <c r="Q81" s="1">
        <v>489517</v>
      </c>
      <c r="S81" s="1">
        <v>169459</v>
      </c>
      <c r="U81" s="1">
        <v>2073044</v>
      </c>
      <c r="W81" s="1">
        <v>591739</v>
      </c>
      <c r="Y81" s="1">
        <v>0</v>
      </c>
      <c r="AA81" s="1">
        <v>2384260</v>
      </c>
      <c r="AC81" s="1">
        <v>1850653</v>
      </c>
      <c r="AE81" s="1">
        <v>38814</v>
      </c>
      <c r="AG81" s="1">
        <v>785174</v>
      </c>
      <c r="AI81" s="1">
        <v>14506</v>
      </c>
      <c r="AJ81" s="12" t="s">
        <v>312</v>
      </c>
      <c r="AK81" s="12"/>
      <c r="AL81" s="12" t="s">
        <v>23</v>
      </c>
      <c r="AN81" s="1">
        <v>445834</v>
      </c>
      <c r="AP81" s="1">
        <v>1328283</v>
      </c>
      <c r="AR81" s="1">
        <v>0</v>
      </c>
      <c r="AT81" s="1">
        <v>1352484</v>
      </c>
      <c r="AV81" s="1">
        <v>1196528</v>
      </c>
      <c r="AX81" s="1">
        <v>0</v>
      </c>
      <c r="AZ81" s="20">
        <f t="shared" si="6"/>
        <v>28633485</v>
      </c>
      <c r="BB81" s="1">
        <v>0</v>
      </c>
      <c r="BH81" s="1">
        <v>0</v>
      </c>
      <c r="BJ81" s="20">
        <f>AZ81+BB81+BH81</f>
        <v>28633485</v>
      </c>
      <c r="BL81" s="20">
        <f>'Gov Fd Rv'!AO81-'Gov Fnd Exp'!BJ81</f>
        <v>-2013077</v>
      </c>
      <c r="BN81" s="1">
        <v>22046528</v>
      </c>
      <c r="BP81" s="1">
        <v>0</v>
      </c>
      <c r="BR81" s="1">
        <v>0</v>
      </c>
      <c r="BT81" s="20">
        <f t="shared" si="3"/>
        <v>20033451</v>
      </c>
      <c r="BU81" s="20"/>
      <c r="BV81" s="20">
        <f>BT81-'Gov Fd BS'!AA81</f>
        <v>0</v>
      </c>
    </row>
    <row r="82" spans="1:74">
      <c r="A82" s="12" t="s">
        <v>276</v>
      </c>
      <c r="B82" s="12"/>
      <c r="C82" s="12" t="s">
        <v>113</v>
      </c>
      <c r="D82" s="12"/>
      <c r="E82" s="13">
        <v>43687</v>
      </c>
      <c r="G82" s="1">
        <v>7533596</v>
      </c>
      <c r="I82" s="1">
        <v>2177738</v>
      </c>
      <c r="K82" s="1">
        <v>318774</v>
      </c>
      <c r="M82" s="1">
        <v>0</v>
      </c>
      <c r="O82" s="1">
        <v>985870</v>
      </c>
      <c r="Q82" s="1">
        <v>1368073</v>
      </c>
      <c r="S82" s="1">
        <v>94409</v>
      </c>
      <c r="U82" s="1">
        <v>1360705</v>
      </c>
      <c r="W82" s="1">
        <v>555686</v>
      </c>
      <c r="Y82" s="1">
        <v>306421</v>
      </c>
      <c r="AA82" s="1">
        <v>1414208</v>
      </c>
      <c r="AC82" s="1">
        <v>487281</v>
      </c>
      <c r="AE82" s="1">
        <v>261971</v>
      </c>
      <c r="AG82" s="1">
        <v>1142907</v>
      </c>
      <c r="AI82" s="1">
        <v>0</v>
      </c>
      <c r="AJ82" s="12" t="s">
        <v>276</v>
      </c>
      <c r="AK82" s="12"/>
      <c r="AL82" s="12" t="s">
        <v>113</v>
      </c>
      <c r="AN82" s="1">
        <v>470350</v>
      </c>
      <c r="AP82" s="1">
        <v>7146107</v>
      </c>
      <c r="AR82" s="1">
        <v>0</v>
      </c>
      <c r="AT82" s="1">
        <v>180536</v>
      </c>
      <c r="AV82" s="1">
        <v>577898</v>
      </c>
      <c r="AX82" s="1">
        <v>0</v>
      </c>
      <c r="AZ82" s="20">
        <f t="shared" si="6"/>
        <v>26382530</v>
      </c>
      <c r="BB82" s="1">
        <v>0</v>
      </c>
      <c r="BH82" s="1">
        <v>0</v>
      </c>
      <c r="BJ82" s="20">
        <f>AZ82+BB82+BH82</f>
        <v>26382530</v>
      </c>
      <c r="BL82" s="20">
        <f>'Gov Fd Rv'!AO82-'Gov Fnd Exp'!BJ82</f>
        <v>-7163847</v>
      </c>
      <c r="BN82" s="1">
        <v>17470352</v>
      </c>
      <c r="BP82" s="1">
        <v>0</v>
      </c>
      <c r="BR82" s="1">
        <v>0</v>
      </c>
      <c r="BT82" s="20">
        <f t="shared" si="3"/>
        <v>10306505</v>
      </c>
      <c r="BU82" s="20"/>
      <c r="BV82" s="20">
        <f>BT82-'Gov Fd BS'!AA82</f>
        <v>0</v>
      </c>
    </row>
    <row r="83" spans="1:74">
      <c r="A83" s="12" t="s">
        <v>517</v>
      </c>
      <c r="B83" s="12"/>
      <c r="C83" s="12" t="s">
        <v>52</v>
      </c>
      <c r="D83" s="12"/>
      <c r="E83" s="13">
        <v>45252</v>
      </c>
      <c r="G83" s="1">
        <v>3795394</v>
      </c>
      <c r="I83" s="1">
        <v>889809</v>
      </c>
      <c r="K83" s="1">
        <v>83308</v>
      </c>
      <c r="M83" s="1">
        <f>4977+2071</f>
        <v>7048</v>
      </c>
      <c r="O83" s="1">
        <v>571311</v>
      </c>
      <c r="Q83" s="1">
        <v>503116</v>
      </c>
      <c r="S83" s="1">
        <v>44086</v>
      </c>
      <c r="U83" s="1">
        <v>710594</v>
      </c>
      <c r="W83" s="1">
        <v>345204</v>
      </c>
      <c r="Y83" s="1">
        <v>0</v>
      </c>
      <c r="AA83" s="1">
        <v>511004</v>
      </c>
      <c r="AC83" s="1">
        <v>599313</v>
      </c>
      <c r="AE83" s="1">
        <v>5000</v>
      </c>
      <c r="AG83" s="1">
        <v>375288</v>
      </c>
      <c r="AI83" s="1">
        <v>0</v>
      </c>
      <c r="AJ83" s="12" t="s">
        <v>517</v>
      </c>
      <c r="AK83" s="12"/>
      <c r="AL83" s="12" t="s">
        <v>52</v>
      </c>
      <c r="AN83" s="1">
        <v>280957</v>
      </c>
      <c r="AP83" s="1">
        <v>0</v>
      </c>
      <c r="AR83" s="1">
        <v>0</v>
      </c>
      <c r="AT83" s="1">
        <v>0</v>
      </c>
      <c r="AV83" s="1">
        <v>0</v>
      </c>
      <c r="AX83" s="1">
        <v>0</v>
      </c>
      <c r="AZ83" s="20">
        <f t="shared" ref="AZ83" si="7">SUM(G83:AX83)</f>
        <v>8721432</v>
      </c>
      <c r="BB83" s="1">
        <v>50000</v>
      </c>
      <c r="BH83" s="1">
        <v>0</v>
      </c>
      <c r="BJ83" s="20">
        <f t="shared" ref="BJ83:BJ152" si="8">AZ83+BB83+BH83</f>
        <v>8771432</v>
      </c>
      <c r="BL83" s="20">
        <f>'Gov Fd Rv'!AO83-'Gov Fnd Exp'!BJ83</f>
        <v>68552</v>
      </c>
      <c r="BN83" s="1">
        <v>1300350</v>
      </c>
      <c r="BP83" s="1">
        <v>0</v>
      </c>
      <c r="BR83" s="1">
        <v>0</v>
      </c>
      <c r="BT83" s="20">
        <f t="shared" si="3"/>
        <v>1368902</v>
      </c>
      <c r="BU83" s="20"/>
      <c r="BV83" s="20">
        <f>BT83-'Gov Fd BS'!AA83</f>
        <v>0</v>
      </c>
    </row>
    <row r="84" spans="1:74">
      <c r="A84" s="12" t="s">
        <v>360</v>
      </c>
      <c r="B84" s="12"/>
      <c r="C84" s="12" t="s">
        <v>31</v>
      </c>
      <c r="D84" s="12"/>
      <c r="E84" s="13">
        <v>43695</v>
      </c>
      <c r="G84" s="1">
        <v>10417649</v>
      </c>
      <c r="I84" s="1">
        <v>3234002</v>
      </c>
      <c r="K84" s="1">
        <v>137161</v>
      </c>
      <c r="M84" s="1">
        <f>13493+283063</f>
        <v>296556</v>
      </c>
      <c r="O84" s="1">
        <v>1024827</v>
      </c>
      <c r="Q84" s="1">
        <v>1291323</v>
      </c>
      <c r="S84" s="1">
        <v>69554</v>
      </c>
      <c r="U84" s="1">
        <v>1506251</v>
      </c>
      <c r="W84" s="1">
        <v>511571</v>
      </c>
      <c r="Y84" s="1">
        <v>84596</v>
      </c>
      <c r="AA84" s="1">
        <v>2328329</v>
      </c>
      <c r="AC84" s="1">
        <v>1184784</v>
      </c>
      <c r="AE84" s="1">
        <v>262361</v>
      </c>
      <c r="AG84" s="1">
        <v>1047472</v>
      </c>
      <c r="AI84" s="1">
        <f>49458+14289</f>
        <v>63747</v>
      </c>
      <c r="AJ84" s="12" t="s">
        <v>360</v>
      </c>
      <c r="AK84" s="12"/>
      <c r="AL84" s="12" t="s">
        <v>31</v>
      </c>
      <c r="AN84" s="1">
        <v>504506</v>
      </c>
      <c r="AP84" s="1">
        <v>23431</v>
      </c>
      <c r="AR84" s="1">
        <v>0</v>
      </c>
      <c r="AT84" s="1">
        <v>364351</v>
      </c>
      <c r="AV84" s="1">
        <v>249587</v>
      </c>
      <c r="AX84" s="1">
        <v>0</v>
      </c>
      <c r="AZ84" s="20">
        <f t="shared" ref="AZ84:AZ144" si="9">SUM(G84:AX84)</f>
        <v>24602058</v>
      </c>
      <c r="BB84" s="1">
        <v>0</v>
      </c>
      <c r="BH84" s="1">
        <v>0</v>
      </c>
      <c r="BJ84" s="20">
        <f t="shared" si="8"/>
        <v>24602058</v>
      </c>
      <c r="BL84" s="20">
        <f>'Gov Fd Rv'!AO84-'Gov Fnd Exp'!BJ84</f>
        <v>-781219</v>
      </c>
      <c r="BN84" s="1">
        <v>4987301</v>
      </c>
      <c r="BP84" s="1">
        <v>0</v>
      </c>
      <c r="BR84" s="1">
        <v>0</v>
      </c>
      <c r="BT84" s="20">
        <f t="shared" si="3"/>
        <v>4206082</v>
      </c>
      <c r="BU84" s="20"/>
      <c r="BV84" s="20">
        <f>BT84-'Gov Fd BS'!AA84</f>
        <v>0</v>
      </c>
    </row>
    <row r="85" spans="1:74">
      <c r="A85" s="12" t="s">
        <v>463</v>
      </c>
      <c r="B85" s="12"/>
      <c r="C85" s="12" t="s">
        <v>45</v>
      </c>
      <c r="D85" s="12"/>
      <c r="E85" s="13">
        <v>43703</v>
      </c>
      <c r="G85" s="1">
        <v>7094348</v>
      </c>
      <c r="I85" s="1">
        <v>2175863</v>
      </c>
      <c r="K85" s="1">
        <v>210469</v>
      </c>
      <c r="M85" s="1">
        <v>617106</v>
      </c>
      <c r="O85" s="1">
        <v>419801</v>
      </c>
      <c r="Q85" s="1">
        <v>500303</v>
      </c>
      <c r="S85" s="1">
        <v>15590</v>
      </c>
      <c r="U85" s="1">
        <v>930432</v>
      </c>
      <c r="W85" s="1">
        <v>316526</v>
      </c>
      <c r="Y85" s="1">
        <v>61845</v>
      </c>
      <c r="AA85" s="1">
        <v>1585610</v>
      </c>
      <c r="AC85" s="1">
        <v>442764</v>
      </c>
      <c r="AE85" s="1">
        <v>0</v>
      </c>
      <c r="AG85" s="1">
        <v>542555</v>
      </c>
      <c r="AI85" s="1">
        <v>74819</v>
      </c>
      <c r="AJ85" s="12" t="s">
        <v>463</v>
      </c>
      <c r="AK85" s="12"/>
      <c r="AL85" s="12" t="s">
        <v>45</v>
      </c>
      <c r="AN85" s="1">
        <v>439394</v>
      </c>
      <c r="AP85" s="1">
        <v>558906</v>
      </c>
      <c r="AR85" s="1">
        <v>0</v>
      </c>
      <c r="AT85" s="1">
        <v>291534</v>
      </c>
      <c r="AV85" s="1">
        <f>242177+48922</f>
        <v>291099</v>
      </c>
      <c r="AX85" s="1">
        <v>0</v>
      </c>
      <c r="AZ85" s="20">
        <f t="shared" si="9"/>
        <v>16568964</v>
      </c>
      <c r="BB85" s="1">
        <v>0</v>
      </c>
      <c r="BH85" s="1">
        <v>1761690</v>
      </c>
      <c r="BJ85" s="20">
        <f t="shared" si="8"/>
        <v>18330654</v>
      </c>
      <c r="BL85" s="20">
        <f>'Gov Fd Rv'!AO85-'Gov Fnd Exp'!BJ85</f>
        <v>71011</v>
      </c>
      <c r="BN85" s="1">
        <v>670723</v>
      </c>
      <c r="BP85" s="1">
        <v>0</v>
      </c>
      <c r="BR85" s="1">
        <v>0</v>
      </c>
      <c r="BT85" s="20">
        <f t="shared" ref="BT85:BT154" si="10">BL85+BN85+BP85+BR85</f>
        <v>741734</v>
      </c>
      <c r="BU85" s="20"/>
      <c r="BV85" s="20">
        <f>BT85-'Gov Fd BS'!AA85</f>
        <v>0</v>
      </c>
    </row>
    <row r="86" spans="1:74">
      <c r="A86" s="12" t="s">
        <v>330</v>
      </c>
      <c r="B86" s="12"/>
      <c r="C86" s="12" t="s">
        <v>27</v>
      </c>
      <c r="D86" s="12"/>
      <c r="E86" s="13">
        <v>46946</v>
      </c>
      <c r="G86" s="1">
        <v>15047699</v>
      </c>
      <c r="I86" s="1">
        <v>3790609</v>
      </c>
      <c r="K86" s="1">
        <v>607980</v>
      </c>
      <c r="M86" s="1">
        <v>1064</v>
      </c>
      <c r="O86" s="1">
        <v>2062899</v>
      </c>
      <c r="Q86" s="1">
        <v>1831800</v>
      </c>
      <c r="S86" s="1">
        <v>370602</v>
      </c>
      <c r="U86" s="1">
        <v>2669842</v>
      </c>
      <c r="W86" s="1">
        <v>814429</v>
      </c>
      <c r="Y86" s="1">
        <v>0</v>
      </c>
      <c r="AA86" s="1">
        <v>3902521</v>
      </c>
      <c r="AC86" s="1">
        <v>2287317</v>
      </c>
      <c r="AE86" s="1">
        <v>225769</v>
      </c>
      <c r="AG86" s="1">
        <v>0</v>
      </c>
      <c r="AI86" s="1">
        <v>0</v>
      </c>
      <c r="AJ86" s="12" t="s">
        <v>330</v>
      </c>
      <c r="AK86" s="12"/>
      <c r="AL86" s="12" t="s">
        <v>27</v>
      </c>
      <c r="AN86" s="1">
        <v>957907</v>
      </c>
      <c r="AP86" s="1">
        <v>57261</v>
      </c>
      <c r="AR86" s="1">
        <v>0</v>
      </c>
      <c r="AT86" s="1">
        <v>4108332</v>
      </c>
      <c r="AV86" s="1">
        <f>2698935+22135</f>
        <v>2721070</v>
      </c>
      <c r="AX86" s="1">
        <v>0</v>
      </c>
      <c r="AZ86" s="20">
        <f t="shared" si="9"/>
        <v>41457101</v>
      </c>
      <c r="BB86" s="1">
        <v>285</v>
      </c>
      <c r="BH86" s="1">
        <v>0</v>
      </c>
      <c r="BJ86" s="20">
        <f t="shared" si="8"/>
        <v>41457386</v>
      </c>
      <c r="BL86" s="20">
        <f>'Gov Fd Rv'!AO86-'Gov Fnd Exp'!BJ86</f>
        <v>1959024</v>
      </c>
      <c r="BN86" s="1">
        <v>8048890</v>
      </c>
      <c r="BP86" s="1">
        <v>0</v>
      </c>
      <c r="BR86" s="1">
        <v>0</v>
      </c>
      <c r="BT86" s="20">
        <f t="shared" si="10"/>
        <v>10007914</v>
      </c>
      <c r="BU86" s="20"/>
      <c r="BV86" s="20">
        <f>BT86-'Gov Fd BS'!AA86</f>
        <v>0</v>
      </c>
    </row>
    <row r="87" spans="1:74">
      <c r="A87" s="12"/>
      <c r="B87" s="12"/>
      <c r="C87" s="12"/>
      <c r="D87" s="12"/>
      <c r="E87" s="13"/>
      <c r="AJ87" s="12"/>
      <c r="AK87" s="12"/>
      <c r="AL87" s="12"/>
      <c r="AZ87" s="20"/>
      <c r="BJ87" s="20"/>
      <c r="BL87" s="20"/>
      <c r="BT87" s="20"/>
      <c r="BU87" s="20"/>
      <c r="BV87" s="20"/>
    </row>
    <row r="88" spans="1:74">
      <c r="A88" s="12"/>
      <c r="B88" s="12"/>
      <c r="C88" s="12"/>
      <c r="D88" s="12"/>
      <c r="E88" s="13"/>
      <c r="AI88" s="20" t="s">
        <v>709</v>
      </c>
      <c r="AJ88" s="12"/>
      <c r="AK88" s="12"/>
      <c r="AL88" s="12"/>
      <c r="AZ88" s="20"/>
      <c r="BJ88" s="20"/>
      <c r="BL88" s="20"/>
      <c r="BT88" s="20" t="s">
        <v>709</v>
      </c>
      <c r="BU88" s="20"/>
      <c r="BV88" s="20"/>
    </row>
    <row r="89" spans="1:74">
      <c r="A89" s="12"/>
      <c r="B89" s="12"/>
      <c r="C89" s="12"/>
      <c r="D89" s="12"/>
      <c r="E89" s="13"/>
      <c r="AJ89" s="12"/>
      <c r="AK89" s="12"/>
      <c r="AL89" s="12"/>
      <c r="AZ89" s="20"/>
      <c r="BJ89" s="20"/>
      <c r="BL89" s="20"/>
      <c r="BT89" s="20"/>
      <c r="BU89" s="20"/>
      <c r="BV89" s="20"/>
    </row>
    <row r="90" spans="1:74">
      <c r="A90" s="12" t="s">
        <v>464</v>
      </c>
      <c r="B90" s="12"/>
      <c r="C90" s="12" t="s">
        <v>45</v>
      </c>
      <c r="D90" s="12"/>
      <c r="E90" s="13">
        <v>48314</v>
      </c>
      <c r="G90" s="16">
        <v>13629776</v>
      </c>
      <c r="H90" s="16"/>
      <c r="I90" s="16">
        <v>1910405</v>
      </c>
      <c r="J90" s="16"/>
      <c r="K90" s="16">
        <v>275772</v>
      </c>
      <c r="L90" s="16"/>
      <c r="M90" s="16">
        <v>0</v>
      </c>
      <c r="N90" s="16"/>
      <c r="O90" s="16">
        <v>1108333</v>
      </c>
      <c r="P90" s="16"/>
      <c r="Q90" s="16">
        <v>1467745</v>
      </c>
      <c r="R90" s="16"/>
      <c r="S90" s="16">
        <v>36114</v>
      </c>
      <c r="T90" s="16"/>
      <c r="U90" s="16">
        <v>1720237</v>
      </c>
      <c r="V90" s="16"/>
      <c r="W90" s="16">
        <v>523278</v>
      </c>
      <c r="X90" s="16"/>
      <c r="Y90" s="16">
        <v>268084</v>
      </c>
      <c r="Z90" s="16"/>
      <c r="AA90" s="16">
        <v>2164921</v>
      </c>
      <c r="AB90" s="16"/>
      <c r="AC90" s="16">
        <v>1641196</v>
      </c>
      <c r="AD90" s="16"/>
      <c r="AE90" s="16">
        <v>143120</v>
      </c>
      <c r="AF90" s="16"/>
      <c r="AG90" s="16">
        <v>898452</v>
      </c>
      <c r="AH90" s="16"/>
      <c r="AI90" s="16">
        <v>29540</v>
      </c>
      <c r="AJ90" s="12" t="s">
        <v>464</v>
      </c>
      <c r="AK90" s="12"/>
      <c r="AL90" s="12" t="s">
        <v>45</v>
      </c>
      <c r="AN90" s="16">
        <v>891362</v>
      </c>
      <c r="AO90" s="16"/>
      <c r="AP90" s="16">
        <v>267707</v>
      </c>
      <c r="AQ90" s="16"/>
      <c r="AR90" s="16">
        <v>0</v>
      </c>
      <c r="AS90" s="16"/>
      <c r="AT90" s="16">
        <v>4909220</v>
      </c>
      <c r="AU90" s="16"/>
      <c r="AV90" s="16">
        <v>162267</v>
      </c>
      <c r="AW90" s="16"/>
      <c r="AX90" s="16">
        <v>0</v>
      </c>
      <c r="AY90" s="16"/>
      <c r="AZ90" s="72">
        <f t="shared" si="9"/>
        <v>32047529</v>
      </c>
      <c r="BA90" s="16"/>
      <c r="BB90" s="16">
        <v>85000</v>
      </c>
      <c r="BC90" s="16"/>
      <c r="BD90" s="16"/>
      <c r="BE90" s="16"/>
      <c r="BF90" s="16"/>
      <c r="BG90" s="16"/>
      <c r="BH90" s="16">
        <v>0</v>
      </c>
      <c r="BI90" s="16"/>
      <c r="BJ90" s="72">
        <f t="shared" si="8"/>
        <v>32132529</v>
      </c>
      <c r="BK90" s="16"/>
      <c r="BL90" s="72">
        <f>'Gov Fd Rv'!AO90-'Gov Fnd Exp'!BJ90</f>
        <v>70860</v>
      </c>
      <c r="BM90" s="16"/>
      <c r="BN90" s="16">
        <v>7479147</v>
      </c>
      <c r="BO90" s="16"/>
      <c r="BP90" s="16">
        <v>0</v>
      </c>
      <c r="BQ90" s="16"/>
      <c r="BR90" s="16">
        <v>0</v>
      </c>
      <c r="BS90" s="16"/>
      <c r="BT90" s="72">
        <f t="shared" si="10"/>
        <v>7550007</v>
      </c>
      <c r="BU90" s="20"/>
      <c r="BV90" s="20">
        <f>BT90-'Gov Fd BS'!AA90</f>
        <v>0</v>
      </c>
    </row>
    <row r="91" spans="1:74">
      <c r="A91" s="12" t="s">
        <v>573</v>
      </c>
      <c r="B91" s="12"/>
      <c r="C91" s="12" t="s">
        <v>62</v>
      </c>
      <c r="D91" s="12"/>
      <c r="E91" s="13">
        <v>43711</v>
      </c>
      <c r="G91" s="1">
        <v>10966302</v>
      </c>
      <c r="I91" s="1">
        <v>3015917</v>
      </c>
      <c r="K91" s="1">
        <v>1810945</v>
      </c>
      <c r="M91" s="1">
        <f>1000+803482</f>
        <v>804482</v>
      </c>
      <c r="O91" s="1">
        <v>1933978</v>
      </c>
      <c r="Q91" s="1">
        <v>1258326</v>
      </c>
      <c r="S91" s="1">
        <v>21646</v>
      </c>
      <c r="U91" s="1">
        <v>1937119</v>
      </c>
      <c r="W91" s="1">
        <v>305690</v>
      </c>
      <c r="Y91" s="1">
        <v>290233</v>
      </c>
      <c r="AA91" s="1">
        <v>2169930</v>
      </c>
      <c r="AC91" s="1">
        <v>979287</v>
      </c>
      <c r="AE91" s="1">
        <v>363020</v>
      </c>
      <c r="AG91" s="1">
        <v>1164950</v>
      </c>
      <c r="AI91" s="1">
        <v>46918</v>
      </c>
      <c r="AJ91" s="12" t="s">
        <v>573</v>
      </c>
      <c r="AK91" s="12"/>
      <c r="AL91" s="12" t="s">
        <v>62</v>
      </c>
      <c r="AN91" s="1">
        <v>775711</v>
      </c>
      <c r="AP91" s="1">
        <v>263716</v>
      </c>
      <c r="AR91" s="1">
        <v>0</v>
      </c>
      <c r="AT91" s="1">
        <v>338152</v>
      </c>
      <c r="AV91" s="1">
        <v>68188</v>
      </c>
      <c r="AX91" s="1">
        <v>0</v>
      </c>
      <c r="AZ91" s="20">
        <f t="shared" si="9"/>
        <v>28514510</v>
      </c>
      <c r="BB91" s="1">
        <v>0</v>
      </c>
      <c r="BH91" s="1">
        <v>0</v>
      </c>
      <c r="BJ91" s="20">
        <f t="shared" si="8"/>
        <v>28514510</v>
      </c>
      <c r="BL91" s="20">
        <f>'Gov Fd Rv'!AO91-'Gov Fnd Exp'!BJ91</f>
        <v>-84941</v>
      </c>
      <c r="BN91" s="1">
        <v>-2866324</v>
      </c>
      <c r="BP91" s="1">
        <v>0</v>
      </c>
      <c r="BR91" s="1">
        <v>0</v>
      </c>
      <c r="BT91" s="20">
        <f t="shared" si="10"/>
        <v>-2951265</v>
      </c>
      <c r="BU91" s="20"/>
      <c r="BV91" s="20">
        <f>BT91-'Gov Fd BS'!AA91</f>
        <v>0</v>
      </c>
    </row>
    <row r="92" spans="1:74">
      <c r="A92" s="12" t="s">
        <v>574</v>
      </c>
      <c r="B92" s="12"/>
      <c r="C92" s="12" t="s">
        <v>62</v>
      </c>
      <c r="D92" s="12"/>
      <c r="E92" s="13">
        <v>49833</v>
      </c>
      <c r="G92" s="1">
        <v>44992000</v>
      </c>
      <c r="I92" s="1">
        <v>16962000</v>
      </c>
      <c r="K92" s="1">
        <v>2149000</v>
      </c>
      <c r="M92" s="1">
        <f>1737000+10909000</f>
        <v>12646000</v>
      </c>
      <c r="O92" s="1">
        <v>8053000</v>
      </c>
      <c r="Q92" s="1">
        <v>7125000</v>
      </c>
      <c r="S92" s="1">
        <v>31000</v>
      </c>
      <c r="U92" s="1">
        <v>8539000</v>
      </c>
      <c r="W92" s="1">
        <v>1659000</v>
      </c>
      <c r="Y92" s="1">
        <v>569000</v>
      </c>
      <c r="AA92" s="1">
        <v>11262000</v>
      </c>
      <c r="AC92" s="1">
        <v>3244000</v>
      </c>
      <c r="AE92" s="1">
        <v>4063000</v>
      </c>
      <c r="AG92" s="1">
        <v>4283000</v>
      </c>
      <c r="AI92" s="1">
        <v>1455000</v>
      </c>
      <c r="AJ92" s="12" t="s">
        <v>574</v>
      </c>
      <c r="AK92" s="12"/>
      <c r="AL92" s="12" t="s">
        <v>62</v>
      </c>
      <c r="AN92" s="1">
        <v>2219000</v>
      </c>
      <c r="AP92" s="1">
        <v>1778000</v>
      </c>
      <c r="AR92" s="1">
        <v>0</v>
      </c>
      <c r="AT92" s="1">
        <v>2139000</v>
      </c>
      <c r="AV92" s="1">
        <v>1515000</v>
      </c>
      <c r="AX92" s="1">
        <v>0</v>
      </c>
      <c r="AZ92" s="20">
        <f t="shared" si="9"/>
        <v>134683000</v>
      </c>
      <c r="BB92" s="1">
        <v>3573000</v>
      </c>
      <c r="BH92" s="1">
        <v>0</v>
      </c>
      <c r="BJ92" s="20">
        <f t="shared" si="8"/>
        <v>138256000</v>
      </c>
      <c r="BL92" s="20">
        <f>'Gov Fd Rv'!AO92-'Gov Fnd Exp'!BJ92</f>
        <v>-2526000</v>
      </c>
      <c r="BN92" s="1">
        <v>30813000</v>
      </c>
      <c r="BP92" s="1">
        <v>18000</v>
      </c>
      <c r="BR92" s="1">
        <v>0</v>
      </c>
      <c r="BT92" s="20">
        <f t="shared" si="10"/>
        <v>28305000</v>
      </c>
      <c r="BU92" s="20"/>
      <c r="BV92" s="20">
        <f>BT92-'Gov Fd BS'!AA92</f>
        <v>0</v>
      </c>
    </row>
    <row r="93" spans="1:74">
      <c r="A93" s="12" t="s">
        <v>352</v>
      </c>
      <c r="B93" s="12"/>
      <c r="C93" s="12" t="s">
        <v>30</v>
      </c>
      <c r="D93" s="12"/>
      <c r="E93" s="13">
        <v>47175</v>
      </c>
      <c r="G93" s="1">
        <v>6049545</v>
      </c>
      <c r="I93" s="1">
        <v>2806578</v>
      </c>
      <c r="K93" s="1">
        <v>0</v>
      </c>
      <c r="M93" s="1">
        <v>0</v>
      </c>
      <c r="O93" s="1">
        <v>790497</v>
      </c>
      <c r="Q93" s="1">
        <v>699387</v>
      </c>
      <c r="S93" s="1">
        <v>18878</v>
      </c>
      <c r="U93" s="1">
        <v>1091935</v>
      </c>
      <c r="W93" s="1">
        <v>447273</v>
      </c>
      <c r="Y93" s="1">
        <v>58167</v>
      </c>
      <c r="AA93" s="1">
        <v>1338574</v>
      </c>
      <c r="AC93" s="1">
        <v>1514082</v>
      </c>
      <c r="AE93" s="1">
        <v>209262</v>
      </c>
      <c r="AG93" s="1">
        <v>500089</v>
      </c>
      <c r="AI93" s="1">
        <v>7646</v>
      </c>
      <c r="AJ93" s="12" t="s">
        <v>352</v>
      </c>
      <c r="AK93" s="12"/>
      <c r="AL93" s="12" t="s">
        <v>30</v>
      </c>
      <c r="AN93" s="1">
        <v>287782</v>
      </c>
      <c r="AP93" s="1">
        <v>1244439</v>
      </c>
      <c r="AR93" s="1">
        <v>0</v>
      </c>
      <c r="AT93" s="1">
        <v>535000</v>
      </c>
      <c r="AV93" s="1">
        <f>401343+21665</f>
        <v>423008</v>
      </c>
      <c r="AX93" s="1">
        <v>0</v>
      </c>
      <c r="AZ93" s="20">
        <f t="shared" si="9"/>
        <v>18022142</v>
      </c>
      <c r="BB93" s="1">
        <v>115000</v>
      </c>
      <c r="BH93" s="1">
        <v>0</v>
      </c>
      <c r="BJ93" s="20">
        <f t="shared" si="8"/>
        <v>18137142</v>
      </c>
      <c r="BL93" s="20">
        <f>'Gov Fd Rv'!AO93-'Gov Fnd Exp'!BJ93</f>
        <v>-841775</v>
      </c>
      <c r="BN93" s="1">
        <v>2909721</v>
      </c>
      <c r="BP93" s="1">
        <v>0</v>
      </c>
      <c r="BR93" s="1">
        <v>0</v>
      </c>
      <c r="BT93" s="20">
        <f t="shared" si="10"/>
        <v>2067946</v>
      </c>
      <c r="BU93" s="20"/>
      <c r="BV93" s="20">
        <f>BT93-'Gov Fd BS'!AA93</f>
        <v>0</v>
      </c>
    </row>
    <row r="94" spans="1:74">
      <c r="A94" s="12" t="s">
        <v>924</v>
      </c>
      <c r="B94" s="12"/>
      <c r="C94" s="12" t="s">
        <v>78</v>
      </c>
      <c r="D94" s="12"/>
      <c r="E94" s="13">
        <v>48793</v>
      </c>
      <c r="G94" s="1">
        <v>4695824</v>
      </c>
      <c r="I94" s="1">
        <v>1423372</v>
      </c>
      <c r="K94" s="1">
        <v>298252</v>
      </c>
      <c r="M94" s="1">
        <v>1429103</v>
      </c>
      <c r="O94" s="1">
        <v>403261</v>
      </c>
      <c r="Q94" s="1">
        <v>430567</v>
      </c>
      <c r="S94" s="1">
        <v>38070</v>
      </c>
      <c r="U94" s="1">
        <v>1010188</v>
      </c>
      <c r="W94" s="1">
        <v>237586</v>
      </c>
      <c r="Y94" s="1">
        <v>0</v>
      </c>
      <c r="AA94" s="1">
        <v>1381883</v>
      </c>
      <c r="AC94" s="1">
        <v>530179</v>
      </c>
      <c r="AE94" s="1">
        <v>0</v>
      </c>
      <c r="AG94" s="1">
        <v>476335</v>
      </c>
      <c r="AI94" s="1">
        <v>3670</v>
      </c>
      <c r="AJ94" s="12" t="s">
        <v>924</v>
      </c>
      <c r="AK94" s="12"/>
      <c r="AL94" s="12" t="s">
        <v>78</v>
      </c>
      <c r="AN94" s="1">
        <v>288856</v>
      </c>
      <c r="AP94" s="1">
        <v>0</v>
      </c>
      <c r="AR94" s="1">
        <v>0</v>
      </c>
      <c r="AT94" s="1">
        <v>335000</v>
      </c>
      <c r="AV94" s="1">
        <v>178828</v>
      </c>
      <c r="AX94" s="1">
        <v>0</v>
      </c>
      <c r="AZ94" s="20">
        <f t="shared" si="9"/>
        <v>13160974</v>
      </c>
      <c r="BB94" s="1">
        <v>0</v>
      </c>
      <c r="BH94" s="1">
        <v>0</v>
      </c>
      <c r="BJ94" s="20">
        <f t="shared" si="8"/>
        <v>13160974</v>
      </c>
      <c r="BL94" s="20">
        <f>'Gov Fd Rv'!AO94-'Gov Fnd Exp'!BJ94</f>
        <v>-549320</v>
      </c>
      <c r="BN94" s="1">
        <v>3163826</v>
      </c>
      <c r="BP94" s="1">
        <v>0</v>
      </c>
      <c r="BR94" s="1">
        <v>-307935</v>
      </c>
      <c r="BT94" s="20">
        <f>BL94+BN94+BP94+BR94</f>
        <v>2306571</v>
      </c>
      <c r="BU94" s="20"/>
      <c r="BV94" s="20">
        <f>BT94-'Gov Fd BS'!AA94</f>
        <v>0</v>
      </c>
    </row>
    <row r="95" spans="1:74" hidden="1">
      <c r="A95" s="12" t="s">
        <v>739</v>
      </c>
      <c r="B95" s="12"/>
      <c r="C95" s="12" t="s">
        <v>653</v>
      </c>
      <c r="D95" s="12"/>
      <c r="E95" s="13">
        <v>45260</v>
      </c>
      <c r="AJ95" s="12" t="s">
        <v>739</v>
      </c>
      <c r="AK95" s="12"/>
      <c r="AL95" s="12" t="s">
        <v>653</v>
      </c>
      <c r="AZ95" s="20">
        <f t="shared" si="9"/>
        <v>0</v>
      </c>
      <c r="BJ95" s="20">
        <f t="shared" si="8"/>
        <v>0</v>
      </c>
      <c r="BL95" s="20">
        <f>'Gov Fd Rv'!AO95-'Gov Fnd Exp'!BJ95</f>
        <v>0</v>
      </c>
      <c r="BT95" s="20">
        <f t="shared" si="10"/>
        <v>0</v>
      </c>
      <c r="BU95" s="20"/>
      <c r="BV95" s="20">
        <f>BT95-'Gov Fd BS'!AA95</f>
        <v>0</v>
      </c>
    </row>
    <row r="96" spans="1:74">
      <c r="A96" s="12" t="s">
        <v>631</v>
      </c>
      <c r="B96" s="12"/>
      <c r="C96" s="12" t="s">
        <v>69</v>
      </c>
      <c r="D96" s="12"/>
      <c r="E96" s="13">
        <v>50419</v>
      </c>
      <c r="G96" s="1">
        <v>7624469</v>
      </c>
      <c r="I96" s="1">
        <v>1859406</v>
      </c>
      <c r="K96" s="1">
        <v>220399</v>
      </c>
      <c r="M96" s="1">
        <v>68305</v>
      </c>
      <c r="O96" s="1">
        <v>769230</v>
      </c>
      <c r="Q96" s="1">
        <v>928852</v>
      </c>
      <c r="S96" s="1">
        <v>37317</v>
      </c>
      <c r="U96" s="1">
        <v>984721</v>
      </c>
      <c r="W96" s="1">
        <v>431266</v>
      </c>
      <c r="Y96" s="1">
        <v>10343</v>
      </c>
      <c r="AA96" s="1">
        <v>1404314</v>
      </c>
      <c r="AC96" s="1">
        <v>809354</v>
      </c>
      <c r="AE96" s="1">
        <v>50621</v>
      </c>
      <c r="AG96" s="1">
        <v>615105</v>
      </c>
      <c r="AI96" s="1">
        <v>0</v>
      </c>
      <c r="AJ96" s="12" t="s">
        <v>631</v>
      </c>
      <c r="AK96" s="12"/>
      <c r="AL96" s="12" t="s">
        <v>69</v>
      </c>
      <c r="AN96" s="1">
        <v>521508</v>
      </c>
      <c r="AP96" s="1">
        <v>0</v>
      </c>
      <c r="AR96" s="1">
        <v>0</v>
      </c>
      <c r="AT96" s="1">
        <v>113505</v>
      </c>
      <c r="AV96" s="1">
        <v>27022</v>
      </c>
      <c r="AX96" s="1">
        <v>0</v>
      </c>
      <c r="AZ96" s="20">
        <f t="shared" si="9"/>
        <v>16475737</v>
      </c>
      <c r="BB96" s="1">
        <v>0</v>
      </c>
      <c r="BH96" s="1">
        <v>0</v>
      </c>
      <c r="BJ96" s="20">
        <f t="shared" si="8"/>
        <v>16475737</v>
      </c>
      <c r="BL96" s="20">
        <f>'Gov Fd Rv'!AO96-'Gov Fnd Exp'!BJ96</f>
        <v>794777</v>
      </c>
      <c r="BN96" s="1">
        <v>82951</v>
      </c>
      <c r="BP96" s="1">
        <v>0</v>
      </c>
      <c r="BR96" s="1">
        <v>0</v>
      </c>
      <c r="BT96" s="20">
        <f t="shared" si="10"/>
        <v>877728</v>
      </c>
      <c r="BU96" s="20"/>
      <c r="BV96" s="20">
        <f>BT96-'Gov Fd BS'!AA96</f>
        <v>0</v>
      </c>
    </row>
    <row r="97" spans="1:74">
      <c r="A97" s="12" t="s">
        <v>238</v>
      </c>
      <c r="B97" s="12"/>
      <c r="C97" s="12" t="s">
        <v>16</v>
      </c>
      <c r="D97" s="12"/>
      <c r="E97" s="13">
        <v>45278</v>
      </c>
      <c r="F97" s="16"/>
      <c r="G97" s="1">
        <v>9157144</v>
      </c>
      <c r="I97" s="1">
        <v>2698126</v>
      </c>
      <c r="K97" s="1">
        <v>279334</v>
      </c>
      <c r="M97" s="1">
        <f>16757+188084</f>
        <v>204841</v>
      </c>
      <c r="O97" s="1">
        <v>1297213</v>
      </c>
      <c r="Q97" s="1">
        <v>882633</v>
      </c>
      <c r="S97" s="1">
        <v>40048</v>
      </c>
      <c r="U97" s="1">
        <v>1514586</v>
      </c>
      <c r="W97" s="1">
        <v>551641</v>
      </c>
      <c r="Y97" s="1">
        <v>54767</v>
      </c>
      <c r="AA97" s="1">
        <v>1699113</v>
      </c>
      <c r="AC97" s="1">
        <v>1438020</v>
      </c>
      <c r="AE97" s="1">
        <v>33910</v>
      </c>
      <c r="AG97" s="1">
        <v>715769</v>
      </c>
      <c r="AI97" s="1">
        <v>63264</v>
      </c>
      <c r="AJ97" s="12" t="s">
        <v>238</v>
      </c>
      <c r="AK97" s="12"/>
      <c r="AL97" s="12" t="s">
        <v>16</v>
      </c>
      <c r="AN97" s="1">
        <v>509889</v>
      </c>
      <c r="AP97" s="1">
        <v>31600</v>
      </c>
      <c r="AR97" s="1">
        <v>0</v>
      </c>
      <c r="AT97" s="1">
        <v>36352</v>
      </c>
      <c r="AV97" s="1">
        <v>1796</v>
      </c>
      <c r="AX97" s="1">
        <v>0</v>
      </c>
      <c r="AZ97" s="20">
        <f t="shared" si="9"/>
        <v>21210046</v>
      </c>
      <c r="BB97" s="1">
        <v>89324</v>
      </c>
      <c r="BH97" s="1">
        <v>0</v>
      </c>
      <c r="BJ97" s="20">
        <f t="shared" si="8"/>
        <v>21299370</v>
      </c>
      <c r="BL97" s="20">
        <f>'Gov Fd Rv'!AO97-'Gov Fnd Exp'!BJ97</f>
        <v>1414458</v>
      </c>
      <c r="BN97" s="1">
        <v>1963008</v>
      </c>
      <c r="BP97" s="1">
        <v>0</v>
      </c>
      <c r="BR97" s="1">
        <v>0</v>
      </c>
      <c r="BT97" s="20">
        <f t="shared" si="10"/>
        <v>3377466</v>
      </c>
      <c r="BU97" s="20"/>
      <c r="BV97" s="20">
        <f>BT97-'Gov Fd BS'!AA97</f>
        <v>0</v>
      </c>
    </row>
    <row r="98" spans="1:74" hidden="1">
      <c r="A98" s="12" t="s">
        <v>925</v>
      </c>
      <c r="B98" s="12"/>
      <c r="C98" s="12" t="s">
        <v>116</v>
      </c>
      <c r="D98" s="12"/>
      <c r="E98" s="13">
        <v>47258</v>
      </c>
      <c r="AJ98" s="12" t="s">
        <v>925</v>
      </c>
      <c r="AK98" s="12"/>
      <c r="AL98" s="12" t="s">
        <v>116</v>
      </c>
      <c r="AZ98" s="20">
        <f t="shared" si="9"/>
        <v>0</v>
      </c>
      <c r="BB98" s="45"/>
      <c r="BJ98" s="20">
        <f t="shared" si="8"/>
        <v>0</v>
      </c>
      <c r="BL98" s="20">
        <f>'Gov Fd Rv'!AO98-'Gov Fnd Exp'!BJ98</f>
        <v>0</v>
      </c>
      <c r="BT98" s="20">
        <f t="shared" si="10"/>
        <v>0</v>
      </c>
      <c r="BU98" s="20"/>
      <c r="BV98" s="20">
        <f>BT98-'Gov Fd BS'!AA98</f>
        <v>0</v>
      </c>
    </row>
    <row r="99" spans="1:74" hidden="1">
      <c r="A99" s="12" t="s">
        <v>740</v>
      </c>
      <c r="B99" s="12"/>
      <c r="C99" s="12" t="s">
        <v>486</v>
      </c>
      <c r="D99" s="12"/>
      <c r="E99" s="13">
        <v>43729</v>
      </c>
      <c r="AJ99" s="12" t="s">
        <v>740</v>
      </c>
      <c r="AK99" s="12"/>
      <c r="AL99" s="12" t="s">
        <v>486</v>
      </c>
      <c r="AZ99" s="20">
        <f t="shared" si="9"/>
        <v>0</v>
      </c>
      <c r="BJ99" s="20">
        <f t="shared" si="8"/>
        <v>0</v>
      </c>
      <c r="BL99" s="20">
        <f>'Gov Fd Rv'!AO99-'Gov Fnd Exp'!BJ99</f>
        <v>0</v>
      </c>
      <c r="BT99" s="20">
        <f t="shared" si="10"/>
        <v>0</v>
      </c>
      <c r="BU99" s="20"/>
      <c r="BV99" s="20">
        <f>BT99-'Gov Fd BS'!AA99</f>
        <v>0</v>
      </c>
    </row>
    <row r="100" spans="1:74">
      <c r="A100" s="12" t="s">
        <v>794</v>
      </c>
      <c r="B100" s="12"/>
      <c r="C100" s="12" t="s">
        <v>40</v>
      </c>
      <c r="D100" s="12"/>
      <c r="E100" s="13">
        <v>47829</v>
      </c>
      <c r="G100" s="1">
        <v>4088196</v>
      </c>
      <c r="I100" s="1">
        <v>1676202</v>
      </c>
      <c r="K100" s="1">
        <v>188117</v>
      </c>
      <c r="M100" s="1">
        <v>10814</v>
      </c>
      <c r="O100" s="1">
        <v>437496</v>
      </c>
      <c r="Q100" s="1">
        <v>165181</v>
      </c>
      <c r="S100" s="1">
        <v>9930</v>
      </c>
      <c r="U100" s="1">
        <v>999411</v>
      </c>
      <c r="W100" s="1">
        <v>345072</v>
      </c>
      <c r="Y100" s="1">
        <v>0</v>
      </c>
      <c r="AA100" s="1">
        <v>1032699</v>
      </c>
      <c r="AC100" s="1">
        <v>710617</v>
      </c>
      <c r="AE100" s="1">
        <v>6000</v>
      </c>
      <c r="AG100" s="1">
        <v>216251</v>
      </c>
      <c r="AI100" s="1">
        <v>0</v>
      </c>
      <c r="AJ100" s="12" t="s">
        <v>794</v>
      </c>
      <c r="AK100" s="12"/>
      <c r="AL100" s="12" t="s">
        <v>40</v>
      </c>
      <c r="AN100" s="1">
        <v>377040</v>
      </c>
      <c r="AP100" s="1">
        <v>1067</v>
      </c>
      <c r="AR100" s="1">
        <v>0</v>
      </c>
      <c r="AT100" s="1">
        <v>240000</v>
      </c>
      <c r="AV100" s="1">
        <v>212963</v>
      </c>
      <c r="AX100" s="1">
        <v>0</v>
      </c>
      <c r="AZ100" s="20">
        <f t="shared" si="9"/>
        <v>10717056</v>
      </c>
      <c r="BB100" s="1">
        <v>30000</v>
      </c>
      <c r="BH100" s="1">
        <v>0</v>
      </c>
      <c r="BJ100" s="20">
        <f t="shared" si="8"/>
        <v>10747056</v>
      </c>
      <c r="BL100" s="20">
        <f>'Gov Fd Rv'!AO100-'Gov Fnd Exp'!BJ100</f>
        <v>181646</v>
      </c>
      <c r="BN100" s="1">
        <v>5424099</v>
      </c>
      <c r="BP100" s="1">
        <v>0</v>
      </c>
      <c r="BR100" s="1">
        <v>0</v>
      </c>
      <c r="BT100" s="20">
        <f t="shared" si="10"/>
        <v>5605745</v>
      </c>
      <c r="BU100" s="20"/>
      <c r="BV100" s="20">
        <f>BT100-'Gov Fd BS'!AA100</f>
        <v>0</v>
      </c>
    </row>
    <row r="101" spans="1:74">
      <c r="A101" s="14" t="s">
        <v>795</v>
      </c>
      <c r="B101" s="12"/>
      <c r="C101" s="12" t="s">
        <v>50</v>
      </c>
      <c r="D101" s="12"/>
      <c r="E101" s="13">
        <v>43737</v>
      </c>
      <c r="G101" s="1">
        <v>38102950</v>
      </c>
      <c r="I101" s="1">
        <v>9605101</v>
      </c>
      <c r="K101" s="1">
        <v>2684799</v>
      </c>
      <c r="M101" s="1">
        <v>888694</v>
      </c>
      <c r="O101" s="1">
        <v>4479385</v>
      </c>
      <c r="Q101" s="1">
        <v>7027415</v>
      </c>
      <c r="S101" s="1">
        <v>30057</v>
      </c>
      <c r="U101" s="1">
        <v>4739956</v>
      </c>
      <c r="W101" s="1">
        <v>1539841</v>
      </c>
      <c r="Y101" s="1">
        <v>542435</v>
      </c>
      <c r="AA101" s="1">
        <v>5662639</v>
      </c>
      <c r="AC101" s="1">
        <v>6402151</v>
      </c>
      <c r="AE101" s="1">
        <v>69029</v>
      </c>
      <c r="AG101" s="1">
        <v>4631046</v>
      </c>
      <c r="AI101" s="1">
        <v>0</v>
      </c>
      <c r="AJ101" s="14" t="s">
        <v>795</v>
      </c>
      <c r="AK101" s="12"/>
      <c r="AL101" s="12" t="s">
        <v>50</v>
      </c>
      <c r="AN101" s="1">
        <v>716407</v>
      </c>
      <c r="AP101" s="1">
        <v>2918319</v>
      </c>
      <c r="AR101" s="1">
        <v>0</v>
      </c>
      <c r="AT101" s="1">
        <v>3225000</v>
      </c>
      <c r="AV101" s="1">
        <v>3118620</v>
      </c>
      <c r="AX101" s="1">
        <v>0</v>
      </c>
      <c r="AZ101" s="20">
        <f t="shared" si="9"/>
        <v>96383844</v>
      </c>
      <c r="BB101" s="1">
        <v>0</v>
      </c>
      <c r="BH101" s="1">
        <v>0</v>
      </c>
      <c r="BJ101" s="20">
        <f t="shared" si="8"/>
        <v>96383844</v>
      </c>
      <c r="BL101" s="20">
        <f>'Gov Fd Rv'!AO101-'Gov Fnd Exp'!BJ101</f>
        <v>-2031678</v>
      </c>
      <c r="BN101" s="1">
        <v>32749985</v>
      </c>
      <c r="BP101" s="1">
        <v>0</v>
      </c>
      <c r="BR101" s="1">
        <v>0</v>
      </c>
      <c r="BT101" s="20">
        <f t="shared" si="10"/>
        <v>30718307</v>
      </c>
      <c r="BU101" s="20"/>
      <c r="BV101" s="20">
        <f>BT101-'Gov Fd BS'!AA101</f>
        <v>0</v>
      </c>
    </row>
    <row r="102" spans="1:74" hidden="1">
      <c r="A102" s="12" t="s">
        <v>926</v>
      </c>
      <c r="B102" s="12"/>
      <c r="C102" s="12" t="s">
        <v>22</v>
      </c>
      <c r="D102" s="12"/>
      <c r="E102" s="13">
        <v>46714</v>
      </c>
      <c r="AJ102" s="12" t="s">
        <v>926</v>
      </c>
      <c r="AK102" s="12"/>
      <c r="AL102" s="12" t="s">
        <v>22</v>
      </c>
      <c r="AZ102" s="20">
        <f t="shared" si="9"/>
        <v>0</v>
      </c>
      <c r="BJ102" s="20">
        <f t="shared" si="8"/>
        <v>0</v>
      </c>
      <c r="BL102" s="20">
        <f>'Gov Fd Rv'!AO102-'Gov Fnd Exp'!BJ102</f>
        <v>0</v>
      </c>
      <c r="BT102" s="20">
        <f t="shared" si="10"/>
        <v>0</v>
      </c>
      <c r="BU102" s="20"/>
      <c r="BV102" s="20">
        <f>BT102-'Gov Fd BS'!AA102</f>
        <v>0</v>
      </c>
    </row>
    <row r="103" spans="1:74">
      <c r="A103" s="12" t="s">
        <v>285</v>
      </c>
      <c r="B103" s="12"/>
      <c r="C103" s="12" t="s">
        <v>20</v>
      </c>
      <c r="D103" s="12"/>
      <c r="E103" s="13">
        <v>45286</v>
      </c>
      <c r="G103" s="1">
        <v>11294180</v>
      </c>
      <c r="I103" s="1">
        <v>1859174</v>
      </c>
      <c r="K103" s="1">
        <v>80732</v>
      </c>
      <c r="M103" s="1">
        <v>23103</v>
      </c>
      <c r="O103" s="1">
        <v>1142194</v>
      </c>
      <c r="Q103" s="1">
        <v>1257778</v>
      </c>
      <c r="S103" s="1">
        <v>75274</v>
      </c>
      <c r="U103" s="1">
        <v>2036099</v>
      </c>
      <c r="W103" s="1">
        <v>882859</v>
      </c>
      <c r="Y103" s="1">
        <v>300</v>
      </c>
      <c r="AA103" s="1">
        <v>2236090</v>
      </c>
      <c r="AC103" s="1">
        <v>1304983</v>
      </c>
      <c r="AE103" s="1">
        <v>12933</v>
      </c>
      <c r="AG103" s="1">
        <v>0</v>
      </c>
      <c r="AI103" s="1">
        <v>133465</v>
      </c>
      <c r="AJ103" s="12" t="s">
        <v>285</v>
      </c>
      <c r="AK103" s="12"/>
      <c r="AL103" s="12" t="s">
        <v>20</v>
      </c>
      <c r="AN103" s="1">
        <v>844243</v>
      </c>
      <c r="AP103" s="1">
        <v>481724</v>
      </c>
      <c r="AR103" s="1">
        <v>0</v>
      </c>
      <c r="AT103" s="1">
        <v>1544128</v>
      </c>
      <c r="AV103" s="1">
        <v>1092272</v>
      </c>
      <c r="AX103" s="1">
        <v>0</v>
      </c>
      <c r="AZ103" s="20">
        <f t="shared" si="9"/>
        <v>26301531</v>
      </c>
      <c r="BB103" s="1">
        <v>417600</v>
      </c>
      <c r="BH103" s="1">
        <v>0</v>
      </c>
      <c r="BJ103" s="20">
        <f t="shared" si="8"/>
        <v>26719131</v>
      </c>
      <c r="BL103" s="20">
        <f>'Gov Fd Rv'!AO103-'Gov Fnd Exp'!BJ103</f>
        <v>1250160</v>
      </c>
      <c r="BN103" s="1">
        <v>7943438</v>
      </c>
      <c r="BP103" s="1">
        <v>0</v>
      </c>
      <c r="BR103" s="1">
        <v>0</v>
      </c>
      <c r="BT103" s="20">
        <f t="shared" si="10"/>
        <v>9193598</v>
      </c>
      <c r="BU103" s="20"/>
      <c r="BV103" s="20">
        <f>BT103-'Gov Fd BS'!AA103</f>
        <v>0</v>
      </c>
    </row>
    <row r="104" spans="1:74">
      <c r="A104" s="12" t="s">
        <v>602</v>
      </c>
      <c r="B104" s="12"/>
      <c r="C104" s="12" t="s">
        <v>64</v>
      </c>
      <c r="D104" s="12"/>
      <c r="E104" s="13">
        <v>50138</v>
      </c>
      <c r="G104" s="1">
        <v>5519163</v>
      </c>
      <c r="I104" s="1">
        <v>1794391</v>
      </c>
      <c r="K104" s="1">
        <v>172817</v>
      </c>
      <c r="M104" s="1">
        <v>589673</v>
      </c>
      <c r="O104" s="1">
        <v>635441</v>
      </c>
      <c r="Q104" s="1">
        <v>379817</v>
      </c>
      <c r="S104" s="1">
        <v>37080</v>
      </c>
      <c r="U104" s="1">
        <v>1720710</v>
      </c>
      <c r="W104" s="1">
        <v>376169</v>
      </c>
      <c r="Y104" s="1">
        <v>0</v>
      </c>
      <c r="AA104" s="1">
        <v>2076191</v>
      </c>
      <c r="AC104" s="1">
        <v>736949</v>
      </c>
      <c r="AE104" s="1">
        <v>8401</v>
      </c>
      <c r="AG104" s="1">
        <v>479677</v>
      </c>
      <c r="AI104" s="1">
        <v>0</v>
      </c>
      <c r="AJ104" s="12" t="s">
        <v>602</v>
      </c>
      <c r="AK104" s="12"/>
      <c r="AL104" s="12" t="s">
        <v>64</v>
      </c>
      <c r="AN104" s="1">
        <v>444185</v>
      </c>
      <c r="AP104" s="1">
        <v>5692</v>
      </c>
      <c r="AR104" s="1">
        <v>0</v>
      </c>
      <c r="AT104" s="1">
        <v>130772</v>
      </c>
      <c r="AV104" s="1">
        <v>94850</v>
      </c>
      <c r="AX104" s="1">
        <v>0</v>
      </c>
      <c r="AZ104" s="20">
        <f t="shared" si="9"/>
        <v>15201978</v>
      </c>
      <c r="BB104" s="1">
        <v>78224</v>
      </c>
      <c r="BH104" s="1">
        <v>0</v>
      </c>
      <c r="BJ104" s="20">
        <f t="shared" si="8"/>
        <v>15280202</v>
      </c>
      <c r="BL104" s="20">
        <f>'Gov Fd Rv'!AO104-'Gov Fnd Exp'!BJ104</f>
        <v>728194</v>
      </c>
      <c r="BN104" s="1">
        <v>-1571296</v>
      </c>
      <c r="BP104" s="1">
        <v>13</v>
      </c>
      <c r="BR104" s="1">
        <v>0</v>
      </c>
      <c r="BT104" s="20">
        <f t="shared" si="10"/>
        <v>-843089</v>
      </c>
      <c r="BU104" s="20"/>
      <c r="BV104" s="20">
        <f>BT104-'Gov Fd BS'!AA104</f>
        <v>0</v>
      </c>
    </row>
    <row r="105" spans="1:74" hidden="1">
      <c r="A105" s="12" t="s">
        <v>927</v>
      </c>
      <c r="B105" s="12"/>
      <c r="C105" s="12" t="s">
        <v>30</v>
      </c>
      <c r="D105" s="12"/>
      <c r="E105" s="13">
        <v>47183</v>
      </c>
      <c r="AJ105" s="12" t="s">
        <v>927</v>
      </c>
      <c r="AK105" s="12"/>
      <c r="AL105" s="12" t="s">
        <v>30</v>
      </c>
      <c r="AZ105" s="20">
        <f t="shared" si="9"/>
        <v>0</v>
      </c>
      <c r="BJ105" s="20">
        <f t="shared" si="8"/>
        <v>0</v>
      </c>
      <c r="BL105" s="20">
        <f>'Gov Fd Rv'!AO105-'Gov Fnd Exp'!BJ105</f>
        <v>0</v>
      </c>
      <c r="BT105" s="20">
        <f t="shared" si="10"/>
        <v>0</v>
      </c>
      <c r="BU105" s="20"/>
      <c r="BV105" s="20">
        <f>BT105-'Gov Fd BS'!AA105</f>
        <v>0</v>
      </c>
    </row>
    <row r="106" spans="1:74">
      <c r="A106" s="12" t="s">
        <v>419</v>
      </c>
      <c r="B106" s="12"/>
      <c r="C106" s="12" t="s">
        <v>420</v>
      </c>
      <c r="D106" s="12"/>
      <c r="E106" s="13">
        <v>45294</v>
      </c>
      <c r="G106" s="1">
        <v>6991726</v>
      </c>
      <c r="I106" s="1">
        <v>1208317</v>
      </c>
      <c r="K106" s="1">
        <v>0</v>
      </c>
      <c r="M106" s="1">
        <v>472631</v>
      </c>
      <c r="O106" s="1">
        <v>566831</v>
      </c>
      <c r="Q106" s="1">
        <v>712111</v>
      </c>
      <c r="S106" s="1">
        <v>141610</v>
      </c>
      <c r="U106" s="1">
        <v>1094655</v>
      </c>
      <c r="W106" s="1">
        <v>316433</v>
      </c>
      <c r="Y106" s="1">
        <v>0</v>
      </c>
      <c r="AA106" s="1">
        <v>1115742</v>
      </c>
      <c r="AC106" s="1">
        <v>816403</v>
      </c>
      <c r="AE106" s="1">
        <v>162525</v>
      </c>
      <c r="AG106" s="1">
        <v>559658</v>
      </c>
      <c r="AI106" s="1">
        <v>0</v>
      </c>
      <c r="AJ106" s="12" t="s">
        <v>419</v>
      </c>
      <c r="AK106" s="12"/>
      <c r="AL106" s="12" t="s">
        <v>420</v>
      </c>
      <c r="AN106" s="1">
        <v>346823</v>
      </c>
      <c r="AP106" s="1">
        <v>35343</v>
      </c>
      <c r="AR106" s="1">
        <v>0</v>
      </c>
      <c r="AT106" s="1">
        <v>273986</v>
      </c>
      <c r="AV106" s="1">
        <v>65494</v>
      </c>
      <c r="AX106" s="1">
        <v>0</v>
      </c>
      <c r="AZ106" s="20">
        <f t="shared" si="9"/>
        <v>14880288</v>
      </c>
      <c r="BB106" s="1">
        <v>16730</v>
      </c>
      <c r="BH106" s="1">
        <v>0</v>
      </c>
      <c r="BJ106" s="20">
        <f t="shared" si="8"/>
        <v>14897018</v>
      </c>
      <c r="BL106" s="20">
        <f>'Gov Fd Rv'!AO106-'Gov Fnd Exp'!BJ106</f>
        <v>-498179</v>
      </c>
      <c r="BN106" s="1">
        <v>2753436</v>
      </c>
      <c r="BP106" s="1">
        <v>0</v>
      </c>
      <c r="BR106" s="1">
        <v>0</v>
      </c>
      <c r="BT106" s="20">
        <f t="shared" si="10"/>
        <v>2255257</v>
      </c>
      <c r="BU106" s="20"/>
      <c r="BV106" s="20">
        <f>BT106-'Gov Fd BS'!AA106</f>
        <v>0</v>
      </c>
    </row>
    <row r="107" spans="1:74">
      <c r="A107" s="12" t="s">
        <v>550</v>
      </c>
      <c r="B107" s="12"/>
      <c r="C107" s="12" t="s">
        <v>58</v>
      </c>
      <c r="D107" s="12"/>
      <c r="E107" s="13">
        <v>43745</v>
      </c>
      <c r="G107" s="1">
        <v>16066701</v>
      </c>
      <c r="I107" s="1">
        <v>3820360</v>
      </c>
      <c r="K107" s="1">
        <v>10473</v>
      </c>
      <c r="M107" s="1">
        <v>674176</v>
      </c>
      <c r="O107" s="1">
        <v>1968283</v>
      </c>
      <c r="Q107" s="1">
        <v>1714139</v>
      </c>
      <c r="S107" s="1">
        <v>87083</v>
      </c>
      <c r="U107" s="1">
        <v>2132140</v>
      </c>
      <c r="W107" s="1">
        <v>707310</v>
      </c>
      <c r="Y107" s="1">
        <v>100766</v>
      </c>
      <c r="AA107" s="1">
        <v>3153452</v>
      </c>
      <c r="AC107" s="1">
        <v>833273</v>
      </c>
      <c r="AE107" s="1">
        <v>220173</v>
      </c>
      <c r="AG107" s="1">
        <v>1463341</v>
      </c>
      <c r="AI107" s="1">
        <v>0</v>
      </c>
      <c r="AJ107" s="12" t="s">
        <v>550</v>
      </c>
      <c r="AK107" s="12"/>
      <c r="AL107" s="12" t="s">
        <v>58</v>
      </c>
      <c r="AN107" s="1">
        <v>556123</v>
      </c>
      <c r="AP107" s="1">
        <v>395484</v>
      </c>
      <c r="AR107" s="1">
        <v>0</v>
      </c>
      <c r="AT107" s="1">
        <v>1121000</v>
      </c>
      <c r="AV107" s="1">
        <v>1296587</v>
      </c>
      <c r="AX107" s="1">
        <v>0</v>
      </c>
      <c r="AZ107" s="20">
        <f t="shared" si="9"/>
        <v>36320864</v>
      </c>
      <c r="BB107" s="1">
        <v>3326</v>
      </c>
      <c r="BH107" s="1">
        <v>0</v>
      </c>
      <c r="BJ107" s="20">
        <f t="shared" si="8"/>
        <v>36324190</v>
      </c>
      <c r="BL107" s="20">
        <f>'Gov Fd Rv'!AO107-'Gov Fnd Exp'!BJ107</f>
        <v>-11047</v>
      </c>
      <c r="BN107" s="1">
        <v>6372350</v>
      </c>
      <c r="BP107" s="1">
        <v>0</v>
      </c>
      <c r="BR107" s="1">
        <v>0</v>
      </c>
      <c r="BT107" s="20">
        <f t="shared" si="10"/>
        <v>6361303</v>
      </c>
      <c r="BU107" s="20"/>
      <c r="BV107" s="20">
        <f>BT107-'Gov Fd BS'!AA107</f>
        <v>0</v>
      </c>
    </row>
    <row r="108" spans="1:74">
      <c r="A108" s="12" t="s">
        <v>640</v>
      </c>
      <c r="B108" s="12"/>
      <c r="C108" s="12" t="s">
        <v>71</v>
      </c>
      <c r="D108" s="12"/>
      <c r="E108" s="13">
        <v>50534</v>
      </c>
      <c r="G108" s="1">
        <v>5423747</v>
      </c>
      <c r="I108" s="1">
        <v>979833</v>
      </c>
      <c r="K108" s="1">
        <v>31927</v>
      </c>
      <c r="M108" s="1">
        <v>339229</v>
      </c>
      <c r="O108" s="1">
        <v>178280</v>
      </c>
      <c r="Q108" s="1">
        <v>543003</v>
      </c>
      <c r="S108" s="1">
        <v>52726</v>
      </c>
      <c r="U108" s="1">
        <v>1076743</v>
      </c>
      <c r="W108" s="1">
        <v>368682</v>
      </c>
      <c r="Y108" s="1">
        <v>0</v>
      </c>
      <c r="AA108" s="1">
        <v>1359541</v>
      </c>
      <c r="AC108" s="1">
        <v>609482</v>
      </c>
      <c r="AE108" s="1">
        <v>169120</v>
      </c>
      <c r="AG108" s="1">
        <v>492628</v>
      </c>
      <c r="AI108" s="1">
        <v>98794</v>
      </c>
      <c r="AJ108" s="12" t="s">
        <v>640</v>
      </c>
      <c r="AK108" s="12"/>
      <c r="AL108" s="12" t="s">
        <v>71</v>
      </c>
      <c r="AN108" s="1">
        <v>498502</v>
      </c>
      <c r="AP108" s="1">
        <v>0</v>
      </c>
      <c r="AR108" s="1">
        <v>0</v>
      </c>
      <c r="AT108" s="1">
        <v>0</v>
      </c>
      <c r="AV108" s="1">
        <v>0</v>
      </c>
      <c r="AX108" s="1">
        <v>0</v>
      </c>
      <c r="AZ108" s="20">
        <f t="shared" si="9"/>
        <v>12222237</v>
      </c>
      <c r="BB108" s="1">
        <v>47031</v>
      </c>
      <c r="BH108" s="1">
        <v>0</v>
      </c>
      <c r="BJ108" s="20">
        <f t="shared" si="8"/>
        <v>12269268</v>
      </c>
      <c r="BL108" s="20">
        <f>'Gov Fd Rv'!AO108-'Gov Fnd Exp'!BJ108</f>
        <v>743500</v>
      </c>
      <c r="BN108" s="1">
        <v>4137249</v>
      </c>
      <c r="BP108" s="1">
        <v>0</v>
      </c>
      <c r="BR108" s="1">
        <v>0</v>
      </c>
      <c r="BT108" s="20">
        <f t="shared" si="10"/>
        <v>4880749</v>
      </c>
      <c r="BU108" s="20"/>
      <c r="BV108" s="20">
        <f>BT108-'Gov Fd BS'!AA108</f>
        <v>0</v>
      </c>
    </row>
    <row r="109" spans="1:74">
      <c r="A109" s="12" t="s">
        <v>928</v>
      </c>
      <c r="B109" s="12"/>
      <c r="C109" s="12" t="s">
        <v>32</v>
      </c>
      <c r="D109" s="12"/>
      <c r="E109" s="13">
        <v>43752</v>
      </c>
      <c r="G109" s="1">
        <v>213567573</v>
      </c>
      <c r="I109" s="1">
        <v>77417798</v>
      </c>
      <c r="K109" s="1">
        <v>6390238</v>
      </c>
      <c r="M109" s="1">
        <v>369633</v>
      </c>
      <c r="O109" s="1">
        <v>29369730</v>
      </c>
      <c r="Q109" s="1">
        <v>39776483</v>
      </c>
      <c r="S109" s="1">
        <v>341454</v>
      </c>
      <c r="U109" s="1">
        <v>35249350</v>
      </c>
      <c r="W109" s="1">
        <v>6790917</v>
      </c>
      <c r="Y109" s="1">
        <v>1198780</v>
      </c>
      <c r="AA109" s="1">
        <v>41379393</v>
      </c>
      <c r="AC109" s="1">
        <v>31456572</v>
      </c>
      <c r="AE109" s="1">
        <v>10105563</v>
      </c>
      <c r="AG109" s="1">
        <v>27092882</v>
      </c>
      <c r="AI109" s="1">
        <v>0</v>
      </c>
      <c r="AJ109" s="12" t="s">
        <v>928</v>
      </c>
      <c r="AK109" s="12"/>
      <c r="AL109" s="12" t="s">
        <v>32</v>
      </c>
      <c r="AN109" s="1">
        <v>6347799</v>
      </c>
      <c r="AP109" s="1">
        <v>122738738</v>
      </c>
      <c r="AR109" s="1">
        <v>0</v>
      </c>
      <c r="AT109" s="1">
        <v>17035000</v>
      </c>
      <c r="AV109" s="1">
        <v>35394959</v>
      </c>
      <c r="AX109" s="1">
        <v>0</v>
      </c>
      <c r="AZ109" s="20">
        <f t="shared" si="9"/>
        <v>702022862</v>
      </c>
      <c r="BB109" s="1">
        <v>410008330</v>
      </c>
      <c r="BH109" s="1">
        <v>103964664</v>
      </c>
      <c r="BJ109" s="20">
        <f t="shared" si="8"/>
        <v>1215995856</v>
      </c>
      <c r="BL109" s="20">
        <f>'Gov Fd Rv'!AO109-'Gov Fnd Exp'!BJ109</f>
        <v>4603963</v>
      </c>
      <c r="BN109" s="1">
        <v>465258023</v>
      </c>
      <c r="BP109" s="1">
        <v>0</v>
      </c>
      <c r="BR109" s="1">
        <v>0</v>
      </c>
      <c r="BT109" s="20">
        <f t="shared" si="10"/>
        <v>469861986</v>
      </c>
      <c r="BU109" s="20"/>
      <c r="BV109" s="20">
        <f>BT109-'Gov Fd BS'!AA109</f>
        <v>0</v>
      </c>
    </row>
    <row r="110" spans="1:74" ht="12.75" customHeight="1">
      <c r="A110" s="12" t="s">
        <v>525</v>
      </c>
      <c r="B110" s="12"/>
      <c r="C110" s="12" t="s">
        <v>54</v>
      </c>
      <c r="D110" s="12"/>
      <c r="E110" s="13">
        <v>43760</v>
      </c>
      <c r="G110" s="1">
        <v>10645026</v>
      </c>
      <c r="I110" s="1">
        <v>2915170</v>
      </c>
      <c r="K110" s="1">
        <v>116045</v>
      </c>
      <c r="M110" s="1">
        <v>106691</v>
      </c>
      <c r="O110" s="1">
        <v>1166855</v>
      </c>
      <c r="Q110" s="1">
        <v>3397830</v>
      </c>
      <c r="S110" s="1">
        <v>237329</v>
      </c>
      <c r="U110" s="1">
        <v>1947435</v>
      </c>
      <c r="W110" s="1">
        <v>589823</v>
      </c>
      <c r="Y110" s="1">
        <v>0</v>
      </c>
      <c r="AA110" s="1">
        <v>2015284</v>
      </c>
      <c r="AC110" s="1">
        <v>933741</v>
      </c>
      <c r="AE110" s="1">
        <v>0</v>
      </c>
      <c r="AG110" s="1">
        <v>1081529</v>
      </c>
      <c r="AI110" s="1">
        <v>88955</v>
      </c>
      <c r="AJ110" s="12" t="s">
        <v>525</v>
      </c>
      <c r="AK110" s="12"/>
      <c r="AL110" s="12" t="s">
        <v>54</v>
      </c>
      <c r="AN110" s="1">
        <v>514207</v>
      </c>
      <c r="AP110" s="1">
        <v>1177754</v>
      </c>
      <c r="AR110" s="1">
        <v>0</v>
      </c>
      <c r="AT110" s="1">
        <v>164391</v>
      </c>
      <c r="AV110" s="1">
        <v>41205</v>
      </c>
      <c r="AX110" s="1">
        <v>0</v>
      </c>
      <c r="AZ110" s="20">
        <f t="shared" si="9"/>
        <v>27139270</v>
      </c>
      <c r="BB110" s="1">
        <v>30000</v>
      </c>
      <c r="BH110" s="1">
        <v>0</v>
      </c>
      <c r="BJ110" s="20">
        <f t="shared" si="8"/>
        <v>27169270</v>
      </c>
      <c r="BL110" s="20">
        <f>'Gov Fd Rv'!AO110-'Gov Fnd Exp'!BJ110</f>
        <v>152737</v>
      </c>
      <c r="BN110" s="1">
        <v>12974213</v>
      </c>
      <c r="BP110" s="1">
        <v>3216</v>
      </c>
      <c r="BR110" s="1">
        <v>0</v>
      </c>
      <c r="BT110" s="20">
        <f t="shared" si="10"/>
        <v>13130166</v>
      </c>
      <c r="BU110" s="20"/>
      <c r="BV110" s="20">
        <f>BT110-'Gov Fd BS'!AA110</f>
        <v>0</v>
      </c>
    </row>
    <row r="111" spans="1:74">
      <c r="A111" s="12" t="s">
        <v>245</v>
      </c>
      <c r="B111" s="12"/>
      <c r="C111" s="12" t="s">
        <v>17</v>
      </c>
      <c r="D111" s="12"/>
      <c r="E111" s="13">
        <v>46284</v>
      </c>
      <c r="G111" s="1">
        <v>10426323</v>
      </c>
      <c r="I111" s="1">
        <v>2565039</v>
      </c>
      <c r="K111" s="1">
        <v>204233</v>
      </c>
      <c r="M111" s="1">
        <f>17481+345091</f>
        <v>362572</v>
      </c>
      <c r="O111" s="1">
        <v>731031</v>
      </c>
      <c r="Q111" s="1">
        <v>615841</v>
      </c>
      <c r="S111" s="1">
        <v>126754</v>
      </c>
      <c r="U111" s="1">
        <v>1646445</v>
      </c>
      <c r="W111" s="1">
        <v>464274</v>
      </c>
      <c r="Y111" s="1">
        <v>15463</v>
      </c>
      <c r="AA111" s="1">
        <v>1698857</v>
      </c>
      <c r="AC111" s="1">
        <v>960382</v>
      </c>
      <c r="AE111" s="1">
        <v>77789</v>
      </c>
      <c r="AG111" s="1">
        <v>942742</v>
      </c>
      <c r="AI111" s="1">
        <v>0</v>
      </c>
      <c r="AJ111" s="12" t="s">
        <v>245</v>
      </c>
      <c r="AK111" s="12"/>
      <c r="AL111" s="12" t="s">
        <v>17</v>
      </c>
      <c r="AN111" s="1">
        <v>838383</v>
      </c>
      <c r="AP111" s="1">
        <v>810830</v>
      </c>
      <c r="AR111" s="1">
        <v>0</v>
      </c>
      <c r="AT111" s="1">
        <v>42884</v>
      </c>
      <c r="AV111" s="1">
        <v>3628</v>
      </c>
      <c r="AX111" s="1">
        <v>0</v>
      </c>
      <c r="AZ111" s="20">
        <f t="shared" si="9"/>
        <v>22533470</v>
      </c>
      <c r="BB111" s="1">
        <v>0</v>
      </c>
      <c r="BH111" s="1">
        <v>0</v>
      </c>
      <c r="BJ111" s="20">
        <f t="shared" si="8"/>
        <v>22533470</v>
      </c>
      <c r="BL111" s="20">
        <f>'Gov Fd Rv'!AO111-'Gov Fnd Exp'!BJ111</f>
        <v>399234</v>
      </c>
      <c r="BN111" s="1">
        <v>2975437</v>
      </c>
      <c r="BP111" s="1">
        <v>0</v>
      </c>
      <c r="BR111" s="1">
        <v>0</v>
      </c>
      <c r="BT111" s="20">
        <f t="shared" si="10"/>
        <v>3374671</v>
      </c>
      <c r="BU111" s="20"/>
      <c r="BV111" s="20">
        <f>BT111-'Gov Fd BS'!AA111</f>
        <v>0</v>
      </c>
    </row>
    <row r="112" spans="1:74" s="54" customFormat="1">
      <c r="A112" s="52" t="s">
        <v>560</v>
      </c>
      <c r="B112" s="52"/>
      <c r="C112" s="52" t="s">
        <v>59</v>
      </c>
      <c r="D112" s="52"/>
      <c r="E112" s="13">
        <v>49601</v>
      </c>
      <c r="G112" s="1">
        <v>3353106</v>
      </c>
      <c r="H112" s="1"/>
      <c r="I112" s="1">
        <v>535651</v>
      </c>
      <c r="J112" s="1"/>
      <c r="K112" s="1">
        <v>16284</v>
      </c>
      <c r="L112" s="1"/>
      <c r="M112" s="1">
        <v>25925</v>
      </c>
      <c r="N112" s="1"/>
      <c r="O112" s="1">
        <v>285643</v>
      </c>
      <c r="P112" s="1"/>
      <c r="Q112" s="1">
        <v>425508</v>
      </c>
      <c r="R112" s="1"/>
      <c r="S112" s="1">
        <v>23377</v>
      </c>
      <c r="T112" s="1"/>
      <c r="U112" s="1">
        <v>526815</v>
      </c>
      <c r="V112" s="1"/>
      <c r="W112" s="1">
        <v>232770</v>
      </c>
      <c r="X112" s="1"/>
      <c r="Y112" s="1">
        <v>0</v>
      </c>
      <c r="Z112" s="1"/>
      <c r="AA112" s="1">
        <v>432317</v>
      </c>
      <c r="AB112" s="1"/>
      <c r="AC112" s="1">
        <v>258067</v>
      </c>
      <c r="AD112" s="1"/>
      <c r="AE112" s="1">
        <v>6745</v>
      </c>
      <c r="AF112" s="1"/>
      <c r="AG112" s="1">
        <v>294335</v>
      </c>
      <c r="AH112" s="1"/>
      <c r="AI112" s="1">
        <v>0</v>
      </c>
      <c r="AJ112" s="52" t="s">
        <v>560</v>
      </c>
      <c r="AK112" s="52"/>
      <c r="AL112" s="52" t="s">
        <v>59</v>
      </c>
      <c r="AN112" s="1">
        <v>115865</v>
      </c>
      <c r="AO112" s="1"/>
      <c r="AP112" s="1">
        <v>2776835</v>
      </c>
      <c r="AQ112" s="1"/>
      <c r="AR112" s="1">
        <v>0</v>
      </c>
      <c r="AS112" s="1"/>
      <c r="AT112" s="1">
        <v>78000</v>
      </c>
      <c r="AU112" s="1"/>
      <c r="AV112" s="1">
        <v>251096</v>
      </c>
      <c r="AW112" s="1"/>
      <c r="AX112" s="1">
        <v>0</v>
      </c>
      <c r="AY112" s="1"/>
      <c r="AZ112" s="20">
        <f t="shared" si="9"/>
        <v>9638339</v>
      </c>
      <c r="BA112" s="1"/>
      <c r="BB112" s="1">
        <v>265680</v>
      </c>
      <c r="BC112" s="1"/>
      <c r="BD112" s="1"/>
      <c r="BE112" s="1"/>
      <c r="BF112" s="1"/>
      <c r="BG112" s="1"/>
      <c r="BH112" s="1">
        <v>0</v>
      </c>
      <c r="BI112" s="1"/>
      <c r="BJ112" s="20">
        <f t="shared" si="8"/>
        <v>9904019</v>
      </c>
      <c r="BK112" s="1"/>
      <c r="BL112" s="20">
        <f>'Gov Fd Rv'!AO112-'Gov Fnd Exp'!BJ112</f>
        <v>4410026</v>
      </c>
      <c r="BM112" s="1"/>
      <c r="BN112" s="1">
        <v>7128827</v>
      </c>
      <c r="BO112" s="1"/>
      <c r="BP112" s="1">
        <v>0</v>
      </c>
      <c r="BQ112" s="1"/>
      <c r="BR112" s="1">
        <v>0</v>
      </c>
      <c r="BS112" s="1"/>
      <c r="BT112" s="20">
        <f t="shared" si="10"/>
        <v>11538853</v>
      </c>
      <c r="BU112" s="20"/>
      <c r="BV112" s="20">
        <f>BT112-'Gov Fd BS'!AA112</f>
        <v>0</v>
      </c>
    </row>
    <row r="113" spans="1:74">
      <c r="A113" s="12" t="s">
        <v>618</v>
      </c>
      <c r="B113" s="12"/>
      <c r="C113" s="12" t="s">
        <v>65</v>
      </c>
      <c r="D113" s="12"/>
      <c r="E113" s="13">
        <v>43778</v>
      </c>
      <c r="G113" s="1">
        <v>9346052</v>
      </c>
      <c r="I113" s="1">
        <v>2770217</v>
      </c>
      <c r="K113" s="1">
        <v>191702</v>
      </c>
      <c r="M113" s="1">
        <v>0</v>
      </c>
      <c r="O113" s="1">
        <v>946415</v>
      </c>
      <c r="Q113" s="1">
        <v>1249728</v>
      </c>
      <c r="S113" s="1">
        <v>34532</v>
      </c>
      <c r="U113" s="1">
        <v>1509693</v>
      </c>
      <c r="W113" s="1">
        <v>388510</v>
      </c>
      <c r="Y113" s="1">
        <v>11796</v>
      </c>
      <c r="AA113" s="1">
        <v>2156185</v>
      </c>
      <c r="AC113" s="1">
        <v>717438</v>
      </c>
      <c r="AE113" s="1">
        <v>484303</v>
      </c>
      <c r="AG113" s="1">
        <v>870000</v>
      </c>
      <c r="AI113" s="1">
        <v>84136</v>
      </c>
      <c r="AJ113" s="12" t="s">
        <v>618</v>
      </c>
      <c r="AK113" s="12"/>
      <c r="AL113" s="12" t="s">
        <v>65</v>
      </c>
      <c r="AN113" s="1">
        <v>512408</v>
      </c>
      <c r="AP113" s="1">
        <v>8775</v>
      </c>
      <c r="AR113" s="1">
        <v>0</v>
      </c>
      <c r="AT113" s="1">
        <v>350372</v>
      </c>
      <c r="AV113" s="1">
        <v>115496</v>
      </c>
      <c r="AX113" s="1">
        <v>0</v>
      </c>
      <c r="AZ113" s="20">
        <f t="shared" si="9"/>
        <v>21747758</v>
      </c>
      <c r="BB113" s="1">
        <v>45000</v>
      </c>
      <c r="BH113" s="1">
        <v>0</v>
      </c>
      <c r="BJ113" s="20">
        <f t="shared" si="8"/>
        <v>21792758</v>
      </c>
      <c r="BL113" s="20">
        <f>'Gov Fd Rv'!AO113-'Gov Fnd Exp'!BJ113</f>
        <v>-310382</v>
      </c>
      <c r="BN113" s="1">
        <v>2807298</v>
      </c>
      <c r="BP113" s="1">
        <v>-4371</v>
      </c>
      <c r="BR113" s="1">
        <v>0</v>
      </c>
      <c r="BT113" s="20">
        <f t="shared" si="10"/>
        <v>2492545</v>
      </c>
      <c r="BU113" s="20"/>
      <c r="BV113" s="20">
        <f>BT113-'Gov Fd BS'!AA113</f>
        <v>0</v>
      </c>
    </row>
    <row r="114" spans="1:74">
      <c r="A114" s="12" t="s">
        <v>543</v>
      </c>
      <c r="B114" s="12"/>
      <c r="C114" s="12" t="s">
        <v>112</v>
      </c>
      <c r="D114" s="12"/>
      <c r="E114" s="13">
        <v>49411</v>
      </c>
      <c r="G114" s="1">
        <v>6366547</v>
      </c>
      <c r="I114" s="1">
        <v>1702463</v>
      </c>
      <c r="K114" s="1">
        <v>160162</v>
      </c>
      <c r="M114" s="1">
        <v>589788</v>
      </c>
      <c r="O114" s="1">
        <v>596750</v>
      </c>
      <c r="Q114" s="1">
        <v>717348</v>
      </c>
      <c r="S114" s="1">
        <v>49082</v>
      </c>
      <c r="U114" s="1">
        <v>903351</v>
      </c>
      <c r="W114" s="1">
        <v>322049</v>
      </c>
      <c r="Y114" s="1">
        <v>0</v>
      </c>
      <c r="AA114" s="1">
        <v>1762277</v>
      </c>
      <c r="AC114" s="1">
        <v>1252832</v>
      </c>
      <c r="AE114" s="1">
        <v>20832</v>
      </c>
      <c r="AG114" s="1">
        <v>743955</v>
      </c>
      <c r="AI114" s="1">
        <v>30554</v>
      </c>
      <c r="AJ114" s="12" t="s">
        <v>543</v>
      </c>
      <c r="AK114" s="12"/>
      <c r="AL114" s="12" t="s">
        <v>112</v>
      </c>
      <c r="AN114" s="1">
        <v>486463</v>
      </c>
      <c r="AP114" s="1">
        <v>50553</v>
      </c>
      <c r="AR114" s="1">
        <v>0</v>
      </c>
      <c r="AT114" s="1">
        <v>345000</v>
      </c>
      <c r="AV114" s="1">
        <v>275350</v>
      </c>
      <c r="AX114" s="1">
        <v>0</v>
      </c>
      <c r="AZ114" s="20">
        <f t="shared" si="9"/>
        <v>16375356</v>
      </c>
      <c r="BB114" s="1">
        <v>25000</v>
      </c>
      <c r="BH114" s="1">
        <v>0</v>
      </c>
      <c r="BJ114" s="20">
        <f t="shared" si="8"/>
        <v>16400356</v>
      </c>
      <c r="BL114" s="20">
        <f>'Gov Fd Rv'!AO114-'Gov Fnd Exp'!BJ114</f>
        <v>-763</v>
      </c>
      <c r="BN114" s="1">
        <v>6677573</v>
      </c>
      <c r="BP114" s="1">
        <v>18281</v>
      </c>
      <c r="BR114" s="1">
        <v>0</v>
      </c>
      <c r="BT114" s="20">
        <f t="shared" si="10"/>
        <v>6695091</v>
      </c>
      <c r="BU114" s="20"/>
      <c r="BV114" s="20">
        <f>BT114-'Gov Fd BS'!AA114</f>
        <v>0</v>
      </c>
    </row>
    <row r="115" spans="1:74">
      <c r="A115" s="12" t="s">
        <v>438</v>
      </c>
      <c r="B115" s="12"/>
      <c r="C115" s="12" t="s">
        <v>44</v>
      </c>
      <c r="D115" s="12"/>
      <c r="E115" s="13">
        <v>48132</v>
      </c>
      <c r="G115" s="1">
        <v>6766018</v>
      </c>
      <c r="I115" s="1">
        <v>1856119</v>
      </c>
      <c r="K115" s="1">
        <v>178135</v>
      </c>
      <c r="M115" s="1">
        <v>47438</v>
      </c>
      <c r="O115" s="1">
        <v>1056340</v>
      </c>
      <c r="Q115" s="1">
        <v>536306</v>
      </c>
      <c r="S115" s="1">
        <v>50227</v>
      </c>
      <c r="U115" s="1">
        <v>1165032</v>
      </c>
      <c r="W115" s="1">
        <v>394076</v>
      </c>
      <c r="Y115" s="1">
        <v>272127</v>
      </c>
      <c r="AA115" s="1">
        <v>1482692</v>
      </c>
      <c r="AC115" s="1">
        <v>411833</v>
      </c>
      <c r="AE115" s="1">
        <v>87867</v>
      </c>
      <c r="AG115" s="1">
        <v>753689</v>
      </c>
      <c r="AI115" s="1">
        <f>4188+12673</f>
        <v>16861</v>
      </c>
      <c r="AJ115" s="12" t="s">
        <v>438</v>
      </c>
      <c r="AK115" s="12"/>
      <c r="AL115" s="12" t="s">
        <v>44</v>
      </c>
      <c r="AN115" s="1">
        <v>421653</v>
      </c>
      <c r="AP115" s="1">
        <v>4428</v>
      </c>
      <c r="AR115" s="1">
        <v>0</v>
      </c>
      <c r="AT115" s="1">
        <v>218447</v>
      </c>
      <c r="AV115" s="1">
        <v>268901</v>
      </c>
      <c r="AX115" s="1">
        <v>0</v>
      </c>
      <c r="AZ115" s="20">
        <f t="shared" si="9"/>
        <v>15988189</v>
      </c>
      <c r="BB115" s="1">
        <v>93853</v>
      </c>
      <c r="BH115" s="1">
        <v>0</v>
      </c>
      <c r="BJ115" s="20">
        <f t="shared" si="8"/>
        <v>16082042</v>
      </c>
      <c r="BL115" s="20">
        <f>'Gov Fd Rv'!AO115-'Gov Fnd Exp'!BJ115</f>
        <v>525516</v>
      </c>
      <c r="BN115" s="1">
        <v>90519</v>
      </c>
      <c r="BP115" s="1">
        <v>0</v>
      </c>
      <c r="BR115" s="1">
        <v>0</v>
      </c>
      <c r="BT115" s="20">
        <f>BL115+BN115+BP115+BR115</f>
        <v>616035</v>
      </c>
      <c r="BU115" s="20"/>
      <c r="BV115" s="20">
        <f>BT115-'Gov Fd BS'!AA115</f>
        <v>0</v>
      </c>
    </row>
    <row r="116" spans="1:74">
      <c r="A116" s="12" t="s">
        <v>797</v>
      </c>
      <c r="B116" s="12"/>
      <c r="C116" s="12" t="s">
        <v>115</v>
      </c>
      <c r="D116" s="12"/>
      <c r="E116" s="13"/>
      <c r="G116" s="1">
        <v>7528891</v>
      </c>
      <c r="I116" s="1">
        <v>2295332</v>
      </c>
      <c r="K116" s="1">
        <v>0</v>
      </c>
      <c r="M116" s="1">
        <v>275571</v>
      </c>
      <c r="O116" s="1">
        <v>796053</v>
      </c>
      <c r="Q116" s="1">
        <v>781171</v>
      </c>
      <c r="S116" s="1">
        <v>53288</v>
      </c>
      <c r="U116" s="1">
        <v>1477497</v>
      </c>
      <c r="W116" s="1">
        <v>464476</v>
      </c>
      <c r="Y116" s="1">
        <v>59749</v>
      </c>
      <c r="AA116" s="1">
        <v>1987651</v>
      </c>
      <c r="AC116" s="1">
        <v>1675249</v>
      </c>
      <c r="AE116" s="1">
        <v>296075</v>
      </c>
      <c r="AG116" s="1">
        <v>657896</v>
      </c>
      <c r="AI116" s="1">
        <v>216460</v>
      </c>
      <c r="AJ116" s="12" t="s">
        <v>797</v>
      </c>
      <c r="AK116" s="12"/>
      <c r="AL116" s="12" t="s">
        <v>115</v>
      </c>
      <c r="AN116" s="1">
        <v>417386</v>
      </c>
      <c r="AP116" s="1">
        <v>0</v>
      </c>
      <c r="AR116" s="1">
        <v>0</v>
      </c>
      <c r="AT116" s="1">
        <v>475000</v>
      </c>
      <c r="AV116" s="1">
        <v>28696</v>
      </c>
      <c r="AX116" s="1">
        <v>0</v>
      </c>
      <c r="AZ116" s="20">
        <f t="shared" si="9"/>
        <v>19486441</v>
      </c>
      <c r="BB116" s="1">
        <v>383504</v>
      </c>
      <c r="BH116" s="1">
        <v>0</v>
      </c>
      <c r="BJ116" s="20">
        <f t="shared" si="8"/>
        <v>19869945</v>
      </c>
      <c r="BL116" s="20">
        <f>'Gov Fd Rv'!AO116-'Gov Fnd Exp'!BJ116</f>
        <v>-590224</v>
      </c>
      <c r="BN116" s="1">
        <v>3590526</v>
      </c>
      <c r="BP116" s="1">
        <v>0</v>
      </c>
      <c r="BR116" s="1">
        <v>0</v>
      </c>
      <c r="BT116" s="20">
        <f>BL116+BN116+BP116+BR116</f>
        <v>3000302</v>
      </c>
      <c r="BU116" s="20"/>
      <c r="BV116" s="20">
        <f>BT116-'Gov Fd BS'!AA116</f>
        <v>0</v>
      </c>
    </row>
    <row r="117" spans="1:74">
      <c r="A117" s="12" t="s">
        <v>796</v>
      </c>
      <c r="B117" s="12"/>
      <c r="C117" s="12" t="s">
        <v>20</v>
      </c>
      <c r="D117" s="12"/>
      <c r="E117" s="13">
        <v>43794</v>
      </c>
      <c r="G117" s="1">
        <v>37438613</v>
      </c>
      <c r="I117" s="1">
        <v>12350826</v>
      </c>
      <c r="K117" s="1">
        <v>1917949</v>
      </c>
      <c r="M117" s="1">
        <f>243510+4424310</f>
        <v>4667820</v>
      </c>
      <c r="O117" s="1">
        <v>9040268</v>
      </c>
      <c r="Q117" s="1">
        <v>7798200</v>
      </c>
      <c r="S117" s="1">
        <v>482582</v>
      </c>
      <c r="U117" s="1">
        <v>6172891</v>
      </c>
      <c r="W117" s="1">
        <v>3029193</v>
      </c>
      <c r="Y117" s="1">
        <v>1367110</v>
      </c>
      <c r="AA117" s="1">
        <v>13204102</v>
      </c>
      <c r="AC117" s="1">
        <v>4461495</v>
      </c>
      <c r="AE117" s="1">
        <v>3727743</v>
      </c>
      <c r="AG117" s="1">
        <v>5776</v>
      </c>
      <c r="AI117" s="1">
        <f>2126328+120946</f>
        <v>2247274</v>
      </c>
      <c r="AJ117" s="12" t="s">
        <v>796</v>
      </c>
      <c r="AK117" s="12"/>
      <c r="AL117" s="12" t="s">
        <v>20</v>
      </c>
      <c r="AN117" s="1">
        <v>1482333</v>
      </c>
      <c r="AP117" s="1">
        <v>0</v>
      </c>
      <c r="AR117" s="1">
        <v>0</v>
      </c>
      <c r="AT117" s="1">
        <v>2193347</v>
      </c>
      <c r="AV117" s="1">
        <v>503908</v>
      </c>
      <c r="AX117" s="1">
        <v>0</v>
      </c>
      <c r="AZ117" s="20">
        <f t="shared" si="9"/>
        <v>112091430</v>
      </c>
      <c r="BB117" s="1">
        <v>570000</v>
      </c>
      <c r="BH117" s="1">
        <v>0</v>
      </c>
      <c r="BJ117" s="20">
        <f t="shared" si="8"/>
        <v>112661430</v>
      </c>
      <c r="BL117" s="20">
        <f>'Gov Fd Rv'!AO117-'Gov Fnd Exp'!BJ117</f>
        <v>-5246169</v>
      </c>
      <c r="BN117" s="1">
        <v>73232952</v>
      </c>
      <c r="BP117" s="1">
        <v>0</v>
      </c>
      <c r="BR117" s="1">
        <v>0</v>
      </c>
      <c r="BT117" s="20">
        <f>BL117+BN117+BP117+BR117</f>
        <v>67986783</v>
      </c>
      <c r="BU117" s="20"/>
      <c r="BV117" s="20">
        <f>BT117-'Gov Fd BS'!AA117</f>
        <v>0</v>
      </c>
    </row>
    <row r="118" spans="1:74">
      <c r="A118" s="12" t="s">
        <v>286</v>
      </c>
      <c r="B118" s="12"/>
      <c r="C118" s="12" t="s">
        <v>20</v>
      </c>
      <c r="D118" s="12"/>
      <c r="E118" s="13">
        <v>43786</v>
      </c>
      <c r="G118" s="1">
        <v>320913453</v>
      </c>
      <c r="I118" s="1">
        <v>189382175</v>
      </c>
      <c r="K118" s="1">
        <v>11906845</v>
      </c>
      <c r="M118" s="1">
        <f>3665685+9233999</f>
        <v>12899684</v>
      </c>
      <c r="O118" s="1">
        <v>38434140</v>
      </c>
      <c r="Q118" s="1">
        <v>65575019</v>
      </c>
      <c r="S118" s="1">
        <v>237500</v>
      </c>
      <c r="U118" s="1">
        <v>43344082</v>
      </c>
      <c r="W118" s="1">
        <v>10093012</v>
      </c>
      <c r="Y118" s="1">
        <v>2230778</v>
      </c>
      <c r="AA118" s="1">
        <v>61633008</v>
      </c>
      <c r="AC118" s="1">
        <v>27703192</v>
      </c>
      <c r="AE118" s="1">
        <v>14731249</v>
      </c>
      <c r="AG118" s="1">
        <v>41262127</v>
      </c>
      <c r="AI118" s="1">
        <v>0</v>
      </c>
      <c r="AJ118" s="12" t="s">
        <v>286</v>
      </c>
      <c r="AK118" s="12"/>
      <c r="AL118" s="12" t="s">
        <v>20</v>
      </c>
      <c r="AN118" s="1">
        <v>6493928</v>
      </c>
      <c r="AP118" s="1">
        <v>95529232</v>
      </c>
      <c r="AR118" s="1">
        <v>0</v>
      </c>
      <c r="AT118" s="1">
        <v>10193245</v>
      </c>
      <c r="AV118" s="1">
        <v>8122103</v>
      </c>
      <c r="AX118" s="1">
        <v>0</v>
      </c>
      <c r="AZ118" s="20">
        <f t="shared" si="9"/>
        <v>960684772</v>
      </c>
      <c r="BB118" s="1">
        <v>11072036</v>
      </c>
      <c r="BH118" s="1">
        <v>0</v>
      </c>
      <c r="BJ118" s="20">
        <f t="shared" si="8"/>
        <v>971756808</v>
      </c>
      <c r="BL118" s="20">
        <f>'Gov Fd Rv'!AO118-'Gov Fnd Exp'!BJ118</f>
        <v>-75570942</v>
      </c>
      <c r="BN118" s="1">
        <v>224466415</v>
      </c>
      <c r="BP118" s="1">
        <v>0</v>
      </c>
      <c r="BR118" s="1">
        <v>0</v>
      </c>
      <c r="BT118" s="20">
        <f t="shared" si="10"/>
        <v>148895473</v>
      </c>
      <c r="BU118" s="20"/>
      <c r="BV118" s="20">
        <f>BT118-'Gov Fd BS'!AA118</f>
        <v>0</v>
      </c>
    </row>
    <row r="119" spans="1:74">
      <c r="A119" s="12" t="s">
        <v>260</v>
      </c>
      <c r="B119" s="12"/>
      <c r="C119" s="12" t="s">
        <v>18</v>
      </c>
      <c r="D119" s="12"/>
      <c r="E119" s="13">
        <v>46391</v>
      </c>
      <c r="G119" s="1">
        <v>6636592</v>
      </c>
      <c r="I119" s="1">
        <v>1229653</v>
      </c>
      <c r="K119" s="1">
        <v>0</v>
      </c>
      <c r="M119" s="1">
        <v>1167694</v>
      </c>
      <c r="O119" s="1">
        <v>970521</v>
      </c>
      <c r="Q119" s="1">
        <v>1151771</v>
      </c>
      <c r="S119" s="1">
        <v>17775</v>
      </c>
      <c r="U119" s="1">
        <v>1021824</v>
      </c>
      <c r="W119" s="1">
        <v>469621</v>
      </c>
      <c r="Y119" s="1">
        <v>6249</v>
      </c>
      <c r="AA119" s="1">
        <v>1576799</v>
      </c>
      <c r="AC119" s="1">
        <v>929337</v>
      </c>
      <c r="AE119" s="1">
        <v>5018</v>
      </c>
      <c r="AG119" s="1">
        <v>679237</v>
      </c>
      <c r="AI119" s="1">
        <v>0</v>
      </c>
      <c r="AJ119" s="12" t="s">
        <v>260</v>
      </c>
      <c r="AK119" s="12"/>
      <c r="AL119" s="12" t="s">
        <v>18</v>
      </c>
      <c r="AN119" s="1">
        <v>551872</v>
      </c>
      <c r="AP119" s="1">
        <f>3247984+42520</f>
        <v>3290504</v>
      </c>
      <c r="AR119" s="1">
        <v>0</v>
      </c>
      <c r="AT119" s="1">
        <v>412938</v>
      </c>
      <c r="AV119" s="1">
        <v>634268</v>
      </c>
      <c r="AX119" s="1">
        <v>0</v>
      </c>
      <c r="AZ119" s="20">
        <f t="shared" si="9"/>
        <v>20751673</v>
      </c>
      <c r="BB119" s="1">
        <v>6259688</v>
      </c>
      <c r="BH119" s="1">
        <v>0</v>
      </c>
      <c r="BJ119" s="20">
        <f t="shared" si="8"/>
        <v>27011361</v>
      </c>
      <c r="BL119" s="20">
        <f>'Gov Fd Rv'!AO119-'Gov Fnd Exp'!BJ119</f>
        <v>-2611184</v>
      </c>
      <c r="BN119" s="1">
        <v>7715167</v>
      </c>
      <c r="BP119" s="1">
        <v>0</v>
      </c>
      <c r="BR119" s="1">
        <v>0</v>
      </c>
      <c r="BT119" s="20">
        <f>BL119+BN119+BP119+BR119</f>
        <v>5103983</v>
      </c>
      <c r="BU119" s="20"/>
      <c r="BV119" s="20">
        <f>BT119-'Gov Fd BS'!AA119</f>
        <v>0</v>
      </c>
    </row>
    <row r="120" spans="1:74">
      <c r="A120" s="12" t="s">
        <v>480</v>
      </c>
      <c r="B120" s="12"/>
      <c r="C120" s="12" t="s">
        <v>47</v>
      </c>
      <c r="D120" s="12"/>
      <c r="E120" s="13">
        <v>48488</v>
      </c>
      <c r="G120" s="1">
        <v>17870018</v>
      </c>
      <c r="I120" s="1">
        <v>0</v>
      </c>
      <c r="K120" s="1">
        <v>0</v>
      </c>
      <c r="M120" s="1">
        <v>0</v>
      </c>
      <c r="O120" s="1">
        <v>1493303</v>
      </c>
      <c r="Q120" s="1">
        <v>1888916</v>
      </c>
      <c r="S120" s="1">
        <v>31238</v>
      </c>
      <c r="U120" s="1">
        <v>1818855</v>
      </c>
      <c r="W120" s="1">
        <v>568816</v>
      </c>
      <c r="Y120" s="1">
        <v>373390</v>
      </c>
      <c r="AA120" s="1">
        <v>2280722</v>
      </c>
      <c r="AC120" s="1">
        <v>2432798</v>
      </c>
      <c r="AE120" s="1">
        <v>374808</v>
      </c>
      <c r="AG120" s="1">
        <v>979688</v>
      </c>
      <c r="AI120" s="1">
        <v>457569</v>
      </c>
      <c r="AJ120" s="12" t="s">
        <v>480</v>
      </c>
      <c r="AK120" s="12"/>
      <c r="AL120" s="12" t="s">
        <v>47</v>
      </c>
      <c r="AN120" s="1">
        <v>829390</v>
      </c>
      <c r="AP120" s="1">
        <v>3429118</v>
      </c>
      <c r="AR120" s="1">
        <v>0</v>
      </c>
      <c r="AT120" s="1">
        <v>500000</v>
      </c>
      <c r="AV120" s="1">
        <f>455467+466555</f>
        <v>922022</v>
      </c>
      <c r="AX120" s="1">
        <v>0</v>
      </c>
      <c r="AZ120" s="20">
        <f t="shared" si="9"/>
        <v>36250651</v>
      </c>
      <c r="BB120" s="1">
        <v>106792</v>
      </c>
      <c r="BH120" s="1">
        <v>690723</v>
      </c>
      <c r="BJ120" s="20">
        <f>AZ120+BB120+BH120</f>
        <v>37048166</v>
      </c>
      <c r="BL120" s="20">
        <f>'Gov Fd Rv'!AO120-'Gov Fnd Exp'!BJ120</f>
        <v>21943617</v>
      </c>
      <c r="BN120" s="1">
        <v>1676300</v>
      </c>
      <c r="BP120" s="1">
        <v>0</v>
      </c>
      <c r="BR120" s="1">
        <v>0</v>
      </c>
      <c r="BT120" s="20">
        <f>BL120+BN120+BP120+BR120</f>
        <v>23619917</v>
      </c>
      <c r="BU120" s="20"/>
      <c r="BV120" s="20">
        <f>BT120-'Gov Fd BS'!AA120</f>
        <v>0</v>
      </c>
    </row>
    <row r="121" spans="1:74">
      <c r="A121" s="12" t="s">
        <v>555</v>
      </c>
      <c r="B121" s="12"/>
      <c r="C121" s="12" t="s">
        <v>79</v>
      </c>
      <c r="D121" s="12"/>
      <c r="E121" s="13">
        <v>45302</v>
      </c>
      <c r="G121" s="1">
        <v>9977791</v>
      </c>
      <c r="I121" s="1">
        <v>2587988</v>
      </c>
      <c r="K121" s="1">
        <v>89710</v>
      </c>
      <c r="M121" s="1">
        <v>719967</v>
      </c>
      <c r="O121" s="1">
        <v>1211417</v>
      </c>
      <c r="Q121" s="1">
        <v>580403</v>
      </c>
      <c r="S121" s="1">
        <v>29432</v>
      </c>
      <c r="U121" s="1">
        <v>1761180</v>
      </c>
      <c r="W121" s="1">
        <v>517936</v>
      </c>
      <c r="Y121" s="1">
        <v>8945</v>
      </c>
      <c r="AA121" s="1">
        <v>1633431</v>
      </c>
      <c r="AC121" s="1">
        <v>904063</v>
      </c>
      <c r="AE121" s="1">
        <v>107143</v>
      </c>
      <c r="AG121" s="1">
        <v>974212</v>
      </c>
      <c r="AI121" s="1">
        <v>27979</v>
      </c>
      <c r="AJ121" s="12" t="s">
        <v>555</v>
      </c>
      <c r="AK121" s="12"/>
      <c r="AL121" s="12" t="s">
        <v>79</v>
      </c>
      <c r="AN121" s="1">
        <v>753330</v>
      </c>
      <c r="AP121" s="1">
        <v>33465633</v>
      </c>
      <c r="AR121" s="1">
        <v>0</v>
      </c>
      <c r="AT121" s="1">
        <v>805833</v>
      </c>
      <c r="AV121" s="1">
        <v>1250243</v>
      </c>
      <c r="AX121" s="1">
        <v>0</v>
      </c>
      <c r="AZ121" s="20">
        <f t="shared" si="9"/>
        <v>57406636</v>
      </c>
      <c r="BB121" s="1">
        <v>1022563</v>
      </c>
      <c r="BH121" s="1">
        <v>0</v>
      </c>
      <c r="BJ121" s="20">
        <f t="shared" si="8"/>
        <v>58429199</v>
      </c>
      <c r="BL121" s="20">
        <f>'Gov Fd Rv'!AO121-'Gov Fnd Exp'!BJ121</f>
        <v>-15182338</v>
      </c>
      <c r="BN121" s="1">
        <v>35926067</v>
      </c>
      <c r="BP121" s="1">
        <v>-8989</v>
      </c>
      <c r="BR121" s="1">
        <v>0</v>
      </c>
      <c r="BT121" s="20">
        <f t="shared" si="10"/>
        <v>20734740</v>
      </c>
      <c r="BU121" s="20"/>
      <c r="BV121" s="20">
        <f>BT121-'Gov Fd BS'!AA121</f>
        <v>0</v>
      </c>
    </row>
    <row r="122" spans="1:74" hidden="1">
      <c r="A122" s="12" t="s">
        <v>798</v>
      </c>
      <c r="B122" s="12"/>
      <c r="C122" s="12" t="s">
        <v>486</v>
      </c>
      <c r="D122" s="12"/>
      <c r="E122" s="13"/>
      <c r="AJ122" s="12" t="s">
        <v>798</v>
      </c>
      <c r="AK122" s="12"/>
      <c r="AL122" s="12" t="s">
        <v>486</v>
      </c>
      <c r="AZ122" s="20">
        <f t="shared" si="9"/>
        <v>0</v>
      </c>
      <c r="BJ122" s="20">
        <f t="shared" si="8"/>
        <v>0</v>
      </c>
      <c r="BL122" s="20">
        <f>'Gov Fd Rv'!AO122-'Gov Fnd Exp'!BJ122</f>
        <v>0</v>
      </c>
      <c r="BT122" s="20">
        <f t="shared" si="10"/>
        <v>0</v>
      </c>
      <c r="BU122" s="20"/>
      <c r="BV122" s="20">
        <f>BT122-'Gov Fd BS'!AA122</f>
        <v>0</v>
      </c>
    </row>
    <row r="123" spans="1:74" hidden="1">
      <c r="A123" s="12" t="s">
        <v>929</v>
      </c>
      <c r="B123" s="12"/>
      <c r="C123" s="12" t="s">
        <v>57</v>
      </c>
      <c r="D123" s="12"/>
      <c r="E123" s="13">
        <v>64964</v>
      </c>
      <c r="AJ123" s="12" t="s">
        <v>929</v>
      </c>
      <c r="AK123" s="12"/>
      <c r="AL123" s="12" t="s">
        <v>57</v>
      </c>
      <c r="AZ123" s="20">
        <f t="shared" si="9"/>
        <v>0</v>
      </c>
      <c r="BJ123" s="20">
        <f t="shared" si="8"/>
        <v>0</v>
      </c>
      <c r="BL123" s="20">
        <f>'Gov Fd Rv'!AO123-'Gov Fnd Exp'!BJ123</f>
        <v>0</v>
      </c>
      <c r="BT123" s="20">
        <f t="shared" si="10"/>
        <v>0</v>
      </c>
      <c r="BU123" s="20"/>
      <c r="BV123" s="20">
        <f>BT123-'Gov Fd BS'!AA123</f>
        <v>0</v>
      </c>
    </row>
    <row r="124" spans="1:74">
      <c r="A124" s="12" t="s">
        <v>277</v>
      </c>
      <c r="B124" s="12"/>
      <c r="C124" s="12" t="s">
        <v>113</v>
      </c>
      <c r="D124" s="12"/>
      <c r="E124" s="13">
        <v>46516</v>
      </c>
      <c r="G124" s="1">
        <v>3688701</v>
      </c>
      <c r="I124" s="1">
        <v>1177211</v>
      </c>
      <c r="K124" s="1">
        <v>18634</v>
      </c>
      <c r="M124" s="1">
        <v>0</v>
      </c>
      <c r="O124" s="1">
        <v>569988</v>
      </c>
      <c r="Q124" s="1">
        <v>235633</v>
      </c>
      <c r="S124" s="1">
        <v>28118</v>
      </c>
      <c r="U124" s="1">
        <v>668564</v>
      </c>
      <c r="W124" s="1">
        <v>303397</v>
      </c>
      <c r="Y124" s="1">
        <v>8347</v>
      </c>
      <c r="AA124" s="1">
        <v>999279</v>
      </c>
      <c r="AC124" s="1">
        <v>510585</v>
      </c>
      <c r="AE124" s="1">
        <v>56640</v>
      </c>
      <c r="AG124" s="1">
        <v>310685</v>
      </c>
      <c r="AI124" s="1">
        <v>45252</v>
      </c>
      <c r="AJ124" s="12" t="s">
        <v>277</v>
      </c>
      <c r="AK124" s="12"/>
      <c r="AL124" s="12" t="s">
        <v>113</v>
      </c>
      <c r="AN124" s="1">
        <v>386130</v>
      </c>
      <c r="AP124" s="1">
        <v>39618</v>
      </c>
      <c r="AR124" s="1">
        <v>0</v>
      </c>
      <c r="AT124" s="1">
        <v>405474</v>
      </c>
      <c r="AV124" s="1">
        <v>523761</v>
      </c>
      <c r="AX124" s="1">
        <v>0</v>
      </c>
      <c r="AZ124" s="20">
        <f t="shared" si="9"/>
        <v>9976017</v>
      </c>
      <c r="BB124" s="1">
        <v>229070</v>
      </c>
      <c r="BH124" s="1">
        <v>0</v>
      </c>
      <c r="BJ124" s="20">
        <f t="shared" si="8"/>
        <v>10205087</v>
      </c>
      <c r="BL124" s="20">
        <f>'Gov Fd Rv'!AO124-'Gov Fnd Exp'!BJ124</f>
        <v>551787</v>
      </c>
      <c r="BN124" s="1">
        <v>2662547</v>
      </c>
      <c r="BP124" s="1">
        <v>0</v>
      </c>
      <c r="BR124" s="1">
        <v>0</v>
      </c>
      <c r="BT124" s="20">
        <f t="shared" si="10"/>
        <v>3214334</v>
      </c>
      <c r="BU124" s="20"/>
      <c r="BV124" s="20">
        <f>BT124-'Gov Fd BS'!AA124</f>
        <v>0</v>
      </c>
    </row>
    <row r="125" spans="1:74">
      <c r="A125" s="12" t="s">
        <v>439</v>
      </c>
      <c r="B125" s="12"/>
      <c r="C125" s="12" t="s">
        <v>44</v>
      </c>
      <c r="D125" s="12"/>
      <c r="E125" s="13">
        <v>48140</v>
      </c>
      <c r="G125" s="1">
        <v>4942412</v>
      </c>
      <c r="I125" s="1">
        <v>886753</v>
      </c>
      <c r="K125" s="1">
        <v>83772</v>
      </c>
      <c r="M125" s="1">
        <v>239243</v>
      </c>
      <c r="O125" s="1">
        <v>600074</v>
      </c>
      <c r="Q125" s="1">
        <v>331878</v>
      </c>
      <c r="S125" s="1">
        <v>41026</v>
      </c>
      <c r="U125" s="1">
        <v>1107502</v>
      </c>
      <c r="W125" s="1">
        <v>361611</v>
      </c>
      <c r="Y125" s="1">
        <v>0</v>
      </c>
      <c r="AA125" s="1">
        <v>993316</v>
      </c>
      <c r="AC125" s="1">
        <v>751880</v>
      </c>
      <c r="AE125" s="1">
        <v>161898</v>
      </c>
      <c r="AG125" s="1">
        <v>388368</v>
      </c>
      <c r="AI125" s="1">
        <v>0</v>
      </c>
      <c r="AJ125" s="12" t="s">
        <v>439</v>
      </c>
      <c r="AK125" s="12"/>
      <c r="AL125" s="12" t="s">
        <v>44</v>
      </c>
      <c r="AN125" s="1">
        <v>407248</v>
      </c>
      <c r="AP125" s="1">
        <v>329492</v>
      </c>
      <c r="AR125" s="1">
        <v>0</v>
      </c>
      <c r="AT125" s="1">
        <v>18702</v>
      </c>
      <c r="AV125" s="1">
        <v>4685</v>
      </c>
      <c r="AX125" s="1">
        <v>0</v>
      </c>
      <c r="AZ125" s="20">
        <f t="shared" si="9"/>
        <v>11649860</v>
      </c>
      <c r="BB125" s="1">
        <v>32600</v>
      </c>
      <c r="BH125" s="1">
        <v>0</v>
      </c>
      <c r="BJ125" s="20">
        <f t="shared" si="8"/>
        <v>11682460</v>
      </c>
      <c r="BL125" s="20">
        <f>'Gov Fd Rv'!AO125-'Gov Fnd Exp'!BJ125</f>
        <v>-519425</v>
      </c>
      <c r="BN125" s="1">
        <v>1428353</v>
      </c>
      <c r="BP125" s="1">
        <v>0</v>
      </c>
      <c r="BR125" s="1">
        <v>0</v>
      </c>
      <c r="BT125" s="20">
        <f t="shared" si="10"/>
        <v>908928</v>
      </c>
      <c r="BU125" s="20"/>
      <c r="BV125" s="20">
        <f>BT125-'Gov Fd BS'!AA125</f>
        <v>0</v>
      </c>
    </row>
    <row r="126" spans="1:74">
      <c r="A126" s="12" t="s">
        <v>264</v>
      </c>
      <c r="B126" s="12"/>
      <c r="C126" s="12" t="s">
        <v>114</v>
      </c>
      <c r="D126" s="12"/>
      <c r="E126" s="13">
        <v>45328</v>
      </c>
      <c r="G126" s="1">
        <v>5879151</v>
      </c>
      <c r="I126" s="1">
        <v>1617254</v>
      </c>
      <c r="K126" s="1">
        <v>0</v>
      </c>
      <c r="M126" s="1">
        <v>96386</v>
      </c>
      <c r="O126" s="1">
        <v>327478</v>
      </c>
      <c r="Q126" s="1">
        <v>185571</v>
      </c>
      <c r="S126" s="1">
        <v>18874</v>
      </c>
      <c r="U126" s="1">
        <v>792586</v>
      </c>
      <c r="W126" s="1">
        <v>361667</v>
      </c>
      <c r="Y126" s="1">
        <v>0</v>
      </c>
      <c r="AA126" s="1">
        <v>734248</v>
      </c>
      <c r="AC126" s="1">
        <v>282876</v>
      </c>
      <c r="AE126" s="1">
        <v>0</v>
      </c>
      <c r="AG126" s="1">
        <v>317715</v>
      </c>
      <c r="AI126" s="1">
        <v>0</v>
      </c>
      <c r="AJ126" s="12" t="s">
        <v>264</v>
      </c>
      <c r="AK126" s="12"/>
      <c r="AL126" s="12" t="s">
        <v>114</v>
      </c>
      <c r="AN126" s="1">
        <v>358667</v>
      </c>
      <c r="AP126" s="1">
        <v>447906</v>
      </c>
      <c r="AR126" s="1">
        <v>0</v>
      </c>
      <c r="AT126" s="1">
        <v>613321</v>
      </c>
      <c r="AV126" s="1">
        <f>762668+193390+256936</f>
        <v>1212994</v>
      </c>
      <c r="AX126" s="1">
        <v>0</v>
      </c>
      <c r="AZ126" s="20">
        <f t="shared" si="9"/>
        <v>13246694</v>
      </c>
      <c r="BB126" s="1">
        <v>0</v>
      </c>
      <c r="BH126" s="1">
        <v>8449501</v>
      </c>
      <c r="BJ126" s="20">
        <f t="shared" si="8"/>
        <v>21696195</v>
      </c>
      <c r="BL126" s="20">
        <f>'Gov Fd Rv'!AO126-'Gov Fnd Exp'!BJ126</f>
        <v>-1675739</v>
      </c>
      <c r="BN126" s="1">
        <v>3781253</v>
      </c>
      <c r="BP126" s="1">
        <v>0</v>
      </c>
      <c r="BR126" s="1">
        <v>0</v>
      </c>
      <c r="BT126" s="20">
        <f t="shared" si="10"/>
        <v>2105514</v>
      </c>
      <c r="BU126" s="20"/>
      <c r="BV126" s="20">
        <f>BT126-'Gov Fd BS'!AA126</f>
        <v>0</v>
      </c>
    </row>
    <row r="127" spans="1:74">
      <c r="A127" s="12" t="s">
        <v>331</v>
      </c>
      <c r="B127" s="12"/>
      <c r="C127" s="12" t="s">
        <v>27</v>
      </c>
      <c r="D127" s="12"/>
      <c r="E127" s="13">
        <v>43802</v>
      </c>
      <c r="G127" s="1">
        <v>345209175</v>
      </c>
      <c r="I127" s="1">
        <v>111632929</v>
      </c>
      <c r="K127" s="1">
        <v>8907997</v>
      </c>
      <c r="M127" s="1">
        <f>2137047+2320610</f>
        <v>4457657</v>
      </c>
      <c r="O127" s="1">
        <v>58676115</v>
      </c>
      <c r="Q127" s="1">
        <v>76959159</v>
      </c>
      <c r="S127" s="1">
        <v>121508</v>
      </c>
      <c r="U127" s="1">
        <v>50503282</v>
      </c>
      <c r="W127" s="1">
        <v>14158506</v>
      </c>
      <c r="Y127" s="1">
        <v>5023631</v>
      </c>
      <c r="AA127" s="1">
        <v>66607811</v>
      </c>
      <c r="AC127" s="1">
        <v>72168880</v>
      </c>
      <c r="AE127" s="1">
        <v>18914227</v>
      </c>
      <c r="AG127" s="1">
        <v>38644944</v>
      </c>
      <c r="AI127" s="1">
        <v>0</v>
      </c>
      <c r="AJ127" s="12" t="s">
        <v>331</v>
      </c>
      <c r="AK127" s="12"/>
      <c r="AL127" s="12" t="s">
        <v>27</v>
      </c>
      <c r="AN127" s="1">
        <v>8579419</v>
      </c>
      <c r="AP127" s="1">
        <v>28295510</v>
      </c>
      <c r="AR127" s="1">
        <v>0</v>
      </c>
      <c r="AT127" s="1">
        <v>70453159</v>
      </c>
      <c r="AV127" s="1">
        <f>22404185+546465+3705816</f>
        <v>26656466</v>
      </c>
      <c r="AX127" s="1">
        <v>0</v>
      </c>
      <c r="AZ127" s="20">
        <f t="shared" si="9"/>
        <v>1005970375</v>
      </c>
      <c r="BB127" s="1">
        <v>195903543</v>
      </c>
      <c r="BH127" s="1">
        <v>4795446</v>
      </c>
      <c r="BJ127" s="20">
        <f t="shared" si="8"/>
        <v>1206669364</v>
      </c>
      <c r="BL127" s="20">
        <f>'Gov Fd Rv'!AO127-'Gov Fnd Exp'!BJ127</f>
        <v>-5388611</v>
      </c>
      <c r="BN127" s="1">
        <v>446405868</v>
      </c>
      <c r="BP127" s="1">
        <v>0</v>
      </c>
      <c r="BR127" s="1">
        <v>0</v>
      </c>
      <c r="BT127" s="20">
        <f t="shared" si="10"/>
        <v>441017257</v>
      </c>
      <c r="BU127" s="20"/>
      <c r="BV127" s="20">
        <f>BT127-'Gov Fd BS'!AA127</f>
        <v>0</v>
      </c>
    </row>
    <row r="128" spans="1:74" hidden="1">
      <c r="A128" s="12" t="s">
        <v>731</v>
      </c>
      <c r="B128" s="12"/>
      <c r="C128" s="12" t="s">
        <v>542</v>
      </c>
      <c r="D128" s="12"/>
      <c r="E128" s="13">
        <v>49312</v>
      </c>
      <c r="AJ128" s="12" t="s">
        <v>731</v>
      </c>
      <c r="AK128" s="12"/>
      <c r="AL128" s="12" t="s">
        <v>542</v>
      </c>
      <c r="AZ128" s="20">
        <f t="shared" si="9"/>
        <v>0</v>
      </c>
      <c r="BJ128" s="20">
        <f t="shared" si="8"/>
        <v>0</v>
      </c>
      <c r="BL128" s="20">
        <f>'Gov Fd Rv'!AO128-'Gov Fnd Exp'!BJ128</f>
        <v>0</v>
      </c>
      <c r="BT128" s="20">
        <f t="shared" si="10"/>
        <v>0</v>
      </c>
      <c r="BU128" s="20"/>
      <c r="BV128" s="20">
        <f>BT128-'Gov Fd BS'!AA128</f>
        <v>0</v>
      </c>
    </row>
    <row r="129" spans="1:74">
      <c r="A129" s="12" t="s">
        <v>210</v>
      </c>
      <c r="B129" s="12"/>
      <c r="C129" s="12" t="s">
        <v>12</v>
      </c>
      <c r="D129" s="12"/>
      <c r="E129" s="13">
        <v>43810</v>
      </c>
      <c r="G129" s="1">
        <v>9793428</v>
      </c>
      <c r="I129" s="1">
        <v>2280707</v>
      </c>
      <c r="K129" s="1">
        <v>81643</v>
      </c>
      <c r="M129" s="1">
        <v>22305</v>
      </c>
      <c r="O129" s="1">
        <v>1187280</v>
      </c>
      <c r="Q129" s="1">
        <v>1620471</v>
      </c>
      <c r="S129" s="1">
        <v>30618</v>
      </c>
      <c r="U129" s="1">
        <v>1869833</v>
      </c>
      <c r="W129" s="1">
        <v>456246</v>
      </c>
      <c r="Y129" s="1">
        <v>0</v>
      </c>
      <c r="AA129" s="1">
        <v>1968046</v>
      </c>
      <c r="AC129" s="1">
        <v>799968</v>
      </c>
      <c r="AE129" s="1">
        <v>75326</v>
      </c>
      <c r="AG129" s="1">
        <v>730148</v>
      </c>
      <c r="AI129" s="1">
        <v>0</v>
      </c>
      <c r="AJ129" s="12" t="s">
        <v>210</v>
      </c>
      <c r="AK129" s="12"/>
      <c r="AL129" s="12" t="s">
        <v>12</v>
      </c>
      <c r="AN129" s="1">
        <v>371103</v>
      </c>
      <c r="AP129" s="1">
        <v>222454</v>
      </c>
      <c r="AR129" s="1">
        <v>0</v>
      </c>
      <c r="AT129" s="1">
        <v>100631</v>
      </c>
      <c r="AV129" s="1">
        <f>238186+155483</f>
        <v>393669</v>
      </c>
      <c r="AX129" s="1">
        <v>0</v>
      </c>
      <c r="AZ129" s="20">
        <f t="shared" si="9"/>
        <v>22003876</v>
      </c>
      <c r="BB129" s="1">
        <v>40292</v>
      </c>
      <c r="BH129" s="1">
        <v>0</v>
      </c>
      <c r="BJ129" s="20">
        <f t="shared" si="8"/>
        <v>22044168</v>
      </c>
      <c r="BL129" s="20">
        <f>'Gov Fd Rv'!AO129-'Gov Fnd Exp'!BJ129</f>
        <v>44669</v>
      </c>
      <c r="BN129" s="1">
        <v>7665057</v>
      </c>
      <c r="BP129" s="1">
        <v>0</v>
      </c>
      <c r="BR129" s="1">
        <v>0</v>
      </c>
      <c r="BT129" s="20">
        <f t="shared" si="10"/>
        <v>7709726</v>
      </c>
      <c r="BU129" s="20"/>
      <c r="BV129" s="20">
        <f>BT129-'Gov Fd BS'!AA129</f>
        <v>0</v>
      </c>
    </row>
    <row r="130" spans="1:74">
      <c r="A130" s="12" t="s">
        <v>387</v>
      </c>
      <c r="B130" s="12"/>
      <c r="C130" s="12" t="s">
        <v>388</v>
      </c>
      <c r="D130" s="12"/>
      <c r="E130" s="12">
        <v>47548</v>
      </c>
      <c r="G130" s="1">
        <v>2663163</v>
      </c>
      <c r="I130" s="1">
        <v>700074</v>
      </c>
      <c r="K130" s="1">
        <v>69729</v>
      </c>
      <c r="M130" s="1">
        <v>18979</v>
      </c>
      <c r="O130" s="1">
        <v>227510</v>
      </c>
      <c r="Q130" s="1">
        <v>333994</v>
      </c>
      <c r="S130" s="1">
        <v>17454</v>
      </c>
      <c r="U130" s="1">
        <v>610917</v>
      </c>
      <c r="W130" s="1">
        <v>230378</v>
      </c>
      <c r="Y130" s="1">
        <v>11</v>
      </c>
      <c r="AA130" s="1">
        <v>468986</v>
      </c>
      <c r="AC130" s="1">
        <v>435567</v>
      </c>
      <c r="AE130" s="1">
        <v>11329</v>
      </c>
      <c r="AG130" s="1">
        <v>283800</v>
      </c>
      <c r="AI130" s="1">
        <v>0</v>
      </c>
      <c r="AJ130" s="12" t="s">
        <v>387</v>
      </c>
      <c r="AK130" s="12"/>
      <c r="AL130" s="12" t="s">
        <v>388</v>
      </c>
      <c r="AN130" s="1">
        <v>157475</v>
      </c>
      <c r="AP130" s="1">
        <v>34925</v>
      </c>
      <c r="AR130" s="1">
        <v>0</v>
      </c>
      <c r="AT130" s="1">
        <v>14808</v>
      </c>
      <c r="AV130" s="1">
        <v>1932</v>
      </c>
      <c r="AX130" s="1">
        <v>0</v>
      </c>
      <c r="AZ130" s="20">
        <f t="shared" si="9"/>
        <v>6281031</v>
      </c>
      <c r="BB130" s="1">
        <v>65000</v>
      </c>
      <c r="BH130" s="1">
        <v>0</v>
      </c>
      <c r="BJ130" s="20">
        <f t="shared" si="8"/>
        <v>6346031</v>
      </c>
      <c r="BL130" s="20">
        <f>'Gov Fd Rv'!AO130-'Gov Fnd Exp'!BJ130</f>
        <v>-446460</v>
      </c>
      <c r="BN130" s="1">
        <v>1003167</v>
      </c>
      <c r="BP130" s="1">
        <v>0</v>
      </c>
      <c r="BR130" s="1">
        <v>0</v>
      </c>
      <c r="BT130" s="20">
        <f t="shared" si="10"/>
        <v>556707</v>
      </c>
      <c r="BU130" s="20"/>
      <c r="BV130" s="20">
        <f>BT130-'Gov Fd BS'!AA130</f>
        <v>0</v>
      </c>
    </row>
    <row r="131" spans="1:74" hidden="1">
      <c r="A131" s="12" t="s">
        <v>831</v>
      </c>
      <c r="B131" s="12"/>
      <c r="C131" s="12" t="s">
        <v>542</v>
      </c>
      <c r="D131" s="12"/>
      <c r="E131" s="13">
        <v>49320</v>
      </c>
      <c r="AJ131" s="12" t="s">
        <v>831</v>
      </c>
      <c r="AK131" s="12"/>
      <c r="AL131" s="12" t="s">
        <v>542</v>
      </c>
      <c r="AZ131" s="20">
        <f t="shared" si="9"/>
        <v>0</v>
      </c>
      <c r="BJ131" s="20">
        <f t="shared" si="8"/>
        <v>0</v>
      </c>
      <c r="BL131" s="20">
        <f>'Gov Fd Rv'!AO131-'Gov Fnd Exp'!BJ131</f>
        <v>0</v>
      </c>
      <c r="BT131" s="20">
        <f t="shared" si="10"/>
        <v>0</v>
      </c>
      <c r="BU131" s="20"/>
      <c r="BV131" s="20">
        <f>BT131-'Gov Fd BS'!AA131</f>
        <v>0</v>
      </c>
    </row>
    <row r="132" spans="1:74">
      <c r="A132" s="12" t="s">
        <v>588</v>
      </c>
      <c r="B132" s="12"/>
      <c r="C132" s="12" t="s">
        <v>63</v>
      </c>
      <c r="D132" s="12"/>
      <c r="E132" s="12">
        <v>49981</v>
      </c>
      <c r="G132" s="1">
        <v>17091283</v>
      </c>
      <c r="I132" s="1">
        <v>3137874</v>
      </c>
      <c r="K132" s="1">
        <v>590553</v>
      </c>
      <c r="M132" s="1">
        <v>0</v>
      </c>
      <c r="O132" s="1">
        <v>1911134</v>
      </c>
      <c r="Q132" s="1">
        <v>1519518</v>
      </c>
      <c r="S132" s="1">
        <v>202262</v>
      </c>
      <c r="U132" s="1">
        <v>1795684</v>
      </c>
      <c r="W132" s="1">
        <v>976216</v>
      </c>
      <c r="Y132" s="1">
        <v>135796</v>
      </c>
      <c r="AA132" s="1">
        <v>2811405</v>
      </c>
      <c r="AC132" s="1">
        <v>1476036</v>
      </c>
      <c r="AE132" s="1">
        <v>242732</v>
      </c>
      <c r="AG132" s="1">
        <v>896298</v>
      </c>
      <c r="AI132" s="1">
        <v>736954</v>
      </c>
      <c r="AJ132" s="12" t="s">
        <v>588</v>
      </c>
      <c r="AK132" s="12"/>
      <c r="AL132" s="12" t="s">
        <v>63</v>
      </c>
      <c r="AN132" s="1">
        <v>1071995</v>
      </c>
      <c r="AP132" s="1">
        <v>387362</v>
      </c>
      <c r="AR132" s="1">
        <v>0</v>
      </c>
      <c r="AT132" s="1">
        <v>1423165</v>
      </c>
      <c r="AV132" s="1">
        <v>243965</v>
      </c>
      <c r="AX132" s="1">
        <v>0</v>
      </c>
      <c r="AZ132" s="20">
        <f t="shared" si="9"/>
        <v>36650232</v>
      </c>
      <c r="BB132" s="1">
        <v>66000</v>
      </c>
      <c r="BH132" s="1">
        <v>0</v>
      </c>
      <c r="BJ132" s="20">
        <f t="shared" si="8"/>
        <v>36716232</v>
      </c>
      <c r="BL132" s="20">
        <f>'Gov Fd Rv'!AO132-'Gov Fnd Exp'!BJ132</f>
        <v>-762159</v>
      </c>
      <c r="BN132" s="1">
        <v>8479008</v>
      </c>
      <c r="BP132" s="1">
        <v>0</v>
      </c>
      <c r="BR132" s="1">
        <v>0</v>
      </c>
      <c r="BT132" s="20">
        <f t="shared" si="10"/>
        <v>7716849</v>
      </c>
      <c r="BU132" s="20"/>
      <c r="BV132" s="20">
        <f>BT132-'Gov Fd BS'!AA132</f>
        <v>0</v>
      </c>
    </row>
    <row r="133" spans="1:74">
      <c r="A133" s="12" t="s">
        <v>930</v>
      </c>
      <c r="B133" s="12"/>
      <c r="C133" s="12" t="s">
        <v>33</v>
      </c>
      <c r="D133" s="12"/>
      <c r="E133" s="13">
        <v>47431</v>
      </c>
      <c r="G133" s="1">
        <v>3225468</v>
      </c>
      <c r="I133" s="1">
        <v>608292</v>
      </c>
      <c r="K133" s="1">
        <v>344560</v>
      </c>
      <c r="M133" s="1">
        <v>0</v>
      </c>
      <c r="O133" s="1">
        <v>191606</v>
      </c>
      <c r="Q133" s="1">
        <v>428289</v>
      </c>
      <c r="S133" s="1">
        <v>38101</v>
      </c>
      <c r="U133" s="1">
        <v>895000</v>
      </c>
      <c r="W133" s="1">
        <v>232649</v>
      </c>
      <c r="Y133" s="1">
        <v>0</v>
      </c>
      <c r="AA133" s="1">
        <v>674052</v>
      </c>
      <c r="AC133" s="1">
        <v>294202</v>
      </c>
      <c r="AE133" s="1">
        <v>12534</v>
      </c>
      <c r="AG133" s="1">
        <v>314804</v>
      </c>
      <c r="AI133" s="1">
        <v>0</v>
      </c>
      <c r="AJ133" s="12" t="s">
        <v>930</v>
      </c>
      <c r="AK133" s="12"/>
      <c r="AL133" s="12" t="s">
        <v>33</v>
      </c>
      <c r="AN133" s="1">
        <v>281521</v>
      </c>
      <c r="AP133" s="1">
        <v>208122</v>
      </c>
      <c r="AR133" s="1">
        <v>0</v>
      </c>
      <c r="AT133" s="1">
        <v>4047</v>
      </c>
      <c r="AV133" s="1">
        <f>42095+128390</f>
        <v>170485</v>
      </c>
      <c r="AX133" s="1">
        <v>0</v>
      </c>
      <c r="AZ133" s="20">
        <f t="shared" si="9"/>
        <v>7923732</v>
      </c>
      <c r="BB133" s="1">
        <v>46513</v>
      </c>
      <c r="BH133" s="1">
        <v>6287899</v>
      </c>
      <c r="BJ133" s="20">
        <f t="shared" si="8"/>
        <v>14258144</v>
      </c>
      <c r="BL133" s="20">
        <f>'Gov Fd Rv'!AO133-'Gov Fnd Exp'!BJ133</f>
        <v>6495900</v>
      </c>
      <c r="BN133" s="1">
        <v>52447</v>
      </c>
      <c r="BP133" s="1">
        <v>0</v>
      </c>
      <c r="BR133" s="1">
        <v>0</v>
      </c>
      <c r="BT133" s="20">
        <f t="shared" si="10"/>
        <v>6548347</v>
      </c>
      <c r="BU133" s="20"/>
      <c r="BV133" s="20">
        <f>BT133-'Gov Fd BS'!AA133</f>
        <v>0</v>
      </c>
    </row>
    <row r="134" spans="1:74">
      <c r="A134" s="12" t="s">
        <v>272</v>
      </c>
      <c r="B134" s="12"/>
      <c r="C134" s="12" t="s">
        <v>19</v>
      </c>
      <c r="D134" s="12"/>
      <c r="E134" s="13">
        <v>43828</v>
      </c>
      <c r="G134" s="1">
        <v>11515841</v>
      </c>
      <c r="I134" s="1">
        <v>0</v>
      </c>
      <c r="K134" s="1">
        <v>0</v>
      </c>
      <c r="M134" s="1">
        <v>0</v>
      </c>
      <c r="O134" s="1">
        <v>688502</v>
      </c>
      <c r="Q134" s="1">
        <v>838309</v>
      </c>
      <c r="S134" s="1">
        <v>0</v>
      </c>
      <c r="U134" s="1">
        <v>1446401</v>
      </c>
      <c r="W134" s="1">
        <v>425709</v>
      </c>
      <c r="Y134" s="1">
        <v>229128</v>
      </c>
      <c r="AA134" s="1">
        <v>1552374</v>
      </c>
      <c r="AC134" s="1">
        <v>491089</v>
      </c>
      <c r="AE134" s="1">
        <v>32668</v>
      </c>
      <c r="AG134" s="1">
        <v>856818</v>
      </c>
      <c r="AI134" s="1">
        <v>47481</v>
      </c>
      <c r="AJ134" s="12" t="s">
        <v>272</v>
      </c>
      <c r="AK134" s="12"/>
      <c r="AL134" s="12" t="s">
        <v>19</v>
      </c>
      <c r="AN134" s="1">
        <v>362078</v>
      </c>
      <c r="AP134" s="1">
        <v>178244</v>
      </c>
      <c r="AR134" s="1">
        <v>0</v>
      </c>
      <c r="AT134" s="1">
        <v>0</v>
      </c>
      <c r="AV134" s="1">
        <v>0</v>
      </c>
      <c r="AX134" s="1">
        <v>0</v>
      </c>
      <c r="AZ134" s="20">
        <f t="shared" si="9"/>
        <v>18664642</v>
      </c>
      <c r="BB134" s="1">
        <v>118591</v>
      </c>
      <c r="BH134" s="1">
        <v>0</v>
      </c>
      <c r="BJ134" s="20">
        <f t="shared" si="8"/>
        <v>18783233</v>
      </c>
      <c r="BL134" s="20">
        <f>'Gov Fd Rv'!AO134-'Gov Fnd Exp'!BJ134</f>
        <v>903707</v>
      </c>
      <c r="BN134" s="1">
        <v>-101049</v>
      </c>
      <c r="BP134" s="1">
        <v>1100</v>
      </c>
      <c r="BR134" s="1">
        <v>0</v>
      </c>
      <c r="BT134" s="20">
        <f t="shared" si="10"/>
        <v>803758</v>
      </c>
      <c r="BU134" s="20"/>
      <c r="BV134" s="20">
        <f>BT134-'Gov Fd BS'!AA134</f>
        <v>0</v>
      </c>
    </row>
    <row r="135" spans="1:74">
      <c r="A135" s="12" t="s">
        <v>720</v>
      </c>
      <c r="B135" s="12"/>
      <c r="C135" s="12" t="s">
        <v>63</v>
      </c>
      <c r="D135" s="12"/>
      <c r="E135" s="13"/>
      <c r="G135" s="1">
        <v>9410759</v>
      </c>
      <c r="I135" s="1">
        <v>2778091</v>
      </c>
      <c r="K135" s="1">
        <v>85561</v>
      </c>
      <c r="M135" s="1">
        <f>27058+608241</f>
        <v>635299</v>
      </c>
      <c r="O135" s="1">
        <v>1059054</v>
      </c>
      <c r="Q135" s="1">
        <v>1010123</v>
      </c>
      <c r="S135" s="1">
        <v>61770</v>
      </c>
      <c r="U135" s="1">
        <v>2011204</v>
      </c>
      <c r="W135" s="1">
        <v>571702</v>
      </c>
      <c r="Y135" s="1">
        <v>47839</v>
      </c>
      <c r="AA135" s="1">
        <v>1872013</v>
      </c>
      <c r="AC135" s="1">
        <v>937426</v>
      </c>
      <c r="AE135" s="1">
        <v>145880</v>
      </c>
      <c r="AG135" s="1">
        <v>803212</v>
      </c>
      <c r="AI135" s="1">
        <v>191473</v>
      </c>
      <c r="AJ135" s="12" t="s">
        <v>720</v>
      </c>
      <c r="AK135" s="12"/>
      <c r="AL135" s="12" t="s">
        <v>63</v>
      </c>
      <c r="AN135" s="1">
        <v>427357</v>
      </c>
      <c r="AP135" s="1">
        <v>810</v>
      </c>
      <c r="AR135" s="1">
        <v>0</v>
      </c>
      <c r="AT135" s="1">
        <v>462693</v>
      </c>
      <c r="AV135" s="1">
        <v>233720</v>
      </c>
      <c r="AX135" s="1">
        <v>0</v>
      </c>
      <c r="AZ135" s="20">
        <f t="shared" si="9"/>
        <v>22745986</v>
      </c>
      <c r="BB135" s="1">
        <v>35000</v>
      </c>
      <c r="BH135" s="1">
        <v>0</v>
      </c>
      <c r="BJ135" s="20">
        <f t="shared" si="8"/>
        <v>22780986</v>
      </c>
      <c r="BL135" s="20">
        <f>'Gov Fd Rv'!AO135-'Gov Fnd Exp'!BJ135</f>
        <v>-414461</v>
      </c>
      <c r="BN135" s="1">
        <v>-2113643</v>
      </c>
      <c r="BP135" s="1">
        <v>0</v>
      </c>
      <c r="BR135" s="1">
        <v>0</v>
      </c>
      <c r="BT135" s="20">
        <f t="shared" si="10"/>
        <v>-2528104</v>
      </c>
      <c r="BU135" s="20"/>
      <c r="BV135" s="20">
        <f>BT135-'Gov Fd BS'!AA135</f>
        <v>0</v>
      </c>
    </row>
    <row r="136" spans="1:74">
      <c r="A136" s="12" t="s">
        <v>799</v>
      </c>
      <c r="B136" s="12"/>
      <c r="C136" s="12" t="s">
        <v>48</v>
      </c>
      <c r="D136" s="12"/>
      <c r="E136" s="13">
        <v>45336</v>
      </c>
      <c r="G136" s="1">
        <v>3722775</v>
      </c>
      <c r="I136" s="1">
        <v>910662</v>
      </c>
      <c r="K136" s="1">
        <v>0</v>
      </c>
      <c r="M136" s="1">
        <v>7026</v>
      </c>
      <c r="O136" s="1">
        <v>349938</v>
      </c>
      <c r="Q136" s="1">
        <v>492206</v>
      </c>
      <c r="S136" s="1">
        <v>10196</v>
      </c>
      <c r="U136" s="1">
        <v>801377</v>
      </c>
      <c r="W136" s="1">
        <v>244217</v>
      </c>
      <c r="Y136" s="1">
        <v>0</v>
      </c>
      <c r="AA136" s="1">
        <v>590122</v>
      </c>
      <c r="AC136" s="1">
        <v>534905</v>
      </c>
      <c r="AE136" s="1">
        <v>99216</v>
      </c>
      <c r="AG136" s="1">
        <v>305190</v>
      </c>
      <c r="AI136" s="1">
        <v>118975</v>
      </c>
      <c r="AJ136" s="12" t="s">
        <v>799</v>
      </c>
      <c r="AK136" s="12"/>
      <c r="AL136" s="12" t="s">
        <v>48</v>
      </c>
      <c r="AN136" s="1">
        <v>437222</v>
      </c>
      <c r="AP136" s="1">
        <v>24687</v>
      </c>
      <c r="AR136" s="1">
        <v>0</v>
      </c>
      <c r="AT136" s="1">
        <v>38717</v>
      </c>
      <c r="AV136" s="1">
        <v>10446</v>
      </c>
      <c r="AX136" s="1">
        <v>0</v>
      </c>
      <c r="AZ136" s="20">
        <f t="shared" si="9"/>
        <v>8697877</v>
      </c>
      <c r="BB136" s="1">
        <v>0</v>
      </c>
      <c r="BH136" s="1">
        <v>0</v>
      </c>
      <c r="BJ136" s="20">
        <f t="shared" si="8"/>
        <v>8697877</v>
      </c>
      <c r="BL136" s="20">
        <f>'Gov Fd Rv'!AO136-'Gov Fnd Exp'!BJ136</f>
        <v>-377152</v>
      </c>
      <c r="BN136" s="1">
        <v>2045066</v>
      </c>
      <c r="BP136" s="1">
        <v>0</v>
      </c>
      <c r="BR136" s="1">
        <v>0</v>
      </c>
      <c r="BT136" s="20">
        <f t="shared" si="10"/>
        <v>1667914</v>
      </c>
      <c r="BU136" s="20"/>
      <c r="BV136" s="20">
        <f>BT136-'Gov Fd BS'!AA136</f>
        <v>0</v>
      </c>
    </row>
    <row r="137" spans="1:74">
      <c r="A137" s="12" t="s">
        <v>800</v>
      </c>
      <c r="B137" s="12"/>
      <c r="C137" s="12" t="s">
        <v>113</v>
      </c>
      <c r="D137" s="12"/>
      <c r="E137" s="13">
        <v>45344</v>
      </c>
      <c r="G137" s="1">
        <v>3247796</v>
      </c>
      <c r="I137" s="1">
        <v>1029079</v>
      </c>
      <c r="K137" s="1">
        <v>16649</v>
      </c>
      <c r="M137" s="1">
        <v>432354</v>
      </c>
      <c r="O137" s="1">
        <v>308834</v>
      </c>
      <c r="Q137" s="1">
        <v>531892</v>
      </c>
      <c r="S137" s="1">
        <v>45929</v>
      </c>
      <c r="U137" s="1">
        <v>708189</v>
      </c>
      <c r="W137" s="1">
        <v>275242</v>
      </c>
      <c r="Y137" s="1">
        <v>0</v>
      </c>
      <c r="AA137" s="1">
        <v>603948</v>
      </c>
      <c r="AC137" s="1">
        <v>307012</v>
      </c>
      <c r="AE137" s="1">
        <v>24696</v>
      </c>
      <c r="AG137" s="1">
        <v>319965</v>
      </c>
      <c r="AI137" s="1">
        <v>50635</v>
      </c>
      <c r="AJ137" s="12" t="s">
        <v>800</v>
      </c>
      <c r="AK137" s="12"/>
      <c r="AL137" s="12" t="s">
        <v>113</v>
      </c>
      <c r="AN137" s="1">
        <v>352143</v>
      </c>
      <c r="AP137" s="1">
        <v>1361043</v>
      </c>
      <c r="AR137" s="1">
        <v>0</v>
      </c>
      <c r="AT137" s="1">
        <v>9990151</v>
      </c>
      <c r="AV137" s="1">
        <f>394553+258309</f>
        <v>652862</v>
      </c>
      <c r="AX137" s="1">
        <v>0</v>
      </c>
      <c r="AZ137" s="20">
        <f t="shared" si="9"/>
        <v>20258419</v>
      </c>
      <c r="BB137" s="1">
        <v>38536</v>
      </c>
      <c r="BH137" s="1">
        <v>0</v>
      </c>
      <c r="BJ137" s="20">
        <f t="shared" si="8"/>
        <v>20296955</v>
      </c>
      <c r="BL137" s="20">
        <f>'Gov Fd Rv'!AO137-'Gov Fnd Exp'!BJ137</f>
        <v>16728584</v>
      </c>
      <c r="BN137" s="1">
        <v>2584911</v>
      </c>
      <c r="BP137" s="1">
        <v>0</v>
      </c>
      <c r="BR137" s="1">
        <v>0</v>
      </c>
      <c r="BT137" s="20">
        <f t="shared" si="10"/>
        <v>19313495</v>
      </c>
      <c r="BU137" s="20"/>
      <c r="BV137" s="20">
        <f>BT137-'Gov Fd BS'!AA137</f>
        <v>0</v>
      </c>
    </row>
    <row r="138" spans="1:74">
      <c r="A138" s="12" t="s">
        <v>265</v>
      </c>
      <c r="B138" s="12"/>
      <c r="C138" s="12" t="s">
        <v>114</v>
      </c>
      <c r="D138" s="12"/>
      <c r="E138" s="13">
        <v>46433</v>
      </c>
      <c r="G138" s="1">
        <v>5432088</v>
      </c>
      <c r="I138" s="1">
        <v>959351</v>
      </c>
      <c r="K138" s="1">
        <v>133443</v>
      </c>
      <c r="M138" s="1">
        <v>53635</v>
      </c>
      <c r="O138" s="1">
        <v>491836</v>
      </c>
      <c r="Q138" s="1">
        <v>519139</v>
      </c>
      <c r="S138" s="1">
        <v>26950</v>
      </c>
      <c r="U138" s="1">
        <v>788498</v>
      </c>
      <c r="W138" s="1">
        <v>331390</v>
      </c>
      <c r="Y138" s="1">
        <v>0</v>
      </c>
      <c r="AA138" s="1">
        <v>1214751</v>
      </c>
      <c r="AC138" s="1">
        <v>546236</v>
      </c>
      <c r="AE138" s="1">
        <v>18165</v>
      </c>
      <c r="AG138" s="1">
        <v>534409</v>
      </c>
      <c r="AI138" s="1">
        <v>2159</v>
      </c>
      <c r="AJ138" s="12" t="s">
        <v>265</v>
      </c>
      <c r="AK138" s="12"/>
      <c r="AL138" s="12" t="s">
        <v>114</v>
      </c>
      <c r="AN138" s="1">
        <v>327077</v>
      </c>
      <c r="AP138" s="1">
        <v>450485</v>
      </c>
      <c r="AR138" s="1">
        <v>0</v>
      </c>
      <c r="AT138" s="1">
        <v>345000</v>
      </c>
      <c r="AV138" s="1">
        <v>43936</v>
      </c>
      <c r="AX138" s="1">
        <v>0</v>
      </c>
      <c r="AZ138" s="20">
        <f t="shared" si="9"/>
        <v>12218548</v>
      </c>
      <c r="BB138" s="1">
        <v>0</v>
      </c>
      <c r="BH138" s="1">
        <v>0</v>
      </c>
      <c r="BJ138" s="20">
        <f t="shared" si="8"/>
        <v>12218548</v>
      </c>
      <c r="BL138" s="20">
        <f>'Gov Fd Rv'!AO138-'Gov Fnd Exp'!BJ138</f>
        <v>-171904</v>
      </c>
      <c r="BN138" s="1">
        <v>1116917</v>
      </c>
      <c r="BP138" s="1">
        <v>0</v>
      </c>
      <c r="BR138" s="1">
        <v>0</v>
      </c>
      <c r="BT138" s="20">
        <f t="shared" si="10"/>
        <v>945013</v>
      </c>
      <c r="BU138" s="20"/>
      <c r="BV138" s="20">
        <f>BT138-'Gov Fd BS'!AA138</f>
        <v>0</v>
      </c>
    </row>
    <row r="139" spans="1:74">
      <c r="A139" s="12" t="s">
        <v>265</v>
      </c>
      <c r="B139" s="12"/>
      <c r="C139" s="12" t="s">
        <v>112</v>
      </c>
      <c r="D139" s="12"/>
      <c r="E139" s="13">
        <v>49429</v>
      </c>
      <c r="G139" s="1">
        <v>4845256</v>
      </c>
      <c r="I139" s="1">
        <v>1425850</v>
      </c>
      <c r="K139" s="1">
        <v>246372</v>
      </c>
      <c r="M139" s="1">
        <v>20715</v>
      </c>
      <c r="O139" s="1">
        <v>506903</v>
      </c>
      <c r="Q139" s="1">
        <v>497103</v>
      </c>
      <c r="S139" s="1">
        <v>58953</v>
      </c>
      <c r="U139" s="1">
        <v>716419</v>
      </c>
      <c r="W139" s="1">
        <v>236690</v>
      </c>
      <c r="Y139" s="1">
        <v>178</v>
      </c>
      <c r="AA139" s="1">
        <v>1109218</v>
      </c>
      <c r="AC139" s="1">
        <v>725567</v>
      </c>
      <c r="AE139" s="1">
        <v>26991</v>
      </c>
      <c r="AG139" s="1">
        <v>393540</v>
      </c>
      <c r="AI139" s="1">
        <v>42698</v>
      </c>
      <c r="AJ139" s="12" t="s">
        <v>265</v>
      </c>
      <c r="AK139" s="12"/>
      <c r="AL139" s="12" t="s">
        <v>112</v>
      </c>
      <c r="AN139" s="1">
        <v>485170</v>
      </c>
      <c r="AP139" s="1">
        <v>3326</v>
      </c>
      <c r="AR139" s="1">
        <v>0</v>
      </c>
      <c r="AT139" s="1">
        <v>310000</v>
      </c>
      <c r="AV139" s="1">
        <v>168368</v>
      </c>
      <c r="AX139" s="1">
        <v>0</v>
      </c>
      <c r="AZ139" s="20">
        <f t="shared" si="9"/>
        <v>11819317</v>
      </c>
      <c r="BB139" s="1">
        <v>2000</v>
      </c>
      <c r="BH139" s="1">
        <v>0</v>
      </c>
      <c r="BJ139" s="20">
        <f t="shared" si="8"/>
        <v>11821317</v>
      </c>
      <c r="BL139" s="20">
        <f>'Gov Fd Rv'!AO139-'Gov Fnd Exp'!BJ139</f>
        <v>690654</v>
      </c>
      <c r="BN139" s="1">
        <v>6219171</v>
      </c>
      <c r="BP139" s="1">
        <v>0</v>
      </c>
      <c r="BR139" s="1">
        <v>0</v>
      </c>
      <c r="BT139" s="20">
        <f t="shared" si="10"/>
        <v>6909825</v>
      </c>
      <c r="BU139" s="20"/>
      <c r="BV139" s="20">
        <f>BT139-'Gov Fd BS'!AA139</f>
        <v>0</v>
      </c>
    </row>
    <row r="140" spans="1:74" hidden="1">
      <c r="A140" s="12" t="s">
        <v>801</v>
      </c>
      <c r="B140" s="12"/>
      <c r="C140" s="12" t="s">
        <v>67</v>
      </c>
      <c r="D140" s="12"/>
      <c r="E140" s="13"/>
      <c r="AJ140" s="12" t="s">
        <v>801</v>
      </c>
      <c r="AK140" s="12"/>
      <c r="AL140" s="12" t="s">
        <v>67</v>
      </c>
      <c r="AZ140" s="20">
        <f t="shared" si="9"/>
        <v>0</v>
      </c>
      <c r="BJ140" s="20">
        <f t="shared" si="8"/>
        <v>0</v>
      </c>
      <c r="BL140" s="20">
        <f>'Gov Fd Rv'!AO140-'Gov Fnd Exp'!BJ140</f>
        <v>0</v>
      </c>
      <c r="BT140" s="20">
        <f t="shared" si="10"/>
        <v>0</v>
      </c>
      <c r="BU140" s="20"/>
      <c r="BV140" s="20">
        <f>BT140-'Gov Fd BS'!AA140</f>
        <v>0</v>
      </c>
    </row>
    <row r="141" spans="1:74">
      <c r="A141" s="12" t="s">
        <v>533</v>
      </c>
      <c r="B141" s="12"/>
      <c r="C141" s="12" t="s">
        <v>56</v>
      </c>
      <c r="D141" s="12"/>
      <c r="E141" s="13">
        <v>49189</v>
      </c>
      <c r="G141" s="1">
        <v>8357046</v>
      </c>
      <c r="I141" s="1">
        <v>2076620</v>
      </c>
      <c r="K141" s="1">
        <v>175839</v>
      </c>
      <c r="M141" s="1">
        <f>432+205369+983748</f>
        <v>1189549</v>
      </c>
      <c r="O141" s="1">
        <v>1052326</v>
      </c>
      <c r="Q141" s="1">
        <v>983219</v>
      </c>
      <c r="S141" s="1">
        <v>18482</v>
      </c>
      <c r="U141" s="1">
        <v>2117179</v>
      </c>
      <c r="W141" s="1">
        <v>491525</v>
      </c>
      <c r="Y141" s="1">
        <v>22397</v>
      </c>
      <c r="AA141" s="1">
        <v>2151670</v>
      </c>
      <c r="AC141" s="1">
        <v>1711262</v>
      </c>
      <c r="AE141" s="1">
        <v>665842</v>
      </c>
      <c r="AG141" s="1">
        <v>563603</v>
      </c>
      <c r="AI141" s="1">
        <v>94141</v>
      </c>
      <c r="AJ141" s="12" t="s">
        <v>533</v>
      </c>
      <c r="AK141" s="12"/>
      <c r="AL141" s="12" t="s">
        <v>56</v>
      </c>
      <c r="AN141" s="1">
        <v>555081</v>
      </c>
      <c r="AP141" s="1">
        <v>119916</v>
      </c>
      <c r="AR141" s="1">
        <v>0</v>
      </c>
      <c r="AT141" s="1">
        <v>133501</v>
      </c>
      <c r="AV141" s="1">
        <v>557594</v>
      </c>
      <c r="AX141" s="1">
        <v>0</v>
      </c>
      <c r="AZ141" s="20">
        <f t="shared" si="9"/>
        <v>23036792</v>
      </c>
      <c r="BB141" s="1">
        <v>1101626</v>
      </c>
      <c r="BH141" s="1">
        <v>298516</v>
      </c>
      <c r="BJ141" s="20">
        <f t="shared" si="8"/>
        <v>24436934</v>
      </c>
      <c r="BL141" s="20">
        <f>'Gov Fd Rv'!AO141-'Gov Fnd Exp'!BJ141</f>
        <v>642109</v>
      </c>
      <c r="BN141" s="1">
        <v>6582911</v>
      </c>
      <c r="BP141" s="1">
        <v>0</v>
      </c>
      <c r="BR141" s="1">
        <v>0</v>
      </c>
      <c r="BT141" s="20">
        <f t="shared" si="10"/>
        <v>7225020</v>
      </c>
      <c r="BU141" s="20"/>
      <c r="BV141" s="20">
        <f>BT141-'Gov Fd BS'!AA141</f>
        <v>0</v>
      </c>
    </row>
    <row r="142" spans="1:74">
      <c r="A142" s="12" t="s">
        <v>721</v>
      </c>
      <c r="B142" s="12"/>
      <c r="C142" s="12" t="s">
        <v>524</v>
      </c>
      <c r="D142" s="12"/>
      <c r="E142" s="13"/>
      <c r="G142" s="1">
        <v>6773706</v>
      </c>
      <c r="I142" s="1">
        <v>0</v>
      </c>
      <c r="K142" s="1">
        <v>0</v>
      </c>
      <c r="M142" s="1">
        <v>0</v>
      </c>
      <c r="O142" s="1">
        <v>737844</v>
      </c>
      <c r="Q142" s="1">
        <v>398496</v>
      </c>
      <c r="S142" s="1">
        <v>41580</v>
      </c>
      <c r="U142" s="1">
        <v>926945</v>
      </c>
      <c r="W142" s="1">
        <v>263721</v>
      </c>
      <c r="Y142" s="1">
        <v>0</v>
      </c>
      <c r="AA142" s="1">
        <v>1178279</v>
      </c>
      <c r="AC142" s="1">
        <v>635881</v>
      </c>
      <c r="AE142" s="1">
        <v>0</v>
      </c>
      <c r="AG142" s="1">
        <v>555968</v>
      </c>
      <c r="AI142" s="1">
        <v>21</v>
      </c>
      <c r="AJ142" s="12" t="s">
        <v>721</v>
      </c>
      <c r="AK142" s="12"/>
      <c r="AL142" s="12" t="s">
        <v>524</v>
      </c>
      <c r="AN142" s="1">
        <v>465309</v>
      </c>
      <c r="AP142" s="1">
        <v>30251</v>
      </c>
      <c r="AR142" s="1">
        <v>0</v>
      </c>
      <c r="AT142" s="1">
        <v>140000</v>
      </c>
      <c r="AV142" s="1">
        <v>62244</v>
      </c>
      <c r="AX142" s="1">
        <v>0</v>
      </c>
      <c r="AZ142" s="20">
        <f t="shared" si="9"/>
        <v>12210245</v>
      </c>
      <c r="BB142" s="1">
        <v>0</v>
      </c>
      <c r="BH142" s="1">
        <v>0</v>
      </c>
      <c r="BJ142" s="20">
        <f t="shared" si="8"/>
        <v>12210245</v>
      </c>
      <c r="BL142" s="20">
        <f>'Gov Fd Rv'!AO142-'Gov Fnd Exp'!BJ142</f>
        <v>95838</v>
      </c>
      <c r="BN142" s="1">
        <v>1161582</v>
      </c>
      <c r="BP142" s="1">
        <v>4135</v>
      </c>
      <c r="BR142" s="1">
        <v>0</v>
      </c>
      <c r="BT142" s="20">
        <f t="shared" si="10"/>
        <v>1261555</v>
      </c>
      <c r="BU142" s="20"/>
      <c r="BV142" s="20">
        <f>BT142-'Gov Fd BS'!AA142</f>
        <v>0</v>
      </c>
    </row>
    <row r="143" spans="1:74">
      <c r="A143" s="12" t="s">
        <v>589</v>
      </c>
      <c r="B143" s="12"/>
      <c r="C143" s="12" t="s">
        <v>63</v>
      </c>
      <c r="D143" s="12"/>
      <c r="E143" s="13">
        <v>43836</v>
      </c>
      <c r="G143" s="1">
        <v>22283578</v>
      </c>
      <c r="I143" s="1">
        <v>6238853</v>
      </c>
      <c r="K143" s="1">
        <v>1225882</v>
      </c>
      <c r="M143" s="1">
        <v>4189827</v>
      </c>
      <c r="O143" s="1">
        <v>2928494</v>
      </c>
      <c r="Q143" s="1">
        <v>1128434</v>
      </c>
      <c r="S143" s="1">
        <v>48909</v>
      </c>
      <c r="U143" s="1">
        <v>2910794</v>
      </c>
      <c r="W143" s="1">
        <v>948617</v>
      </c>
      <c r="Y143" s="1">
        <v>384905</v>
      </c>
      <c r="AA143" s="1">
        <v>5513251</v>
      </c>
      <c r="AC143" s="1">
        <v>1292064</v>
      </c>
      <c r="AE143" s="1">
        <v>447068</v>
      </c>
      <c r="AG143" s="1">
        <v>1496864</v>
      </c>
      <c r="AI143" s="1">
        <v>992119</v>
      </c>
      <c r="AJ143" s="12" t="s">
        <v>589</v>
      </c>
      <c r="AK143" s="12"/>
      <c r="AL143" s="12" t="s">
        <v>63</v>
      </c>
      <c r="AN143" s="1">
        <v>1059638</v>
      </c>
      <c r="AP143" s="1">
        <v>88067</v>
      </c>
      <c r="AR143" s="1">
        <v>0</v>
      </c>
      <c r="AT143" s="1">
        <v>512294</v>
      </c>
      <c r="AV143" s="1">
        <v>169683</v>
      </c>
      <c r="AX143" s="1">
        <v>69136</v>
      </c>
      <c r="AZ143" s="20">
        <f t="shared" si="9"/>
        <v>53928477</v>
      </c>
      <c r="BB143" s="1">
        <v>26364</v>
      </c>
      <c r="BH143" s="1">
        <v>3295841</v>
      </c>
      <c r="BJ143" s="20">
        <f t="shared" si="8"/>
        <v>57250682</v>
      </c>
      <c r="BL143" s="20">
        <f>'Gov Fd Rv'!AO143-'Gov Fnd Exp'!BJ143</f>
        <v>1094573</v>
      </c>
      <c r="BN143" s="1">
        <v>3447530</v>
      </c>
      <c r="BP143" s="1">
        <v>0</v>
      </c>
      <c r="BR143" s="1">
        <v>0</v>
      </c>
      <c r="BT143" s="20">
        <f t="shared" si="10"/>
        <v>4542103</v>
      </c>
      <c r="BU143" s="20"/>
      <c r="BV143" s="20">
        <f>BT143-'Gov Fd BS'!AA143</f>
        <v>0</v>
      </c>
    </row>
    <row r="144" spans="1:74">
      <c r="A144" s="12" t="s">
        <v>890</v>
      </c>
      <c r="B144" s="12"/>
      <c r="C144" s="12" t="s">
        <v>20</v>
      </c>
      <c r="D144" s="12"/>
      <c r="E144" s="13">
        <v>46557</v>
      </c>
      <c r="G144" s="1">
        <v>6070210</v>
      </c>
      <c r="I144" s="1">
        <v>1329457</v>
      </c>
      <c r="K144" s="1">
        <v>0</v>
      </c>
      <c r="M144" s="1">
        <v>42708</v>
      </c>
      <c r="O144" s="1">
        <v>839170</v>
      </c>
      <c r="Q144" s="1">
        <v>827153</v>
      </c>
      <c r="S144" s="1">
        <v>67133</v>
      </c>
      <c r="U144" s="1">
        <v>1510057</v>
      </c>
      <c r="W144" s="1">
        <v>660995</v>
      </c>
      <c r="Y144" s="1">
        <v>141509</v>
      </c>
      <c r="AA144" s="1">
        <v>1694093</v>
      </c>
      <c r="AC144" s="1">
        <v>720261</v>
      </c>
      <c r="AE144" s="1">
        <v>2065732</v>
      </c>
      <c r="AG144" s="1">
        <v>361490</v>
      </c>
      <c r="AI144" s="1">
        <v>84056</v>
      </c>
      <c r="AJ144" s="12" t="s">
        <v>890</v>
      </c>
      <c r="AK144" s="12"/>
      <c r="AL144" s="12" t="s">
        <v>20</v>
      </c>
      <c r="AN144" s="1">
        <v>979370</v>
      </c>
      <c r="AP144" s="1">
        <v>292976</v>
      </c>
      <c r="AR144" s="1">
        <v>0</v>
      </c>
      <c r="AT144" s="1">
        <v>478552</v>
      </c>
      <c r="AV144" s="1">
        <v>103019</v>
      </c>
      <c r="AX144" s="1">
        <v>0</v>
      </c>
      <c r="AZ144" s="20">
        <f t="shared" si="9"/>
        <v>18267941</v>
      </c>
      <c r="BB144" s="1">
        <v>992000</v>
      </c>
      <c r="BH144" s="1">
        <v>0</v>
      </c>
      <c r="BJ144" s="20">
        <f t="shared" si="8"/>
        <v>19259941</v>
      </c>
      <c r="BL144" s="20">
        <f>'Gov Fd Rv'!AO144-'Gov Fnd Exp'!BJ144</f>
        <v>-3221181</v>
      </c>
      <c r="BN144" s="1">
        <v>7914423</v>
      </c>
      <c r="BP144" s="1">
        <v>0</v>
      </c>
      <c r="BR144" s="1">
        <v>0</v>
      </c>
      <c r="BT144" s="20">
        <f t="shared" si="10"/>
        <v>4693242</v>
      </c>
      <c r="BU144" s="20"/>
      <c r="BV144" s="20">
        <f>BT144-'Gov Fd BS'!AA144</f>
        <v>0</v>
      </c>
    </row>
    <row r="145" spans="1:74">
      <c r="A145" s="12" t="s">
        <v>730</v>
      </c>
      <c r="B145" s="12"/>
      <c r="C145" s="12" t="s">
        <v>71</v>
      </c>
      <c r="D145" s="12"/>
      <c r="E145" s="13">
        <v>48934</v>
      </c>
      <c r="G145" s="1">
        <v>3731807</v>
      </c>
      <c r="I145" s="1">
        <v>761795</v>
      </c>
      <c r="K145" s="1">
        <v>208412</v>
      </c>
      <c r="M145" s="1">
        <v>223565</v>
      </c>
      <c r="O145" s="1">
        <v>337109</v>
      </c>
      <c r="Q145" s="1">
        <v>631156</v>
      </c>
      <c r="S145" s="1">
        <v>25667</v>
      </c>
      <c r="U145" s="1">
        <v>869773</v>
      </c>
      <c r="W145" s="1">
        <v>301686</v>
      </c>
      <c r="Y145" s="1">
        <v>5397</v>
      </c>
      <c r="AA145" s="1">
        <v>824908</v>
      </c>
      <c r="AC145" s="1">
        <v>480888</v>
      </c>
      <c r="AE145" s="1">
        <v>18706</v>
      </c>
      <c r="AG145" s="1">
        <v>260059</v>
      </c>
      <c r="AI145" s="1">
        <v>164708</v>
      </c>
      <c r="AJ145" s="12" t="s">
        <v>730</v>
      </c>
      <c r="AK145" s="12"/>
      <c r="AL145" s="12" t="s">
        <v>71</v>
      </c>
      <c r="AN145" s="1">
        <v>338448</v>
      </c>
      <c r="AP145" s="1">
        <v>170150</v>
      </c>
      <c r="AR145" s="1">
        <v>0</v>
      </c>
      <c r="AT145" s="1">
        <v>15820</v>
      </c>
      <c r="AV145" s="1">
        <v>3939</v>
      </c>
      <c r="AX145" s="1">
        <v>0</v>
      </c>
      <c r="AZ145" s="20">
        <f t="shared" ref="AZ145:AZ146" si="11">SUM(G145:AX145)</f>
        <v>9373993</v>
      </c>
      <c r="BB145" s="1">
        <v>122565</v>
      </c>
      <c r="BH145" s="1">
        <v>0</v>
      </c>
      <c r="BJ145" s="20">
        <f t="shared" si="8"/>
        <v>9496558</v>
      </c>
      <c r="BL145" s="20">
        <f>'Gov Fd Rv'!AO145-'Gov Fnd Exp'!BJ145</f>
        <v>-72347</v>
      </c>
      <c r="BN145" s="1">
        <v>413570</v>
      </c>
      <c r="BP145" s="1">
        <v>0</v>
      </c>
      <c r="BR145" s="1">
        <v>0</v>
      </c>
      <c r="BT145" s="20">
        <f t="shared" si="10"/>
        <v>341223</v>
      </c>
      <c r="BU145" s="20"/>
      <c r="BV145" s="20">
        <f>BT145-'Gov Fd BS'!AA145</f>
        <v>0</v>
      </c>
    </row>
    <row r="146" spans="1:74">
      <c r="A146" s="12" t="s">
        <v>520</v>
      </c>
      <c r="B146" s="12"/>
      <c r="C146" s="12" t="s">
        <v>53</v>
      </c>
      <c r="D146" s="12"/>
      <c r="E146" s="13">
        <v>48934</v>
      </c>
      <c r="G146" s="1">
        <v>4105213</v>
      </c>
      <c r="I146" s="1">
        <v>697036</v>
      </c>
      <c r="K146" s="1">
        <v>0</v>
      </c>
      <c r="M146" s="1">
        <f>58028+33974</f>
        <v>92002</v>
      </c>
      <c r="O146" s="1">
        <v>413829</v>
      </c>
      <c r="Q146" s="1">
        <v>795745</v>
      </c>
      <c r="S146" s="1">
        <v>88777</v>
      </c>
      <c r="U146" s="1">
        <v>850060</v>
      </c>
      <c r="W146" s="1">
        <v>415022</v>
      </c>
      <c r="Y146" s="1">
        <v>0</v>
      </c>
      <c r="AA146" s="1">
        <v>967094</v>
      </c>
      <c r="AC146" s="1">
        <v>593749</v>
      </c>
      <c r="AE146" s="1">
        <v>10162</v>
      </c>
      <c r="AG146" s="1">
        <v>298517</v>
      </c>
      <c r="AI146" s="1">
        <v>57660</v>
      </c>
      <c r="AJ146" s="12" t="s">
        <v>520</v>
      </c>
      <c r="AK146" s="12"/>
      <c r="AL146" s="12" t="s">
        <v>53</v>
      </c>
      <c r="AN146" s="1">
        <v>376037</v>
      </c>
      <c r="AP146" s="1">
        <v>1311994</v>
      </c>
      <c r="AR146" s="1">
        <v>0</v>
      </c>
      <c r="AT146" s="1">
        <v>0</v>
      </c>
      <c r="AV146" s="1">
        <v>12488</v>
      </c>
      <c r="AX146" s="1">
        <v>0</v>
      </c>
      <c r="AZ146" s="20">
        <f t="shared" si="11"/>
        <v>11085385</v>
      </c>
      <c r="BB146" s="45">
        <v>114000</v>
      </c>
      <c r="BH146" s="1">
        <v>0</v>
      </c>
      <c r="BJ146" s="20">
        <f t="shared" si="8"/>
        <v>11199385</v>
      </c>
      <c r="BL146" s="20">
        <f>'Gov Fd Rv'!AO146-'Gov Fnd Exp'!BJ146</f>
        <v>1468219</v>
      </c>
      <c r="BN146" s="1">
        <v>4030745</v>
      </c>
      <c r="BP146" s="1">
        <v>0</v>
      </c>
      <c r="BR146" s="1">
        <v>0</v>
      </c>
      <c r="BT146" s="20">
        <f t="shared" si="10"/>
        <v>5498964</v>
      </c>
      <c r="BU146" s="20"/>
      <c r="BV146" s="20">
        <f>BT146-'Gov Fd BS'!AA146</f>
        <v>0</v>
      </c>
    </row>
    <row r="147" spans="1:74" hidden="1">
      <c r="A147" s="12" t="s">
        <v>803</v>
      </c>
      <c r="B147" s="12"/>
      <c r="C147" s="12" t="s">
        <v>40</v>
      </c>
      <c r="D147" s="12"/>
      <c r="E147" s="13">
        <v>47837</v>
      </c>
      <c r="AJ147" s="12" t="s">
        <v>803</v>
      </c>
      <c r="AK147" s="12"/>
      <c r="AL147" s="12" t="s">
        <v>40</v>
      </c>
      <c r="AZ147" s="20">
        <f t="shared" ref="AZ147:AZ183" si="12">SUM(G147:AX147)</f>
        <v>0</v>
      </c>
      <c r="BJ147" s="20">
        <f t="shared" si="8"/>
        <v>0</v>
      </c>
      <c r="BL147" s="20">
        <f>'Gov Fd Rv'!AO147-'Gov Fnd Exp'!BJ147</f>
        <v>0</v>
      </c>
      <c r="BT147" s="20">
        <f t="shared" si="10"/>
        <v>0</v>
      </c>
      <c r="BU147" s="20"/>
      <c r="BV147" s="20">
        <f>BT147-'Gov Fd BS'!AA147</f>
        <v>0</v>
      </c>
    </row>
    <row r="148" spans="1:74">
      <c r="A148" s="12" t="s">
        <v>421</v>
      </c>
      <c r="B148" s="12"/>
      <c r="C148" s="12" t="s">
        <v>420</v>
      </c>
      <c r="D148" s="12"/>
      <c r="E148" s="13">
        <v>47928</v>
      </c>
      <c r="G148" s="1">
        <v>5492309</v>
      </c>
      <c r="I148" s="1">
        <v>900435</v>
      </c>
      <c r="K148" s="1">
        <v>116123</v>
      </c>
      <c r="M148" s="1">
        <v>995569</v>
      </c>
      <c r="O148" s="1">
        <v>532212</v>
      </c>
      <c r="Q148" s="1">
        <v>283985</v>
      </c>
      <c r="S148" s="1">
        <v>38331</v>
      </c>
      <c r="U148" s="1">
        <v>829221</v>
      </c>
      <c r="W148" s="1">
        <v>410827</v>
      </c>
      <c r="Y148" s="1">
        <v>34658</v>
      </c>
      <c r="AA148" s="1">
        <v>1233110</v>
      </c>
      <c r="AC148" s="1">
        <v>721532</v>
      </c>
      <c r="AE148" s="1">
        <v>169446</v>
      </c>
      <c r="AG148" s="1">
        <v>544066</v>
      </c>
      <c r="AI148" s="1">
        <v>14152</v>
      </c>
      <c r="AJ148" s="12" t="s">
        <v>421</v>
      </c>
      <c r="AK148" s="12"/>
      <c r="AL148" s="12" t="s">
        <v>420</v>
      </c>
      <c r="AN148" s="1">
        <v>422354</v>
      </c>
      <c r="AP148" s="1">
        <v>65258</v>
      </c>
      <c r="AR148" s="1">
        <v>0</v>
      </c>
      <c r="AT148" s="1">
        <v>115000</v>
      </c>
      <c r="AV148" s="1">
        <v>60450</v>
      </c>
      <c r="AX148" s="1">
        <v>0</v>
      </c>
      <c r="AZ148" s="20">
        <f t="shared" si="12"/>
        <v>12979038</v>
      </c>
      <c r="BB148" s="45">
        <v>235458</v>
      </c>
      <c r="BH148" s="1">
        <v>0</v>
      </c>
      <c r="BJ148" s="20">
        <f t="shared" si="8"/>
        <v>13214496</v>
      </c>
      <c r="BL148" s="20">
        <f>'Gov Fd Rv'!AO148-'Gov Fnd Exp'!BJ148</f>
        <v>471124</v>
      </c>
      <c r="BN148" s="1">
        <v>4501752</v>
      </c>
      <c r="BP148" s="1">
        <v>0</v>
      </c>
      <c r="BR148" s="1">
        <v>0</v>
      </c>
      <c r="BT148" s="20">
        <f t="shared" si="10"/>
        <v>4972876</v>
      </c>
      <c r="BU148" s="20"/>
      <c r="BV148" s="20">
        <f>BT148-'Gov Fd BS'!AA148</f>
        <v>0</v>
      </c>
    </row>
    <row r="149" spans="1:74">
      <c r="A149" s="12" t="s">
        <v>496</v>
      </c>
      <c r="B149" s="12"/>
      <c r="C149" s="12" t="s">
        <v>50</v>
      </c>
      <c r="D149" s="12"/>
      <c r="E149" s="13">
        <v>43844</v>
      </c>
      <c r="G149" s="1">
        <v>61419897</v>
      </c>
      <c r="I149" s="1">
        <v>27889372</v>
      </c>
      <c r="K149" s="1">
        <v>3385722</v>
      </c>
      <c r="M149" s="1">
        <f>31250+4747835</f>
        <v>4779085</v>
      </c>
      <c r="O149" s="1">
        <v>9421194</v>
      </c>
      <c r="Q149" s="1">
        <v>18457903</v>
      </c>
      <c r="S149" s="1">
        <v>1043473</v>
      </c>
      <c r="U149" s="1">
        <v>18431062</v>
      </c>
      <c r="W149" s="1">
        <v>3697274</v>
      </c>
      <c r="Y149" s="1">
        <v>1473918</v>
      </c>
      <c r="AA149" s="1">
        <v>21924172</v>
      </c>
      <c r="AC149" s="1">
        <v>18108151</v>
      </c>
      <c r="AE149" s="1">
        <v>6762566</v>
      </c>
      <c r="AG149" s="1">
        <v>0</v>
      </c>
      <c r="AI149" s="1">
        <v>73427459</v>
      </c>
      <c r="AJ149" s="12" t="s">
        <v>496</v>
      </c>
      <c r="AK149" s="12"/>
      <c r="AL149" s="12" t="s">
        <v>50</v>
      </c>
      <c r="AN149" s="1">
        <v>1953493</v>
      </c>
      <c r="AP149" s="1">
        <v>76457572</v>
      </c>
      <c r="AR149" s="1">
        <v>0</v>
      </c>
      <c r="AT149" s="1">
        <v>7531334</v>
      </c>
      <c r="AV149" s="1">
        <v>12479835</v>
      </c>
      <c r="AX149" s="1">
        <v>0</v>
      </c>
      <c r="AZ149" s="20">
        <f t="shared" si="12"/>
        <v>368643482</v>
      </c>
      <c r="BB149" s="1">
        <v>4384707</v>
      </c>
      <c r="BH149" s="1">
        <v>0</v>
      </c>
      <c r="BJ149" s="20">
        <f t="shared" si="8"/>
        <v>373028189</v>
      </c>
      <c r="BL149" s="20">
        <f>'Gov Fd Rv'!AO149-'Gov Fnd Exp'!BJ149</f>
        <v>-36081260</v>
      </c>
      <c r="BN149" s="1">
        <v>187118942</v>
      </c>
      <c r="BP149" s="1">
        <v>0</v>
      </c>
      <c r="BR149" s="1">
        <v>0</v>
      </c>
      <c r="BT149" s="20">
        <f t="shared" si="10"/>
        <v>151037682</v>
      </c>
      <c r="BU149" s="20"/>
      <c r="BV149" s="20">
        <f>BT149-'Gov Fd BS'!AA149</f>
        <v>0</v>
      </c>
    </row>
    <row r="150" spans="1:74">
      <c r="A150" s="12" t="s">
        <v>804</v>
      </c>
      <c r="B150" s="12"/>
      <c r="C150" s="12" t="s">
        <v>32</v>
      </c>
      <c r="D150" s="12"/>
      <c r="E150" s="13">
        <v>43851</v>
      </c>
      <c r="G150" s="1">
        <v>6244254</v>
      </c>
      <c r="I150" s="1">
        <v>1420199</v>
      </c>
      <c r="K150" s="1">
        <v>190086</v>
      </c>
      <c r="M150" s="1">
        <v>0</v>
      </c>
      <c r="O150" s="1">
        <v>948534</v>
      </c>
      <c r="Q150" s="1">
        <v>879040</v>
      </c>
      <c r="S150" s="1">
        <v>67845</v>
      </c>
      <c r="U150" s="1">
        <v>1117524</v>
      </c>
      <c r="W150" s="1">
        <v>556555</v>
      </c>
      <c r="Y150" s="1">
        <v>154718</v>
      </c>
      <c r="AA150" s="1">
        <v>1480085</v>
      </c>
      <c r="AC150" s="1">
        <v>301353</v>
      </c>
      <c r="AE150" s="1">
        <v>139702</v>
      </c>
      <c r="AG150" s="1">
        <v>0</v>
      </c>
      <c r="AI150" s="1">
        <v>588357</v>
      </c>
      <c r="AJ150" s="12" t="s">
        <v>804</v>
      </c>
      <c r="AK150" s="12"/>
      <c r="AL150" s="12" t="s">
        <v>32</v>
      </c>
      <c r="AN150" s="1">
        <v>528535</v>
      </c>
      <c r="AP150" s="1">
        <v>0</v>
      </c>
      <c r="AR150" s="1">
        <v>0</v>
      </c>
      <c r="AT150" s="1">
        <v>121665</v>
      </c>
      <c r="AV150" s="1">
        <v>26548</v>
      </c>
      <c r="AX150" s="1">
        <v>0</v>
      </c>
      <c r="AZ150" s="20">
        <f t="shared" si="12"/>
        <v>14765000</v>
      </c>
      <c r="BB150" s="1">
        <v>25780</v>
      </c>
      <c r="BH150" s="1">
        <v>0</v>
      </c>
      <c r="BJ150" s="20">
        <f t="shared" si="8"/>
        <v>14790780</v>
      </c>
      <c r="BL150" s="20">
        <f>'Gov Fd Rv'!AO150-'Gov Fnd Exp'!BJ150</f>
        <v>1783013</v>
      </c>
      <c r="BN150" s="1">
        <v>5911005</v>
      </c>
      <c r="BP150" s="1">
        <v>0</v>
      </c>
      <c r="BR150" s="1">
        <v>0</v>
      </c>
      <c r="BT150" s="20">
        <f t="shared" si="10"/>
        <v>7694018</v>
      </c>
      <c r="BU150" s="20"/>
      <c r="BV150" s="20">
        <f>BT150-'Gov Fd BS'!AA150</f>
        <v>0</v>
      </c>
    </row>
    <row r="151" spans="1:74" hidden="1">
      <c r="A151" s="12" t="s">
        <v>805</v>
      </c>
      <c r="B151" s="12"/>
      <c r="C151" s="12" t="s">
        <v>22</v>
      </c>
      <c r="D151" s="12"/>
      <c r="E151" s="13">
        <v>43869</v>
      </c>
      <c r="AJ151" s="12" t="s">
        <v>805</v>
      </c>
      <c r="AK151" s="12"/>
      <c r="AL151" s="12" t="s">
        <v>22</v>
      </c>
      <c r="AZ151" s="20">
        <f t="shared" si="12"/>
        <v>0</v>
      </c>
      <c r="BJ151" s="20">
        <f t="shared" si="8"/>
        <v>0</v>
      </c>
      <c r="BL151" s="20">
        <f>'Gov Fd Rv'!AO151-'Gov Fnd Exp'!BJ151</f>
        <v>0</v>
      </c>
      <c r="BT151" s="20">
        <f t="shared" si="10"/>
        <v>0</v>
      </c>
      <c r="BU151" s="20"/>
      <c r="BV151" s="20">
        <f>BT151-'Gov Fd BS'!AA151</f>
        <v>0</v>
      </c>
    </row>
    <row r="152" spans="1:74">
      <c r="A152" s="12" t="s">
        <v>806</v>
      </c>
      <c r="B152" s="12"/>
      <c r="C152" s="12" t="s">
        <v>23</v>
      </c>
      <c r="D152" s="12"/>
      <c r="E152" s="13"/>
      <c r="G152" s="1">
        <v>21619313</v>
      </c>
      <c r="I152" s="1">
        <v>5150845</v>
      </c>
      <c r="K152" s="1">
        <v>353597</v>
      </c>
      <c r="M152" s="1">
        <f>88162+2010131</f>
        <v>2098293</v>
      </c>
      <c r="O152" s="1">
        <v>2518564</v>
      </c>
      <c r="Q152" s="1">
        <v>3254374</v>
      </c>
      <c r="S152" s="1">
        <v>187628</v>
      </c>
      <c r="U152" s="1">
        <v>3042611</v>
      </c>
      <c r="W152" s="1">
        <v>1007557</v>
      </c>
      <c r="Y152" s="1">
        <v>377307</v>
      </c>
      <c r="AA152" s="1">
        <v>4686135</v>
      </c>
      <c r="AC152" s="1">
        <v>3148229</v>
      </c>
      <c r="AE152" s="1">
        <v>156573</v>
      </c>
      <c r="AG152" s="1">
        <v>0</v>
      </c>
      <c r="AI152" s="1">
        <v>1828851</v>
      </c>
      <c r="AJ152" s="12" t="s">
        <v>806</v>
      </c>
      <c r="AK152" s="12"/>
      <c r="AL152" s="12" t="s">
        <v>23</v>
      </c>
      <c r="AN152" s="1">
        <v>1332903</v>
      </c>
      <c r="AP152" s="1">
        <v>1062903</v>
      </c>
      <c r="AR152" s="1">
        <v>0</v>
      </c>
      <c r="AT152" s="1">
        <v>2299953</v>
      </c>
      <c r="AV152" s="1">
        <v>1258605</v>
      </c>
      <c r="AX152" s="1">
        <v>0</v>
      </c>
      <c r="AZ152" s="20">
        <f t="shared" si="12"/>
        <v>55384241</v>
      </c>
      <c r="BB152" s="1">
        <v>31411</v>
      </c>
      <c r="BH152" s="1">
        <v>0</v>
      </c>
      <c r="BJ152" s="20">
        <f t="shared" si="8"/>
        <v>55415652</v>
      </c>
      <c r="BL152" s="20">
        <f>'Gov Fd Rv'!AO152-'Gov Fnd Exp'!BJ152</f>
        <v>-2396868</v>
      </c>
      <c r="BN152" s="1">
        <v>11874628</v>
      </c>
      <c r="BP152" s="1">
        <v>0</v>
      </c>
      <c r="BR152" s="1">
        <v>0</v>
      </c>
      <c r="BT152" s="20">
        <f t="shared" si="10"/>
        <v>9477760</v>
      </c>
      <c r="BU152" s="20"/>
      <c r="BV152" s="20">
        <f>BT152-'Gov Fd BS'!AA152</f>
        <v>0</v>
      </c>
    </row>
    <row r="153" spans="1:74">
      <c r="A153" s="12" t="s">
        <v>204</v>
      </c>
      <c r="B153" s="12"/>
      <c r="C153" s="12" t="s">
        <v>10</v>
      </c>
      <c r="D153" s="12"/>
      <c r="E153" s="13">
        <v>43885</v>
      </c>
      <c r="G153" s="1">
        <v>4705675</v>
      </c>
      <c r="I153" s="1">
        <v>1151192</v>
      </c>
      <c r="K153" s="1">
        <v>531981</v>
      </c>
      <c r="M153" s="1">
        <v>927</v>
      </c>
      <c r="O153" s="1">
        <v>467167</v>
      </c>
      <c r="Q153" s="1">
        <v>393020</v>
      </c>
      <c r="S153" s="1">
        <v>16756</v>
      </c>
      <c r="U153" s="1">
        <v>928722</v>
      </c>
      <c r="W153" s="1">
        <v>329452</v>
      </c>
      <c r="Y153" s="1">
        <v>0</v>
      </c>
      <c r="AA153" s="1">
        <v>575077</v>
      </c>
      <c r="AC153" s="1">
        <v>439076</v>
      </c>
      <c r="AE153" s="1">
        <v>9697</v>
      </c>
      <c r="AG153" s="1">
        <v>1150020</v>
      </c>
      <c r="AI153" s="1">
        <v>0</v>
      </c>
      <c r="AJ153" s="12" t="s">
        <v>204</v>
      </c>
      <c r="AK153" s="12"/>
      <c r="AL153" s="12" t="s">
        <v>10</v>
      </c>
      <c r="AN153" s="1">
        <v>349902</v>
      </c>
      <c r="AP153" s="1">
        <v>279446</v>
      </c>
      <c r="AR153" s="1">
        <v>0</v>
      </c>
      <c r="AT153" s="1">
        <v>0</v>
      </c>
      <c r="AV153" s="1">
        <v>0</v>
      </c>
      <c r="AX153" s="1">
        <v>0</v>
      </c>
      <c r="AZ153" s="20">
        <f t="shared" si="12"/>
        <v>11328110</v>
      </c>
      <c r="BB153" s="1">
        <v>0</v>
      </c>
      <c r="BH153" s="1">
        <v>0</v>
      </c>
      <c r="BJ153" s="20">
        <f t="shared" ref="BJ153:BJ154" si="13">AZ153+BB153+BH153</f>
        <v>11328110</v>
      </c>
      <c r="BL153" s="20">
        <f>'Gov Fd Rv'!AO153-'Gov Fnd Exp'!BJ153</f>
        <v>274755</v>
      </c>
      <c r="BN153" s="1">
        <v>242292</v>
      </c>
      <c r="BP153" s="1">
        <v>0</v>
      </c>
      <c r="BR153" s="1">
        <v>0</v>
      </c>
      <c r="BT153" s="20">
        <f t="shared" si="10"/>
        <v>517047</v>
      </c>
      <c r="BU153" s="20"/>
      <c r="BV153" s="20">
        <f>BT153-'Gov Fd BS'!AA153</f>
        <v>0</v>
      </c>
    </row>
    <row r="154" spans="1:74">
      <c r="A154" s="12" t="s">
        <v>619</v>
      </c>
      <c r="B154" s="12"/>
      <c r="C154" s="12" t="s">
        <v>65</v>
      </c>
      <c r="D154" s="12"/>
      <c r="E154" s="13">
        <v>43893</v>
      </c>
      <c r="G154" s="1">
        <v>10472411</v>
      </c>
      <c r="I154" s="1">
        <v>2041058</v>
      </c>
      <c r="K154" s="1">
        <v>61385</v>
      </c>
      <c r="M154" s="1">
        <f>243923+151276</f>
        <v>395199</v>
      </c>
      <c r="O154" s="1">
        <v>1279246</v>
      </c>
      <c r="Q154" s="1">
        <v>1045930</v>
      </c>
      <c r="S154" s="1">
        <v>30151</v>
      </c>
      <c r="U154" s="1">
        <v>1801480</v>
      </c>
      <c r="W154" s="1">
        <v>740922</v>
      </c>
      <c r="Y154" s="1">
        <v>0</v>
      </c>
      <c r="AA154" s="1">
        <v>1867644</v>
      </c>
      <c r="AC154" s="1">
        <v>746057</v>
      </c>
      <c r="AE154" s="1">
        <v>0</v>
      </c>
      <c r="AG154" s="1">
        <v>758485</v>
      </c>
      <c r="AI154" s="1">
        <v>197490</v>
      </c>
      <c r="AJ154" s="12" t="s">
        <v>619</v>
      </c>
      <c r="AK154" s="12"/>
      <c r="AL154" s="12" t="s">
        <v>65</v>
      </c>
      <c r="AN154" s="1">
        <v>948596</v>
      </c>
      <c r="AP154" s="1">
        <v>0</v>
      </c>
      <c r="AR154" s="1">
        <v>0</v>
      </c>
      <c r="AT154" s="1">
        <v>614772</v>
      </c>
      <c r="AV154" s="1">
        <v>138035</v>
      </c>
      <c r="AX154" s="1">
        <v>0</v>
      </c>
      <c r="AZ154" s="20">
        <f t="shared" si="12"/>
        <v>23138861</v>
      </c>
      <c r="BB154" s="1">
        <v>0</v>
      </c>
      <c r="BH154" s="1">
        <v>0</v>
      </c>
      <c r="BJ154" s="20">
        <f t="shared" si="13"/>
        <v>23138861</v>
      </c>
      <c r="BL154" s="20">
        <f>'Gov Fd Rv'!AO154-'Gov Fnd Exp'!BJ154</f>
        <v>2327531</v>
      </c>
      <c r="BN154" s="1">
        <v>4273168</v>
      </c>
      <c r="BP154" s="1">
        <v>0</v>
      </c>
      <c r="BR154" s="1">
        <v>0</v>
      </c>
      <c r="BT154" s="20">
        <f t="shared" si="10"/>
        <v>6600699</v>
      </c>
      <c r="BU154" s="20"/>
      <c r="BV154" s="20">
        <f>BT154-'Gov Fd BS'!AA154</f>
        <v>0</v>
      </c>
    </row>
    <row r="155" spans="1:74">
      <c r="A155" s="12" t="s">
        <v>332</v>
      </c>
      <c r="B155" s="12"/>
      <c r="C155" s="12" t="s">
        <v>27</v>
      </c>
      <c r="D155" s="12"/>
      <c r="E155" s="13">
        <v>47027</v>
      </c>
      <c r="G155" s="1">
        <v>76605199</v>
      </c>
      <c r="I155" s="1">
        <v>20585214</v>
      </c>
      <c r="K155" s="1">
        <v>226141</v>
      </c>
      <c r="M155" s="1">
        <v>78135</v>
      </c>
      <c r="O155" s="1">
        <v>9800893</v>
      </c>
      <c r="Q155" s="1">
        <v>14716402</v>
      </c>
      <c r="S155" s="1">
        <v>221938</v>
      </c>
      <c r="U155" s="1">
        <v>11232247</v>
      </c>
      <c r="W155" s="1">
        <v>3366989</v>
      </c>
      <c r="Y155" s="1">
        <v>926234</v>
      </c>
      <c r="AA155" s="1">
        <v>14543633</v>
      </c>
      <c r="AC155" s="1">
        <v>7350511</v>
      </c>
      <c r="AE155" s="1">
        <v>1889154</v>
      </c>
      <c r="AG155" s="1">
        <v>0</v>
      </c>
      <c r="AI155" s="1">
        <v>506644</v>
      </c>
      <c r="AJ155" s="12" t="s">
        <v>332</v>
      </c>
      <c r="AK155" s="12"/>
      <c r="AL155" s="12" t="s">
        <v>27</v>
      </c>
      <c r="AN155" s="1">
        <v>5256518</v>
      </c>
      <c r="AP155" s="1">
        <f>1735672+11319308</f>
        <v>13054980</v>
      </c>
      <c r="AR155" s="1">
        <v>0</v>
      </c>
      <c r="AT155" s="1">
        <v>32557025</v>
      </c>
      <c r="AV155" s="1">
        <v>7212305</v>
      </c>
      <c r="AX155" s="1">
        <v>37485</v>
      </c>
      <c r="AZ155" s="20">
        <f t="shared" si="12"/>
        <v>220167647</v>
      </c>
      <c r="BB155" s="1">
        <v>254350</v>
      </c>
      <c r="BH155" s="1">
        <v>5933976</v>
      </c>
      <c r="BJ155" s="20">
        <f t="shared" ref="BJ155:BJ225" si="14">AZ155+BB155+BH155</f>
        <v>226355973</v>
      </c>
      <c r="BL155" s="20">
        <f>'Gov Fd Rv'!AO155-'Gov Fnd Exp'!BJ155</f>
        <v>-14290210</v>
      </c>
      <c r="BN155" s="1">
        <v>112679273</v>
      </c>
      <c r="BP155" s="1">
        <v>28468</v>
      </c>
      <c r="BR155" s="1">
        <v>0</v>
      </c>
      <c r="BT155" s="20">
        <f t="shared" ref="BT155:BT227" si="15">BL155+BN155+BP155+BR155</f>
        <v>98417531</v>
      </c>
      <c r="BU155" s="20"/>
      <c r="BV155" s="20">
        <f>BT155-'Gov Fd BS'!AA155</f>
        <v>0</v>
      </c>
    </row>
    <row r="156" spans="1:74">
      <c r="A156" s="12" t="s">
        <v>288</v>
      </c>
      <c r="B156" s="12"/>
      <c r="C156" s="12" t="s">
        <v>20</v>
      </c>
      <c r="D156" s="12"/>
      <c r="E156" s="13">
        <v>43901</v>
      </c>
      <c r="G156" s="1">
        <v>15487062</v>
      </c>
      <c r="I156" s="1">
        <v>12845078</v>
      </c>
      <c r="K156" s="1">
        <v>1496057</v>
      </c>
      <c r="M156" s="1">
        <f>77909+4788442</f>
        <v>4866351</v>
      </c>
      <c r="O156" s="1">
        <v>2626168</v>
      </c>
      <c r="Q156" s="1">
        <v>4167155</v>
      </c>
      <c r="S156" s="1">
        <v>47837</v>
      </c>
      <c r="U156" s="1">
        <v>4497823</v>
      </c>
      <c r="W156" s="1">
        <v>1673404</v>
      </c>
      <c r="Y156" s="1">
        <v>441552</v>
      </c>
      <c r="AA156" s="1">
        <v>5163817</v>
      </c>
      <c r="AC156" s="1">
        <v>1228977</v>
      </c>
      <c r="AE156" s="1">
        <v>2437273</v>
      </c>
      <c r="AG156" s="1">
        <v>1786295</v>
      </c>
      <c r="AI156" s="1">
        <v>37902</v>
      </c>
      <c r="AJ156" s="12" t="s">
        <v>288</v>
      </c>
      <c r="AK156" s="12"/>
      <c r="AL156" s="12" t="s">
        <v>20</v>
      </c>
      <c r="AN156" s="1">
        <v>439373</v>
      </c>
      <c r="AP156" s="1">
        <v>384017</v>
      </c>
      <c r="AR156" s="1">
        <v>0</v>
      </c>
      <c r="AT156" s="1">
        <v>234098</v>
      </c>
      <c r="AV156" s="1">
        <f>280902+270750</f>
        <v>551652</v>
      </c>
      <c r="AX156" s="1">
        <v>0</v>
      </c>
      <c r="AZ156" s="20">
        <f t="shared" si="12"/>
        <v>60411891</v>
      </c>
      <c r="BB156" s="1">
        <v>332004</v>
      </c>
      <c r="BH156" s="1">
        <v>0</v>
      </c>
      <c r="BJ156" s="20">
        <f t="shared" si="14"/>
        <v>60743895</v>
      </c>
      <c r="BL156" s="20">
        <f>'Gov Fd Rv'!AO156-'Gov Fnd Exp'!BJ156</f>
        <v>478696</v>
      </c>
      <c r="BN156" s="1">
        <v>37693093</v>
      </c>
      <c r="BP156" s="1">
        <v>0</v>
      </c>
      <c r="BR156" s="1">
        <v>0</v>
      </c>
      <c r="BT156" s="20">
        <f t="shared" si="15"/>
        <v>38171789</v>
      </c>
      <c r="BU156" s="20"/>
      <c r="BV156" s="20">
        <f>BT156-'Gov Fd BS'!AA156</f>
        <v>0</v>
      </c>
    </row>
    <row r="157" spans="1:74">
      <c r="A157" s="12" t="s">
        <v>261</v>
      </c>
      <c r="B157" s="12"/>
      <c r="C157" s="12" t="s">
        <v>18</v>
      </c>
      <c r="D157" s="12"/>
      <c r="E157" s="13">
        <v>46409</v>
      </c>
      <c r="G157" s="1">
        <v>5640255</v>
      </c>
      <c r="I157" s="1">
        <v>1550134</v>
      </c>
      <c r="K157" s="1">
        <v>102205</v>
      </c>
      <c r="M157" s="1">
        <v>5813</v>
      </c>
      <c r="O157" s="1">
        <v>572361</v>
      </c>
      <c r="Q157" s="1">
        <v>879444</v>
      </c>
      <c r="S157" s="1">
        <v>40616</v>
      </c>
      <c r="U157" s="1">
        <v>915488</v>
      </c>
      <c r="W157" s="1">
        <v>337772</v>
      </c>
      <c r="Y157" s="1">
        <v>4395</v>
      </c>
      <c r="AA157" s="1">
        <v>1262748</v>
      </c>
      <c r="AC157" s="1">
        <v>749868</v>
      </c>
      <c r="AE157" s="1">
        <v>88989</v>
      </c>
      <c r="AG157" s="1">
        <v>550592</v>
      </c>
      <c r="AI157" s="1">
        <v>11655</v>
      </c>
      <c r="AJ157" s="12" t="s">
        <v>261</v>
      </c>
      <c r="AK157" s="12"/>
      <c r="AL157" s="12" t="s">
        <v>18</v>
      </c>
      <c r="AN157" s="1">
        <v>369753</v>
      </c>
      <c r="AP157" s="1">
        <v>574639</v>
      </c>
      <c r="AR157" s="1">
        <v>0</v>
      </c>
      <c r="AT157" s="1">
        <v>245000</v>
      </c>
      <c r="AV157" s="1">
        <v>54272</v>
      </c>
      <c r="AX157" s="1">
        <v>13400</v>
      </c>
      <c r="AZ157" s="20">
        <f t="shared" si="12"/>
        <v>13969399</v>
      </c>
      <c r="BB157" s="1">
        <v>4197</v>
      </c>
      <c r="BH157" s="1">
        <v>0</v>
      </c>
      <c r="BJ157" s="20">
        <f t="shared" si="14"/>
        <v>13973596</v>
      </c>
      <c r="BL157" s="20">
        <f>'Gov Fd Rv'!AO157-'Gov Fnd Exp'!BJ157</f>
        <v>933515</v>
      </c>
      <c r="BN157" s="1">
        <v>1526280</v>
      </c>
      <c r="BP157" s="1">
        <v>0</v>
      </c>
      <c r="BR157" s="1">
        <v>0</v>
      </c>
      <c r="BT157" s="20">
        <f t="shared" si="15"/>
        <v>2459795</v>
      </c>
      <c r="BU157" s="20"/>
      <c r="BV157" s="20">
        <f>BT157-'Gov Fd BS'!AA157</f>
        <v>0</v>
      </c>
    </row>
    <row r="158" spans="1:74" ht="12.75" customHeight="1">
      <c r="A158" s="12" t="s">
        <v>361</v>
      </c>
      <c r="B158" s="12"/>
      <c r="C158" s="12" t="s">
        <v>31</v>
      </c>
      <c r="D158" s="12"/>
      <c r="E158" s="13">
        <v>69682</v>
      </c>
      <c r="G158" s="1">
        <v>4677602</v>
      </c>
      <c r="I158" s="1">
        <v>1101327</v>
      </c>
      <c r="K158" s="1">
        <v>254706</v>
      </c>
      <c r="M158" s="1">
        <f>6637+168505</f>
        <v>175142</v>
      </c>
      <c r="O158" s="1">
        <v>626927</v>
      </c>
      <c r="Q158" s="1">
        <v>542961</v>
      </c>
      <c r="S158" s="1">
        <v>30701</v>
      </c>
      <c r="U158" s="1">
        <v>829995</v>
      </c>
      <c r="W158" s="1">
        <v>345515</v>
      </c>
      <c r="Y158" s="1">
        <v>0</v>
      </c>
      <c r="AA158" s="1">
        <v>1176758</v>
      </c>
      <c r="AC158" s="1">
        <v>913520</v>
      </c>
      <c r="AE158" s="1">
        <v>38005</v>
      </c>
      <c r="AG158" s="1">
        <v>453001</v>
      </c>
      <c r="AI158" s="1">
        <v>4181</v>
      </c>
      <c r="AJ158" s="12" t="s">
        <v>361</v>
      </c>
      <c r="AK158" s="12"/>
      <c r="AL158" s="12" t="s">
        <v>31</v>
      </c>
      <c r="AN158" s="1">
        <v>172671</v>
      </c>
      <c r="AP158" s="1">
        <v>47974</v>
      </c>
      <c r="AR158" s="1">
        <v>0</v>
      </c>
      <c r="AT158" s="1">
        <v>391356</v>
      </c>
      <c r="AV158" s="1">
        <v>178320</v>
      </c>
      <c r="AX158" s="1">
        <v>0</v>
      </c>
      <c r="AZ158" s="20">
        <f t="shared" si="12"/>
        <v>11960662</v>
      </c>
      <c r="BB158" s="1">
        <v>37704</v>
      </c>
      <c r="BH158" s="1">
        <v>0</v>
      </c>
      <c r="BJ158" s="20">
        <f t="shared" si="14"/>
        <v>11998366</v>
      </c>
      <c r="BL158" s="20">
        <f>'Gov Fd Rv'!AO158-'Gov Fnd Exp'!BJ158</f>
        <v>1005091</v>
      </c>
      <c r="BN158" s="1">
        <v>3725251</v>
      </c>
      <c r="BP158" s="1">
        <v>0</v>
      </c>
      <c r="BR158" s="1">
        <v>0</v>
      </c>
      <c r="BT158" s="20">
        <f t="shared" si="15"/>
        <v>4730342</v>
      </c>
      <c r="BU158" s="20"/>
      <c r="BV158" s="20">
        <f>BT158-'Gov Fd BS'!AA158</f>
        <v>0</v>
      </c>
    </row>
    <row r="159" spans="1:74">
      <c r="A159" s="12" t="s">
        <v>401</v>
      </c>
      <c r="B159" s="12"/>
      <c r="C159" s="12" t="s">
        <v>36</v>
      </c>
      <c r="D159" s="12"/>
      <c r="E159" s="13">
        <v>47688</v>
      </c>
      <c r="G159" s="1">
        <v>7927324</v>
      </c>
      <c r="I159" s="1">
        <v>2203496</v>
      </c>
      <c r="K159" s="1">
        <v>441369</v>
      </c>
      <c r="M159" s="1">
        <v>9026</v>
      </c>
      <c r="O159" s="1">
        <v>800936</v>
      </c>
      <c r="Q159" s="1">
        <v>945769</v>
      </c>
      <c r="S159" s="1">
        <v>26885</v>
      </c>
      <c r="U159" s="1">
        <v>1611600</v>
      </c>
      <c r="W159" s="1">
        <v>425814</v>
      </c>
      <c r="Y159" s="1">
        <v>0</v>
      </c>
      <c r="AA159" s="1">
        <v>1394303</v>
      </c>
      <c r="AC159" s="1">
        <v>1284536</v>
      </c>
      <c r="AE159" s="1">
        <v>115771</v>
      </c>
      <c r="AG159" s="1">
        <v>753265</v>
      </c>
      <c r="AI159" s="1">
        <v>0</v>
      </c>
      <c r="AJ159" s="12" t="s">
        <v>401</v>
      </c>
      <c r="AK159" s="12"/>
      <c r="AL159" s="12" t="s">
        <v>36</v>
      </c>
      <c r="AN159" s="1">
        <v>383168</v>
      </c>
      <c r="AP159" s="1">
        <v>92151</v>
      </c>
      <c r="AR159" s="1">
        <v>0</v>
      </c>
      <c r="AT159" s="1">
        <v>175000</v>
      </c>
      <c r="AV159" s="1">
        <v>81665</v>
      </c>
      <c r="AX159" s="1">
        <v>0</v>
      </c>
      <c r="AZ159" s="20">
        <f t="shared" si="12"/>
        <v>18672078</v>
      </c>
      <c r="BB159" s="1">
        <v>75000</v>
      </c>
      <c r="BH159" s="1">
        <v>0</v>
      </c>
      <c r="BJ159" s="20">
        <f t="shared" si="14"/>
        <v>18747078</v>
      </c>
      <c r="BL159" s="20">
        <f>'Gov Fd Rv'!AO159-'Gov Fnd Exp'!BJ159</f>
        <v>263579</v>
      </c>
      <c r="BN159" s="1">
        <v>4995249</v>
      </c>
      <c r="BP159" s="1">
        <v>0</v>
      </c>
      <c r="BR159" s="1">
        <v>0</v>
      </c>
      <c r="BT159" s="20">
        <f t="shared" si="15"/>
        <v>5258828</v>
      </c>
      <c r="BU159" s="20"/>
      <c r="BV159" s="20">
        <f>BT159-'Gov Fd BS'!AA159</f>
        <v>0</v>
      </c>
    </row>
    <row r="160" spans="1:74" hidden="1">
      <c r="A160" s="12" t="s">
        <v>807</v>
      </c>
      <c r="B160" s="12"/>
      <c r="C160" s="12" t="s">
        <v>40</v>
      </c>
      <c r="D160" s="12"/>
      <c r="E160" s="13"/>
      <c r="AJ160" s="12" t="s">
        <v>807</v>
      </c>
      <c r="AK160" s="12"/>
      <c r="AL160" s="12" t="s">
        <v>40</v>
      </c>
      <c r="AZ160" s="20">
        <f t="shared" si="12"/>
        <v>0</v>
      </c>
      <c r="BJ160" s="20">
        <f t="shared" si="14"/>
        <v>0</v>
      </c>
      <c r="BL160" s="20">
        <f>'Gov Fd Rv'!AO160-'Gov Fnd Exp'!BJ160</f>
        <v>0</v>
      </c>
      <c r="BT160" s="20">
        <f t="shared" si="15"/>
        <v>0</v>
      </c>
      <c r="BU160" s="20"/>
      <c r="BV160" s="20">
        <f>BT160-'Gov Fd BS'!AA160</f>
        <v>0</v>
      </c>
    </row>
    <row r="161" spans="1:74">
      <c r="A161" s="12" t="s">
        <v>266</v>
      </c>
      <c r="B161" s="12"/>
      <c r="C161" s="12" t="s">
        <v>114</v>
      </c>
      <c r="D161" s="12"/>
      <c r="E161" s="13">
        <v>43919</v>
      </c>
      <c r="G161" s="1">
        <v>10463441</v>
      </c>
      <c r="I161" s="1">
        <v>2800997</v>
      </c>
      <c r="K161" s="1">
        <v>1068140</v>
      </c>
      <c r="M161" s="1">
        <f>6861+7555+2027494</f>
        <v>2041910</v>
      </c>
      <c r="O161" s="1">
        <v>1073426</v>
      </c>
      <c r="Q161" s="1">
        <v>1543546</v>
      </c>
      <c r="S161" s="1">
        <v>213623</v>
      </c>
      <c r="U161" s="1">
        <v>1524475</v>
      </c>
      <c r="W161" s="1">
        <v>493431</v>
      </c>
      <c r="Y161" s="1">
        <v>17738</v>
      </c>
      <c r="AA161" s="1">
        <v>2827570</v>
      </c>
      <c r="AC161" s="1">
        <v>955541</v>
      </c>
      <c r="AE161" s="1">
        <v>39964</v>
      </c>
      <c r="AG161" s="1">
        <v>1133773</v>
      </c>
      <c r="AI161" s="1">
        <v>112693</v>
      </c>
      <c r="AJ161" s="12" t="s">
        <v>266</v>
      </c>
      <c r="AK161" s="12"/>
      <c r="AL161" s="12" t="s">
        <v>114</v>
      </c>
      <c r="AN161" s="1">
        <v>400755</v>
      </c>
      <c r="AP161" s="1">
        <v>14219787</v>
      </c>
      <c r="AR161" s="1">
        <v>0</v>
      </c>
      <c r="AT161" s="1">
        <v>98184</v>
      </c>
      <c r="AV161" s="1">
        <v>12170</v>
      </c>
      <c r="AX161" s="1">
        <v>0</v>
      </c>
      <c r="AZ161" s="20">
        <f t="shared" si="12"/>
        <v>41041164</v>
      </c>
      <c r="BB161" s="1">
        <v>45199</v>
      </c>
      <c r="BH161" s="1">
        <v>0</v>
      </c>
      <c r="BJ161" s="20">
        <f t="shared" si="14"/>
        <v>41086363</v>
      </c>
      <c r="BL161" s="20">
        <f>'Gov Fd Rv'!AO161-'Gov Fnd Exp'!BJ161</f>
        <v>-11851967</v>
      </c>
      <c r="BN161" s="1">
        <v>24434291</v>
      </c>
      <c r="BP161" s="1">
        <v>0</v>
      </c>
      <c r="BR161" s="1">
        <v>0</v>
      </c>
      <c r="BT161" s="20">
        <f t="shared" si="15"/>
        <v>12582324</v>
      </c>
      <c r="BU161" s="20"/>
      <c r="BV161" s="20">
        <f>BT161-'Gov Fd BS'!AA161</f>
        <v>0</v>
      </c>
    </row>
    <row r="162" spans="1:74">
      <c r="A162" s="12" t="s">
        <v>511</v>
      </c>
      <c r="B162" s="12"/>
      <c r="C162" s="12" t="s">
        <v>51</v>
      </c>
      <c r="D162" s="12"/>
      <c r="E162" s="13">
        <v>48835</v>
      </c>
      <c r="G162" s="1">
        <v>7832229</v>
      </c>
      <c r="I162" s="1">
        <v>2750595</v>
      </c>
      <c r="K162" s="1">
        <v>250445</v>
      </c>
      <c r="M162" s="1">
        <v>612628</v>
      </c>
      <c r="O162" s="1">
        <v>399544</v>
      </c>
      <c r="Q162" s="1">
        <v>411203</v>
      </c>
      <c r="S162" s="1">
        <v>31005</v>
      </c>
      <c r="U162" s="1">
        <v>1784061</v>
      </c>
      <c r="W162" s="1">
        <v>404227</v>
      </c>
      <c r="Y162" s="1">
        <v>0</v>
      </c>
      <c r="AA162" s="1">
        <v>1685875</v>
      </c>
      <c r="AC162" s="1">
        <v>1326666</v>
      </c>
      <c r="AE162" s="1">
        <v>173228</v>
      </c>
      <c r="AG162" s="1">
        <v>935569</v>
      </c>
      <c r="AI162" s="1">
        <v>0</v>
      </c>
      <c r="AJ162" s="12" t="s">
        <v>511</v>
      </c>
      <c r="AK162" s="12"/>
      <c r="AL162" s="12" t="s">
        <v>51</v>
      </c>
      <c r="AN162" s="1">
        <v>472700</v>
      </c>
      <c r="AP162" s="1">
        <v>0</v>
      </c>
      <c r="AR162" s="1">
        <v>0</v>
      </c>
      <c r="AT162" s="1">
        <v>166783</v>
      </c>
      <c r="AV162" s="1">
        <f>192351+279385</f>
        <v>471736</v>
      </c>
      <c r="AX162" s="1">
        <v>0</v>
      </c>
      <c r="AZ162" s="20">
        <f t="shared" si="12"/>
        <v>19708494</v>
      </c>
      <c r="BB162" s="1">
        <v>852412</v>
      </c>
      <c r="BH162" s="1">
        <v>0</v>
      </c>
      <c r="BJ162" s="20">
        <f t="shared" si="14"/>
        <v>20560906</v>
      </c>
      <c r="BL162" s="20">
        <f>'Gov Fd Rv'!AO162-'Gov Fnd Exp'!BJ162</f>
        <v>111741</v>
      </c>
      <c r="BN162" s="1">
        <v>4418334</v>
      </c>
      <c r="BP162" s="1">
        <v>0</v>
      </c>
      <c r="BR162" s="1">
        <v>0</v>
      </c>
      <c r="BT162" s="20">
        <f t="shared" si="15"/>
        <v>4530075</v>
      </c>
      <c r="BU162" s="20"/>
      <c r="BV162" s="20">
        <f>BT162-'Gov Fd BS'!AA162</f>
        <v>0</v>
      </c>
    </row>
    <row r="163" spans="1:74">
      <c r="A163" s="12" t="s">
        <v>267</v>
      </c>
      <c r="B163" s="12"/>
      <c r="C163" s="12" t="s">
        <v>114</v>
      </c>
      <c r="D163" s="12"/>
      <c r="E163" s="13">
        <v>43927</v>
      </c>
      <c r="G163" s="1">
        <v>4211740</v>
      </c>
      <c r="I163" s="1">
        <v>2286222</v>
      </c>
      <c r="K163" s="1">
        <v>55918</v>
      </c>
      <c r="M163" s="1">
        <v>0</v>
      </c>
      <c r="O163" s="1">
        <v>699816</v>
      </c>
      <c r="Q163" s="1">
        <v>352783</v>
      </c>
      <c r="S163" s="1">
        <v>12585</v>
      </c>
      <c r="U163" s="1">
        <v>720521</v>
      </c>
      <c r="W163" s="1">
        <v>260057</v>
      </c>
      <c r="Y163" s="1">
        <v>517496</v>
      </c>
      <c r="AA163" s="1">
        <v>1045398</v>
      </c>
      <c r="AC163" s="1">
        <v>523456</v>
      </c>
      <c r="AE163" s="1">
        <v>0</v>
      </c>
      <c r="AG163" s="1">
        <v>505963</v>
      </c>
      <c r="AI163" s="1">
        <v>8712</v>
      </c>
      <c r="AJ163" s="12" t="s">
        <v>267</v>
      </c>
      <c r="AK163" s="12"/>
      <c r="AL163" s="12" t="s">
        <v>114</v>
      </c>
      <c r="AN163" s="1">
        <v>353321</v>
      </c>
      <c r="AP163" s="1">
        <v>45120</v>
      </c>
      <c r="AR163" s="1">
        <v>0</v>
      </c>
      <c r="AT163" s="1">
        <v>875784</v>
      </c>
      <c r="AV163" s="1">
        <v>141000</v>
      </c>
      <c r="AX163" s="1">
        <v>0</v>
      </c>
      <c r="AZ163" s="20">
        <f t="shared" si="12"/>
        <v>12615892</v>
      </c>
      <c r="BB163" s="1">
        <v>0</v>
      </c>
      <c r="BH163" s="1">
        <v>0</v>
      </c>
      <c r="BJ163" s="20">
        <f t="shared" si="14"/>
        <v>12615892</v>
      </c>
      <c r="BL163" s="20">
        <f>'Gov Fd Rv'!AO163-'Gov Fnd Exp'!BJ163</f>
        <v>23520</v>
      </c>
      <c r="BN163" s="1">
        <v>399447</v>
      </c>
      <c r="BP163" s="1">
        <v>0</v>
      </c>
      <c r="BR163" s="1">
        <v>0</v>
      </c>
      <c r="BT163" s="20">
        <f t="shared" si="15"/>
        <v>422967</v>
      </c>
      <c r="BU163" s="20"/>
      <c r="BV163" s="20">
        <f>BT163-'Gov Fd BS'!AA163</f>
        <v>0</v>
      </c>
    </row>
    <row r="164" spans="1:74">
      <c r="A164" s="12" t="s">
        <v>223</v>
      </c>
      <c r="B164" s="12"/>
      <c r="C164" s="12" t="s">
        <v>77</v>
      </c>
      <c r="D164" s="12"/>
      <c r="E164" s="13">
        <v>46037</v>
      </c>
      <c r="G164" s="1">
        <v>5266618</v>
      </c>
      <c r="I164" s="1">
        <v>1570342</v>
      </c>
      <c r="K164" s="1">
        <v>173640</v>
      </c>
      <c r="M164" s="1">
        <v>1016105</v>
      </c>
      <c r="O164" s="1">
        <v>413206</v>
      </c>
      <c r="Q164" s="1">
        <v>1097145</v>
      </c>
      <c r="S164" s="1">
        <v>23382</v>
      </c>
      <c r="U164" s="1">
        <v>991066</v>
      </c>
      <c r="W164" s="1">
        <v>408882</v>
      </c>
      <c r="Y164" s="1">
        <v>1315</v>
      </c>
      <c r="AA164" s="1">
        <v>1256894</v>
      </c>
      <c r="AC164" s="1">
        <v>911700</v>
      </c>
      <c r="AE164" s="1">
        <v>32375</v>
      </c>
      <c r="AG164" s="1">
        <v>0</v>
      </c>
      <c r="AI164" s="1">
        <v>606598</v>
      </c>
      <c r="AJ164" s="12" t="s">
        <v>223</v>
      </c>
      <c r="AK164" s="12"/>
      <c r="AL164" s="12" t="s">
        <v>77</v>
      </c>
      <c r="AN164" s="1">
        <v>210099</v>
      </c>
      <c r="AP164" s="1">
        <v>3132718</v>
      </c>
      <c r="AR164" s="1">
        <v>0</v>
      </c>
      <c r="AT164" s="1">
        <v>345000</v>
      </c>
      <c r="AV164" s="1">
        <v>423938</v>
      </c>
      <c r="AX164" s="1">
        <v>0</v>
      </c>
      <c r="AZ164" s="20">
        <f t="shared" si="12"/>
        <v>17881023</v>
      </c>
      <c r="BB164" s="1">
        <v>763025</v>
      </c>
      <c r="BH164" s="1">
        <v>0</v>
      </c>
      <c r="BJ164" s="20">
        <f t="shared" si="14"/>
        <v>18644048</v>
      </c>
      <c r="BL164" s="20">
        <f>'Gov Fd Rv'!AO164-'Gov Fnd Exp'!BJ164</f>
        <v>527045</v>
      </c>
      <c r="BN164" s="1">
        <v>7886980</v>
      </c>
      <c r="BP164" s="1">
        <v>0</v>
      </c>
      <c r="BR164" s="1">
        <v>0</v>
      </c>
      <c r="BT164" s="20">
        <f t="shared" si="15"/>
        <v>8414025</v>
      </c>
      <c r="BU164" s="20"/>
      <c r="BV164" s="20">
        <f>BT164-'Gov Fd BS'!AA164</f>
        <v>0</v>
      </c>
    </row>
    <row r="165" spans="1:74">
      <c r="A165" s="17" t="s">
        <v>223</v>
      </c>
      <c r="B165" s="17"/>
      <c r="C165" s="17" t="s">
        <v>484</v>
      </c>
      <c r="D165" s="17"/>
      <c r="E165" s="13">
        <v>48512</v>
      </c>
      <c r="G165" s="1">
        <v>3911564</v>
      </c>
      <c r="I165" s="1">
        <v>795808</v>
      </c>
      <c r="K165" s="1">
        <v>0</v>
      </c>
      <c r="M165" s="1">
        <f>9083+1213</f>
        <v>10296</v>
      </c>
      <c r="O165" s="1">
        <v>474201</v>
      </c>
      <c r="Q165" s="1">
        <v>368551</v>
      </c>
      <c r="S165" s="1">
        <v>27745</v>
      </c>
      <c r="U165" s="1">
        <v>660121</v>
      </c>
      <c r="W165" s="1">
        <v>303003</v>
      </c>
      <c r="Y165" s="1">
        <v>0</v>
      </c>
      <c r="AA165" s="1">
        <v>771634</v>
      </c>
      <c r="AC165" s="1">
        <v>575994</v>
      </c>
      <c r="AE165" s="1">
        <v>103400</v>
      </c>
      <c r="AG165" s="1">
        <v>0</v>
      </c>
      <c r="AI165" s="1">
        <v>459377</v>
      </c>
      <c r="AJ165" s="12" t="s">
        <v>223</v>
      </c>
      <c r="AK165" s="12"/>
      <c r="AL165" s="12" t="s">
        <v>484</v>
      </c>
      <c r="AN165" s="1">
        <v>214150</v>
      </c>
      <c r="AP165" s="1">
        <v>102516</v>
      </c>
      <c r="AR165" s="1">
        <v>0</v>
      </c>
      <c r="AT165" s="1">
        <v>65000</v>
      </c>
      <c r="AV165" s="1">
        <v>49072</v>
      </c>
      <c r="AX165" s="1">
        <v>0</v>
      </c>
      <c r="AZ165" s="20">
        <f t="shared" si="12"/>
        <v>8892432</v>
      </c>
      <c r="BB165" s="45">
        <v>550</v>
      </c>
      <c r="BH165" s="1">
        <v>0</v>
      </c>
      <c r="BJ165" s="20">
        <f t="shared" si="14"/>
        <v>8892982</v>
      </c>
      <c r="BL165" s="20">
        <f>'Gov Fd Rv'!AO165-'Gov Fnd Exp'!BJ165</f>
        <v>-849229</v>
      </c>
      <c r="BN165" s="1">
        <v>1331832</v>
      </c>
      <c r="BP165" s="1">
        <v>0</v>
      </c>
      <c r="BR165" s="1">
        <v>0</v>
      </c>
      <c r="BT165" s="20">
        <f t="shared" si="15"/>
        <v>482603</v>
      </c>
      <c r="BU165" s="20"/>
      <c r="BV165" s="20">
        <f>BT165-'Gov Fd BS'!AA165</f>
        <v>0</v>
      </c>
    </row>
    <row r="166" spans="1:74" hidden="1">
      <c r="A166" s="12" t="s">
        <v>808</v>
      </c>
      <c r="B166" s="12"/>
      <c r="C166" s="12" t="s">
        <v>55</v>
      </c>
      <c r="D166" s="12"/>
      <c r="E166" s="13">
        <v>49122</v>
      </c>
      <c r="AJ166" s="12" t="s">
        <v>808</v>
      </c>
      <c r="AK166" s="12"/>
      <c r="AL166" s="12" t="s">
        <v>55</v>
      </c>
      <c r="AZ166" s="20">
        <f t="shared" si="12"/>
        <v>0</v>
      </c>
      <c r="BJ166" s="20">
        <f t="shared" si="14"/>
        <v>0</v>
      </c>
      <c r="BL166" s="20">
        <f>'Gov Fd Rv'!AO166-'Gov Fnd Exp'!BJ166</f>
        <v>0</v>
      </c>
      <c r="BT166" s="20">
        <f t="shared" si="15"/>
        <v>0</v>
      </c>
      <c r="BU166" s="20"/>
      <c r="BV166" s="20">
        <f>BT166-'Gov Fd BS'!AA166</f>
        <v>0</v>
      </c>
    </row>
    <row r="167" spans="1:74">
      <c r="A167" s="12" t="s">
        <v>647</v>
      </c>
      <c r="B167" s="12"/>
      <c r="C167" s="12" t="s">
        <v>72</v>
      </c>
      <c r="D167" s="12"/>
      <c r="E167" s="13">
        <v>50674</v>
      </c>
      <c r="G167" s="1">
        <v>7147259</v>
      </c>
      <c r="I167" s="1">
        <v>1917421</v>
      </c>
      <c r="K167" s="1">
        <v>162277</v>
      </c>
      <c r="M167" s="1">
        <v>0</v>
      </c>
      <c r="O167" s="1">
        <v>519165</v>
      </c>
      <c r="Q167" s="1">
        <v>495950</v>
      </c>
      <c r="S167" s="1">
        <v>58356</v>
      </c>
      <c r="U167" s="1">
        <v>1304735</v>
      </c>
      <c r="W167" s="1">
        <v>507048</v>
      </c>
      <c r="Y167" s="1">
        <v>0</v>
      </c>
      <c r="AA167" s="1">
        <v>1692514</v>
      </c>
      <c r="AC167" s="1">
        <v>1050267</v>
      </c>
      <c r="AE167" s="1">
        <v>0</v>
      </c>
      <c r="AG167" s="1">
        <v>0</v>
      </c>
      <c r="AI167" s="1">
        <v>702836</v>
      </c>
      <c r="AJ167" s="12" t="s">
        <v>647</v>
      </c>
      <c r="AK167" s="12"/>
      <c r="AL167" s="12" t="s">
        <v>72</v>
      </c>
      <c r="AN167" s="1">
        <v>671263</v>
      </c>
      <c r="AP167" s="1">
        <v>208039</v>
      </c>
      <c r="AR167" s="1">
        <v>0</v>
      </c>
      <c r="AT167" s="1">
        <v>205160</v>
      </c>
      <c r="AV167" s="1">
        <v>90127</v>
      </c>
      <c r="AX167" s="1">
        <v>69935</v>
      </c>
      <c r="AZ167" s="20">
        <f t="shared" si="12"/>
        <v>16802352</v>
      </c>
      <c r="BB167" s="1">
        <v>157781</v>
      </c>
      <c r="BH167" s="1">
        <v>2658922</v>
      </c>
      <c r="BJ167" s="20">
        <f t="shared" si="14"/>
        <v>19619055</v>
      </c>
      <c r="BL167" s="20">
        <f>'Gov Fd Rv'!AO167-'Gov Fnd Exp'!BJ167</f>
        <v>1680240</v>
      </c>
      <c r="BN167" s="1">
        <v>5525782</v>
      </c>
      <c r="BP167" s="1">
        <v>0</v>
      </c>
      <c r="BR167" s="1">
        <v>0</v>
      </c>
      <c r="BT167" s="20">
        <f t="shared" si="15"/>
        <v>7206022</v>
      </c>
      <c r="BU167" s="20"/>
      <c r="BV167" s="20">
        <f>BT167-'Gov Fd BS'!AA167</f>
        <v>0</v>
      </c>
    </row>
    <row r="168" spans="1:74">
      <c r="A168" s="17" t="s">
        <v>835</v>
      </c>
      <c r="B168" s="12"/>
      <c r="C168" s="12" t="s">
        <v>57</v>
      </c>
      <c r="D168" s="12"/>
      <c r="E168" s="13">
        <v>43935</v>
      </c>
      <c r="G168" s="1">
        <v>12200855</v>
      </c>
      <c r="I168" s="1">
        <v>0</v>
      </c>
      <c r="K168" s="1">
        <v>0</v>
      </c>
      <c r="M168" s="1">
        <v>0</v>
      </c>
      <c r="O168" s="1">
        <v>975935</v>
      </c>
      <c r="Q168" s="1">
        <v>502850</v>
      </c>
      <c r="S168" s="1">
        <v>16353</v>
      </c>
      <c r="U168" s="1">
        <v>1632543</v>
      </c>
      <c r="W168" s="1">
        <v>626908</v>
      </c>
      <c r="Y168" s="1">
        <v>2503</v>
      </c>
      <c r="AA168" s="1">
        <v>1905630</v>
      </c>
      <c r="AC168" s="1">
        <v>1240435</v>
      </c>
      <c r="AE168" s="1">
        <v>195159</v>
      </c>
      <c r="AG168" s="1">
        <v>0</v>
      </c>
      <c r="AI168" s="1">
        <v>0</v>
      </c>
      <c r="AJ168" s="17" t="s">
        <v>835</v>
      </c>
      <c r="AK168" s="12"/>
      <c r="AL168" s="12" t="s">
        <v>57</v>
      </c>
      <c r="AN168" s="1">
        <v>623716</v>
      </c>
      <c r="AP168" s="1">
        <v>21698</v>
      </c>
      <c r="AR168" s="1">
        <v>0</v>
      </c>
      <c r="AT168" s="1">
        <v>660000</v>
      </c>
      <c r="AV168" s="1">
        <v>1059038</v>
      </c>
      <c r="AX168" s="1">
        <v>0</v>
      </c>
      <c r="AZ168" s="20">
        <f t="shared" si="12"/>
        <v>21663623</v>
      </c>
      <c r="BB168" s="1">
        <v>0</v>
      </c>
      <c r="BH168" s="1">
        <v>0</v>
      </c>
      <c r="BJ168" s="20">
        <f t="shared" si="14"/>
        <v>21663623</v>
      </c>
      <c r="BL168" s="20">
        <f>'Gov Fd Rv'!AO168-'Gov Fnd Exp'!BJ168</f>
        <v>280551</v>
      </c>
      <c r="BN168" s="1">
        <v>14042532</v>
      </c>
      <c r="BP168" s="1">
        <v>7699</v>
      </c>
      <c r="BR168" s="1">
        <v>0</v>
      </c>
      <c r="BT168" s="20">
        <f t="shared" si="15"/>
        <v>14330782</v>
      </c>
      <c r="BU168" s="20"/>
      <c r="BV168" s="20">
        <f>BT168-'Gov Fd BS'!AA168</f>
        <v>0</v>
      </c>
    </row>
    <row r="169" spans="1:74" hidden="1">
      <c r="A169" s="17" t="s">
        <v>809</v>
      </c>
      <c r="B169" s="12"/>
      <c r="C169" s="12" t="s">
        <v>643</v>
      </c>
      <c r="D169" s="12"/>
      <c r="E169" s="13">
        <v>50617</v>
      </c>
      <c r="AJ169" s="17" t="s">
        <v>809</v>
      </c>
      <c r="AK169" s="12"/>
      <c r="AL169" s="12" t="s">
        <v>643</v>
      </c>
      <c r="AZ169" s="20">
        <f t="shared" si="12"/>
        <v>0</v>
      </c>
      <c r="BJ169" s="20">
        <f t="shared" si="14"/>
        <v>0</v>
      </c>
      <c r="BL169" s="20">
        <f>'Gov Fd Rv'!AO169-'Gov Fnd Exp'!BJ169</f>
        <v>0</v>
      </c>
      <c r="BT169" s="20">
        <f t="shared" si="15"/>
        <v>0</v>
      </c>
      <c r="BU169" s="20"/>
      <c r="BV169" s="20">
        <f>BT169-'Gov Fd BS'!AA169</f>
        <v>0</v>
      </c>
    </row>
    <row r="170" spans="1:74">
      <c r="A170" s="12" t="s">
        <v>226</v>
      </c>
      <c r="B170" s="12"/>
      <c r="C170" s="12" t="s">
        <v>227</v>
      </c>
      <c r="D170" s="12"/>
      <c r="E170" s="13">
        <v>46094</v>
      </c>
      <c r="G170" s="1">
        <v>14374965</v>
      </c>
      <c r="I170" s="1">
        <v>4463589</v>
      </c>
      <c r="K170" s="1">
        <v>0</v>
      </c>
      <c r="M170" s="1">
        <v>46234</v>
      </c>
      <c r="O170" s="1">
        <v>2847559</v>
      </c>
      <c r="Q170" s="1">
        <v>3399455</v>
      </c>
      <c r="S170" s="1">
        <v>203364</v>
      </c>
      <c r="U170" s="1">
        <v>2458382</v>
      </c>
      <c r="W170" s="1">
        <v>608441</v>
      </c>
      <c r="Y170" s="1">
        <v>142719</v>
      </c>
      <c r="AA170" s="1">
        <v>2695548</v>
      </c>
      <c r="AC170" s="1">
        <v>1239007</v>
      </c>
      <c r="AE170" s="1">
        <v>195238</v>
      </c>
      <c r="AG170" s="1">
        <v>1526708</v>
      </c>
      <c r="AI170" s="1">
        <v>19412</v>
      </c>
      <c r="AJ170" s="12" t="s">
        <v>226</v>
      </c>
      <c r="AK170" s="12"/>
      <c r="AL170" s="12" t="s">
        <v>227</v>
      </c>
      <c r="AN170" s="1">
        <v>573719</v>
      </c>
      <c r="AP170" s="1">
        <f>3615027+245564</f>
        <v>3860591</v>
      </c>
      <c r="AR170" s="1">
        <v>0</v>
      </c>
      <c r="AT170" s="1">
        <v>27536678</v>
      </c>
      <c r="AV170" s="1">
        <v>1635591</v>
      </c>
      <c r="AX170" s="1">
        <v>344348</v>
      </c>
      <c r="AZ170" s="20">
        <f t="shared" si="12"/>
        <v>68171548</v>
      </c>
      <c r="BB170" s="1">
        <v>83774</v>
      </c>
      <c r="BH170" s="1">
        <v>0</v>
      </c>
      <c r="BJ170" s="20">
        <f t="shared" si="14"/>
        <v>68255322</v>
      </c>
      <c r="BL170" s="20">
        <f>'Gov Fd Rv'!AO170-'Gov Fnd Exp'!BJ170</f>
        <v>29205454</v>
      </c>
      <c r="BN170" s="1">
        <v>5649955</v>
      </c>
      <c r="BP170" s="1">
        <v>-1078</v>
      </c>
      <c r="BR170" s="1">
        <v>0</v>
      </c>
      <c r="BT170" s="20">
        <f t="shared" si="15"/>
        <v>34854331</v>
      </c>
      <c r="BU170" s="20"/>
      <c r="BV170" s="20">
        <f>BT170-'Gov Fd BS'!AA170</f>
        <v>0</v>
      </c>
    </row>
    <row r="171" spans="1:74">
      <c r="A171" s="12"/>
      <c r="B171" s="12"/>
      <c r="C171" s="12"/>
      <c r="D171" s="12"/>
      <c r="E171" s="13"/>
      <c r="AJ171" s="12"/>
      <c r="AK171" s="12"/>
      <c r="AL171" s="12"/>
      <c r="AZ171" s="20"/>
      <c r="BJ171" s="20"/>
      <c r="BL171" s="20"/>
      <c r="BT171" s="20"/>
      <c r="BU171" s="20"/>
      <c r="BV171" s="20"/>
    </row>
    <row r="172" spans="1:74">
      <c r="A172" s="12"/>
      <c r="B172" s="12"/>
      <c r="C172" s="12"/>
      <c r="D172" s="12"/>
      <c r="E172" s="13"/>
      <c r="AI172" s="20" t="s">
        <v>709</v>
      </c>
      <c r="AJ172" s="12"/>
      <c r="AK172" s="12"/>
      <c r="AL172" s="12"/>
      <c r="AZ172" s="20"/>
      <c r="BJ172" s="20"/>
      <c r="BL172" s="20"/>
      <c r="BT172" s="20" t="s">
        <v>709</v>
      </c>
      <c r="BU172" s="20"/>
      <c r="BV172" s="20"/>
    </row>
    <row r="173" spans="1:74">
      <c r="A173" s="12"/>
      <c r="B173" s="12"/>
      <c r="C173" s="12"/>
      <c r="D173" s="12"/>
      <c r="E173" s="13"/>
      <c r="AJ173" s="12"/>
      <c r="AK173" s="12"/>
      <c r="AL173" s="12"/>
      <c r="AZ173" s="20"/>
      <c r="BJ173" s="20"/>
      <c r="BL173" s="20"/>
      <c r="BT173" s="20"/>
      <c r="BU173" s="20"/>
      <c r="BV173" s="20"/>
    </row>
    <row r="174" spans="1:74">
      <c r="A174" s="12" t="s">
        <v>410</v>
      </c>
      <c r="B174" s="12"/>
      <c r="C174" s="12" t="s">
        <v>39</v>
      </c>
      <c r="D174" s="12"/>
      <c r="E174" s="13">
        <v>47795</v>
      </c>
      <c r="G174" s="16">
        <v>7195466</v>
      </c>
      <c r="H174" s="16"/>
      <c r="I174" s="16">
        <v>2201433</v>
      </c>
      <c r="J174" s="16"/>
      <c r="K174" s="16">
        <v>121066</v>
      </c>
      <c r="L174" s="16"/>
      <c r="M174" s="16">
        <f>4000+2331288</f>
        <v>2335288</v>
      </c>
      <c r="N174" s="16"/>
      <c r="O174" s="16">
        <v>874141</v>
      </c>
      <c r="P174" s="16"/>
      <c r="Q174" s="16">
        <v>1115746</v>
      </c>
      <c r="R174" s="16"/>
      <c r="S174" s="16">
        <v>155838</v>
      </c>
      <c r="T174" s="16"/>
      <c r="U174" s="16">
        <v>1494466</v>
      </c>
      <c r="V174" s="16"/>
      <c r="W174" s="16">
        <v>473942</v>
      </c>
      <c r="X174" s="16"/>
      <c r="Y174" s="16">
        <v>107935</v>
      </c>
      <c r="Z174" s="16"/>
      <c r="AA174" s="16">
        <v>1770116</v>
      </c>
      <c r="AB174" s="16"/>
      <c r="AC174" s="16">
        <v>2162573</v>
      </c>
      <c r="AD174" s="16"/>
      <c r="AE174" s="16">
        <v>181793</v>
      </c>
      <c r="AF174" s="16"/>
      <c r="AG174" s="16">
        <v>777039</v>
      </c>
      <c r="AH174" s="16"/>
      <c r="AI174" s="16">
        <v>2455</v>
      </c>
      <c r="AJ174" s="12" t="s">
        <v>410</v>
      </c>
      <c r="AK174" s="12"/>
      <c r="AL174" s="12" t="s">
        <v>39</v>
      </c>
      <c r="AN174" s="16">
        <v>407759</v>
      </c>
      <c r="AO174" s="16"/>
      <c r="AP174" s="16">
        <v>0</v>
      </c>
      <c r="AQ174" s="16"/>
      <c r="AR174" s="16">
        <v>0</v>
      </c>
      <c r="AS174" s="16"/>
      <c r="AT174" s="16">
        <v>257099</v>
      </c>
      <c r="AU174" s="16"/>
      <c r="AV174" s="16">
        <v>28905</v>
      </c>
      <c r="AW174" s="16"/>
      <c r="AX174" s="16">
        <v>0</v>
      </c>
      <c r="AY174" s="16"/>
      <c r="AZ174" s="72">
        <f t="shared" si="12"/>
        <v>21663060</v>
      </c>
      <c r="BA174" s="16"/>
      <c r="BB174" s="16">
        <v>399093</v>
      </c>
      <c r="BC174" s="16"/>
      <c r="BD174" s="16"/>
      <c r="BE174" s="16"/>
      <c r="BF174" s="16"/>
      <c r="BG174" s="16"/>
      <c r="BH174" s="16">
        <v>0</v>
      </c>
      <c r="BI174" s="16"/>
      <c r="BJ174" s="72">
        <f>AZ174+BB174+BH174</f>
        <v>22062153</v>
      </c>
      <c r="BK174" s="16"/>
      <c r="BL174" s="72">
        <f>'Gov Fd Rv'!AO174-'Gov Fnd Exp'!BJ174</f>
        <v>659269</v>
      </c>
      <c r="BM174" s="16"/>
      <c r="BN174" s="16">
        <v>-106874</v>
      </c>
      <c r="BO174" s="16"/>
      <c r="BP174" s="16">
        <v>1141</v>
      </c>
      <c r="BQ174" s="16"/>
      <c r="BR174" s="16">
        <v>0</v>
      </c>
      <c r="BS174" s="16"/>
      <c r="BT174" s="72">
        <f>BL174+BN174+BP174+BR174</f>
        <v>553536</v>
      </c>
      <c r="BU174" s="20"/>
      <c r="BV174" s="20">
        <f>BT174-'Gov Fd BS'!AA174</f>
        <v>0</v>
      </c>
    </row>
    <row r="175" spans="1:74">
      <c r="A175" s="12" t="s">
        <v>644</v>
      </c>
      <c r="B175" s="12"/>
      <c r="C175" s="12" t="s">
        <v>643</v>
      </c>
      <c r="D175" s="12"/>
      <c r="E175" s="13">
        <v>50625</v>
      </c>
      <c r="G175" s="1">
        <v>2632830</v>
      </c>
      <c r="I175" s="1">
        <v>564898</v>
      </c>
      <c r="K175" s="1">
        <v>193347</v>
      </c>
      <c r="M175" s="1">
        <v>11438</v>
      </c>
      <c r="O175" s="1">
        <v>279583</v>
      </c>
      <c r="Q175" s="1">
        <v>478574</v>
      </c>
      <c r="S175" s="1">
        <v>11382</v>
      </c>
      <c r="U175" s="1">
        <v>467485</v>
      </c>
      <c r="W175" s="1">
        <v>239628</v>
      </c>
      <c r="Y175" s="1">
        <v>647</v>
      </c>
      <c r="AA175" s="1">
        <v>617784</v>
      </c>
      <c r="AC175" s="1">
        <v>309752</v>
      </c>
      <c r="AE175" s="1">
        <v>55432</v>
      </c>
      <c r="AG175" s="1">
        <v>0</v>
      </c>
      <c r="AI175" s="1">
        <v>218187</v>
      </c>
      <c r="AJ175" s="12" t="s">
        <v>644</v>
      </c>
      <c r="AK175" s="12"/>
      <c r="AL175" s="12" t="s">
        <v>643</v>
      </c>
      <c r="AN175" s="1">
        <v>279779</v>
      </c>
      <c r="AP175" s="1">
        <v>35850</v>
      </c>
      <c r="AR175" s="1">
        <v>0</v>
      </c>
      <c r="AT175" s="1">
        <v>245000</v>
      </c>
      <c r="AV175" s="1">
        <v>131226</v>
      </c>
      <c r="AX175" s="1">
        <v>0</v>
      </c>
      <c r="AZ175" s="20">
        <f t="shared" si="12"/>
        <v>6772822</v>
      </c>
      <c r="BB175" s="1">
        <v>3000</v>
      </c>
      <c r="BH175" s="1">
        <v>0</v>
      </c>
      <c r="BJ175" s="20">
        <f t="shared" si="14"/>
        <v>6775822</v>
      </c>
      <c r="BL175" s="20">
        <f>'Gov Fd Rv'!AO175-'Gov Fnd Exp'!BJ175</f>
        <v>22963</v>
      </c>
      <c r="BN175" s="1">
        <v>3028957</v>
      </c>
      <c r="BP175" s="1">
        <v>0</v>
      </c>
      <c r="BR175" s="1">
        <v>0</v>
      </c>
      <c r="BT175" s="20">
        <f t="shared" si="15"/>
        <v>3051920</v>
      </c>
      <c r="BU175" s="20"/>
      <c r="BV175" s="20">
        <f>BT175-'Gov Fd BS'!AA175</f>
        <v>0</v>
      </c>
    </row>
    <row r="176" spans="1:74">
      <c r="A176" s="17" t="s">
        <v>836</v>
      </c>
      <c r="B176" s="12"/>
      <c r="C176" s="12" t="s">
        <v>46</v>
      </c>
      <c r="D176" s="12"/>
      <c r="E176" s="13">
        <v>48413</v>
      </c>
      <c r="G176" s="1">
        <v>6459778</v>
      </c>
      <c r="I176" s="1">
        <v>1236204</v>
      </c>
      <c r="K176" s="1">
        <v>81480</v>
      </c>
      <c r="M176" s="1">
        <v>0</v>
      </c>
      <c r="O176" s="1">
        <v>856705</v>
      </c>
      <c r="Q176" s="1">
        <v>452670</v>
      </c>
      <c r="S176" s="1">
        <v>32175</v>
      </c>
      <c r="U176" s="1">
        <v>1075186</v>
      </c>
      <c r="W176" s="1">
        <v>449783</v>
      </c>
      <c r="Y176" s="1">
        <v>0</v>
      </c>
      <c r="AA176" s="1">
        <v>997324</v>
      </c>
      <c r="AC176" s="1">
        <v>720604</v>
      </c>
      <c r="AE176" s="1">
        <v>8363</v>
      </c>
      <c r="AG176" s="1">
        <v>0</v>
      </c>
      <c r="AI176" s="1">
        <v>595059</v>
      </c>
      <c r="AJ176" s="17" t="s">
        <v>836</v>
      </c>
      <c r="AK176" s="12"/>
      <c r="AL176" s="12" t="s">
        <v>46</v>
      </c>
      <c r="AN176" s="1">
        <v>271606</v>
      </c>
      <c r="AP176" s="1">
        <v>342633</v>
      </c>
      <c r="AR176" s="1">
        <v>0</v>
      </c>
      <c r="AT176" s="1">
        <v>16630000</v>
      </c>
      <c r="AV176" s="1">
        <v>315423</v>
      </c>
      <c r="AX176" s="1">
        <v>0</v>
      </c>
      <c r="AZ176" s="20">
        <f t="shared" si="12"/>
        <v>30524993</v>
      </c>
      <c r="BB176" s="1">
        <v>3050</v>
      </c>
      <c r="BH176" s="1">
        <v>0</v>
      </c>
      <c r="BJ176" s="20">
        <f t="shared" si="14"/>
        <v>30528043</v>
      </c>
      <c r="BL176" s="20">
        <f>'Gov Fd Rv'!AO176-'Gov Fnd Exp'!BJ176</f>
        <v>3159457</v>
      </c>
      <c r="BN176" s="1">
        <v>719455</v>
      </c>
      <c r="BP176" s="1">
        <v>0</v>
      </c>
      <c r="BR176" s="1">
        <v>0</v>
      </c>
      <c r="BT176" s="20">
        <f t="shared" si="15"/>
        <v>3878912</v>
      </c>
      <c r="BU176" s="20"/>
      <c r="BV176" s="20">
        <f>BT176-'Gov Fd BS'!AA176</f>
        <v>0</v>
      </c>
    </row>
    <row r="177" spans="1:74" hidden="1">
      <c r="A177" s="12" t="s">
        <v>811</v>
      </c>
      <c r="B177" s="12"/>
      <c r="C177" s="12" t="s">
        <v>10</v>
      </c>
      <c r="D177" s="12"/>
      <c r="E177" s="13"/>
      <c r="AJ177" s="12" t="s">
        <v>811</v>
      </c>
      <c r="AK177" s="12"/>
      <c r="AL177" s="12" t="s">
        <v>10</v>
      </c>
      <c r="AZ177" s="20">
        <f t="shared" si="12"/>
        <v>0</v>
      </c>
      <c r="BJ177" s="20">
        <f t="shared" si="14"/>
        <v>0</v>
      </c>
      <c r="BL177" s="20">
        <f>'Gov Fd Rv'!AO177-'Gov Fnd Exp'!BJ177</f>
        <v>0</v>
      </c>
      <c r="BT177" s="20">
        <f t="shared" si="15"/>
        <v>0</v>
      </c>
      <c r="BU177" s="20"/>
      <c r="BV177" s="20">
        <f>BT177-'Gov Fd BS'!AA177</f>
        <v>0</v>
      </c>
    </row>
    <row r="178" spans="1:74" hidden="1">
      <c r="A178" s="17" t="s">
        <v>861</v>
      </c>
      <c r="B178" s="17"/>
      <c r="C178" s="17" t="s">
        <v>72</v>
      </c>
      <c r="D178" s="12"/>
      <c r="E178" s="13"/>
      <c r="AJ178" s="17" t="s">
        <v>861</v>
      </c>
      <c r="AK178" s="17"/>
      <c r="AL178" s="17" t="s">
        <v>72</v>
      </c>
      <c r="AZ178" s="20"/>
      <c r="BJ178" s="20"/>
      <c r="BL178" s="20"/>
      <c r="BT178" s="20"/>
      <c r="BU178" s="20"/>
      <c r="BV178" s="20">
        <f>BT178-'Gov Fd BS'!AA178</f>
        <v>0</v>
      </c>
    </row>
    <row r="179" spans="1:74">
      <c r="A179" s="12" t="s">
        <v>440</v>
      </c>
      <c r="B179" s="12"/>
      <c r="C179" s="12" t="s">
        <v>44</v>
      </c>
      <c r="D179" s="12"/>
      <c r="E179" s="13">
        <v>43943</v>
      </c>
      <c r="G179" s="1">
        <v>30981647</v>
      </c>
      <c r="I179" s="1">
        <v>11307386</v>
      </c>
      <c r="K179" s="1">
        <v>224799</v>
      </c>
      <c r="M179" s="1">
        <f>88477+362338+7379141</f>
        <v>7829956</v>
      </c>
      <c r="O179" s="1">
        <v>4310787</v>
      </c>
      <c r="Q179" s="1">
        <v>5116003</v>
      </c>
      <c r="S179" s="1">
        <v>117662</v>
      </c>
      <c r="U179" s="1">
        <v>4741611</v>
      </c>
      <c r="W179" s="1">
        <v>1749974</v>
      </c>
      <c r="Y179" s="1">
        <v>630910</v>
      </c>
      <c r="AA179" s="1">
        <v>6032087</v>
      </c>
      <c r="AC179" s="1">
        <v>3263970</v>
      </c>
      <c r="AE179" s="1">
        <v>1294594</v>
      </c>
      <c r="AG179" s="1">
        <v>0</v>
      </c>
      <c r="AI179" s="1">
        <v>1467175</v>
      </c>
      <c r="AJ179" s="12" t="s">
        <v>440</v>
      </c>
      <c r="AK179" s="12"/>
      <c r="AL179" s="12" t="s">
        <v>44</v>
      </c>
      <c r="AN179" s="1">
        <v>1259578</v>
      </c>
      <c r="AP179" s="1">
        <v>29955429</v>
      </c>
      <c r="AR179" s="1">
        <v>0</v>
      </c>
      <c r="AT179" s="1">
        <v>1150874</v>
      </c>
      <c r="AV179" s="1">
        <v>2320498</v>
      </c>
      <c r="AX179" s="1">
        <v>0</v>
      </c>
      <c r="AZ179" s="20">
        <f t="shared" si="12"/>
        <v>113754940</v>
      </c>
      <c r="BB179" s="1">
        <v>2889215</v>
      </c>
      <c r="BH179" s="1">
        <v>0</v>
      </c>
      <c r="BJ179" s="20">
        <f t="shared" si="14"/>
        <v>116644155</v>
      </c>
      <c r="BL179" s="20">
        <f>'Gov Fd Rv'!AO179-'Gov Fnd Exp'!BJ179</f>
        <v>-26311296</v>
      </c>
      <c r="BN179" s="1">
        <v>53401746</v>
      </c>
      <c r="BP179" s="1">
        <v>0</v>
      </c>
      <c r="BR179" s="1">
        <v>0</v>
      </c>
      <c r="BT179" s="20">
        <f t="shared" si="15"/>
        <v>27090450</v>
      </c>
      <c r="BU179" s="20"/>
      <c r="BV179" s="20">
        <f>BT179-'Gov Fd BS'!AA179</f>
        <v>0</v>
      </c>
    </row>
    <row r="180" spans="1:74">
      <c r="A180" s="12" t="s">
        <v>289</v>
      </c>
      <c r="B180" s="12"/>
      <c r="C180" s="12" t="s">
        <v>20</v>
      </c>
      <c r="D180" s="12"/>
      <c r="E180" s="13">
        <v>43950</v>
      </c>
      <c r="G180" s="1">
        <v>29885006</v>
      </c>
      <c r="I180" s="1">
        <v>16395284</v>
      </c>
      <c r="K180" s="1">
        <v>1246927</v>
      </c>
      <c r="M180" s="1">
        <f>153457+284979</f>
        <v>438436</v>
      </c>
      <c r="O180" s="1">
        <v>4541962</v>
      </c>
      <c r="Q180" s="1">
        <v>5861131</v>
      </c>
      <c r="S180" s="1">
        <v>63380</v>
      </c>
      <c r="U180" s="1">
        <v>5298161</v>
      </c>
      <c r="W180" s="1">
        <v>1977032</v>
      </c>
      <c r="Y180" s="1">
        <v>815927</v>
      </c>
      <c r="AA180" s="1">
        <v>7965117</v>
      </c>
      <c r="AC180" s="1">
        <v>4384344</v>
      </c>
      <c r="AE180" s="1">
        <v>1616552</v>
      </c>
      <c r="AG180" s="1">
        <v>0</v>
      </c>
      <c r="AI180" s="1">
        <v>988144</v>
      </c>
      <c r="AJ180" s="12" t="s">
        <v>289</v>
      </c>
      <c r="AK180" s="12"/>
      <c r="AL180" s="12" t="s">
        <v>20</v>
      </c>
      <c r="AN180" s="1">
        <v>1124735</v>
      </c>
      <c r="AP180" s="1">
        <v>1281198</v>
      </c>
      <c r="AR180" s="1">
        <v>0</v>
      </c>
      <c r="AT180" s="1">
        <v>2479100</v>
      </c>
      <c r="AV180" s="1">
        <f>435817+467442</f>
        <v>903259</v>
      </c>
      <c r="AX180" s="1">
        <v>0</v>
      </c>
      <c r="AZ180" s="20">
        <f t="shared" si="12"/>
        <v>87265695</v>
      </c>
      <c r="BB180" s="1">
        <v>380252</v>
      </c>
      <c r="BH180" s="1">
        <v>0</v>
      </c>
      <c r="BJ180" s="20">
        <f t="shared" si="14"/>
        <v>87645947</v>
      </c>
      <c r="BL180" s="20">
        <f>'Gov Fd Rv'!AO180-'Gov Fnd Exp'!BJ180</f>
        <v>38169741</v>
      </c>
      <c r="BN180" s="1">
        <v>13689694</v>
      </c>
      <c r="BP180" s="1">
        <v>0</v>
      </c>
      <c r="BR180" s="1">
        <v>0</v>
      </c>
      <c r="BT180" s="20">
        <f t="shared" si="15"/>
        <v>51859435</v>
      </c>
      <c r="BU180" s="20"/>
      <c r="BV180" s="20">
        <f>BT180-'Gov Fd BS'!AA180</f>
        <v>0</v>
      </c>
    </row>
    <row r="181" spans="1:74" hidden="1">
      <c r="A181" s="12" t="s">
        <v>741</v>
      </c>
      <c r="B181" s="12"/>
      <c r="C181" s="12" t="s">
        <v>28</v>
      </c>
      <c r="D181" s="12"/>
      <c r="E181" s="13">
        <v>47050</v>
      </c>
      <c r="AJ181" s="12" t="s">
        <v>741</v>
      </c>
      <c r="AK181" s="12"/>
      <c r="AL181" s="12" t="s">
        <v>28</v>
      </c>
      <c r="AZ181" s="20">
        <f t="shared" si="12"/>
        <v>0</v>
      </c>
      <c r="BJ181" s="20">
        <f t="shared" si="14"/>
        <v>0</v>
      </c>
      <c r="BL181" s="20">
        <f>'Gov Fd Rv'!AO181-'Gov Fnd Exp'!BJ181</f>
        <v>0</v>
      </c>
      <c r="BT181" s="20">
        <f t="shared" si="15"/>
        <v>0</v>
      </c>
      <c r="BU181" s="20"/>
      <c r="BV181" s="20">
        <f>BT181-'Gov Fd BS'!AA181</f>
        <v>0</v>
      </c>
    </row>
    <row r="182" spans="1:74">
      <c r="A182" s="12" t="s">
        <v>625</v>
      </c>
      <c r="B182" s="12"/>
      <c r="C182" s="12" t="s">
        <v>66</v>
      </c>
      <c r="D182" s="12"/>
      <c r="E182" s="13">
        <v>50328</v>
      </c>
      <c r="G182" s="1">
        <v>4511197</v>
      </c>
      <c r="I182" s="1">
        <v>947765</v>
      </c>
      <c r="K182" s="1">
        <v>41375</v>
      </c>
      <c r="M182" s="1">
        <v>61228</v>
      </c>
      <c r="O182" s="1">
        <v>698874</v>
      </c>
      <c r="Q182" s="1">
        <v>462665</v>
      </c>
      <c r="S182" s="1">
        <v>44276</v>
      </c>
      <c r="U182" s="1">
        <v>870149</v>
      </c>
      <c r="W182" s="1">
        <v>394482</v>
      </c>
      <c r="Y182" s="1">
        <v>0</v>
      </c>
      <c r="AA182" s="1">
        <v>995173</v>
      </c>
      <c r="AC182" s="1">
        <v>892439</v>
      </c>
      <c r="AE182" s="1">
        <v>6859</v>
      </c>
      <c r="AG182" s="1">
        <v>311214</v>
      </c>
      <c r="AI182" s="1">
        <v>160510</v>
      </c>
      <c r="AJ182" s="12" t="s">
        <v>625</v>
      </c>
      <c r="AK182" s="12"/>
      <c r="AL182" s="12" t="s">
        <v>66</v>
      </c>
      <c r="AN182" s="1">
        <v>321904</v>
      </c>
      <c r="AP182" s="1">
        <v>380772</v>
      </c>
      <c r="AR182" s="1">
        <v>0</v>
      </c>
      <c r="AT182" s="1">
        <v>614070</v>
      </c>
      <c r="AV182" s="1">
        <v>515488</v>
      </c>
      <c r="AX182" s="1">
        <v>0</v>
      </c>
      <c r="AZ182" s="20">
        <f t="shared" si="12"/>
        <v>12230440</v>
      </c>
      <c r="BB182" s="1">
        <v>365614</v>
      </c>
      <c r="BH182" s="1">
        <v>0</v>
      </c>
      <c r="BJ182" s="20">
        <f t="shared" si="14"/>
        <v>12596054</v>
      </c>
      <c r="BL182" s="20">
        <f>'Gov Fd Rv'!AO182-'Gov Fnd Exp'!BJ182</f>
        <v>-223888</v>
      </c>
      <c r="BN182" s="1">
        <v>3349673</v>
      </c>
      <c r="BP182" s="1">
        <v>0</v>
      </c>
      <c r="BR182" s="1">
        <v>0</v>
      </c>
      <c r="BT182" s="20">
        <f t="shared" si="15"/>
        <v>3125785</v>
      </c>
      <c r="BU182" s="20"/>
      <c r="BV182" s="20">
        <f>BT182-'Gov Fd BS'!AA182</f>
        <v>0</v>
      </c>
    </row>
    <row r="183" spans="1:74">
      <c r="A183" s="12" t="s">
        <v>753</v>
      </c>
      <c r="B183" s="12"/>
      <c r="C183" s="12" t="s">
        <v>116</v>
      </c>
      <c r="D183" s="12"/>
      <c r="E183" s="13">
        <v>50328</v>
      </c>
      <c r="G183" s="1">
        <v>19040248</v>
      </c>
      <c r="I183" s="1">
        <v>7798980</v>
      </c>
      <c r="K183" s="1">
        <v>0</v>
      </c>
      <c r="M183" s="1">
        <v>2728767</v>
      </c>
      <c r="O183" s="1">
        <v>3047547</v>
      </c>
      <c r="Q183" s="1">
        <v>2593167</v>
      </c>
      <c r="S183" s="1">
        <v>88334</v>
      </c>
      <c r="U183" s="1">
        <v>3321123</v>
      </c>
      <c r="W183" s="1">
        <v>902515</v>
      </c>
      <c r="Y183" s="1">
        <v>239801</v>
      </c>
      <c r="AA183" s="1">
        <v>3947534</v>
      </c>
      <c r="AC183" s="1">
        <v>2353774</v>
      </c>
      <c r="AE183" s="1">
        <v>483179</v>
      </c>
      <c r="AG183" s="1">
        <v>0</v>
      </c>
      <c r="AI183" s="1">
        <v>1694355</v>
      </c>
      <c r="AJ183" s="12" t="s">
        <v>753</v>
      </c>
      <c r="AK183" s="12"/>
      <c r="AL183" s="12" t="s">
        <v>116</v>
      </c>
      <c r="AN183" s="1">
        <v>737923</v>
      </c>
      <c r="AP183" s="1">
        <v>6600</v>
      </c>
      <c r="AR183" s="1">
        <v>0</v>
      </c>
      <c r="AT183" s="1">
        <v>850000</v>
      </c>
      <c r="AV183" s="1">
        <v>785166</v>
      </c>
      <c r="AX183" s="1">
        <v>0</v>
      </c>
      <c r="AZ183" s="20">
        <f t="shared" si="12"/>
        <v>50619013</v>
      </c>
      <c r="BB183" s="1">
        <v>254876</v>
      </c>
      <c r="BH183" s="1">
        <v>0</v>
      </c>
      <c r="BJ183" s="20">
        <f t="shared" si="14"/>
        <v>50873889</v>
      </c>
      <c r="BL183" s="20">
        <f>'Gov Fd Rv'!AO183-'Gov Fnd Exp'!BJ183</f>
        <v>135912</v>
      </c>
      <c r="BN183" s="1">
        <v>4970844</v>
      </c>
      <c r="BP183" s="1">
        <v>-8434</v>
      </c>
      <c r="BR183" s="1">
        <v>0</v>
      </c>
      <c r="BT183" s="20">
        <f t="shared" si="15"/>
        <v>5098322</v>
      </c>
      <c r="BU183" s="20"/>
      <c r="BV183" s="20">
        <f>BT183-'Gov Fd BS'!AA183</f>
        <v>0</v>
      </c>
    </row>
    <row r="184" spans="1:74">
      <c r="A184" s="12" t="s">
        <v>228</v>
      </c>
      <c r="B184" s="12"/>
      <c r="C184" s="12" t="s">
        <v>227</v>
      </c>
      <c r="D184" s="12"/>
      <c r="E184" s="13">
        <v>46102</v>
      </c>
      <c r="G184" s="1">
        <v>36234098</v>
      </c>
      <c r="I184" s="1">
        <v>10487778</v>
      </c>
      <c r="K184" s="1">
        <v>3597</v>
      </c>
      <c r="M184" s="1">
        <v>1950438</v>
      </c>
      <c r="O184" s="1">
        <v>3905035</v>
      </c>
      <c r="Q184" s="1">
        <v>6407626</v>
      </c>
      <c r="S184" s="1">
        <v>22818</v>
      </c>
      <c r="U184" s="1">
        <v>6608016</v>
      </c>
      <c r="W184" s="1">
        <v>1317359</v>
      </c>
      <c r="Y184" s="1">
        <v>316273</v>
      </c>
      <c r="AA184" s="1">
        <v>7421787</v>
      </c>
      <c r="AC184" s="1">
        <v>6675127</v>
      </c>
      <c r="AE184" s="1">
        <v>131459</v>
      </c>
      <c r="AG184" s="1">
        <v>0</v>
      </c>
      <c r="AI184" s="1">
        <v>5422239</v>
      </c>
      <c r="AJ184" s="12" t="s">
        <v>228</v>
      </c>
      <c r="AK184" s="12"/>
      <c r="AL184" s="12" t="s">
        <v>227</v>
      </c>
      <c r="AN184" s="1">
        <v>1801142</v>
      </c>
      <c r="AP184" s="1">
        <v>128215</v>
      </c>
      <c r="AR184" s="1">
        <v>0</v>
      </c>
      <c r="AT184" s="1">
        <v>2357123</v>
      </c>
      <c r="AV184" s="1">
        <v>1952218</v>
      </c>
      <c r="AX184" s="1">
        <v>0</v>
      </c>
      <c r="AZ184" s="20">
        <f t="shared" ref="AZ184:AZ210" si="16">SUM(G184:AX184)</f>
        <v>93142348</v>
      </c>
      <c r="BB184" s="1">
        <v>0</v>
      </c>
      <c r="BH184" s="1">
        <v>0</v>
      </c>
      <c r="BJ184" s="20">
        <f t="shared" si="14"/>
        <v>93142348</v>
      </c>
      <c r="BL184" s="20">
        <f>'Gov Fd Rv'!AO184-'Gov Fnd Exp'!BJ184</f>
        <v>-5801253</v>
      </c>
      <c r="BN184" s="1">
        <v>13374827</v>
      </c>
      <c r="BP184" s="1">
        <v>0</v>
      </c>
      <c r="BR184" s="1">
        <v>0</v>
      </c>
      <c r="BT184" s="20">
        <f t="shared" si="15"/>
        <v>7573574</v>
      </c>
      <c r="BU184" s="20"/>
      <c r="BV184" s="20">
        <f>BT184-'Gov Fd BS'!AA184</f>
        <v>0</v>
      </c>
    </row>
    <row r="185" spans="1:74">
      <c r="A185" s="12" t="s">
        <v>396</v>
      </c>
      <c r="B185" s="12"/>
      <c r="C185" s="12" t="s">
        <v>395</v>
      </c>
      <c r="D185" s="12"/>
      <c r="E185" s="13">
        <v>47621</v>
      </c>
      <c r="G185" s="1">
        <v>3700719</v>
      </c>
      <c r="I185" s="1">
        <v>525376</v>
      </c>
      <c r="K185" s="1">
        <v>204227</v>
      </c>
      <c r="M185" s="1">
        <v>28174</v>
      </c>
      <c r="O185" s="1">
        <v>329417</v>
      </c>
      <c r="Q185" s="1">
        <v>702187</v>
      </c>
      <c r="S185" s="1">
        <v>70231</v>
      </c>
      <c r="U185" s="1">
        <v>626379</v>
      </c>
      <c r="W185" s="1">
        <v>301530</v>
      </c>
      <c r="Y185" s="1">
        <v>26345</v>
      </c>
      <c r="AA185" s="1">
        <v>446782</v>
      </c>
      <c r="AC185" s="1">
        <v>476603</v>
      </c>
      <c r="AE185" s="1">
        <v>110604</v>
      </c>
      <c r="AG185" s="1">
        <v>263351</v>
      </c>
      <c r="AI185" s="1">
        <v>6270</v>
      </c>
      <c r="AJ185" s="12" t="s">
        <v>396</v>
      </c>
      <c r="AK185" s="12"/>
      <c r="AL185" s="12" t="s">
        <v>395</v>
      </c>
      <c r="AN185" s="1">
        <v>163911</v>
      </c>
      <c r="AP185" s="1">
        <v>0</v>
      </c>
      <c r="AR185" s="1">
        <v>0</v>
      </c>
      <c r="AT185" s="1">
        <v>100000</v>
      </c>
      <c r="AV185" s="1">
        <v>64750</v>
      </c>
      <c r="AX185" s="1">
        <v>0</v>
      </c>
      <c r="AZ185" s="20">
        <f t="shared" si="16"/>
        <v>8146856</v>
      </c>
      <c r="BB185" s="1">
        <v>0</v>
      </c>
      <c r="BH185" s="1">
        <v>0</v>
      </c>
      <c r="BJ185" s="20">
        <f t="shared" si="14"/>
        <v>8146856</v>
      </c>
      <c r="BL185" s="20">
        <f>'Gov Fd Rv'!AO185-'Gov Fnd Exp'!BJ185</f>
        <v>662021</v>
      </c>
      <c r="BN185" s="1">
        <v>993186</v>
      </c>
      <c r="BP185" s="1">
        <v>0</v>
      </c>
      <c r="BR185" s="1">
        <v>0</v>
      </c>
      <c r="BT185" s="20">
        <f t="shared" si="15"/>
        <v>1655207</v>
      </c>
      <c r="BU185" s="20"/>
      <c r="BV185" s="20">
        <f>BT185-'Gov Fd BS'!AA185</f>
        <v>0</v>
      </c>
    </row>
    <row r="186" spans="1:74">
      <c r="A186" s="12" t="s">
        <v>324</v>
      </c>
      <c r="B186" s="12"/>
      <c r="C186" s="12" t="s">
        <v>25</v>
      </c>
      <c r="D186" s="12"/>
      <c r="E186" s="13">
        <v>46870</v>
      </c>
      <c r="G186" s="1">
        <v>7912890</v>
      </c>
      <c r="I186" s="1">
        <v>2302299</v>
      </c>
      <c r="K186" s="1">
        <v>396599</v>
      </c>
      <c r="M186" s="1">
        <v>308683</v>
      </c>
      <c r="O186" s="1">
        <v>871775</v>
      </c>
      <c r="Q186" s="1">
        <v>751135</v>
      </c>
      <c r="S186" s="1">
        <v>39848</v>
      </c>
      <c r="U186" s="1">
        <v>1417658</v>
      </c>
      <c r="W186" s="1">
        <v>577772</v>
      </c>
      <c r="Y186" s="1">
        <v>0</v>
      </c>
      <c r="AA186" s="1">
        <v>1429990</v>
      </c>
      <c r="AC186" s="1">
        <v>1388571</v>
      </c>
      <c r="AE186" s="1">
        <v>195818</v>
      </c>
      <c r="AG186" s="1">
        <v>0</v>
      </c>
      <c r="AI186" s="1">
        <v>868859</v>
      </c>
      <c r="AJ186" s="12" t="s">
        <v>324</v>
      </c>
      <c r="AK186" s="12"/>
      <c r="AL186" s="12" t="s">
        <v>25</v>
      </c>
      <c r="AN186" s="1">
        <v>660540</v>
      </c>
      <c r="AP186" s="1">
        <v>12873604</v>
      </c>
      <c r="AR186" s="1">
        <v>0</v>
      </c>
      <c r="AT186" s="1">
        <v>589474</v>
      </c>
      <c r="AV186" s="1">
        <v>1177004</v>
      </c>
      <c r="AX186" s="1">
        <v>0</v>
      </c>
      <c r="AZ186" s="20">
        <f t="shared" si="16"/>
        <v>33762519</v>
      </c>
      <c r="BB186" s="1">
        <v>2978674</v>
      </c>
      <c r="BH186" s="1">
        <v>0</v>
      </c>
      <c r="BJ186" s="20">
        <f t="shared" si="14"/>
        <v>36741193</v>
      </c>
      <c r="BL186" s="20">
        <f>'Gov Fd Rv'!AO186-'Gov Fnd Exp'!BJ186</f>
        <v>-6931610</v>
      </c>
      <c r="BN186" s="1">
        <v>31624554</v>
      </c>
      <c r="BP186" s="1">
        <v>0</v>
      </c>
      <c r="BR186" s="1">
        <v>0</v>
      </c>
      <c r="BT186" s="20">
        <f t="shared" si="15"/>
        <v>24692944</v>
      </c>
      <c r="BU186" s="20"/>
      <c r="BV186" s="20">
        <f>BT186-'Gov Fd BS'!AA186</f>
        <v>0</v>
      </c>
    </row>
    <row r="187" spans="1:74">
      <c r="A187" s="12" t="s">
        <v>422</v>
      </c>
      <c r="B187" s="12"/>
      <c r="C187" s="12" t="s">
        <v>420</v>
      </c>
      <c r="D187" s="12"/>
      <c r="E187" s="13">
        <v>47936</v>
      </c>
      <c r="G187" s="1">
        <v>7098368</v>
      </c>
      <c r="I187" s="1">
        <v>1886193</v>
      </c>
      <c r="K187" s="1">
        <v>74472</v>
      </c>
      <c r="M187" s="1">
        <f>20328+8801</f>
        <v>29129</v>
      </c>
      <c r="O187" s="1">
        <v>466245</v>
      </c>
      <c r="Q187" s="1">
        <v>799270</v>
      </c>
      <c r="S187" s="1">
        <v>141093</v>
      </c>
      <c r="U187" s="1">
        <v>1193326</v>
      </c>
      <c r="W187" s="1">
        <v>393379</v>
      </c>
      <c r="Y187" s="1">
        <v>4599</v>
      </c>
      <c r="AA187" s="1">
        <v>2274398</v>
      </c>
      <c r="AC187" s="1">
        <v>677755</v>
      </c>
      <c r="AE187" s="1">
        <v>1093</v>
      </c>
      <c r="AG187" s="1">
        <v>683008</v>
      </c>
      <c r="AI187" s="1">
        <v>0</v>
      </c>
      <c r="AJ187" s="12" t="s">
        <v>422</v>
      </c>
      <c r="AK187" s="12"/>
      <c r="AL187" s="12" t="s">
        <v>420</v>
      </c>
      <c r="AN187" s="1">
        <v>264380</v>
      </c>
      <c r="AP187" s="1">
        <v>0</v>
      </c>
      <c r="AR187" s="1">
        <v>0</v>
      </c>
      <c r="AT187" s="1">
        <v>155000</v>
      </c>
      <c r="AV187" s="1">
        <v>141248</v>
      </c>
      <c r="AX187" s="1">
        <v>0</v>
      </c>
      <c r="AZ187" s="20">
        <f t="shared" si="16"/>
        <v>16282956</v>
      </c>
      <c r="BB187" s="1">
        <v>46783</v>
      </c>
      <c r="BH187" s="1">
        <v>0</v>
      </c>
      <c r="BJ187" s="20">
        <f t="shared" si="14"/>
        <v>16329739</v>
      </c>
      <c r="BL187" s="20">
        <f>'Gov Fd Rv'!AO187-'Gov Fnd Exp'!BJ187</f>
        <v>505452</v>
      </c>
      <c r="BN187" s="1">
        <v>4912563</v>
      </c>
      <c r="BP187" s="1">
        <v>0</v>
      </c>
      <c r="BR187" s="1">
        <v>0</v>
      </c>
      <c r="BT187" s="20">
        <f t="shared" si="15"/>
        <v>5418015</v>
      </c>
      <c r="BU187" s="20"/>
      <c r="BV187" s="20">
        <f>BT187-'Gov Fd BS'!AA187</f>
        <v>0</v>
      </c>
    </row>
    <row r="188" spans="1:74" ht="12" hidden="1" customHeight="1">
      <c r="A188" s="17" t="s">
        <v>742</v>
      </c>
      <c r="B188" s="12"/>
      <c r="C188" s="12" t="s">
        <v>61</v>
      </c>
      <c r="D188" s="12"/>
      <c r="E188" s="13">
        <v>49775</v>
      </c>
      <c r="AJ188" s="17" t="s">
        <v>742</v>
      </c>
      <c r="AK188" s="12"/>
      <c r="AL188" s="12" t="s">
        <v>61</v>
      </c>
      <c r="AZ188" s="20">
        <f t="shared" si="16"/>
        <v>0</v>
      </c>
      <c r="BJ188" s="20">
        <f t="shared" si="14"/>
        <v>0</v>
      </c>
      <c r="BL188" s="20">
        <f>'Gov Fd Rv'!AO188-'Gov Fnd Exp'!BJ188</f>
        <v>0</v>
      </c>
      <c r="BT188" s="20">
        <f t="shared" si="15"/>
        <v>0</v>
      </c>
      <c r="BU188" s="20"/>
      <c r="BV188" s="20">
        <f>BT188-'Gov Fd BS'!AA188</f>
        <v>0</v>
      </c>
    </row>
    <row r="189" spans="1:74">
      <c r="A189" s="12" t="s">
        <v>575</v>
      </c>
      <c r="B189" s="12"/>
      <c r="C189" s="12" t="s">
        <v>62</v>
      </c>
      <c r="D189" s="12"/>
      <c r="E189" s="13">
        <v>49841</v>
      </c>
      <c r="G189" s="1">
        <v>6887062</v>
      </c>
      <c r="I189" s="1">
        <v>2123940</v>
      </c>
      <c r="K189" s="1">
        <v>282430</v>
      </c>
      <c r="M189" s="1">
        <v>315523</v>
      </c>
      <c r="O189" s="1">
        <v>1168117</v>
      </c>
      <c r="Q189" s="1">
        <v>470750</v>
      </c>
      <c r="S189" s="1">
        <v>15610</v>
      </c>
      <c r="U189" s="1">
        <v>1619399</v>
      </c>
      <c r="W189" s="1">
        <v>437266</v>
      </c>
      <c r="Y189" s="1">
        <v>1564807</v>
      </c>
      <c r="AA189" s="1">
        <v>0</v>
      </c>
      <c r="AC189" s="1">
        <v>952265</v>
      </c>
      <c r="AE189" s="1">
        <v>162841</v>
      </c>
      <c r="AG189" s="1">
        <v>746067</v>
      </c>
      <c r="AI189" s="1">
        <v>40935</v>
      </c>
      <c r="AJ189" s="12" t="s">
        <v>575</v>
      </c>
      <c r="AK189" s="12"/>
      <c r="AL189" s="12" t="s">
        <v>62</v>
      </c>
      <c r="AN189" s="1">
        <v>450339</v>
      </c>
      <c r="AP189" s="1">
        <v>54552</v>
      </c>
      <c r="AR189" s="1">
        <v>0</v>
      </c>
      <c r="AT189" s="1">
        <v>285000</v>
      </c>
      <c r="AV189" s="1">
        <v>598755</v>
      </c>
      <c r="AX189" s="1">
        <v>0</v>
      </c>
      <c r="AZ189" s="20">
        <f t="shared" si="16"/>
        <v>18175658</v>
      </c>
      <c r="BB189" s="1">
        <v>0</v>
      </c>
      <c r="BH189" s="1">
        <v>0</v>
      </c>
      <c r="BJ189" s="20">
        <f t="shared" si="14"/>
        <v>18175658</v>
      </c>
      <c r="BL189" s="20">
        <f>'Gov Fd Rv'!AO189-'Gov Fnd Exp'!BJ189</f>
        <v>452261</v>
      </c>
      <c r="BN189" s="1">
        <v>2695127</v>
      </c>
      <c r="BP189" s="1">
        <v>16467</v>
      </c>
      <c r="BR189" s="1">
        <v>0</v>
      </c>
      <c r="BT189" s="20">
        <f t="shared" si="15"/>
        <v>3163855</v>
      </c>
      <c r="BU189" s="20"/>
      <c r="BV189" s="20">
        <f>BT189-'Gov Fd BS'!AA189</f>
        <v>0</v>
      </c>
    </row>
    <row r="190" spans="1:74" ht="12" hidden="1" customHeight="1">
      <c r="A190" s="17" t="s">
        <v>834</v>
      </c>
      <c r="B190" s="12"/>
      <c r="C190" s="12" t="s">
        <v>41</v>
      </c>
      <c r="D190" s="12"/>
      <c r="E190" s="13">
        <v>45369</v>
      </c>
      <c r="AJ190" s="17" t="s">
        <v>834</v>
      </c>
      <c r="AK190" s="12"/>
      <c r="AL190" s="12" t="s">
        <v>41</v>
      </c>
      <c r="AZ190" s="20">
        <f t="shared" si="16"/>
        <v>0</v>
      </c>
      <c r="BJ190" s="20">
        <f t="shared" si="14"/>
        <v>0</v>
      </c>
      <c r="BL190" s="20">
        <f>'Gov Fd Rv'!AO190-'Gov Fnd Exp'!BJ190</f>
        <v>0</v>
      </c>
      <c r="BT190" s="20">
        <f t="shared" si="15"/>
        <v>0</v>
      </c>
      <c r="BU190" s="20"/>
      <c r="BV190" s="20">
        <f>BT190-'Gov Fd BS'!AA190</f>
        <v>0</v>
      </c>
    </row>
    <row r="191" spans="1:74">
      <c r="A191" s="12" t="s">
        <v>290</v>
      </c>
      <c r="B191" s="12"/>
      <c r="C191" s="12" t="s">
        <v>20</v>
      </c>
      <c r="D191" s="12"/>
      <c r="E191" s="13">
        <v>43976</v>
      </c>
      <c r="G191" s="1">
        <v>9406536</v>
      </c>
      <c r="I191" s="1">
        <v>2723835</v>
      </c>
      <c r="K191" s="1">
        <v>172084</v>
      </c>
      <c r="M191" s="1">
        <v>6538</v>
      </c>
      <c r="O191" s="1">
        <v>1121925</v>
      </c>
      <c r="Q191" s="1">
        <v>1304854</v>
      </c>
      <c r="S191" s="1">
        <v>30939</v>
      </c>
      <c r="U191" s="1">
        <v>1557313</v>
      </c>
      <c r="W191" s="1">
        <v>861725</v>
      </c>
      <c r="Y191" s="1">
        <v>184293</v>
      </c>
      <c r="AA191" s="1">
        <v>2014311</v>
      </c>
      <c r="AC191" s="1">
        <v>736858</v>
      </c>
      <c r="AE191" s="1">
        <v>576868</v>
      </c>
      <c r="AG191" s="1">
        <v>0</v>
      </c>
      <c r="AI191" s="1">
        <v>519876</v>
      </c>
      <c r="AJ191" s="12" t="s">
        <v>290</v>
      </c>
      <c r="AK191" s="12"/>
      <c r="AL191" s="12" t="s">
        <v>20</v>
      </c>
      <c r="AN191" s="1">
        <v>454972</v>
      </c>
      <c r="AP191" s="1">
        <v>1263770</v>
      </c>
      <c r="AR191" s="1">
        <v>0</v>
      </c>
      <c r="AT191" s="1">
        <v>1185000</v>
      </c>
      <c r="AV191" s="1">
        <v>1268888</v>
      </c>
      <c r="AX191" s="1">
        <v>0</v>
      </c>
      <c r="AZ191" s="20">
        <f t="shared" si="16"/>
        <v>25390585</v>
      </c>
      <c r="BB191" s="1">
        <v>2546391</v>
      </c>
      <c r="BH191" s="1">
        <v>0</v>
      </c>
      <c r="BJ191" s="20">
        <f t="shared" si="14"/>
        <v>27936976</v>
      </c>
      <c r="BL191" s="20">
        <f>'Gov Fd Rv'!AO191-'Gov Fnd Exp'!BJ191</f>
        <v>-48936</v>
      </c>
      <c r="BN191" s="1">
        <v>15995521</v>
      </c>
      <c r="BP191" s="1">
        <v>0</v>
      </c>
      <c r="BR191" s="1">
        <v>0</v>
      </c>
      <c r="BT191" s="20">
        <f t="shared" si="15"/>
        <v>15946585</v>
      </c>
      <c r="BU191" s="20"/>
      <c r="BV191" s="20">
        <f>BT191-'Gov Fd BS'!AA191</f>
        <v>0</v>
      </c>
    </row>
    <row r="192" spans="1:74">
      <c r="A192" s="17" t="s">
        <v>812</v>
      </c>
      <c r="B192" s="17"/>
      <c r="C192" s="17" t="s">
        <v>28</v>
      </c>
      <c r="D192" s="12"/>
      <c r="E192" s="13"/>
      <c r="G192" s="1">
        <v>2236832</v>
      </c>
      <c r="I192" s="1">
        <v>696483</v>
      </c>
      <c r="K192" s="1">
        <v>96636</v>
      </c>
      <c r="M192" s="1">
        <v>0</v>
      </c>
      <c r="O192" s="1">
        <v>314975</v>
      </c>
      <c r="Q192" s="1">
        <v>154930</v>
      </c>
      <c r="S192" s="1">
        <v>13080</v>
      </c>
      <c r="U192" s="1">
        <v>401724</v>
      </c>
      <c r="W192" s="1">
        <v>195716</v>
      </c>
      <c r="Y192" s="1">
        <v>0</v>
      </c>
      <c r="AA192" s="1">
        <v>386810</v>
      </c>
      <c r="AC192" s="1">
        <v>286198</v>
      </c>
      <c r="AE192" s="1">
        <v>14404</v>
      </c>
      <c r="AG192" s="1">
        <v>0</v>
      </c>
      <c r="AI192" s="1">
        <v>190367</v>
      </c>
      <c r="AJ192" s="17" t="s">
        <v>812</v>
      </c>
      <c r="AK192" s="17"/>
      <c r="AL192" s="17" t="s">
        <v>28</v>
      </c>
      <c r="AN192" s="1">
        <v>188314</v>
      </c>
      <c r="AP192" s="1">
        <v>782898</v>
      </c>
      <c r="AR192" s="1">
        <v>0</v>
      </c>
      <c r="AT192" s="1">
        <v>135643</v>
      </c>
      <c r="AV192" s="1">
        <v>214356</v>
      </c>
      <c r="AX192" s="1">
        <v>0</v>
      </c>
      <c r="AZ192" s="20">
        <f t="shared" si="16"/>
        <v>6309366</v>
      </c>
      <c r="BB192" s="1">
        <v>1011264</v>
      </c>
      <c r="BH192" s="1">
        <v>0</v>
      </c>
      <c r="BJ192" s="20">
        <f t="shared" si="14"/>
        <v>7320630</v>
      </c>
      <c r="BL192" s="20">
        <f>'Gov Fd Rv'!AO192-'Gov Fnd Exp'!BJ192</f>
        <v>-845870</v>
      </c>
      <c r="BN192" s="1">
        <v>3409694</v>
      </c>
      <c r="BP192" s="1">
        <v>0</v>
      </c>
      <c r="BR192" s="1">
        <v>0</v>
      </c>
      <c r="BT192" s="20">
        <f t="shared" si="15"/>
        <v>2563824</v>
      </c>
      <c r="BU192" s="20"/>
      <c r="BV192" s="20">
        <f>BT192-'Gov Fd BS'!AA192</f>
        <v>0</v>
      </c>
    </row>
    <row r="193" spans="1:74">
      <c r="A193" s="12" t="s">
        <v>224</v>
      </c>
      <c r="B193" s="12"/>
      <c r="C193" s="12" t="s">
        <v>77</v>
      </c>
      <c r="D193" s="12"/>
      <c r="E193" s="13">
        <v>46045</v>
      </c>
      <c r="G193" s="1">
        <v>3864401</v>
      </c>
      <c r="I193" s="1">
        <v>1176468</v>
      </c>
      <c r="K193" s="1">
        <v>177681</v>
      </c>
      <c r="M193" s="1">
        <v>18130</v>
      </c>
      <c r="O193" s="1">
        <v>291452</v>
      </c>
      <c r="Q193" s="1">
        <v>789618</v>
      </c>
      <c r="S193" s="1">
        <v>72186</v>
      </c>
      <c r="U193" s="1">
        <v>828055</v>
      </c>
      <c r="W193" s="1">
        <v>306252</v>
      </c>
      <c r="Y193" s="1">
        <v>0</v>
      </c>
      <c r="AA193" s="1">
        <v>1046143</v>
      </c>
      <c r="AC193" s="1">
        <v>572399</v>
      </c>
      <c r="AE193" s="1">
        <v>8398</v>
      </c>
      <c r="AG193" s="1">
        <v>464891</v>
      </c>
      <c r="AI193" s="1">
        <v>92067</v>
      </c>
      <c r="AJ193" s="12" t="s">
        <v>224</v>
      </c>
      <c r="AK193" s="12"/>
      <c r="AL193" s="12" t="s">
        <v>77</v>
      </c>
      <c r="AN193" s="1">
        <v>197514</v>
      </c>
      <c r="AP193" s="1">
        <v>1706278</v>
      </c>
      <c r="AR193" s="1">
        <v>0</v>
      </c>
      <c r="AT193" s="1">
        <v>300000</v>
      </c>
      <c r="AV193" s="1">
        <v>353462</v>
      </c>
      <c r="AX193" s="1">
        <v>0</v>
      </c>
      <c r="AZ193" s="20">
        <f t="shared" si="16"/>
        <v>12265395</v>
      </c>
      <c r="BB193" s="1">
        <v>90633</v>
      </c>
      <c r="BH193" s="1">
        <v>0</v>
      </c>
      <c r="BJ193" s="20">
        <f t="shared" si="14"/>
        <v>12356028</v>
      </c>
      <c r="BL193" s="20">
        <f>'Gov Fd Rv'!AO193-'Gov Fnd Exp'!BJ193</f>
        <v>-2689941</v>
      </c>
      <c r="BN193" s="1">
        <v>6008457</v>
      </c>
      <c r="BP193" s="1">
        <v>0</v>
      </c>
      <c r="BR193" s="1">
        <v>0</v>
      </c>
      <c r="BT193" s="20">
        <f t="shared" si="15"/>
        <v>3318516</v>
      </c>
      <c r="BU193" s="20"/>
      <c r="BV193" s="20">
        <f>BT193-'Gov Fd BS'!AA193</f>
        <v>0</v>
      </c>
    </row>
    <row r="194" spans="1:74">
      <c r="A194" s="12" t="s">
        <v>813</v>
      </c>
      <c r="B194" s="12"/>
      <c r="C194" s="12" t="s">
        <v>13</v>
      </c>
      <c r="D194" s="12"/>
      <c r="E194" s="13"/>
      <c r="G194" s="1">
        <v>4901542</v>
      </c>
      <c r="I194" s="1">
        <v>1803872</v>
      </c>
      <c r="K194" s="1">
        <v>211331</v>
      </c>
      <c r="M194" s="1">
        <v>0</v>
      </c>
      <c r="O194" s="1">
        <v>369242</v>
      </c>
      <c r="Q194" s="1">
        <v>470749</v>
      </c>
      <c r="S194" s="1">
        <v>151459</v>
      </c>
      <c r="U194" s="1">
        <v>1058458</v>
      </c>
      <c r="W194" s="1">
        <v>1974586</v>
      </c>
      <c r="Y194" s="1">
        <v>0</v>
      </c>
      <c r="AA194" s="1">
        <v>959439</v>
      </c>
      <c r="AC194" s="1">
        <v>1360425</v>
      </c>
      <c r="AE194" s="1">
        <v>54973</v>
      </c>
      <c r="AG194" s="1">
        <v>0</v>
      </c>
      <c r="AI194" s="1">
        <v>563120</v>
      </c>
      <c r="AJ194" s="12" t="s">
        <v>813</v>
      </c>
      <c r="AK194" s="12"/>
      <c r="AL194" s="12" t="s">
        <v>13</v>
      </c>
      <c r="AN194" s="1">
        <v>81618</v>
      </c>
      <c r="AP194" s="1">
        <v>0</v>
      </c>
      <c r="AR194" s="1">
        <v>0</v>
      </c>
      <c r="AT194" s="1">
        <v>190000</v>
      </c>
      <c r="AV194" s="1">
        <v>37081</v>
      </c>
      <c r="AX194" s="1">
        <v>0</v>
      </c>
      <c r="AZ194" s="20">
        <f t="shared" si="16"/>
        <v>14187895</v>
      </c>
      <c r="BB194" s="1">
        <v>0</v>
      </c>
      <c r="BH194" s="1">
        <v>0</v>
      </c>
      <c r="BJ194" s="20">
        <f t="shared" si="14"/>
        <v>14187895</v>
      </c>
      <c r="BL194" s="20">
        <f>'Gov Fd Rv'!AO194-'Gov Fnd Exp'!BJ194</f>
        <v>514674</v>
      </c>
      <c r="BN194" s="1">
        <v>1604484</v>
      </c>
      <c r="BP194" s="1">
        <v>0</v>
      </c>
      <c r="BR194" s="1">
        <v>0</v>
      </c>
      <c r="BT194" s="20">
        <f t="shared" si="15"/>
        <v>2119158</v>
      </c>
      <c r="BU194" s="20"/>
      <c r="BV194" s="20">
        <f>BT194-'Gov Fd BS'!AA194</f>
        <v>0</v>
      </c>
    </row>
    <row r="195" spans="1:74">
      <c r="A195" s="12" t="s">
        <v>253</v>
      </c>
      <c r="B195" s="12"/>
      <c r="C195" s="12" t="s">
        <v>115</v>
      </c>
      <c r="D195" s="12"/>
      <c r="E195" s="13">
        <v>46334</v>
      </c>
      <c r="G195" s="1">
        <v>4504941</v>
      </c>
      <c r="I195" s="1">
        <v>2419909</v>
      </c>
      <c r="K195" s="1">
        <v>0</v>
      </c>
      <c r="M195" s="1">
        <v>31790</v>
      </c>
      <c r="O195" s="1">
        <v>646295</v>
      </c>
      <c r="Q195" s="1">
        <v>429751</v>
      </c>
      <c r="S195" s="1">
        <v>19706</v>
      </c>
      <c r="U195" s="1">
        <v>713217</v>
      </c>
      <c r="W195" s="1">
        <v>351154</v>
      </c>
      <c r="Y195" s="1">
        <v>0</v>
      </c>
      <c r="AA195" s="1">
        <v>974632</v>
      </c>
      <c r="AC195" s="1">
        <v>524636</v>
      </c>
      <c r="AE195" s="1">
        <v>36944</v>
      </c>
      <c r="AG195" s="1">
        <v>501366</v>
      </c>
      <c r="AI195" s="1">
        <v>0</v>
      </c>
      <c r="AJ195" s="12" t="s">
        <v>253</v>
      </c>
      <c r="AK195" s="12"/>
      <c r="AL195" s="12" t="s">
        <v>115</v>
      </c>
      <c r="AN195" s="1">
        <v>186065</v>
      </c>
      <c r="AP195" s="1">
        <v>21833</v>
      </c>
      <c r="AR195" s="1">
        <v>0</v>
      </c>
      <c r="AT195" s="1">
        <v>153217</v>
      </c>
      <c r="AV195" s="1">
        <v>128570</v>
      </c>
      <c r="AX195" s="1">
        <v>0</v>
      </c>
      <c r="AZ195" s="20">
        <f t="shared" si="16"/>
        <v>11644026</v>
      </c>
      <c r="BB195" s="1">
        <v>0</v>
      </c>
      <c r="BH195" s="1">
        <v>21596</v>
      </c>
      <c r="BJ195" s="20">
        <f t="shared" si="14"/>
        <v>11665622</v>
      </c>
      <c r="BL195" s="20">
        <f>'Gov Fd Rv'!AO195-'Gov Fnd Exp'!BJ195</f>
        <v>20391</v>
      </c>
      <c r="BN195" s="1">
        <v>1128458</v>
      </c>
      <c r="BP195" s="1">
        <v>0</v>
      </c>
      <c r="BR195" s="1">
        <v>0</v>
      </c>
      <c r="BT195" s="20">
        <f t="shared" si="15"/>
        <v>1148849</v>
      </c>
      <c r="BU195" s="20"/>
      <c r="BV195" s="20">
        <f>BT195-'Gov Fd BS'!AA195</f>
        <v>0</v>
      </c>
    </row>
    <row r="196" spans="1:74">
      <c r="A196" s="17" t="s">
        <v>891</v>
      </c>
      <c r="B196" s="12"/>
      <c r="C196" s="12" t="s">
        <v>56</v>
      </c>
      <c r="D196" s="12"/>
      <c r="E196" s="13">
        <v>49197</v>
      </c>
      <c r="G196" s="1">
        <v>9844640</v>
      </c>
      <c r="I196" s="1">
        <v>2016135</v>
      </c>
      <c r="K196" s="1">
        <v>127229</v>
      </c>
      <c r="M196" s="1">
        <f>40880+143562</f>
        <v>184442</v>
      </c>
      <c r="O196" s="1">
        <v>911844</v>
      </c>
      <c r="Q196" s="1">
        <v>864221</v>
      </c>
      <c r="S196" s="1">
        <v>16382</v>
      </c>
      <c r="U196" s="1">
        <v>2030265</v>
      </c>
      <c r="W196" s="1">
        <v>539274</v>
      </c>
      <c r="Y196" s="1">
        <v>6570</v>
      </c>
      <c r="AA196" s="1">
        <v>1682370</v>
      </c>
      <c r="AC196" s="1">
        <v>1184435</v>
      </c>
      <c r="AE196" s="1">
        <v>100983</v>
      </c>
      <c r="AG196" s="1">
        <v>0</v>
      </c>
      <c r="AI196" s="1">
        <v>36043</v>
      </c>
      <c r="AJ196" s="17" t="s">
        <v>891</v>
      </c>
      <c r="AK196" s="12"/>
      <c r="AL196" s="12" t="s">
        <v>56</v>
      </c>
      <c r="AN196" s="1">
        <v>386534</v>
      </c>
      <c r="AP196" s="1">
        <v>491068</v>
      </c>
      <c r="AR196" s="1">
        <v>0</v>
      </c>
      <c r="AT196" s="1">
        <v>139864</v>
      </c>
      <c r="AV196" s="1">
        <v>1187279</v>
      </c>
      <c r="AX196" s="1">
        <v>0</v>
      </c>
      <c r="AZ196" s="20">
        <f t="shared" si="16"/>
        <v>21749578</v>
      </c>
      <c r="BB196" s="1">
        <v>0</v>
      </c>
      <c r="BH196" s="1">
        <v>0</v>
      </c>
      <c r="BJ196" s="20">
        <f t="shared" si="14"/>
        <v>21749578</v>
      </c>
      <c r="BL196" s="20">
        <f>'Gov Fd Rv'!AO196-'Gov Fnd Exp'!BJ196</f>
        <v>369719</v>
      </c>
      <c r="BN196" s="1">
        <v>394623</v>
      </c>
      <c r="BP196" s="1">
        <v>0</v>
      </c>
      <c r="BR196" s="1">
        <v>0</v>
      </c>
      <c r="BT196" s="20">
        <f t="shared" si="15"/>
        <v>764342</v>
      </c>
      <c r="BU196" s="20"/>
      <c r="BV196" s="20">
        <f>BT196-'Gov Fd BS'!AA196</f>
        <v>0</v>
      </c>
    </row>
    <row r="197" spans="1:74">
      <c r="A197" s="12" t="s">
        <v>380</v>
      </c>
      <c r="B197" s="12"/>
      <c r="C197" s="12" t="s">
        <v>33</v>
      </c>
      <c r="D197" s="12"/>
      <c r="E197" s="13">
        <v>43984</v>
      </c>
      <c r="G197" s="1">
        <v>24749868</v>
      </c>
      <c r="I197" s="1">
        <v>7685426</v>
      </c>
      <c r="K197" s="1">
        <v>2999561</v>
      </c>
      <c r="M197" s="1">
        <f>128340+3399411</f>
        <v>3527751</v>
      </c>
      <c r="O197" s="1">
        <v>3239492</v>
      </c>
      <c r="Q197" s="1">
        <v>4911768</v>
      </c>
      <c r="S197" s="1">
        <v>162047</v>
      </c>
      <c r="U197" s="1">
        <v>4050210</v>
      </c>
      <c r="W197" s="1">
        <v>1472052</v>
      </c>
      <c r="Y197" s="1">
        <v>0</v>
      </c>
      <c r="AA197" s="1">
        <v>5936118</v>
      </c>
      <c r="AC197" s="1">
        <v>2029801</v>
      </c>
      <c r="AE197" s="1">
        <v>158250</v>
      </c>
      <c r="AG197" s="1">
        <v>2089882</v>
      </c>
      <c r="AI197" s="1">
        <v>623539</v>
      </c>
      <c r="AJ197" s="12" t="s">
        <v>380</v>
      </c>
      <c r="AK197" s="12"/>
      <c r="AL197" s="12" t="s">
        <v>33</v>
      </c>
      <c r="AN197" s="1">
        <v>1364871</v>
      </c>
      <c r="AP197" s="1">
        <v>3286354</v>
      </c>
      <c r="AR197" s="1">
        <v>0</v>
      </c>
      <c r="AT197" s="1">
        <v>401812</v>
      </c>
      <c r="AV197" s="1">
        <f>1014501+500721</f>
        <v>1515222</v>
      </c>
      <c r="AX197" s="1">
        <v>0</v>
      </c>
      <c r="AZ197" s="20">
        <f t="shared" si="16"/>
        <v>70204024</v>
      </c>
      <c r="BB197" s="1">
        <v>39591629</v>
      </c>
      <c r="BH197" s="1">
        <v>0</v>
      </c>
      <c r="BJ197" s="20">
        <f t="shared" si="14"/>
        <v>109795653</v>
      </c>
      <c r="BL197" s="20">
        <f>'Gov Fd Rv'!AO197-'Gov Fnd Exp'!BJ197</f>
        <v>54547403</v>
      </c>
      <c r="BN197" s="1">
        <v>10688501</v>
      </c>
      <c r="BP197" s="1">
        <v>-5347</v>
      </c>
      <c r="BR197" s="1">
        <v>0</v>
      </c>
      <c r="BT197" s="20">
        <f t="shared" si="15"/>
        <v>65230557</v>
      </c>
      <c r="BU197" s="20"/>
      <c r="BV197" s="20">
        <f>BT197-'Gov Fd BS'!AA197</f>
        <v>0</v>
      </c>
    </row>
    <row r="198" spans="1:74">
      <c r="A198" s="12" t="s">
        <v>363</v>
      </c>
      <c r="B198" s="12"/>
      <c r="C198" s="12" t="s">
        <v>32</v>
      </c>
      <c r="D198" s="12"/>
      <c r="E198" s="13">
        <v>47332</v>
      </c>
      <c r="G198" s="1">
        <v>7136765</v>
      </c>
      <c r="I198" s="1">
        <v>2534843</v>
      </c>
      <c r="K198" s="1">
        <v>133715</v>
      </c>
      <c r="M198" s="1">
        <v>908879</v>
      </c>
      <c r="O198" s="1">
        <v>1510135</v>
      </c>
      <c r="Q198" s="1">
        <v>1620512</v>
      </c>
      <c r="S198" s="1">
        <v>27259</v>
      </c>
      <c r="U198" s="1">
        <v>1295886</v>
      </c>
      <c r="W198" s="1">
        <v>464549</v>
      </c>
      <c r="Y198" s="1">
        <v>461012</v>
      </c>
      <c r="AA198" s="1">
        <v>1731722</v>
      </c>
      <c r="AC198" s="1">
        <v>921858</v>
      </c>
      <c r="AE198" s="1">
        <v>269060</v>
      </c>
      <c r="AG198" s="1">
        <v>0</v>
      </c>
      <c r="AI198" s="1">
        <v>1734245</v>
      </c>
      <c r="AJ198" s="12" t="s">
        <v>363</v>
      </c>
      <c r="AK198" s="12"/>
      <c r="AL198" s="12" t="s">
        <v>32</v>
      </c>
      <c r="AN198" s="1">
        <v>644721</v>
      </c>
      <c r="AP198" s="1">
        <v>341534</v>
      </c>
      <c r="AR198" s="1">
        <v>0</v>
      </c>
      <c r="AT198" s="1">
        <v>241000</v>
      </c>
      <c r="AV198" s="1">
        <v>404220</v>
      </c>
      <c r="AX198" s="1">
        <v>0</v>
      </c>
      <c r="AZ198" s="20">
        <f t="shared" si="16"/>
        <v>22381915</v>
      </c>
      <c r="BB198" s="1">
        <v>6950</v>
      </c>
      <c r="BH198" s="1">
        <v>0</v>
      </c>
      <c r="BJ198" s="20">
        <f t="shared" si="14"/>
        <v>22388865</v>
      </c>
      <c r="BL198" s="20">
        <f>'Gov Fd Rv'!AO198-'Gov Fnd Exp'!BJ198</f>
        <v>-619027</v>
      </c>
      <c r="BN198" s="1">
        <v>4878176</v>
      </c>
      <c r="BP198" s="1">
        <v>0</v>
      </c>
      <c r="BR198" s="1">
        <v>0</v>
      </c>
      <c r="BT198" s="20">
        <f t="shared" si="15"/>
        <v>4259149</v>
      </c>
      <c r="BU198" s="20"/>
      <c r="BV198" s="20">
        <f>BT198-'Gov Fd BS'!AA198</f>
        <v>0</v>
      </c>
    </row>
    <row r="199" spans="1:74">
      <c r="A199" s="12" t="s">
        <v>441</v>
      </c>
      <c r="B199" s="12"/>
      <c r="C199" s="12" t="s">
        <v>44</v>
      </c>
      <c r="D199" s="12"/>
      <c r="E199" s="13">
        <v>48157</v>
      </c>
      <c r="G199" s="1">
        <v>7834376</v>
      </c>
      <c r="I199" s="1">
        <v>2068297</v>
      </c>
      <c r="K199" s="1">
        <v>296492</v>
      </c>
      <c r="M199" s="1">
        <v>1192292</v>
      </c>
      <c r="O199" s="1">
        <v>1256578</v>
      </c>
      <c r="Q199" s="1">
        <v>500098</v>
      </c>
      <c r="S199" s="1">
        <v>19007</v>
      </c>
      <c r="U199" s="1">
        <v>1560863</v>
      </c>
      <c r="W199" s="1">
        <v>377136</v>
      </c>
      <c r="Y199" s="1">
        <v>0</v>
      </c>
      <c r="AA199" s="1">
        <v>1229821</v>
      </c>
      <c r="AC199" s="1">
        <v>1294345</v>
      </c>
      <c r="AE199" s="1">
        <v>369816</v>
      </c>
      <c r="AG199" s="1">
        <v>619586</v>
      </c>
      <c r="AI199" s="1">
        <v>31339</v>
      </c>
      <c r="AJ199" s="12" t="s">
        <v>441</v>
      </c>
      <c r="AK199" s="12"/>
      <c r="AL199" s="12" t="s">
        <v>44</v>
      </c>
      <c r="AN199" s="1">
        <v>601642</v>
      </c>
      <c r="AP199" s="1">
        <v>436805</v>
      </c>
      <c r="AR199" s="1">
        <v>0</v>
      </c>
      <c r="AT199" s="1">
        <v>11343</v>
      </c>
      <c r="AV199" s="1">
        <v>3597</v>
      </c>
      <c r="AX199" s="1">
        <v>0</v>
      </c>
      <c r="AZ199" s="20">
        <f t="shared" si="16"/>
        <v>19703433</v>
      </c>
      <c r="BB199" s="1">
        <v>31000</v>
      </c>
      <c r="BH199" s="1">
        <v>0</v>
      </c>
      <c r="BJ199" s="20">
        <f t="shared" si="14"/>
        <v>19734433</v>
      </c>
      <c r="BL199" s="20">
        <f>'Gov Fd Rv'!AO199-'Gov Fnd Exp'!BJ199</f>
        <v>-748519</v>
      </c>
      <c r="BN199" s="1">
        <v>3611162</v>
      </c>
      <c r="BP199" s="1">
        <v>-2283</v>
      </c>
      <c r="BR199" s="1">
        <v>0</v>
      </c>
      <c r="BT199" s="20">
        <f t="shared" si="15"/>
        <v>2860360</v>
      </c>
      <c r="BU199" s="20"/>
      <c r="BV199" s="20">
        <f>BT199-'Gov Fd BS'!AA199</f>
        <v>0</v>
      </c>
    </row>
    <row r="200" spans="1:74">
      <c r="A200" s="12" t="s">
        <v>364</v>
      </c>
      <c r="B200" s="12"/>
      <c r="C200" s="12" t="s">
        <v>32</v>
      </c>
      <c r="D200" s="12"/>
      <c r="E200" s="13">
        <v>47340</v>
      </c>
      <c r="G200" s="1">
        <v>35502819</v>
      </c>
      <c r="I200" s="1">
        <v>9568762</v>
      </c>
      <c r="K200" s="1">
        <v>0</v>
      </c>
      <c r="M200" s="1">
        <v>1444680</v>
      </c>
      <c r="O200" s="1">
        <v>3625253</v>
      </c>
      <c r="Q200" s="1">
        <v>7339727</v>
      </c>
      <c r="S200" s="1">
        <v>47942</v>
      </c>
      <c r="U200" s="1">
        <v>5703781</v>
      </c>
      <c r="W200" s="1">
        <v>1223219</v>
      </c>
      <c r="Y200" s="1">
        <v>181686</v>
      </c>
      <c r="AA200" s="1">
        <v>5762498</v>
      </c>
      <c r="AC200" s="1">
        <v>4378237</v>
      </c>
      <c r="AE200" s="1">
        <v>502096</v>
      </c>
      <c r="AG200" s="1">
        <v>2030318</v>
      </c>
      <c r="AI200" s="1">
        <v>721205</v>
      </c>
      <c r="AJ200" s="12" t="s">
        <v>364</v>
      </c>
      <c r="AK200" s="12"/>
      <c r="AL200" s="12" t="s">
        <v>32</v>
      </c>
      <c r="AN200" s="1">
        <v>2105916</v>
      </c>
      <c r="AP200" s="1">
        <v>257874</v>
      </c>
      <c r="AR200" s="1">
        <v>0</v>
      </c>
      <c r="AT200" s="1">
        <v>1745000</v>
      </c>
      <c r="AV200" s="1">
        <v>559580</v>
      </c>
      <c r="AX200" s="1">
        <v>0</v>
      </c>
      <c r="AZ200" s="20">
        <f t="shared" si="16"/>
        <v>82700593</v>
      </c>
      <c r="BB200" s="1">
        <v>250438</v>
      </c>
      <c r="BH200" s="1">
        <v>0</v>
      </c>
      <c r="BJ200" s="20">
        <f t="shared" si="14"/>
        <v>82951031</v>
      </c>
      <c r="BL200" s="20">
        <f>'Gov Fd Rv'!AO200-'Gov Fnd Exp'!BJ200</f>
        <v>-670199</v>
      </c>
      <c r="BN200" s="1">
        <v>27649087</v>
      </c>
      <c r="BP200" s="1">
        <v>0</v>
      </c>
      <c r="BR200" s="1">
        <v>0</v>
      </c>
      <c r="BT200" s="20">
        <f t="shared" si="15"/>
        <v>26978888</v>
      </c>
      <c r="BU200" s="20"/>
      <c r="BV200" s="20">
        <f>BT200-'Gov Fd BS'!AA200</f>
        <v>0</v>
      </c>
    </row>
    <row r="201" spans="1:74" ht="12" hidden="1" customHeight="1">
      <c r="A201" s="12" t="s">
        <v>737</v>
      </c>
      <c r="B201" s="12"/>
      <c r="C201" s="12" t="s">
        <v>70</v>
      </c>
      <c r="D201" s="12"/>
      <c r="E201" s="13">
        <v>50484</v>
      </c>
      <c r="AJ201" s="12" t="s">
        <v>737</v>
      </c>
      <c r="AK201" s="12"/>
      <c r="AL201" s="12" t="s">
        <v>70</v>
      </c>
      <c r="AZ201" s="20">
        <f t="shared" si="16"/>
        <v>0</v>
      </c>
      <c r="BJ201" s="20">
        <f t="shared" si="14"/>
        <v>0</v>
      </c>
      <c r="BL201" s="20">
        <f>'Gov Fd Rv'!AO201-'Gov Fnd Exp'!BJ201</f>
        <v>0</v>
      </c>
      <c r="BT201" s="20">
        <f t="shared" si="15"/>
        <v>0</v>
      </c>
      <c r="BU201" s="20"/>
      <c r="BV201" s="20">
        <f>BT201-'Gov Fd BS'!AA201</f>
        <v>0</v>
      </c>
    </row>
    <row r="202" spans="1:74">
      <c r="A202" s="12" t="s">
        <v>569</v>
      </c>
      <c r="B202" s="12"/>
      <c r="C202" s="12" t="s">
        <v>61</v>
      </c>
      <c r="D202" s="12"/>
      <c r="E202" s="13">
        <v>49783</v>
      </c>
      <c r="G202" s="1">
        <v>3570668</v>
      </c>
      <c r="I202" s="1">
        <v>512804</v>
      </c>
      <c r="K202" s="1">
        <v>75</v>
      </c>
      <c r="M202" s="1">
        <v>0</v>
      </c>
      <c r="O202" s="1">
        <v>595195</v>
      </c>
      <c r="Q202" s="1">
        <v>386682</v>
      </c>
      <c r="S202" s="1">
        <v>17831</v>
      </c>
      <c r="U202" s="1">
        <v>561448</v>
      </c>
      <c r="W202" s="1">
        <v>215884</v>
      </c>
      <c r="Y202" s="1">
        <v>4735</v>
      </c>
      <c r="AA202" s="1">
        <v>664055</v>
      </c>
      <c r="AC202" s="1">
        <v>228084</v>
      </c>
      <c r="AE202" s="1">
        <v>59360</v>
      </c>
      <c r="AG202" s="1">
        <v>0</v>
      </c>
      <c r="AI202" s="1">
        <v>363895</v>
      </c>
      <c r="AJ202" s="12" t="s">
        <v>569</v>
      </c>
      <c r="AK202" s="12"/>
      <c r="AL202" s="12" t="s">
        <v>61</v>
      </c>
      <c r="AN202" s="1">
        <v>392151</v>
      </c>
      <c r="AP202" s="1">
        <v>3630045</v>
      </c>
      <c r="AR202" s="1">
        <v>0</v>
      </c>
      <c r="AT202" s="1">
        <v>1645000</v>
      </c>
      <c r="AV202" s="1">
        <v>457345</v>
      </c>
      <c r="AX202" s="1">
        <v>0</v>
      </c>
      <c r="AZ202" s="20">
        <f t="shared" si="16"/>
        <v>13305257</v>
      </c>
      <c r="BB202" s="1">
        <v>231851</v>
      </c>
      <c r="BH202" s="1">
        <v>0</v>
      </c>
      <c r="BJ202" s="20">
        <f t="shared" si="14"/>
        <v>13537108</v>
      </c>
      <c r="BL202" s="20">
        <f>'Gov Fd Rv'!AO202-'Gov Fnd Exp'!BJ202</f>
        <v>-3088956</v>
      </c>
      <c r="BN202" s="1">
        <v>7188820</v>
      </c>
      <c r="BP202" s="1">
        <v>0</v>
      </c>
      <c r="BR202" s="1">
        <v>0</v>
      </c>
      <c r="BT202" s="20">
        <f t="shared" si="15"/>
        <v>4099864</v>
      </c>
      <c r="BU202" s="20"/>
      <c r="BV202" s="20">
        <f>BT202-'Gov Fd BS'!AA202</f>
        <v>0</v>
      </c>
    </row>
    <row r="203" spans="1:74" ht="12" hidden="1" customHeight="1">
      <c r="A203" s="12" t="s">
        <v>814</v>
      </c>
      <c r="B203" s="12"/>
      <c r="C203" s="12" t="s">
        <v>486</v>
      </c>
      <c r="D203" s="12"/>
      <c r="E203" s="13"/>
      <c r="AJ203" s="12" t="s">
        <v>814</v>
      </c>
      <c r="AK203" s="12"/>
      <c r="AL203" s="12" t="s">
        <v>486</v>
      </c>
      <c r="AZ203" s="20">
        <f t="shared" si="16"/>
        <v>0</v>
      </c>
      <c r="BJ203" s="20">
        <f t="shared" si="14"/>
        <v>0</v>
      </c>
      <c r="BL203" s="20">
        <f>'Gov Fd Rv'!AO203-'Gov Fnd Exp'!BJ203</f>
        <v>0</v>
      </c>
      <c r="BT203" s="20">
        <f t="shared" si="15"/>
        <v>0</v>
      </c>
      <c r="BU203" s="20"/>
      <c r="BV203" s="20">
        <f>BT203-'Gov Fd BS'!AA203</f>
        <v>0</v>
      </c>
    </row>
    <row r="204" spans="1:74" ht="13.5" hidden="1" customHeight="1">
      <c r="A204" s="12" t="s">
        <v>950</v>
      </c>
      <c r="B204" s="12"/>
      <c r="C204" s="12" t="s">
        <v>60</v>
      </c>
      <c r="D204" s="12"/>
      <c r="E204" s="12">
        <v>43992</v>
      </c>
      <c r="AJ204" s="12" t="s">
        <v>950</v>
      </c>
      <c r="AK204" s="12"/>
      <c r="AL204" s="12" t="s">
        <v>60</v>
      </c>
      <c r="AZ204" s="20">
        <f t="shared" si="16"/>
        <v>0</v>
      </c>
      <c r="BJ204" s="20">
        <f t="shared" si="14"/>
        <v>0</v>
      </c>
      <c r="BL204" s="20">
        <f>'Gov Fd Rv'!AO204-'Gov Fnd Exp'!BJ204</f>
        <v>0</v>
      </c>
      <c r="BT204" s="20">
        <f t="shared" si="15"/>
        <v>0</v>
      </c>
      <c r="BU204" s="20"/>
      <c r="BV204" s="20">
        <f>BT204-'Gov Fd BS'!AA204</f>
        <v>0</v>
      </c>
    </row>
    <row r="205" spans="1:74">
      <c r="A205" s="12" t="s">
        <v>632</v>
      </c>
      <c r="B205" s="12"/>
      <c r="C205" s="12" t="s">
        <v>69</v>
      </c>
      <c r="D205" s="12"/>
      <c r="E205" s="13">
        <v>44008</v>
      </c>
      <c r="G205" s="1">
        <v>14017521</v>
      </c>
      <c r="I205" s="1">
        <v>4195672</v>
      </c>
      <c r="K205" s="1">
        <v>402196</v>
      </c>
      <c r="M205" s="1">
        <v>0</v>
      </c>
      <c r="O205" s="1">
        <v>1275766</v>
      </c>
      <c r="Q205" s="1">
        <v>1599565</v>
      </c>
      <c r="S205" s="1">
        <v>27815</v>
      </c>
      <c r="U205" s="1">
        <v>2378494</v>
      </c>
      <c r="W205" s="1">
        <v>656001</v>
      </c>
      <c r="Y205" s="1">
        <v>151408</v>
      </c>
      <c r="AA205" s="1">
        <v>2823022</v>
      </c>
      <c r="AC205" s="1">
        <v>1393230</v>
      </c>
      <c r="AE205" s="1">
        <v>572548</v>
      </c>
      <c r="AG205" s="1">
        <v>0</v>
      </c>
      <c r="AI205" s="1">
        <v>1537803</v>
      </c>
      <c r="AJ205" s="12" t="s">
        <v>632</v>
      </c>
      <c r="AK205" s="12"/>
      <c r="AL205" s="12" t="s">
        <v>69</v>
      </c>
      <c r="AN205" s="1">
        <v>822454</v>
      </c>
      <c r="AP205" s="1">
        <v>248755</v>
      </c>
      <c r="AR205" s="1">
        <v>0</v>
      </c>
      <c r="AT205" s="1">
        <v>226160</v>
      </c>
      <c r="AV205" s="1">
        <v>249808</v>
      </c>
      <c r="AX205" s="1">
        <v>0</v>
      </c>
      <c r="AZ205" s="20">
        <f t="shared" si="16"/>
        <v>32578218</v>
      </c>
      <c r="BB205" s="1">
        <v>0</v>
      </c>
      <c r="BH205" s="1">
        <v>0</v>
      </c>
      <c r="BJ205" s="20">
        <f t="shared" si="14"/>
        <v>32578218</v>
      </c>
      <c r="BL205" s="20">
        <f>'Gov Fd Rv'!AO205-'Gov Fnd Exp'!BJ205</f>
        <v>-1112242</v>
      </c>
      <c r="BN205" s="1">
        <v>6928087</v>
      </c>
      <c r="BP205" s="1">
        <v>0</v>
      </c>
      <c r="BR205" s="1">
        <v>0</v>
      </c>
      <c r="BT205" s="20">
        <f t="shared" si="15"/>
        <v>5815845</v>
      </c>
      <c r="BU205" s="20"/>
      <c r="BV205" s="20">
        <f>BT205-'Gov Fd BS'!AA205</f>
        <v>0</v>
      </c>
    </row>
    <row r="206" spans="1:74">
      <c r="A206" s="12" t="s">
        <v>512</v>
      </c>
      <c r="B206" s="12"/>
      <c r="C206" s="12" t="s">
        <v>51</v>
      </c>
      <c r="D206" s="12"/>
      <c r="E206" s="13">
        <v>48843</v>
      </c>
      <c r="G206" s="1">
        <v>10206430</v>
      </c>
      <c r="I206" s="1">
        <v>2891994</v>
      </c>
      <c r="K206" s="1">
        <v>169779</v>
      </c>
      <c r="M206" s="1">
        <v>246222</v>
      </c>
      <c r="O206" s="1">
        <v>612147</v>
      </c>
      <c r="Q206" s="1">
        <v>907518</v>
      </c>
      <c r="S206" s="1">
        <v>150907</v>
      </c>
      <c r="U206" s="1">
        <v>1367575</v>
      </c>
      <c r="W206" s="1">
        <v>402146</v>
      </c>
      <c r="Y206" s="1">
        <v>0</v>
      </c>
      <c r="AA206" s="1">
        <v>1881693</v>
      </c>
      <c r="AC206" s="1">
        <v>1480655</v>
      </c>
      <c r="AE206" s="1">
        <v>155068</v>
      </c>
      <c r="AG206" s="1">
        <v>1128733</v>
      </c>
      <c r="AI206" s="1">
        <v>4111</v>
      </c>
      <c r="AJ206" s="12" t="s">
        <v>512</v>
      </c>
      <c r="AK206" s="12"/>
      <c r="AL206" s="12" t="s">
        <v>51</v>
      </c>
      <c r="AN206" s="1">
        <v>487884</v>
      </c>
      <c r="AP206" s="1">
        <v>899614</v>
      </c>
      <c r="AR206" s="1">
        <v>0</v>
      </c>
      <c r="AT206" s="1">
        <v>435618</v>
      </c>
      <c r="AV206" s="1">
        <v>310514</v>
      </c>
      <c r="AX206" s="1">
        <v>0</v>
      </c>
      <c r="AZ206" s="20">
        <f t="shared" si="16"/>
        <v>23738608</v>
      </c>
      <c r="BB206" s="1">
        <v>650429</v>
      </c>
      <c r="BH206" s="1">
        <v>0</v>
      </c>
      <c r="BJ206" s="20">
        <f t="shared" si="14"/>
        <v>24389037</v>
      </c>
      <c r="BL206" s="20">
        <f>'Gov Fd Rv'!AO206-'Gov Fnd Exp'!BJ206</f>
        <v>-375904</v>
      </c>
      <c r="BN206" s="1">
        <v>5895242</v>
      </c>
      <c r="BP206" s="1">
        <v>0</v>
      </c>
      <c r="BR206" s="1">
        <v>0</v>
      </c>
      <c r="BT206" s="20">
        <f t="shared" si="15"/>
        <v>5519338</v>
      </c>
      <c r="BU206" s="20"/>
      <c r="BV206" s="20">
        <f>BT206-'Gov Fd BS'!AA206</f>
        <v>0</v>
      </c>
    </row>
    <row r="207" spans="1:74" ht="12" hidden="1" customHeight="1">
      <c r="A207" s="17" t="s">
        <v>736</v>
      </c>
      <c r="B207" s="12"/>
      <c r="C207" s="12" t="s">
        <v>21</v>
      </c>
      <c r="D207" s="12"/>
      <c r="E207" s="13">
        <v>46649</v>
      </c>
      <c r="AJ207" s="17" t="s">
        <v>736</v>
      </c>
      <c r="AK207" s="12"/>
      <c r="AL207" s="12" t="s">
        <v>21</v>
      </c>
      <c r="AZ207" s="20">
        <f t="shared" si="16"/>
        <v>0</v>
      </c>
      <c r="BJ207" s="20">
        <f t="shared" si="14"/>
        <v>0</v>
      </c>
      <c r="BL207" s="20">
        <f>'Gov Fd Rv'!AO207-'Gov Fnd Exp'!BJ207</f>
        <v>0</v>
      </c>
      <c r="BT207" s="20">
        <f t="shared" si="15"/>
        <v>0</v>
      </c>
      <c r="BU207" s="20"/>
      <c r="BV207" s="20">
        <f>BT207-'Gov Fd BS'!AA207</f>
        <v>0</v>
      </c>
    </row>
    <row r="208" spans="1:74" ht="12" hidden="1" customHeight="1">
      <c r="A208" s="17" t="s">
        <v>815</v>
      </c>
      <c r="B208" s="12"/>
      <c r="C208" s="12" t="s">
        <v>40</v>
      </c>
      <c r="D208" s="12"/>
      <c r="E208" s="13">
        <v>47852</v>
      </c>
      <c r="AJ208" s="17" t="s">
        <v>815</v>
      </c>
      <c r="AK208" s="12"/>
      <c r="AL208" s="12" t="s">
        <v>40</v>
      </c>
      <c r="AZ208" s="20">
        <f t="shared" si="16"/>
        <v>0</v>
      </c>
      <c r="BJ208" s="20">
        <f t="shared" si="14"/>
        <v>0</v>
      </c>
      <c r="BL208" s="20">
        <f>'Gov Fd Rv'!AO208-'Gov Fnd Exp'!BJ208</f>
        <v>0</v>
      </c>
      <c r="BT208" s="20">
        <f t="shared" si="15"/>
        <v>0</v>
      </c>
      <c r="BU208" s="20"/>
      <c r="BV208" s="20">
        <f>BT208-'Gov Fd BS'!AA208</f>
        <v>0</v>
      </c>
    </row>
    <row r="209" spans="1:75">
      <c r="A209" s="12" t="s">
        <v>556</v>
      </c>
      <c r="B209" s="12"/>
      <c r="C209" s="12" t="s">
        <v>79</v>
      </c>
      <c r="D209" s="12"/>
      <c r="E209" s="13">
        <v>44016</v>
      </c>
      <c r="G209" s="1">
        <v>16525574</v>
      </c>
      <c r="I209" s="1">
        <v>6230052</v>
      </c>
      <c r="K209" s="1">
        <v>109225</v>
      </c>
      <c r="M209" s="1">
        <v>373421</v>
      </c>
      <c r="O209" s="1">
        <v>2224699</v>
      </c>
      <c r="Q209" s="1">
        <v>1796741</v>
      </c>
      <c r="S209" s="1">
        <v>90273</v>
      </c>
      <c r="U209" s="1">
        <v>2857340</v>
      </c>
      <c r="W209" s="1">
        <v>749892</v>
      </c>
      <c r="Y209" s="1">
        <v>146744</v>
      </c>
      <c r="AA209" s="1">
        <v>3222670</v>
      </c>
      <c r="AC209" s="1">
        <v>1230689</v>
      </c>
      <c r="AE209" s="1">
        <v>82939</v>
      </c>
      <c r="AG209" s="1">
        <v>0</v>
      </c>
      <c r="AI209" s="1">
        <v>2048609</v>
      </c>
      <c r="AJ209" s="12" t="s">
        <v>556</v>
      </c>
      <c r="AK209" s="12"/>
      <c r="AL209" s="12" t="s">
        <v>79</v>
      </c>
      <c r="AN209" s="1">
        <v>777529</v>
      </c>
      <c r="AP209" s="1">
        <v>1270422</v>
      </c>
      <c r="AR209" s="1">
        <v>0</v>
      </c>
      <c r="AT209" s="1">
        <v>130000</v>
      </c>
      <c r="AV209" s="1">
        <f>19133+122545</f>
        <v>141678</v>
      </c>
      <c r="AX209" s="1">
        <v>0</v>
      </c>
      <c r="AZ209" s="20">
        <f t="shared" si="16"/>
        <v>40008497</v>
      </c>
      <c r="BB209" s="1">
        <v>209167</v>
      </c>
      <c r="BH209" s="1">
        <v>0</v>
      </c>
      <c r="BJ209" s="20">
        <f t="shared" si="14"/>
        <v>40217664</v>
      </c>
      <c r="BL209" s="20">
        <f>'Gov Fd Rv'!AO209-'Gov Fnd Exp'!BJ209</f>
        <v>23099896</v>
      </c>
      <c r="BN209" s="1">
        <v>8316309</v>
      </c>
      <c r="BP209" s="1">
        <v>0</v>
      </c>
      <c r="BR209" s="1">
        <v>0</v>
      </c>
      <c r="BT209" s="20">
        <f t="shared" si="15"/>
        <v>31416205</v>
      </c>
      <c r="BU209" s="20"/>
      <c r="BV209" s="20">
        <f>BT209-'Gov Fd BS'!AA209</f>
        <v>0</v>
      </c>
    </row>
    <row r="210" spans="1:75">
      <c r="A210" s="12" t="s">
        <v>637</v>
      </c>
      <c r="B210" s="12"/>
      <c r="C210" s="12" t="s">
        <v>70</v>
      </c>
      <c r="D210" s="12"/>
      <c r="E210" s="13">
        <v>50492</v>
      </c>
      <c r="G210" s="1">
        <v>3233613</v>
      </c>
      <c r="I210" s="1">
        <v>1173464</v>
      </c>
      <c r="K210" s="1">
        <v>229559</v>
      </c>
      <c r="M210" s="1">
        <v>13395</v>
      </c>
      <c r="O210" s="1">
        <v>374096</v>
      </c>
      <c r="Q210" s="1">
        <v>119043</v>
      </c>
      <c r="S210" s="1">
        <v>23274</v>
      </c>
      <c r="U210" s="1">
        <v>917603</v>
      </c>
      <c r="W210" s="1">
        <v>269004</v>
      </c>
      <c r="Y210" s="1">
        <v>0</v>
      </c>
      <c r="AA210" s="1">
        <v>947235</v>
      </c>
      <c r="AC210" s="1">
        <v>741824</v>
      </c>
      <c r="AE210" s="1">
        <v>12015</v>
      </c>
      <c r="AG210" s="1">
        <v>184882</v>
      </c>
      <c r="AI210" s="1">
        <v>187649</v>
      </c>
      <c r="AJ210" s="12" t="s">
        <v>637</v>
      </c>
      <c r="AK210" s="12"/>
      <c r="AL210" s="12" t="s">
        <v>70</v>
      </c>
      <c r="AN210" s="1">
        <v>130591</v>
      </c>
      <c r="AP210" s="1">
        <v>141979</v>
      </c>
      <c r="AR210" s="1">
        <v>0</v>
      </c>
      <c r="AT210" s="1">
        <v>104911</v>
      </c>
      <c r="AV210" s="1">
        <v>116018</v>
      </c>
      <c r="AX210" s="1">
        <v>0</v>
      </c>
      <c r="AZ210" s="20">
        <f t="shared" si="16"/>
        <v>8920155</v>
      </c>
      <c r="BB210" s="1">
        <v>11707</v>
      </c>
      <c r="BH210" s="1">
        <v>0</v>
      </c>
      <c r="BJ210" s="20">
        <f t="shared" si="14"/>
        <v>8931862</v>
      </c>
      <c r="BL210" s="20">
        <f>'Gov Fd Rv'!AO210-'Gov Fnd Exp'!BJ210</f>
        <v>99067</v>
      </c>
      <c r="BN210" s="1">
        <v>2076231</v>
      </c>
      <c r="BP210" s="1">
        <v>0</v>
      </c>
      <c r="BR210" s="1">
        <v>0</v>
      </c>
      <c r="BT210" s="20">
        <f t="shared" si="15"/>
        <v>2175298</v>
      </c>
      <c r="BU210" s="20"/>
      <c r="BV210" s="20">
        <f>BT210-'Gov Fd BS'!AA210</f>
        <v>0</v>
      </c>
    </row>
    <row r="211" spans="1:75">
      <c r="A211" s="12" t="s">
        <v>333</v>
      </c>
      <c r="B211" s="12"/>
      <c r="C211" s="12" t="s">
        <v>27</v>
      </c>
      <c r="D211" s="12"/>
      <c r="E211" s="13">
        <v>46961</v>
      </c>
      <c r="G211" s="1">
        <v>41836956</v>
      </c>
      <c r="I211" s="1">
        <v>12185807</v>
      </c>
      <c r="K211" s="1">
        <v>877859</v>
      </c>
      <c r="M211" s="1">
        <v>0</v>
      </c>
      <c r="O211" s="1">
        <v>3801545</v>
      </c>
      <c r="Q211" s="1">
        <v>4205993</v>
      </c>
      <c r="S211" s="1">
        <v>217292</v>
      </c>
      <c r="U211" s="1">
        <v>6681522</v>
      </c>
      <c r="W211" s="1">
        <v>1571243</v>
      </c>
      <c r="Y211" s="1">
        <v>26945</v>
      </c>
      <c r="AA211" s="1">
        <v>6553193</v>
      </c>
      <c r="AC211" s="1">
        <v>2654925</v>
      </c>
      <c r="AE211" s="1">
        <v>642121</v>
      </c>
      <c r="AG211" s="1">
        <v>0</v>
      </c>
      <c r="AI211" s="1">
        <v>1436421</v>
      </c>
      <c r="AJ211" s="12" t="s">
        <v>333</v>
      </c>
      <c r="AK211" s="12"/>
      <c r="AL211" s="12" t="s">
        <v>27</v>
      </c>
      <c r="AN211" s="1">
        <v>1162198</v>
      </c>
      <c r="AP211" s="1">
        <v>2431619</v>
      </c>
      <c r="AR211" s="1">
        <v>0</v>
      </c>
      <c r="AT211" s="1">
        <v>2090647</v>
      </c>
      <c r="AV211" s="1">
        <f>984804+365391</f>
        <v>1350195</v>
      </c>
      <c r="AX211" s="1">
        <v>0</v>
      </c>
      <c r="AZ211" s="20">
        <f t="shared" ref="AZ211:AZ225" si="17">SUM(G211:AX211)</f>
        <v>89726481</v>
      </c>
      <c r="BB211" s="1">
        <v>6391489</v>
      </c>
      <c r="BH211" s="1">
        <v>34897</v>
      </c>
      <c r="BJ211" s="20">
        <f t="shared" si="14"/>
        <v>96152867</v>
      </c>
      <c r="BL211" s="20">
        <f>'Gov Fd Rv'!AO211-'Gov Fnd Exp'!BJ211</f>
        <v>11744343</v>
      </c>
      <c r="BN211" s="1">
        <v>28392641</v>
      </c>
      <c r="BP211" s="1">
        <v>0</v>
      </c>
      <c r="BR211" s="1">
        <v>0</v>
      </c>
      <c r="BT211" s="20">
        <f t="shared" si="15"/>
        <v>40136984</v>
      </c>
      <c r="BU211" s="20"/>
      <c r="BV211" s="20">
        <f>BT211-'Gov Fd BS'!AA211</f>
        <v>0</v>
      </c>
    </row>
    <row r="212" spans="1:75">
      <c r="A212" s="12" t="s">
        <v>278</v>
      </c>
      <c r="B212" s="12"/>
      <c r="C212" s="12" t="s">
        <v>113</v>
      </c>
      <c r="D212" s="12"/>
      <c r="E212" s="13">
        <v>44024</v>
      </c>
      <c r="G212" s="1">
        <v>8211719</v>
      </c>
      <c r="I212" s="1">
        <v>3350198</v>
      </c>
      <c r="K212" s="1">
        <v>72969</v>
      </c>
      <c r="M212" s="1">
        <v>0</v>
      </c>
      <c r="O212" s="1">
        <v>933971</v>
      </c>
      <c r="Q212" s="1">
        <v>1039542</v>
      </c>
      <c r="S212" s="1">
        <v>58109</v>
      </c>
      <c r="U212" s="1">
        <v>1308918</v>
      </c>
      <c r="W212" s="1">
        <v>407680</v>
      </c>
      <c r="Y212" s="1">
        <v>0</v>
      </c>
      <c r="AA212" s="1">
        <v>1655375</v>
      </c>
      <c r="AC212" s="1">
        <v>737155</v>
      </c>
      <c r="AE212" s="1">
        <v>167522</v>
      </c>
      <c r="AG212" s="1">
        <v>945799</v>
      </c>
      <c r="AI212" s="1">
        <v>0</v>
      </c>
      <c r="AJ212" s="12" t="s">
        <v>278</v>
      </c>
      <c r="AK212" s="12"/>
      <c r="AL212" s="12" t="s">
        <v>113</v>
      </c>
      <c r="AN212" s="1">
        <v>617839</v>
      </c>
      <c r="AP212" s="1">
        <v>1208252</v>
      </c>
      <c r="AR212" s="1">
        <v>0</v>
      </c>
      <c r="AT212" s="1">
        <v>314300</v>
      </c>
      <c r="AV212" s="1">
        <v>794310</v>
      </c>
      <c r="AX212" s="1">
        <v>0</v>
      </c>
      <c r="AZ212" s="20">
        <f t="shared" si="17"/>
        <v>21823658</v>
      </c>
      <c r="BB212" s="1">
        <v>538420</v>
      </c>
      <c r="BH212" s="1">
        <v>0</v>
      </c>
      <c r="BJ212" s="20">
        <f t="shared" si="14"/>
        <v>22362078</v>
      </c>
      <c r="BL212" s="20">
        <f>'Gov Fd Rv'!AO212-'Gov Fnd Exp'!BJ212</f>
        <v>-790057</v>
      </c>
      <c r="BN212" s="1">
        <v>5369988</v>
      </c>
      <c r="BP212" s="1">
        <v>0</v>
      </c>
      <c r="BR212" s="1">
        <v>0</v>
      </c>
      <c r="BT212" s="20">
        <f t="shared" si="15"/>
        <v>4579931</v>
      </c>
      <c r="BU212" s="20"/>
      <c r="BV212" s="20">
        <f>BT212-'Gov Fd BS'!AA212</f>
        <v>0</v>
      </c>
    </row>
    <row r="213" spans="1:75">
      <c r="A213" s="12" t="s">
        <v>349</v>
      </c>
      <c r="B213" s="12"/>
      <c r="C213" s="12" t="s">
        <v>29</v>
      </c>
      <c r="D213" s="12"/>
      <c r="E213" s="13">
        <v>65680</v>
      </c>
      <c r="G213" s="1">
        <v>9016514</v>
      </c>
      <c r="I213" s="1">
        <v>3322228</v>
      </c>
      <c r="K213" s="1">
        <v>575652</v>
      </c>
      <c r="M213" s="1">
        <v>2133695</v>
      </c>
      <c r="O213" s="1">
        <v>595224</v>
      </c>
      <c r="Q213" s="1">
        <v>1054636</v>
      </c>
      <c r="S213" s="1">
        <v>72957</v>
      </c>
      <c r="U213" s="1">
        <v>1702247</v>
      </c>
      <c r="W213" s="1">
        <v>782836</v>
      </c>
      <c r="Y213" s="1">
        <v>24934</v>
      </c>
      <c r="AA213" s="1">
        <v>2220908</v>
      </c>
      <c r="AC213" s="1">
        <v>2102819</v>
      </c>
      <c r="AE213" s="1">
        <v>508285</v>
      </c>
      <c r="AG213" s="1">
        <v>1030812</v>
      </c>
      <c r="AI213" s="1">
        <v>0</v>
      </c>
      <c r="AJ213" s="12" t="s">
        <v>349</v>
      </c>
      <c r="AK213" s="12"/>
      <c r="AL213" s="12" t="s">
        <v>29</v>
      </c>
      <c r="AN213" s="1">
        <v>509985</v>
      </c>
      <c r="AP213" s="1">
        <v>4972566</v>
      </c>
      <c r="AR213" s="1">
        <v>0</v>
      </c>
      <c r="AT213" s="1">
        <v>635000</v>
      </c>
      <c r="AV213" s="1">
        <v>1943726</v>
      </c>
      <c r="AX213" s="1">
        <v>0</v>
      </c>
      <c r="AZ213" s="20">
        <f t="shared" si="17"/>
        <v>33205024</v>
      </c>
      <c r="BB213" s="1">
        <v>83160</v>
      </c>
      <c r="BH213" s="1">
        <v>0</v>
      </c>
      <c r="BJ213" s="20">
        <f t="shared" si="14"/>
        <v>33288184</v>
      </c>
      <c r="BL213" s="20">
        <f>'Gov Fd Rv'!AO213-'Gov Fnd Exp'!BJ213</f>
        <v>-3838252</v>
      </c>
      <c r="BN213" s="1">
        <v>16425006</v>
      </c>
      <c r="BP213" s="1">
        <v>0</v>
      </c>
      <c r="BR213" s="1">
        <v>0</v>
      </c>
      <c r="BT213" s="20">
        <f t="shared" si="15"/>
        <v>12586754</v>
      </c>
      <c r="BU213" s="20"/>
      <c r="BV213" s="20">
        <f>BT213-'Gov Fd BS'!AA213</f>
        <v>0</v>
      </c>
    </row>
    <row r="214" spans="1:75" s="16" customFormat="1">
      <c r="A214" s="14" t="s">
        <v>350</v>
      </c>
      <c r="B214" s="14"/>
      <c r="C214" s="14" t="s">
        <v>29</v>
      </c>
      <c r="D214" s="14"/>
      <c r="E214" s="14">
        <v>44032</v>
      </c>
      <c r="G214" s="1">
        <v>9297179</v>
      </c>
      <c r="H214" s="1"/>
      <c r="I214" s="1">
        <v>3527474</v>
      </c>
      <c r="J214" s="1"/>
      <c r="K214" s="1">
        <v>92473</v>
      </c>
      <c r="L214" s="1"/>
      <c r="M214" s="1">
        <v>856722</v>
      </c>
      <c r="N214" s="1"/>
      <c r="O214" s="1">
        <v>1126809</v>
      </c>
      <c r="P214" s="1"/>
      <c r="Q214" s="1">
        <v>1346691</v>
      </c>
      <c r="R214" s="1"/>
      <c r="S214" s="1">
        <v>25685</v>
      </c>
      <c r="T214" s="1"/>
      <c r="U214" s="1">
        <v>1918662</v>
      </c>
      <c r="V214" s="1"/>
      <c r="W214" s="1">
        <v>442576</v>
      </c>
      <c r="X214" s="1"/>
      <c r="Y214" s="1">
        <v>0</v>
      </c>
      <c r="Z214" s="1"/>
      <c r="AA214" s="1">
        <v>1787875</v>
      </c>
      <c r="AB214" s="1"/>
      <c r="AC214" s="1">
        <v>1559831</v>
      </c>
      <c r="AD214" s="1"/>
      <c r="AE214" s="1">
        <v>114623</v>
      </c>
      <c r="AF214" s="1"/>
      <c r="AG214" s="1">
        <v>914434</v>
      </c>
      <c r="AH214" s="1"/>
      <c r="AI214" s="1">
        <v>0</v>
      </c>
      <c r="AJ214" s="14" t="s">
        <v>350</v>
      </c>
      <c r="AK214" s="14"/>
      <c r="AL214" s="14" t="s">
        <v>29</v>
      </c>
      <c r="AN214" s="1">
        <v>591404</v>
      </c>
      <c r="AO214" s="1"/>
      <c r="AP214" s="1">
        <v>24450399</v>
      </c>
      <c r="AQ214" s="1"/>
      <c r="AR214" s="1">
        <v>0</v>
      </c>
      <c r="AS214" s="1"/>
      <c r="AT214" s="1">
        <v>540000</v>
      </c>
      <c r="AU214" s="1"/>
      <c r="AV214" s="1">
        <v>1069340</v>
      </c>
      <c r="AW214" s="1"/>
      <c r="AX214" s="1">
        <v>0</v>
      </c>
      <c r="AY214" s="1"/>
      <c r="AZ214" s="20">
        <f t="shared" si="17"/>
        <v>49662177</v>
      </c>
      <c r="BA214" s="1"/>
      <c r="BB214" s="1">
        <v>150000</v>
      </c>
      <c r="BC214" s="1"/>
      <c r="BD214" s="1"/>
      <c r="BE214" s="1"/>
      <c r="BF214" s="1"/>
      <c r="BG214" s="1"/>
      <c r="BH214" s="1">
        <v>0</v>
      </c>
      <c r="BI214" s="1"/>
      <c r="BJ214" s="20">
        <f t="shared" si="14"/>
        <v>49812177</v>
      </c>
      <c r="BK214" s="1"/>
      <c r="BL214" s="20">
        <f>'Gov Fd Rv'!AO214-'Gov Fnd Exp'!BJ214</f>
        <v>-18161284</v>
      </c>
      <c r="BM214" s="1"/>
      <c r="BN214" s="1">
        <v>32164292</v>
      </c>
      <c r="BO214" s="1"/>
      <c r="BP214" s="1">
        <v>20392</v>
      </c>
      <c r="BQ214" s="1"/>
      <c r="BR214" s="1">
        <v>0</v>
      </c>
      <c r="BS214" s="1"/>
      <c r="BT214" s="20">
        <f t="shared" si="15"/>
        <v>14023400</v>
      </c>
      <c r="BU214" s="20"/>
      <c r="BV214" s="20">
        <f>BT214-'Gov Fd BS'!AA214</f>
        <v>0</v>
      </c>
    </row>
    <row r="215" spans="1:75">
      <c r="A215" s="12" t="s">
        <v>620</v>
      </c>
      <c r="B215" s="12"/>
      <c r="C215" s="12" t="s">
        <v>65</v>
      </c>
      <c r="D215" s="12"/>
      <c r="E215" s="13">
        <v>50278</v>
      </c>
      <c r="G215" s="1">
        <v>5755777</v>
      </c>
      <c r="I215" s="1">
        <v>1339955</v>
      </c>
      <c r="K215" s="1">
        <v>1747</v>
      </c>
      <c r="M215" s="1">
        <v>187658</v>
      </c>
      <c r="O215" s="1">
        <v>369267</v>
      </c>
      <c r="Q215" s="1">
        <v>744776</v>
      </c>
      <c r="S215" s="1">
        <v>15961</v>
      </c>
      <c r="U215" s="1">
        <v>1106718</v>
      </c>
      <c r="W215" s="1">
        <v>371325</v>
      </c>
      <c r="Y215" s="1">
        <v>0</v>
      </c>
      <c r="AA215" s="1">
        <v>935297</v>
      </c>
      <c r="AC215" s="1">
        <v>944657</v>
      </c>
      <c r="AE215" s="1">
        <v>39693</v>
      </c>
      <c r="AG215" s="1">
        <v>426052</v>
      </c>
      <c r="AI215" s="1">
        <v>0</v>
      </c>
      <c r="AJ215" s="12" t="s">
        <v>620</v>
      </c>
      <c r="AK215" s="12"/>
      <c r="AL215" s="12" t="s">
        <v>65</v>
      </c>
      <c r="AN215" s="1">
        <v>364183</v>
      </c>
      <c r="AP215" s="1">
        <v>0</v>
      </c>
      <c r="AR215" s="1">
        <v>0</v>
      </c>
      <c r="AT215" s="1">
        <v>170493</v>
      </c>
      <c r="AV215" s="1">
        <v>45553</v>
      </c>
      <c r="AX215" s="1">
        <v>0</v>
      </c>
      <c r="AZ215" s="20">
        <f t="shared" si="17"/>
        <v>12819112</v>
      </c>
      <c r="BB215" s="1">
        <v>10000</v>
      </c>
      <c r="BH215" s="1">
        <v>0</v>
      </c>
      <c r="BJ215" s="20">
        <f t="shared" si="14"/>
        <v>12829112</v>
      </c>
      <c r="BL215" s="20">
        <f>'Gov Fd Rv'!AO215-'Gov Fnd Exp'!BJ215</f>
        <v>-383622</v>
      </c>
      <c r="BN215" s="1">
        <v>3531780</v>
      </c>
      <c r="BP215" s="1">
        <v>0</v>
      </c>
      <c r="BR215" s="1">
        <v>0</v>
      </c>
      <c r="BT215" s="20">
        <f t="shared" si="15"/>
        <v>3148158</v>
      </c>
      <c r="BU215" s="20"/>
      <c r="BV215" s="20">
        <f>BT215-'Gov Fd BS'!AA215</f>
        <v>0</v>
      </c>
    </row>
    <row r="216" spans="1:75">
      <c r="A216" s="17" t="s">
        <v>837</v>
      </c>
      <c r="B216" s="12"/>
      <c r="C216" s="12" t="s">
        <v>20</v>
      </c>
      <c r="D216" s="12"/>
      <c r="E216" s="13">
        <v>44040</v>
      </c>
      <c r="G216" s="1">
        <v>15393382</v>
      </c>
      <c r="I216" s="1">
        <v>4464133</v>
      </c>
      <c r="K216" s="1">
        <v>434160</v>
      </c>
      <c r="M216" s="1">
        <v>2156313</v>
      </c>
      <c r="O216" s="1">
        <v>2980891</v>
      </c>
      <c r="Q216" s="1">
        <v>2477919</v>
      </c>
      <c r="S216" s="1">
        <v>98672</v>
      </c>
      <c r="U216" s="1">
        <v>2910965</v>
      </c>
      <c r="W216" s="1">
        <v>1047077</v>
      </c>
      <c r="Y216" s="1">
        <v>880617</v>
      </c>
      <c r="AA216" s="1">
        <v>3737808</v>
      </c>
      <c r="AC216" s="1">
        <v>826589</v>
      </c>
      <c r="AE216" s="1">
        <v>1276511</v>
      </c>
      <c r="AG216" s="1">
        <v>1302235</v>
      </c>
      <c r="AI216" s="1">
        <v>1181691</v>
      </c>
      <c r="AJ216" s="17" t="s">
        <v>837</v>
      </c>
      <c r="AK216" s="12"/>
      <c r="AL216" s="12" t="s">
        <v>20</v>
      </c>
      <c r="AN216" s="1">
        <v>444683</v>
      </c>
      <c r="AP216" s="1">
        <v>67502</v>
      </c>
      <c r="AR216" s="1">
        <v>0</v>
      </c>
      <c r="AT216" s="1">
        <v>2092654</v>
      </c>
      <c r="AV216" s="1">
        <v>2099131</v>
      </c>
      <c r="AX216" s="1">
        <v>0</v>
      </c>
      <c r="AZ216" s="20">
        <f t="shared" si="17"/>
        <v>45872933</v>
      </c>
      <c r="BB216" s="1">
        <v>1017350</v>
      </c>
      <c r="BH216" s="1">
        <v>0</v>
      </c>
      <c r="BJ216" s="20">
        <f t="shared" si="14"/>
        <v>46890283</v>
      </c>
      <c r="BL216" s="20">
        <f>'Gov Fd Rv'!AO216-'Gov Fnd Exp'!BJ216</f>
        <v>-1237364</v>
      </c>
      <c r="BN216" s="1">
        <v>8515325</v>
      </c>
      <c r="BP216" s="1">
        <v>0</v>
      </c>
      <c r="BR216" s="1">
        <v>0</v>
      </c>
      <c r="BT216" s="20">
        <f t="shared" si="15"/>
        <v>7277961</v>
      </c>
      <c r="BU216" s="20"/>
      <c r="BV216" s="20">
        <f>BT216-'Gov Fd BS'!AA216</f>
        <v>0</v>
      </c>
    </row>
    <row r="217" spans="1:75">
      <c r="A217" s="17" t="s">
        <v>786</v>
      </c>
      <c r="B217" s="12"/>
      <c r="C217" s="12" t="s">
        <v>12</v>
      </c>
      <c r="D217" s="12"/>
      <c r="E217" s="13">
        <v>44057</v>
      </c>
      <c r="G217" s="1">
        <v>10504753</v>
      </c>
      <c r="I217" s="1">
        <v>3397306</v>
      </c>
      <c r="K217" s="1">
        <v>392352</v>
      </c>
      <c r="M217" s="1">
        <v>1385378</v>
      </c>
      <c r="O217" s="1">
        <v>1469467</v>
      </c>
      <c r="Q217" s="1">
        <v>727894</v>
      </c>
      <c r="S217" s="1">
        <v>20177</v>
      </c>
      <c r="U217" s="1">
        <v>1746431</v>
      </c>
      <c r="W217" s="1">
        <v>544639</v>
      </c>
      <c r="Y217" s="1">
        <v>33992</v>
      </c>
      <c r="AA217" s="1">
        <v>2904541</v>
      </c>
      <c r="AC217" s="1">
        <v>1350995</v>
      </c>
      <c r="AE217" s="1">
        <v>4047</v>
      </c>
      <c r="AG217" s="1">
        <v>0</v>
      </c>
      <c r="AI217" s="1">
        <v>1324427</v>
      </c>
      <c r="AJ217" s="17" t="s">
        <v>786</v>
      </c>
      <c r="AK217" s="12"/>
      <c r="AL217" s="12" t="s">
        <v>12</v>
      </c>
      <c r="AN217" s="1">
        <v>636825</v>
      </c>
      <c r="AP217" s="1">
        <v>22378915</v>
      </c>
      <c r="AR217" s="1">
        <v>0</v>
      </c>
      <c r="AT217" s="1">
        <v>675000</v>
      </c>
      <c r="AV217" s="1">
        <v>791345</v>
      </c>
      <c r="AX217" s="1">
        <v>0</v>
      </c>
      <c r="AZ217" s="20">
        <f t="shared" si="17"/>
        <v>50288484</v>
      </c>
      <c r="BB217" s="1">
        <v>55243</v>
      </c>
      <c r="BH217" s="1">
        <v>0</v>
      </c>
      <c r="BJ217" s="20">
        <f t="shared" si="14"/>
        <v>50343727</v>
      </c>
      <c r="BL217" s="20">
        <f>'Gov Fd Rv'!AO217-'Gov Fnd Exp'!BJ217</f>
        <v>95496</v>
      </c>
      <c r="BN217" s="1">
        <v>18865273</v>
      </c>
      <c r="BP217" s="1">
        <v>0</v>
      </c>
      <c r="BR217" s="1">
        <v>0</v>
      </c>
      <c r="BT217" s="20">
        <f t="shared" si="15"/>
        <v>18960769</v>
      </c>
      <c r="BU217" s="20"/>
      <c r="BV217" s="20">
        <f>BT217-'Gov Fd BS'!AA217</f>
        <v>0</v>
      </c>
    </row>
    <row r="218" spans="1:75">
      <c r="A218" s="12" t="s">
        <v>521</v>
      </c>
      <c r="B218" s="12"/>
      <c r="C218" s="12" t="s">
        <v>53</v>
      </c>
      <c r="D218" s="12"/>
      <c r="E218" s="13">
        <v>48942</v>
      </c>
      <c r="G218" s="1">
        <v>7239933</v>
      </c>
      <c r="I218" s="1">
        <v>1062438</v>
      </c>
      <c r="K218" s="1">
        <v>0</v>
      </c>
      <c r="M218" s="1">
        <v>151</v>
      </c>
      <c r="O218" s="1">
        <v>364445</v>
      </c>
      <c r="Q218" s="1">
        <v>104037</v>
      </c>
      <c r="S218" s="1">
        <v>10068</v>
      </c>
      <c r="U218" s="1">
        <v>934155</v>
      </c>
      <c r="W218" s="1">
        <v>352189</v>
      </c>
      <c r="Y218" s="1">
        <v>13872</v>
      </c>
      <c r="AA218" s="1">
        <v>1063901</v>
      </c>
      <c r="AC218" s="1">
        <v>398310</v>
      </c>
      <c r="AE218" s="1">
        <v>360332</v>
      </c>
      <c r="AG218" s="1">
        <v>0</v>
      </c>
      <c r="AI218" s="1">
        <v>7844</v>
      </c>
      <c r="AJ218" s="12" t="s">
        <v>521</v>
      </c>
      <c r="AK218" s="12"/>
      <c r="AL218" s="12" t="s">
        <v>53</v>
      </c>
      <c r="AN218" s="1">
        <v>559132</v>
      </c>
      <c r="AP218" s="1">
        <v>2232983</v>
      </c>
      <c r="AR218" s="1">
        <v>0</v>
      </c>
      <c r="AT218" s="1">
        <v>5651381</v>
      </c>
      <c r="AV218" s="1">
        <f>534137+100982</f>
        <v>635119</v>
      </c>
      <c r="AX218" s="1">
        <v>0</v>
      </c>
      <c r="AZ218" s="20">
        <f t="shared" si="17"/>
        <v>20990290</v>
      </c>
      <c r="BB218" s="1">
        <v>82432</v>
      </c>
      <c r="BH218" s="1">
        <v>0</v>
      </c>
      <c r="BJ218" s="20">
        <f t="shared" si="14"/>
        <v>21072722</v>
      </c>
      <c r="BL218" s="20">
        <f>'Gov Fd Rv'!AO218-'Gov Fnd Exp'!BJ218</f>
        <v>7435997</v>
      </c>
      <c r="BN218" s="1">
        <v>8389683</v>
      </c>
      <c r="BP218" s="1">
        <v>0</v>
      </c>
      <c r="BR218" s="1">
        <v>0</v>
      </c>
      <c r="BT218" s="20">
        <f t="shared" si="15"/>
        <v>15825680</v>
      </c>
      <c r="BU218" s="20"/>
      <c r="BV218" s="20">
        <f>BT218-'Gov Fd BS'!AA218</f>
        <v>0</v>
      </c>
    </row>
    <row r="219" spans="1:75" hidden="1">
      <c r="A219" s="17" t="s">
        <v>816</v>
      </c>
      <c r="B219" s="12"/>
      <c r="C219" s="12" t="s">
        <v>77</v>
      </c>
      <c r="D219" s="12"/>
      <c r="E219" s="13">
        <v>45377</v>
      </c>
      <c r="AJ219" s="17" t="s">
        <v>816</v>
      </c>
      <c r="AK219" s="12"/>
      <c r="AL219" s="12" t="s">
        <v>77</v>
      </c>
      <c r="AZ219" s="20">
        <f t="shared" si="17"/>
        <v>0</v>
      </c>
      <c r="BJ219" s="20">
        <f t="shared" si="14"/>
        <v>0</v>
      </c>
      <c r="BL219" s="20">
        <f>'Gov Fd Rv'!AO219-'Gov Fnd Exp'!BJ219</f>
        <v>0</v>
      </c>
      <c r="BT219" s="20">
        <f t="shared" si="15"/>
        <v>0</v>
      </c>
      <c r="BU219" s="20"/>
      <c r="BV219" s="20">
        <f>BT219-'Gov Fd BS'!AA219</f>
        <v>0</v>
      </c>
    </row>
    <row r="220" spans="1:75">
      <c r="A220" s="12" t="s">
        <v>557</v>
      </c>
      <c r="B220" s="12"/>
      <c r="C220" s="12" t="s">
        <v>79</v>
      </c>
      <c r="D220" s="12"/>
      <c r="E220" s="13">
        <v>45385</v>
      </c>
      <c r="G220" s="1">
        <v>4810470</v>
      </c>
      <c r="I220" s="1">
        <v>1018902</v>
      </c>
      <c r="K220" s="1">
        <v>172150</v>
      </c>
      <c r="M220" s="1">
        <v>881</v>
      </c>
      <c r="O220" s="1">
        <v>412077</v>
      </c>
      <c r="Q220" s="1">
        <v>58231</v>
      </c>
      <c r="S220" s="1">
        <v>42871</v>
      </c>
      <c r="U220" s="1">
        <v>812719</v>
      </c>
      <c r="W220" s="1">
        <v>468090</v>
      </c>
      <c r="Y220" s="1">
        <v>6378</v>
      </c>
      <c r="AA220" s="1">
        <v>1163306</v>
      </c>
      <c r="AC220" s="1">
        <v>336921</v>
      </c>
      <c r="AE220" s="1">
        <v>1604</v>
      </c>
      <c r="AG220" s="1">
        <v>461417</v>
      </c>
      <c r="AI220" s="1">
        <v>118871</v>
      </c>
      <c r="AJ220" s="12" t="s">
        <v>557</v>
      </c>
      <c r="AK220" s="12"/>
      <c r="AL220" s="12" t="s">
        <v>79</v>
      </c>
      <c r="AN220" s="1">
        <v>326126</v>
      </c>
      <c r="AP220" s="1">
        <f>347252+51337</f>
        <v>398589</v>
      </c>
      <c r="AR220" s="1">
        <v>0</v>
      </c>
      <c r="AT220" s="1">
        <v>356099</v>
      </c>
      <c r="AV220" s="1">
        <v>158575</v>
      </c>
      <c r="AX220" s="1">
        <v>0</v>
      </c>
      <c r="AZ220" s="20">
        <f t="shared" si="17"/>
        <v>11124277</v>
      </c>
      <c r="BB220" s="1">
        <v>0</v>
      </c>
      <c r="BH220" s="1">
        <v>0</v>
      </c>
      <c r="BJ220" s="20">
        <f t="shared" si="14"/>
        <v>11124277</v>
      </c>
      <c r="BL220" s="20">
        <f>'Gov Fd Rv'!AO220-'Gov Fnd Exp'!BJ220</f>
        <v>-150933</v>
      </c>
      <c r="BN220" s="1">
        <v>3923925</v>
      </c>
      <c r="BP220" s="1">
        <v>0</v>
      </c>
      <c r="BR220" s="1">
        <v>0</v>
      </c>
      <c r="BT220" s="20">
        <f t="shared" si="15"/>
        <v>3772992</v>
      </c>
      <c r="BU220" s="20"/>
      <c r="BV220" s="20">
        <f>BT220-'Gov Fd BS'!AA220</f>
        <v>0</v>
      </c>
      <c r="BW220" s="20"/>
    </row>
    <row r="221" spans="1:75">
      <c r="A221" s="12" t="s">
        <v>603</v>
      </c>
      <c r="B221" s="12"/>
      <c r="C221" s="12" t="s">
        <v>64</v>
      </c>
      <c r="D221" s="12"/>
      <c r="E221" s="13">
        <v>44065</v>
      </c>
      <c r="G221" s="1">
        <v>6294504</v>
      </c>
      <c r="I221" s="1">
        <v>1834291</v>
      </c>
      <c r="K221" s="1">
        <v>183816</v>
      </c>
      <c r="M221" s="1">
        <v>656303</v>
      </c>
      <c r="O221" s="1">
        <v>1011052</v>
      </c>
      <c r="Q221" s="1">
        <v>207034</v>
      </c>
      <c r="S221" s="1">
        <v>58831</v>
      </c>
      <c r="U221" s="1">
        <v>1072867</v>
      </c>
      <c r="W221" s="1">
        <v>759461</v>
      </c>
      <c r="Y221" s="1">
        <v>0</v>
      </c>
      <c r="AA221" s="1">
        <v>1351664</v>
      </c>
      <c r="AC221" s="1">
        <v>630553</v>
      </c>
      <c r="AE221" s="1">
        <v>7039</v>
      </c>
      <c r="AG221" s="1">
        <v>588066</v>
      </c>
      <c r="AI221" s="1">
        <v>169571</v>
      </c>
      <c r="AJ221" s="12" t="s">
        <v>603</v>
      </c>
      <c r="AK221" s="12"/>
      <c r="AL221" s="12" t="s">
        <v>64</v>
      </c>
      <c r="AN221" s="1">
        <v>505519</v>
      </c>
      <c r="AP221" s="1">
        <v>15548907</v>
      </c>
      <c r="AR221" s="1">
        <v>0</v>
      </c>
      <c r="AT221" s="1">
        <v>550000</v>
      </c>
      <c r="AV221" s="1">
        <v>597951</v>
      </c>
      <c r="AX221" s="1">
        <v>0</v>
      </c>
      <c r="AZ221" s="20">
        <f t="shared" si="17"/>
        <v>32027429</v>
      </c>
      <c r="BB221" s="1">
        <v>3375</v>
      </c>
      <c r="BH221" s="1">
        <v>0</v>
      </c>
      <c r="BJ221" s="20">
        <f t="shared" si="14"/>
        <v>32030804</v>
      </c>
      <c r="BL221" s="20">
        <f>'Gov Fd Rv'!AO221-'Gov Fnd Exp'!BJ221</f>
        <v>-9006260</v>
      </c>
      <c r="BN221" s="1">
        <v>23832199</v>
      </c>
      <c r="BP221" s="1">
        <v>4930</v>
      </c>
      <c r="BR221" s="1">
        <v>0</v>
      </c>
      <c r="BT221" s="20">
        <f t="shared" si="15"/>
        <v>14830869</v>
      </c>
      <c r="BU221" s="20"/>
      <c r="BV221" s="20">
        <f>BT221-'Gov Fd BS'!AA221</f>
        <v>0</v>
      </c>
    </row>
    <row r="222" spans="1:75" hidden="1">
      <c r="A222" s="17" t="s">
        <v>869</v>
      </c>
      <c r="B222" s="12"/>
      <c r="C222" s="12" t="s">
        <v>28</v>
      </c>
      <c r="D222" s="12"/>
      <c r="E222" s="13">
        <v>47068</v>
      </c>
      <c r="AJ222" s="17" t="s">
        <v>869</v>
      </c>
      <c r="AK222" s="12"/>
      <c r="AL222" s="12" t="s">
        <v>28</v>
      </c>
      <c r="AZ222" s="20">
        <f t="shared" si="17"/>
        <v>0</v>
      </c>
      <c r="BJ222" s="20">
        <f t="shared" si="14"/>
        <v>0</v>
      </c>
      <c r="BL222" s="20">
        <f>'Gov Fd Rv'!AO222-'Gov Fnd Exp'!BJ222</f>
        <v>0</v>
      </c>
      <c r="BT222" s="20">
        <f t="shared" si="15"/>
        <v>0</v>
      </c>
      <c r="BU222" s="20"/>
      <c r="BV222" s="20">
        <f>BT222-'Gov Fd BS'!AA222</f>
        <v>0</v>
      </c>
    </row>
    <row r="223" spans="1:75">
      <c r="A223" s="12" t="s">
        <v>254</v>
      </c>
      <c r="B223" s="12"/>
      <c r="C223" s="12" t="s">
        <v>115</v>
      </c>
      <c r="D223" s="12"/>
      <c r="E223" s="13">
        <v>46342</v>
      </c>
      <c r="G223" s="1">
        <v>10040656</v>
      </c>
      <c r="I223" s="1">
        <v>2361008</v>
      </c>
      <c r="K223" s="1">
        <v>425899</v>
      </c>
      <c r="M223" s="1">
        <v>0</v>
      </c>
      <c r="O223" s="1">
        <v>2858362</v>
      </c>
      <c r="Q223" s="1">
        <v>3222705</v>
      </c>
      <c r="S223" s="1">
        <v>49030</v>
      </c>
      <c r="U223" s="1">
        <v>1605778</v>
      </c>
      <c r="W223" s="1">
        <v>587737</v>
      </c>
      <c r="Y223" s="1">
        <v>100974</v>
      </c>
      <c r="AA223" s="1">
        <v>1668792</v>
      </c>
      <c r="AC223" s="1">
        <v>2191125</v>
      </c>
      <c r="AE223" s="1">
        <v>0</v>
      </c>
      <c r="AG223" s="1">
        <v>1043322</v>
      </c>
      <c r="AI223" s="1">
        <v>28626</v>
      </c>
      <c r="AJ223" s="12" t="s">
        <v>254</v>
      </c>
      <c r="AK223" s="12"/>
      <c r="AL223" s="12" t="s">
        <v>115</v>
      </c>
      <c r="AN223" s="1">
        <v>376535</v>
      </c>
      <c r="AP223" s="1">
        <v>0</v>
      </c>
      <c r="AR223" s="1">
        <v>0</v>
      </c>
      <c r="AT223" s="1">
        <v>546000</v>
      </c>
      <c r="AV223" s="1">
        <v>435431</v>
      </c>
      <c r="AX223" s="1">
        <v>0</v>
      </c>
      <c r="AZ223" s="20">
        <f t="shared" si="17"/>
        <v>27541980</v>
      </c>
      <c r="BB223" s="1">
        <v>2059</v>
      </c>
      <c r="BH223" s="1">
        <v>0</v>
      </c>
      <c r="BJ223" s="20">
        <f t="shared" si="14"/>
        <v>27544039</v>
      </c>
      <c r="BL223" s="20">
        <f>'Gov Fd Rv'!AO223-'Gov Fnd Exp'!BJ223</f>
        <v>-318399</v>
      </c>
      <c r="BN223" s="1">
        <v>4718591</v>
      </c>
      <c r="BP223" s="1">
        <v>0</v>
      </c>
      <c r="BR223" s="1">
        <v>0</v>
      </c>
      <c r="BT223" s="20">
        <f t="shared" si="15"/>
        <v>4400192</v>
      </c>
      <c r="BU223" s="20"/>
      <c r="BV223" s="20">
        <f>BT223-'Gov Fd BS'!AA223</f>
        <v>0</v>
      </c>
    </row>
    <row r="224" spans="1:75">
      <c r="A224" s="12" t="s">
        <v>239</v>
      </c>
      <c r="B224" s="12"/>
      <c r="C224" s="12" t="s">
        <v>240</v>
      </c>
      <c r="D224" s="12"/>
      <c r="E224" s="13">
        <v>46193</v>
      </c>
      <c r="G224" s="1">
        <v>7239577</v>
      </c>
      <c r="I224" s="1">
        <v>2269902</v>
      </c>
      <c r="K224" s="1">
        <v>436</v>
      </c>
      <c r="M224" s="1">
        <v>1697851</v>
      </c>
      <c r="O224" s="1">
        <v>1071715</v>
      </c>
      <c r="Q224" s="1">
        <v>1411520</v>
      </c>
      <c r="S224" s="1">
        <v>71008</v>
      </c>
      <c r="U224" s="1">
        <v>1609039</v>
      </c>
      <c r="W224" s="1">
        <v>436809</v>
      </c>
      <c r="Y224" s="1">
        <v>38315</v>
      </c>
      <c r="AA224" s="1">
        <v>1542694</v>
      </c>
      <c r="AC224" s="1">
        <v>1457167</v>
      </c>
      <c r="AE224" s="1">
        <v>225897</v>
      </c>
      <c r="AG224" s="1">
        <v>0</v>
      </c>
      <c r="AI224" s="1">
        <v>751782</v>
      </c>
      <c r="AJ224" s="12" t="s">
        <v>239</v>
      </c>
      <c r="AK224" s="12"/>
      <c r="AL224" s="12" t="s">
        <v>240</v>
      </c>
      <c r="AN224" s="1">
        <v>548870</v>
      </c>
      <c r="AP224" s="1">
        <v>10667438</v>
      </c>
      <c r="AR224" s="1">
        <v>0</v>
      </c>
      <c r="AT224" s="1">
        <v>565935</v>
      </c>
      <c r="AV224" s="1">
        <v>831798</v>
      </c>
      <c r="AX224" s="1">
        <v>0</v>
      </c>
      <c r="AZ224" s="20">
        <f t="shared" si="17"/>
        <v>32437753</v>
      </c>
      <c r="BB224" s="1">
        <v>55365</v>
      </c>
      <c r="BH224" s="1">
        <v>68509</v>
      </c>
      <c r="BJ224" s="20">
        <f t="shared" si="14"/>
        <v>32561627</v>
      </c>
      <c r="BL224" s="20">
        <f>'Gov Fd Rv'!AO224-'Gov Fnd Exp'!BJ224</f>
        <v>-599209</v>
      </c>
      <c r="BN224" s="1">
        <v>8385882</v>
      </c>
      <c r="BP224" s="1">
        <v>0</v>
      </c>
      <c r="BR224" s="1">
        <v>0</v>
      </c>
      <c r="BT224" s="20">
        <f t="shared" si="15"/>
        <v>7786673</v>
      </c>
      <c r="BU224" s="20"/>
      <c r="BV224" s="20">
        <f>BT224-'Gov Fd BS'!AA224</f>
        <v>0</v>
      </c>
    </row>
    <row r="225" spans="1:74">
      <c r="A225" s="12" t="s">
        <v>211</v>
      </c>
      <c r="B225" s="12"/>
      <c r="C225" s="12" t="s">
        <v>12</v>
      </c>
      <c r="D225" s="12"/>
      <c r="E225" s="13">
        <v>45864</v>
      </c>
      <c r="G225" s="1">
        <v>6071662</v>
      </c>
      <c r="I225" s="1">
        <v>878627</v>
      </c>
      <c r="K225" s="1">
        <v>181509</v>
      </c>
      <c r="M225" s="1">
        <v>61830</v>
      </c>
      <c r="O225" s="1">
        <v>457601</v>
      </c>
      <c r="Q225" s="1">
        <v>371681</v>
      </c>
      <c r="S225" s="1">
        <v>18284</v>
      </c>
      <c r="U225" s="1">
        <v>1305954</v>
      </c>
      <c r="W225" s="1">
        <v>329779</v>
      </c>
      <c r="Y225" s="1">
        <v>21979</v>
      </c>
      <c r="AA225" s="1">
        <v>2824598</v>
      </c>
      <c r="AC225" s="1">
        <v>1238878</v>
      </c>
      <c r="AE225" s="1">
        <v>16446</v>
      </c>
      <c r="AG225" s="1">
        <v>557033</v>
      </c>
      <c r="AI225" s="1">
        <v>0</v>
      </c>
      <c r="AJ225" s="12" t="s">
        <v>211</v>
      </c>
      <c r="AK225" s="12"/>
      <c r="AL225" s="12" t="s">
        <v>12</v>
      </c>
      <c r="AN225" s="1">
        <v>434488</v>
      </c>
      <c r="AP225" s="1">
        <v>984638</v>
      </c>
      <c r="AR225" s="1">
        <v>0</v>
      </c>
      <c r="AT225" s="1">
        <v>528000</v>
      </c>
      <c r="AV225" s="1">
        <v>562885</v>
      </c>
      <c r="AX225" s="1">
        <v>0</v>
      </c>
      <c r="AZ225" s="20">
        <f t="shared" si="17"/>
        <v>16845872</v>
      </c>
      <c r="BB225" s="1">
        <v>14000</v>
      </c>
      <c r="BH225" s="1">
        <v>0</v>
      </c>
      <c r="BJ225" s="20">
        <f t="shared" si="14"/>
        <v>16859872</v>
      </c>
      <c r="BL225" s="20">
        <f>'Gov Fd Rv'!AO225-'Gov Fnd Exp'!BJ225</f>
        <v>-1167512</v>
      </c>
      <c r="BN225" s="1">
        <v>11617137</v>
      </c>
      <c r="BP225" s="1">
        <v>0</v>
      </c>
      <c r="BR225" s="1">
        <v>0</v>
      </c>
      <c r="BT225" s="20">
        <f>BL225+BN225+BP225+BR225</f>
        <v>10449625</v>
      </c>
      <c r="BU225" s="20"/>
      <c r="BV225" s="20">
        <f>BT225-'Gov Fd BS'!AA225</f>
        <v>0</v>
      </c>
    </row>
    <row r="226" spans="1:74">
      <c r="A226" s="12" t="s">
        <v>334</v>
      </c>
      <c r="B226" s="12"/>
      <c r="C226" s="12" t="s">
        <v>27</v>
      </c>
      <c r="D226" s="12"/>
      <c r="E226" s="13">
        <v>44073</v>
      </c>
      <c r="G226" s="1">
        <v>7166088</v>
      </c>
      <c r="I226" s="1">
        <v>2402896</v>
      </c>
      <c r="K226" s="1">
        <v>117150</v>
      </c>
      <c r="M226" s="1">
        <v>0</v>
      </c>
      <c r="O226" s="1">
        <v>1662422</v>
      </c>
      <c r="Q226" s="1">
        <v>900232</v>
      </c>
      <c r="S226" s="1">
        <v>18240</v>
      </c>
      <c r="U226" s="1">
        <v>1101035</v>
      </c>
      <c r="W226" s="1">
        <v>592198</v>
      </c>
      <c r="Y226" s="1">
        <v>58977</v>
      </c>
      <c r="AA226" s="1">
        <v>1502420</v>
      </c>
      <c r="AC226" s="1">
        <v>13730</v>
      </c>
      <c r="AE226" s="1">
        <v>63709</v>
      </c>
      <c r="AG226" s="1">
        <v>0</v>
      </c>
      <c r="AI226" s="1">
        <v>0</v>
      </c>
      <c r="AJ226" s="12" t="s">
        <v>334</v>
      </c>
      <c r="AK226" s="12"/>
      <c r="AL226" s="12" t="s">
        <v>27</v>
      </c>
      <c r="AN226" s="1">
        <v>783518</v>
      </c>
      <c r="AP226" s="1">
        <v>0</v>
      </c>
      <c r="AR226" s="1">
        <v>0</v>
      </c>
      <c r="AT226" s="1">
        <v>852938</v>
      </c>
      <c r="AV226" s="1">
        <v>307812</v>
      </c>
      <c r="AX226" s="1">
        <v>95408</v>
      </c>
      <c r="AZ226" s="20">
        <f t="shared" ref="AZ226:AZ294" si="18">SUM(G226:AX226)</f>
        <v>17638773</v>
      </c>
      <c r="BB226" s="1">
        <v>77728</v>
      </c>
      <c r="BH226" s="1">
        <v>0</v>
      </c>
      <c r="BJ226" s="20">
        <f t="shared" ref="BJ226:BJ294" si="19">AZ226+BB226+BH226</f>
        <v>17716501</v>
      </c>
      <c r="BL226" s="20">
        <f>'Gov Fd Rv'!AO226-'Gov Fnd Exp'!BJ226</f>
        <v>-120821</v>
      </c>
      <c r="BN226" s="1">
        <v>9144125</v>
      </c>
      <c r="BP226" s="1">
        <v>0</v>
      </c>
      <c r="BR226" s="1">
        <v>0</v>
      </c>
      <c r="BT226" s="20">
        <f t="shared" si="15"/>
        <v>9023304</v>
      </c>
      <c r="BU226" s="20"/>
      <c r="BV226" s="20">
        <f>BT226-'Gov Fd BS'!AA226</f>
        <v>0</v>
      </c>
    </row>
    <row r="227" spans="1:74">
      <c r="A227" s="17" t="s">
        <v>817</v>
      </c>
      <c r="B227" s="12"/>
      <c r="C227" s="12" t="s">
        <v>42</v>
      </c>
      <c r="D227" s="12"/>
      <c r="E227" s="13">
        <v>45393</v>
      </c>
      <c r="G227" s="1">
        <v>11449591</v>
      </c>
      <c r="I227" s="1">
        <v>2434055</v>
      </c>
      <c r="K227" s="1">
        <v>152227</v>
      </c>
      <c r="M227" s="1">
        <v>0</v>
      </c>
      <c r="O227" s="1">
        <v>1808659</v>
      </c>
      <c r="Q227" s="1">
        <v>1422517</v>
      </c>
      <c r="S227" s="1">
        <v>56395</v>
      </c>
      <c r="U227" s="1">
        <v>1531854</v>
      </c>
      <c r="W227" s="1">
        <v>740438</v>
      </c>
      <c r="Y227" s="1">
        <v>138192</v>
      </c>
      <c r="AA227" s="1">
        <v>2526897</v>
      </c>
      <c r="AC227" s="1">
        <v>1646597</v>
      </c>
      <c r="AE227" s="1">
        <v>365621</v>
      </c>
      <c r="AG227" s="1">
        <v>0</v>
      </c>
      <c r="AI227" s="1">
        <v>935276</v>
      </c>
      <c r="AJ227" s="17" t="s">
        <v>817</v>
      </c>
      <c r="AK227" s="12"/>
      <c r="AL227" s="12" t="s">
        <v>42</v>
      </c>
      <c r="AN227" s="1">
        <v>881991</v>
      </c>
      <c r="AP227" s="1">
        <v>199348</v>
      </c>
      <c r="AR227" s="1">
        <v>0</v>
      </c>
      <c r="AT227" s="1">
        <v>1628238</v>
      </c>
      <c r="AV227" s="1">
        <v>1974732</v>
      </c>
      <c r="AX227" s="1">
        <v>0</v>
      </c>
      <c r="AZ227" s="20">
        <f t="shared" si="18"/>
        <v>29892628</v>
      </c>
      <c r="BB227" s="1">
        <v>16000</v>
      </c>
      <c r="BH227" s="1">
        <v>0</v>
      </c>
      <c r="BJ227" s="20">
        <f t="shared" si="19"/>
        <v>29908628</v>
      </c>
      <c r="BL227" s="20">
        <f>'Gov Fd Rv'!AO227-'Gov Fnd Exp'!BJ227</f>
        <v>-915620</v>
      </c>
      <c r="BN227" s="1">
        <v>8225609</v>
      </c>
      <c r="BP227" s="1">
        <v>0</v>
      </c>
      <c r="BR227" s="1">
        <v>0</v>
      </c>
      <c r="BT227" s="20">
        <f t="shared" si="15"/>
        <v>7309989</v>
      </c>
      <c r="BU227" s="20"/>
      <c r="BV227" s="20">
        <f>BT227-'Gov Fd BS'!AA227</f>
        <v>0</v>
      </c>
    </row>
    <row r="228" spans="1:74">
      <c r="A228" s="12" t="s">
        <v>561</v>
      </c>
      <c r="B228" s="12"/>
      <c r="C228" s="12" t="s">
        <v>59</v>
      </c>
      <c r="D228" s="12"/>
      <c r="E228" s="13">
        <v>49619</v>
      </c>
      <c r="G228" s="1">
        <v>2197601</v>
      </c>
      <c r="I228" s="1">
        <v>831906</v>
      </c>
      <c r="K228" s="1">
        <v>90605</v>
      </c>
      <c r="M228" s="1">
        <v>765876</v>
      </c>
      <c r="O228" s="1">
        <v>411264</v>
      </c>
      <c r="Q228" s="1">
        <v>261033</v>
      </c>
      <c r="S228" s="1">
        <v>37130</v>
      </c>
      <c r="U228" s="1">
        <v>507984</v>
      </c>
      <c r="W228" s="1">
        <v>245102</v>
      </c>
      <c r="Y228" s="1">
        <v>0</v>
      </c>
      <c r="AA228" s="1">
        <v>638777</v>
      </c>
      <c r="AC228" s="1">
        <v>510848</v>
      </c>
      <c r="AE228" s="1">
        <v>0</v>
      </c>
      <c r="AG228" s="1">
        <v>0</v>
      </c>
      <c r="AI228" s="1">
        <v>269613</v>
      </c>
      <c r="AJ228" s="12" t="s">
        <v>561</v>
      </c>
      <c r="AK228" s="12"/>
      <c r="AL228" s="12" t="s">
        <v>59</v>
      </c>
      <c r="AN228" s="1">
        <v>120387</v>
      </c>
      <c r="AP228" s="1">
        <v>233230</v>
      </c>
      <c r="AR228" s="1">
        <v>0</v>
      </c>
      <c r="AT228" s="1">
        <v>8724</v>
      </c>
      <c r="AV228" s="1">
        <v>1392</v>
      </c>
      <c r="AX228" s="1">
        <v>0</v>
      </c>
      <c r="AZ228" s="20">
        <f t="shared" si="18"/>
        <v>7131472</v>
      </c>
      <c r="BB228" s="1">
        <v>0</v>
      </c>
      <c r="BH228" s="1">
        <v>0</v>
      </c>
      <c r="BJ228" s="20">
        <f t="shared" si="19"/>
        <v>7131472</v>
      </c>
      <c r="BL228" s="20">
        <f>'Gov Fd Rv'!AO228-'Gov Fnd Exp'!BJ228</f>
        <v>129686</v>
      </c>
      <c r="BN228" s="1">
        <v>446200</v>
      </c>
      <c r="BP228" s="1">
        <v>0</v>
      </c>
      <c r="BR228" s="1">
        <v>0</v>
      </c>
      <c r="BT228" s="20">
        <f t="shared" ref="BT228:BT297" si="20">BL228+BN228+BP228+BR228</f>
        <v>575886</v>
      </c>
      <c r="BU228" s="20"/>
      <c r="BV228" s="20">
        <f>BT228-'Gov Fd BS'!AA228</f>
        <v>0</v>
      </c>
    </row>
    <row r="229" spans="1:74">
      <c r="A229" s="12" t="s">
        <v>561</v>
      </c>
      <c r="B229" s="12"/>
      <c r="C229" s="12" t="s">
        <v>63</v>
      </c>
      <c r="D229" s="12"/>
      <c r="E229" s="13">
        <v>50013</v>
      </c>
      <c r="G229" s="1">
        <v>15870050</v>
      </c>
      <c r="I229" s="1">
        <v>5137892</v>
      </c>
      <c r="K229" s="1">
        <v>154346</v>
      </c>
      <c r="M229" s="1">
        <f>67495+958562</f>
        <v>1026057</v>
      </c>
      <c r="O229" s="1">
        <v>2392832</v>
      </c>
      <c r="Q229" s="1">
        <v>2785528</v>
      </c>
      <c r="S229" s="1">
        <v>37061</v>
      </c>
      <c r="U229" s="1">
        <v>2541665</v>
      </c>
      <c r="W229" s="1">
        <v>1119807</v>
      </c>
      <c r="Y229" s="1">
        <v>189089</v>
      </c>
      <c r="AA229" s="1">
        <v>3258842</v>
      </c>
      <c r="AC229" s="1">
        <v>1657091</v>
      </c>
      <c r="AE229" s="1">
        <v>18161</v>
      </c>
      <c r="AG229" s="1">
        <v>1384222</v>
      </c>
      <c r="AI229" s="1">
        <v>125470</v>
      </c>
      <c r="AJ229" s="12" t="s">
        <v>561</v>
      </c>
      <c r="AK229" s="12"/>
      <c r="AL229" s="12" t="s">
        <v>63</v>
      </c>
      <c r="AN229" s="1">
        <v>1119010</v>
      </c>
      <c r="AP229" s="1">
        <v>1546718</v>
      </c>
      <c r="AR229" s="1">
        <v>0</v>
      </c>
      <c r="AT229" s="1">
        <v>1304513</v>
      </c>
      <c r="AV229" s="1">
        <v>864151</v>
      </c>
      <c r="AX229" s="1">
        <v>0</v>
      </c>
      <c r="AZ229" s="20">
        <f t="shared" si="18"/>
        <v>42532505</v>
      </c>
      <c r="BB229" s="1">
        <v>104518</v>
      </c>
      <c r="BH229" s="1">
        <v>0</v>
      </c>
      <c r="BJ229" s="20">
        <f>AZ229+BB229+BH229</f>
        <v>42637023</v>
      </c>
      <c r="BL229" s="20">
        <f>'Gov Fd Rv'!AO229-'Gov Fnd Exp'!BJ229</f>
        <v>-1339071</v>
      </c>
      <c r="BN229" s="1">
        <v>521945</v>
      </c>
      <c r="BP229" s="1">
        <v>0</v>
      </c>
      <c r="BR229" s="1">
        <v>0</v>
      </c>
      <c r="BT229" s="20">
        <f t="shared" si="20"/>
        <v>-817126</v>
      </c>
      <c r="BU229" s="20"/>
      <c r="BV229" s="20">
        <f>BT229-'Gov Fd BS'!AA229</f>
        <v>0</v>
      </c>
    </row>
    <row r="230" spans="1:74" hidden="1">
      <c r="A230" s="17" t="s">
        <v>934</v>
      </c>
      <c r="B230" s="12"/>
      <c r="C230" s="12" t="s">
        <v>71</v>
      </c>
      <c r="D230" s="12"/>
      <c r="E230" s="13">
        <v>50559</v>
      </c>
      <c r="AJ230" s="17" t="s">
        <v>934</v>
      </c>
      <c r="AK230" s="12"/>
      <c r="AL230" s="12" t="s">
        <v>71</v>
      </c>
      <c r="AZ230" s="20">
        <f t="shared" si="18"/>
        <v>0</v>
      </c>
      <c r="BJ230" s="20">
        <f>AZ230+BB230+BH230</f>
        <v>0</v>
      </c>
      <c r="BL230" s="20">
        <f>'Gov Fd Rv'!AO230-'Gov Fnd Exp'!BJ230</f>
        <v>0</v>
      </c>
      <c r="BT230" s="20">
        <f t="shared" si="20"/>
        <v>0</v>
      </c>
      <c r="BU230" s="20"/>
      <c r="BV230" s="20">
        <f>BT230-'Gov Fd BS'!AA230</f>
        <v>0</v>
      </c>
    </row>
    <row r="231" spans="1:74">
      <c r="A231" s="12" t="s">
        <v>358</v>
      </c>
      <c r="B231" s="12"/>
      <c r="C231" s="12" t="s">
        <v>116</v>
      </c>
      <c r="D231" s="12"/>
      <c r="E231" s="13">
        <v>47266</v>
      </c>
      <c r="G231" s="1">
        <v>5360866</v>
      </c>
      <c r="I231" s="1">
        <v>1137313</v>
      </c>
      <c r="K231" s="1">
        <v>108058</v>
      </c>
      <c r="M231" s="1">
        <v>13365</v>
      </c>
      <c r="O231" s="1">
        <v>1265010</v>
      </c>
      <c r="Q231" s="1">
        <v>744663</v>
      </c>
      <c r="S231" s="1">
        <v>81637</v>
      </c>
      <c r="U231" s="1">
        <v>1160311</v>
      </c>
      <c r="W231" s="1">
        <v>364743</v>
      </c>
      <c r="Y231" s="1">
        <v>0</v>
      </c>
      <c r="AA231" s="1">
        <v>938395</v>
      </c>
      <c r="AC231" s="1">
        <v>857670</v>
      </c>
      <c r="AE231" s="1">
        <v>0</v>
      </c>
      <c r="AG231" s="1">
        <v>0</v>
      </c>
      <c r="AI231" s="1">
        <v>310393</v>
      </c>
      <c r="AJ231" s="12" t="s">
        <v>358</v>
      </c>
      <c r="AK231" s="12"/>
      <c r="AL231" s="12" t="s">
        <v>116</v>
      </c>
      <c r="AN231" s="1">
        <v>377723</v>
      </c>
      <c r="AP231" s="1">
        <v>610169</v>
      </c>
      <c r="AR231" s="1">
        <v>0</v>
      </c>
      <c r="AT231" s="1">
        <v>305000</v>
      </c>
      <c r="AV231" s="1">
        <v>315116</v>
      </c>
      <c r="AX231" s="1">
        <v>0</v>
      </c>
      <c r="AZ231" s="20">
        <f t="shared" si="18"/>
        <v>13950432</v>
      </c>
      <c r="BB231" s="1">
        <v>79515</v>
      </c>
      <c r="BH231" s="1">
        <v>0</v>
      </c>
      <c r="BJ231" s="20">
        <f t="shared" ref="BJ231" si="21">AZ231+BB231+BH231</f>
        <v>14029947</v>
      </c>
      <c r="BL231" s="20">
        <f>'Gov Fd Rv'!AO231-'Gov Fnd Exp'!BJ231</f>
        <v>3729246</v>
      </c>
      <c r="BN231" s="1">
        <v>4866074</v>
      </c>
      <c r="BP231" s="1">
        <v>0</v>
      </c>
      <c r="BR231" s="1">
        <v>0</v>
      </c>
      <c r="BT231" s="20">
        <f t="shared" si="20"/>
        <v>8595320</v>
      </c>
      <c r="BU231" s="20"/>
      <c r="BV231" s="20">
        <f>BT231-'Gov Fd BS'!AA231</f>
        <v>0</v>
      </c>
    </row>
    <row r="232" spans="1:74">
      <c r="A232" s="12" t="s">
        <v>397</v>
      </c>
      <c r="B232" s="12"/>
      <c r="C232" s="12" t="s">
        <v>395</v>
      </c>
      <c r="D232" s="12"/>
      <c r="E232" s="13">
        <v>45401</v>
      </c>
      <c r="G232" s="1">
        <v>8758642</v>
      </c>
      <c r="I232" s="1">
        <v>1930892</v>
      </c>
      <c r="K232" s="1">
        <v>504056</v>
      </c>
      <c r="M232" s="1">
        <v>904510</v>
      </c>
      <c r="O232" s="1">
        <v>814365</v>
      </c>
      <c r="Q232" s="1">
        <v>377830</v>
      </c>
      <c r="S232" s="1">
        <v>47850</v>
      </c>
      <c r="U232" s="1">
        <v>1607542</v>
      </c>
      <c r="W232" s="1">
        <v>403563</v>
      </c>
      <c r="Y232" s="1">
        <v>0</v>
      </c>
      <c r="AA232" s="1">
        <v>2076200</v>
      </c>
      <c r="AC232" s="1">
        <v>947033</v>
      </c>
      <c r="AE232" s="1">
        <v>56296</v>
      </c>
      <c r="AG232" s="1">
        <v>0</v>
      </c>
      <c r="AI232" s="1">
        <v>724839</v>
      </c>
      <c r="AJ232" s="12" t="s">
        <v>397</v>
      </c>
      <c r="AK232" s="12"/>
      <c r="AL232" s="12" t="s">
        <v>395</v>
      </c>
      <c r="AN232" s="1">
        <v>327833</v>
      </c>
      <c r="AP232" s="1">
        <v>520</v>
      </c>
      <c r="AR232" s="1">
        <v>0</v>
      </c>
      <c r="AT232" s="1">
        <v>182604</v>
      </c>
      <c r="AV232" s="1">
        <f>133158+48015</f>
        <v>181173</v>
      </c>
      <c r="AX232" s="1">
        <v>0</v>
      </c>
      <c r="AZ232" s="20">
        <f t="shared" si="18"/>
        <v>19845748</v>
      </c>
      <c r="BB232" s="1">
        <v>375000</v>
      </c>
      <c r="BH232" s="1">
        <v>1485347</v>
      </c>
      <c r="BJ232" s="20">
        <f t="shared" si="19"/>
        <v>21706095</v>
      </c>
      <c r="BL232" s="20">
        <f>'Gov Fd Rv'!AO232-'Gov Fnd Exp'!BJ232</f>
        <v>2121988</v>
      </c>
      <c r="BN232" s="1">
        <v>5712974</v>
      </c>
      <c r="BP232" s="1">
        <v>0</v>
      </c>
      <c r="BR232" s="1">
        <v>0</v>
      </c>
      <c r="BT232" s="20">
        <f t="shared" si="20"/>
        <v>7834962</v>
      </c>
      <c r="BU232" s="20"/>
      <c r="BV232" s="20">
        <f>BT232-'Gov Fd BS'!AA232</f>
        <v>0</v>
      </c>
    </row>
    <row r="233" spans="1:74">
      <c r="A233" s="12" t="s">
        <v>246</v>
      </c>
      <c r="B233" s="12"/>
      <c r="C233" s="12" t="s">
        <v>17</v>
      </c>
      <c r="D233" s="12"/>
      <c r="E233" s="13">
        <v>46235</v>
      </c>
      <c r="G233" s="1">
        <v>7150894</v>
      </c>
      <c r="I233" s="1">
        <v>1636575</v>
      </c>
      <c r="K233" s="1">
        <v>525449</v>
      </c>
      <c r="M233" s="1">
        <v>403515</v>
      </c>
      <c r="O233" s="1">
        <v>622234</v>
      </c>
      <c r="Q233" s="1">
        <v>420218</v>
      </c>
      <c r="S233" s="1">
        <v>117610</v>
      </c>
      <c r="U233" s="1">
        <v>1472537</v>
      </c>
      <c r="W233" s="1">
        <v>514045</v>
      </c>
      <c r="Y233" s="1">
        <v>191618</v>
      </c>
      <c r="AA233" s="1">
        <v>1386187</v>
      </c>
      <c r="AC233" s="1">
        <v>1145852</v>
      </c>
      <c r="AE233" s="1">
        <v>178891</v>
      </c>
      <c r="AG233" s="1">
        <v>0</v>
      </c>
      <c r="AI233" s="1">
        <v>684274</v>
      </c>
      <c r="AJ233" s="12" t="s">
        <v>246</v>
      </c>
      <c r="AK233" s="12"/>
      <c r="AL233" s="12" t="s">
        <v>17</v>
      </c>
      <c r="AN233" s="1">
        <v>412274</v>
      </c>
      <c r="AP233" s="1">
        <v>106289</v>
      </c>
      <c r="AR233" s="1">
        <v>0</v>
      </c>
      <c r="AT233" s="1">
        <v>23295</v>
      </c>
      <c r="AV233" s="1">
        <v>2342</v>
      </c>
      <c r="AX233" s="1">
        <v>0</v>
      </c>
      <c r="AZ233" s="20">
        <f t="shared" si="18"/>
        <v>16994099</v>
      </c>
      <c r="BB233" s="1">
        <v>0</v>
      </c>
      <c r="BH233" s="1">
        <v>0</v>
      </c>
      <c r="BJ233" s="20">
        <f t="shared" si="19"/>
        <v>16994099</v>
      </c>
      <c r="BL233" s="20">
        <f>'Gov Fd Rv'!AO233-'Gov Fnd Exp'!BJ233</f>
        <v>-227416</v>
      </c>
      <c r="BN233" s="1">
        <v>3209831</v>
      </c>
      <c r="BP233" s="1">
        <v>0</v>
      </c>
      <c r="BR233" s="1">
        <v>0</v>
      </c>
      <c r="BT233" s="20">
        <f t="shared" si="20"/>
        <v>2982415</v>
      </c>
      <c r="BU233" s="20"/>
      <c r="BV233" s="20">
        <f>BT233-'Gov Fd BS'!AA233</f>
        <v>0</v>
      </c>
    </row>
    <row r="234" spans="1:74">
      <c r="A234" s="12" t="s">
        <v>309</v>
      </c>
      <c r="B234" s="12"/>
      <c r="C234" s="12" t="s">
        <v>21</v>
      </c>
      <c r="D234" s="12"/>
      <c r="E234" s="13">
        <v>44099</v>
      </c>
      <c r="G234" s="1">
        <v>11898288</v>
      </c>
      <c r="I234" s="1">
        <v>3512114</v>
      </c>
      <c r="K234" s="1">
        <v>1770248</v>
      </c>
      <c r="M234" s="1">
        <f>36590+241392</f>
        <v>277982</v>
      </c>
      <c r="O234" s="1">
        <v>1147696</v>
      </c>
      <c r="Q234" s="1">
        <v>1657076</v>
      </c>
      <c r="S234" s="1">
        <v>153743</v>
      </c>
      <c r="U234" s="1">
        <v>2005717</v>
      </c>
      <c r="W234" s="1">
        <v>737985</v>
      </c>
      <c r="Y234" s="1">
        <v>14113</v>
      </c>
      <c r="AA234" s="1">
        <v>1519675</v>
      </c>
      <c r="AC234" s="1">
        <v>1044809</v>
      </c>
      <c r="AE234" s="1">
        <v>234664</v>
      </c>
      <c r="AG234" s="1">
        <v>0</v>
      </c>
      <c r="AI234" s="1">
        <v>1003027</v>
      </c>
      <c r="AJ234" s="12" t="s">
        <v>309</v>
      </c>
      <c r="AK234" s="12"/>
      <c r="AL234" s="12" t="s">
        <v>21</v>
      </c>
      <c r="AN234" s="1">
        <v>595277</v>
      </c>
      <c r="AP234" s="1">
        <v>130648</v>
      </c>
      <c r="AR234" s="1">
        <v>0</v>
      </c>
      <c r="AT234" s="1">
        <v>0</v>
      </c>
      <c r="AV234" s="1">
        <v>0</v>
      </c>
      <c r="AX234" s="1">
        <v>0</v>
      </c>
      <c r="AZ234" s="20">
        <f t="shared" si="18"/>
        <v>27703062</v>
      </c>
      <c r="BB234" s="1">
        <v>189739</v>
      </c>
      <c r="BH234" s="1">
        <v>0</v>
      </c>
      <c r="BJ234" s="20">
        <f t="shared" si="19"/>
        <v>27892801</v>
      </c>
      <c r="BL234" s="20">
        <f>'Gov Fd Rv'!AO234-'Gov Fnd Exp'!BJ234</f>
        <v>2445287</v>
      </c>
      <c r="BN234" s="1">
        <v>6462601</v>
      </c>
      <c r="BP234" s="1">
        <v>0</v>
      </c>
      <c r="BR234" s="1">
        <v>0</v>
      </c>
      <c r="BT234" s="20">
        <f t="shared" si="20"/>
        <v>8907888</v>
      </c>
      <c r="BU234" s="20"/>
      <c r="BV234" s="20">
        <f>BT234-'Gov Fd BS'!AA234</f>
        <v>0</v>
      </c>
    </row>
    <row r="235" spans="1:74">
      <c r="A235" s="12" t="s">
        <v>335</v>
      </c>
      <c r="B235" s="12"/>
      <c r="C235" s="12" t="s">
        <v>27</v>
      </c>
      <c r="D235" s="12"/>
      <c r="E235" s="13">
        <v>46979</v>
      </c>
      <c r="G235" s="1">
        <v>31283692</v>
      </c>
      <c r="I235" s="1">
        <v>8651098</v>
      </c>
      <c r="K235" s="1">
        <v>156187</v>
      </c>
      <c r="M235" s="1">
        <v>1556531</v>
      </c>
      <c r="O235" s="1">
        <v>2841513</v>
      </c>
      <c r="Q235" s="1">
        <v>4258251</v>
      </c>
      <c r="S235" s="1">
        <v>1255682</v>
      </c>
      <c r="U235" s="1">
        <v>3839367</v>
      </c>
      <c r="W235" s="1">
        <v>1272429</v>
      </c>
      <c r="Y235" s="1">
        <v>99146</v>
      </c>
      <c r="AA235" s="1">
        <v>4831106</v>
      </c>
      <c r="AC235" s="1">
        <v>5790392</v>
      </c>
      <c r="AE235" s="1">
        <v>679472</v>
      </c>
      <c r="AG235" s="1">
        <v>0</v>
      </c>
      <c r="AI235" s="1">
        <v>2750948</v>
      </c>
      <c r="AJ235" s="12" t="s">
        <v>335</v>
      </c>
      <c r="AK235" s="12"/>
      <c r="AL235" s="12" t="s">
        <v>27</v>
      </c>
      <c r="AN235" s="1">
        <v>713081</v>
      </c>
      <c r="AP235" s="1">
        <v>309723</v>
      </c>
      <c r="AR235" s="1">
        <v>0</v>
      </c>
      <c r="AT235" s="1">
        <v>145000</v>
      </c>
      <c r="AV235" s="1">
        <v>18551</v>
      </c>
      <c r="AX235" s="1">
        <v>0</v>
      </c>
      <c r="AZ235" s="20">
        <f t="shared" si="18"/>
        <v>70452169</v>
      </c>
      <c r="BB235" s="1">
        <v>252275</v>
      </c>
      <c r="BH235" s="1">
        <v>0</v>
      </c>
      <c r="BJ235" s="20">
        <f t="shared" si="19"/>
        <v>70704444</v>
      </c>
      <c r="BL235" s="20">
        <f>'Gov Fd Rv'!AO235-'Gov Fnd Exp'!BJ235</f>
        <v>855914</v>
      </c>
      <c r="BN235" s="1">
        <v>5388871</v>
      </c>
      <c r="BP235" s="1">
        <v>0</v>
      </c>
      <c r="BR235" s="1">
        <v>0</v>
      </c>
      <c r="BT235" s="20">
        <f t="shared" si="20"/>
        <v>6244785</v>
      </c>
      <c r="BU235" s="20"/>
      <c r="BV235" s="20">
        <f>BT235-'Gov Fd BS'!AA235</f>
        <v>0</v>
      </c>
    </row>
    <row r="236" spans="1:74">
      <c r="A236" s="12" t="s">
        <v>229</v>
      </c>
      <c r="B236" s="12"/>
      <c r="C236" s="12" t="s">
        <v>227</v>
      </c>
      <c r="D236" s="12"/>
      <c r="E236" s="13">
        <v>44107</v>
      </c>
      <c r="G236" s="1">
        <v>38721903</v>
      </c>
      <c r="I236" s="1">
        <v>13074142</v>
      </c>
      <c r="K236" s="1">
        <v>1764699</v>
      </c>
      <c r="M236" s="1">
        <v>247788</v>
      </c>
      <c r="O236" s="1">
        <v>6155258</v>
      </c>
      <c r="Q236" s="1">
        <v>5368453</v>
      </c>
      <c r="S236" s="1">
        <v>413412</v>
      </c>
      <c r="U236" s="1">
        <v>4755751</v>
      </c>
      <c r="W236" s="1">
        <v>1199408</v>
      </c>
      <c r="Y236" s="1">
        <v>373886</v>
      </c>
      <c r="AA236" s="1">
        <v>7838622</v>
      </c>
      <c r="AC236" s="1">
        <v>3020859</v>
      </c>
      <c r="AE236" s="1">
        <v>849337</v>
      </c>
      <c r="AG236" s="1">
        <v>4801759</v>
      </c>
      <c r="AI236" s="1">
        <v>28166</v>
      </c>
      <c r="AJ236" s="12" t="s">
        <v>229</v>
      </c>
      <c r="AK236" s="12"/>
      <c r="AL236" s="12" t="s">
        <v>227</v>
      </c>
      <c r="AN236" s="1">
        <v>1091634</v>
      </c>
      <c r="AP236" s="1">
        <v>69877032</v>
      </c>
      <c r="AR236" s="1">
        <v>0</v>
      </c>
      <c r="AT236" s="1">
        <v>3165900</v>
      </c>
      <c r="AV236" s="1">
        <v>5173358</v>
      </c>
      <c r="AX236" s="1">
        <v>0</v>
      </c>
      <c r="AZ236" s="20">
        <f t="shared" si="18"/>
        <v>167921367</v>
      </c>
      <c r="BB236" s="1">
        <v>289311</v>
      </c>
      <c r="BH236" s="1">
        <v>0</v>
      </c>
      <c r="BJ236" s="20">
        <f t="shared" si="19"/>
        <v>168210678</v>
      </c>
      <c r="BL236" s="20">
        <f>'Gov Fd Rv'!AO236-'Gov Fnd Exp'!BJ236</f>
        <v>-38286633</v>
      </c>
      <c r="BN236" s="1">
        <v>97714901</v>
      </c>
      <c r="BP236" s="1">
        <v>0</v>
      </c>
      <c r="BR236" s="1">
        <v>0</v>
      </c>
      <c r="BT236" s="20">
        <f t="shared" si="20"/>
        <v>59428268</v>
      </c>
      <c r="BU236" s="20"/>
      <c r="BV236" s="20">
        <f>BT236-'Gov Fd BS'!AA236</f>
        <v>0</v>
      </c>
    </row>
    <row r="237" spans="1:74">
      <c r="A237" s="17" t="s">
        <v>935</v>
      </c>
      <c r="B237" s="12"/>
      <c r="C237" s="12" t="s">
        <v>27</v>
      </c>
      <c r="D237" s="12"/>
      <c r="E237" s="13">
        <v>46953</v>
      </c>
      <c r="G237" s="1">
        <v>9540335</v>
      </c>
      <c r="I237" s="1">
        <v>3758820</v>
      </c>
      <c r="K237" s="1">
        <v>198477</v>
      </c>
      <c r="M237" s="1">
        <v>1641945</v>
      </c>
      <c r="O237" s="1">
        <v>2481331</v>
      </c>
      <c r="Q237" s="1">
        <v>610287</v>
      </c>
      <c r="S237" s="1">
        <v>4302</v>
      </c>
      <c r="U237" s="1">
        <v>2214352</v>
      </c>
      <c r="W237" s="1">
        <v>1001300</v>
      </c>
      <c r="Y237" s="1">
        <v>6098</v>
      </c>
      <c r="AA237" s="1">
        <v>2836124</v>
      </c>
      <c r="AC237" s="1">
        <v>1169861</v>
      </c>
      <c r="AE237" s="1">
        <v>49687</v>
      </c>
      <c r="AG237" s="1">
        <v>0</v>
      </c>
      <c r="AI237" s="1">
        <v>1386425</v>
      </c>
      <c r="AJ237" s="17" t="s">
        <v>935</v>
      </c>
      <c r="AK237" s="12"/>
      <c r="AL237" s="12" t="s">
        <v>27</v>
      </c>
      <c r="AN237" s="1">
        <v>678217</v>
      </c>
      <c r="AP237" s="1">
        <v>2565489</v>
      </c>
      <c r="AR237" s="1">
        <v>0</v>
      </c>
      <c r="AT237" s="1">
        <v>745000</v>
      </c>
      <c r="AV237" s="1">
        <v>1115355</v>
      </c>
      <c r="AX237" s="1">
        <v>0</v>
      </c>
      <c r="AZ237" s="20">
        <f t="shared" si="18"/>
        <v>32003405</v>
      </c>
      <c r="BB237" s="1">
        <v>508140</v>
      </c>
      <c r="BH237" s="1">
        <v>0</v>
      </c>
      <c r="BJ237" s="20">
        <f t="shared" si="19"/>
        <v>32511545</v>
      </c>
      <c r="BL237" s="20">
        <f>'Gov Fd Rv'!AO237-'Gov Fnd Exp'!BJ237</f>
        <v>-1891108</v>
      </c>
      <c r="BN237" s="1">
        <v>11661016</v>
      </c>
      <c r="BP237" s="1">
        <v>-4310</v>
      </c>
      <c r="BR237" s="1">
        <v>0</v>
      </c>
      <c r="BT237" s="20">
        <f t="shared" si="20"/>
        <v>9765598</v>
      </c>
      <c r="BU237" s="20"/>
      <c r="BV237" s="20">
        <f>BT237-'Gov Fd BS'!AA237</f>
        <v>0</v>
      </c>
    </row>
    <row r="238" spans="1:74">
      <c r="A238" s="12" t="s">
        <v>384</v>
      </c>
      <c r="B238" s="12"/>
      <c r="C238" s="12" t="s">
        <v>383</v>
      </c>
      <c r="D238" s="12"/>
      <c r="E238" s="13">
        <v>47498</v>
      </c>
      <c r="G238" s="1">
        <v>2442608</v>
      </c>
      <c r="I238" s="1">
        <v>433928</v>
      </c>
      <c r="K238" s="1">
        <v>225864</v>
      </c>
      <c r="M238" s="1">
        <v>0</v>
      </c>
      <c r="O238" s="1">
        <v>154786</v>
      </c>
      <c r="Q238" s="1">
        <v>151945</v>
      </c>
      <c r="S238" s="1">
        <v>41638</v>
      </c>
      <c r="U238" s="1">
        <v>494924</v>
      </c>
      <c r="W238" s="1">
        <v>206124</v>
      </c>
      <c r="Y238" s="1">
        <v>0</v>
      </c>
      <c r="AA238" s="1">
        <v>303997</v>
      </c>
      <c r="AC238" s="1">
        <v>235760</v>
      </c>
      <c r="AE238" s="1">
        <v>0</v>
      </c>
      <c r="AG238" s="1">
        <v>0</v>
      </c>
      <c r="AI238" s="1">
        <v>176033</v>
      </c>
      <c r="AJ238" s="12" t="s">
        <v>384</v>
      </c>
      <c r="AK238" s="12"/>
      <c r="AL238" s="12" t="s">
        <v>383</v>
      </c>
      <c r="AN238" s="1">
        <v>190297</v>
      </c>
      <c r="AP238" s="1">
        <v>6812633</v>
      </c>
      <c r="AR238" s="1">
        <v>0</v>
      </c>
      <c r="AT238" s="1">
        <v>101820</v>
      </c>
      <c r="AV238" s="1">
        <v>209951</v>
      </c>
      <c r="AX238" s="1">
        <v>0</v>
      </c>
      <c r="AZ238" s="20">
        <f t="shared" si="18"/>
        <v>12182308</v>
      </c>
      <c r="BB238" s="1">
        <v>9500</v>
      </c>
      <c r="BH238" s="1">
        <v>0</v>
      </c>
      <c r="BJ238" s="20">
        <f t="shared" si="19"/>
        <v>12191808</v>
      </c>
      <c r="BL238" s="20">
        <f>'Gov Fd Rv'!AO238-'Gov Fnd Exp'!BJ238</f>
        <v>-1475689</v>
      </c>
      <c r="BN238" s="1">
        <v>9896210</v>
      </c>
      <c r="BP238" s="1">
        <v>0</v>
      </c>
      <c r="BR238" s="1">
        <v>0</v>
      </c>
      <c r="BT238" s="20">
        <f t="shared" si="20"/>
        <v>8420521</v>
      </c>
      <c r="BU238" s="20"/>
      <c r="BV238" s="20">
        <f>BT238-'Gov Fd BS'!AA238</f>
        <v>0</v>
      </c>
    </row>
    <row r="239" spans="1:74" hidden="1">
      <c r="A239" s="17" t="s">
        <v>936</v>
      </c>
      <c r="B239" s="12"/>
      <c r="C239" s="12" t="s">
        <v>61</v>
      </c>
      <c r="D239" s="12"/>
      <c r="E239" s="13">
        <v>49791</v>
      </c>
      <c r="AJ239" s="17" t="s">
        <v>936</v>
      </c>
      <c r="AK239" s="12"/>
      <c r="AL239" s="12" t="s">
        <v>61</v>
      </c>
      <c r="AZ239" s="20">
        <f t="shared" si="18"/>
        <v>0</v>
      </c>
      <c r="BJ239" s="20">
        <f t="shared" si="19"/>
        <v>0</v>
      </c>
      <c r="BL239" s="20">
        <f>'Gov Fd Rv'!AO239-'Gov Fnd Exp'!BJ239</f>
        <v>0</v>
      </c>
      <c r="BT239" s="20">
        <f t="shared" si="20"/>
        <v>0</v>
      </c>
      <c r="BU239" s="20"/>
      <c r="BV239" s="20">
        <f>BT239-'Gov Fd BS'!AA239</f>
        <v>0</v>
      </c>
    </row>
    <row r="240" spans="1:74">
      <c r="A240" s="12" t="s">
        <v>389</v>
      </c>
      <c r="B240" s="12"/>
      <c r="C240" s="12" t="s">
        <v>388</v>
      </c>
      <c r="D240" s="12"/>
      <c r="E240" s="13">
        <v>45245</v>
      </c>
      <c r="G240" s="1">
        <v>8759880</v>
      </c>
      <c r="I240" s="1">
        <v>1847729</v>
      </c>
      <c r="K240" s="1">
        <v>457199</v>
      </c>
      <c r="M240" s="1">
        <v>652141</v>
      </c>
      <c r="O240" s="1">
        <v>1071147</v>
      </c>
      <c r="Q240" s="1">
        <v>621244</v>
      </c>
      <c r="S240" s="1">
        <v>151249</v>
      </c>
      <c r="U240" s="1">
        <v>1481451</v>
      </c>
      <c r="W240" s="1">
        <v>543699</v>
      </c>
      <c r="Y240" s="1">
        <v>0</v>
      </c>
      <c r="AA240" s="1">
        <v>1307979</v>
      </c>
      <c r="AC240" s="1">
        <v>1659095</v>
      </c>
      <c r="AE240" s="1">
        <v>335039</v>
      </c>
      <c r="AG240" s="1">
        <v>775151</v>
      </c>
      <c r="AI240" s="1">
        <v>322406</v>
      </c>
      <c r="AJ240" s="12" t="s">
        <v>389</v>
      </c>
      <c r="AK240" s="12"/>
      <c r="AL240" s="12" t="s">
        <v>388</v>
      </c>
      <c r="AN240" s="1">
        <v>345314</v>
      </c>
      <c r="AP240" s="1">
        <v>669672</v>
      </c>
      <c r="AR240" s="1">
        <v>0</v>
      </c>
      <c r="AT240" s="1">
        <v>14076</v>
      </c>
      <c r="AV240" s="1">
        <v>122</v>
      </c>
      <c r="AX240" s="1">
        <v>0</v>
      </c>
      <c r="AZ240" s="20">
        <f t="shared" si="18"/>
        <v>21014593</v>
      </c>
      <c r="BB240" s="1">
        <v>102</v>
      </c>
      <c r="BH240" s="1">
        <v>0</v>
      </c>
      <c r="BJ240" s="20">
        <f t="shared" si="19"/>
        <v>21014695</v>
      </c>
      <c r="BL240" s="20">
        <f>'Gov Fd Rv'!AO240-'Gov Fnd Exp'!BJ240</f>
        <v>-1290536</v>
      </c>
      <c r="BN240" s="1">
        <v>3340557</v>
      </c>
      <c r="BP240" s="1">
        <v>-89420</v>
      </c>
      <c r="BR240" s="1">
        <v>0</v>
      </c>
      <c r="BT240" s="20">
        <f t="shared" si="20"/>
        <v>1960601</v>
      </c>
      <c r="BU240" s="20"/>
      <c r="BV240" s="20">
        <f>BT240-'Gov Fd BS'!AA240</f>
        <v>0</v>
      </c>
    </row>
    <row r="241" spans="1:74">
      <c r="A241" s="12" t="s">
        <v>427</v>
      </c>
      <c r="B241" s="12"/>
      <c r="C241" s="12" t="s">
        <v>42</v>
      </c>
      <c r="D241" s="12"/>
      <c r="E241" s="13">
        <v>44115</v>
      </c>
      <c r="G241" s="1">
        <v>9973182</v>
      </c>
      <c r="I241" s="1">
        <v>0</v>
      </c>
      <c r="K241" s="1">
        <v>0</v>
      </c>
      <c r="M241" s="1">
        <v>0</v>
      </c>
      <c r="O241" s="1">
        <v>982329</v>
      </c>
      <c r="Q241" s="1">
        <v>350625</v>
      </c>
      <c r="S241" s="1">
        <v>11787</v>
      </c>
      <c r="U241" s="1">
        <v>1396787</v>
      </c>
      <c r="W241" s="1">
        <v>496682</v>
      </c>
      <c r="Y241" s="1">
        <v>34831</v>
      </c>
      <c r="AA241" s="1">
        <v>1168957</v>
      </c>
      <c r="AC241" s="1">
        <v>556111</v>
      </c>
      <c r="AE241" s="1">
        <v>279319</v>
      </c>
      <c r="AG241" s="1">
        <v>594848</v>
      </c>
      <c r="AI241" s="1">
        <v>10722</v>
      </c>
      <c r="AJ241" s="12" t="s">
        <v>427</v>
      </c>
      <c r="AK241" s="12"/>
      <c r="AL241" s="12" t="s">
        <v>42</v>
      </c>
      <c r="AN241" s="1">
        <v>543862</v>
      </c>
      <c r="AP241" s="1">
        <v>91484</v>
      </c>
      <c r="AR241" s="1">
        <v>0</v>
      </c>
      <c r="AT241" s="1">
        <v>820875</v>
      </c>
      <c r="AV241" s="1">
        <v>554109</v>
      </c>
      <c r="AX241" s="1">
        <v>0</v>
      </c>
      <c r="AZ241" s="20">
        <f t="shared" si="18"/>
        <v>17866510</v>
      </c>
      <c r="BB241" s="1">
        <v>20000</v>
      </c>
      <c r="BH241" s="1">
        <v>0</v>
      </c>
      <c r="BJ241" s="20">
        <f t="shared" si="19"/>
        <v>17886510</v>
      </c>
      <c r="BL241" s="20">
        <f>'Gov Fd Rv'!AO241-'Gov Fnd Exp'!BJ241</f>
        <v>259559</v>
      </c>
      <c r="BN241" s="1">
        <v>4465851</v>
      </c>
      <c r="BP241" s="1">
        <v>5100</v>
      </c>
      <c r="BR241" s="1">
        <v>0</v>
      </c>
      <c r="BT241" s="20">
        <f t="shared" si="20"/>
        <v>4730510</v>
      </c>
      <c r="BU241" s="20"/>
      <c r="BV241" s="20">
        <f>BT241-'Gov Fd BS'!AA241</f>
        <v>0</v>
      </c>
    </row>
    <row r="242" spans="1:74" hidden="1">
      <c r="A242" s="17" t="s">
        <v>818</v>
      </c>
      <c r="B242" s="12"/>
      <c r="C242" s="12" t="s">
        <v>22</v>
      </c>
      <c r="D242" s="12"/>
      <c r="E242" s="13">
        <v>45419</v>
      </c>
      <c r="AJ242" s="17" t="s">
        <v>818</v>
      </c>
      <c r="AK242" s="12"/>
      <c r="AL242" s="12" t="s">
        <v>22</v>
      </c>
      <c r="AZ242" s="20">
        <f t="shared" si="18"/>
        <v>0</v>
      </c>
      <c r="BJ242" s="20">
        <f t="shared" si="19"/>
        <v>0</v>
      </c>
      <c r="BL242" s="20">
        <f>'Gov Fd Rv'!AO242-'Gov Fnd Exp'!BJ242</f>
        <v>0</v>
      </c>
      <c r="BP242" s="1">
        <v>0</v>
      </c>
      <c r="BT242" s="20">
        <f t="shared" si="20"/>
        <v>0</v>
      </c>
      <c r="BU242" s="20"/>
      <c r="BV242" s="20">
        <f>BT242-'Gov Fd BS'!AA242</f>
        <v>0</v>
      </c>
    </row>
    <row r="243" spans="1:74">
      <c r="A243" s="12" t="s">
        <v>481</v>
      </c>
      <c r="B243" s="12"/>
      <c r="C243" s="12" t="s">
        <v>47</v>
      </c>
      <c r="D243" s="12"/>
      <c r="E243" s="13">
        <v>48496</v>
      </c>
      <c r="G243" s="1">
        <v>12898398</v>
      </c>
      <c r="I243" s="1">
        <v>2831356</v>
      </c>
      <c r="K243" s="1">
        <v>261892</v>
      </c>
      <c r="M243" s="1">
        <v>194788</v>
      </c>
      <c r="O243" s="1">
        <v>1683942</v>
      </c>
      <c r="Q243" s="1">
        <v>2076802</v>
      </c>
      <c r="S243" s="1">
        <v>33645</v>
      </c>
      <c r="U243" s="1">
        <v>2052878</v>
      </c>
      <c r="W243" s="1">
        <v>770401</v>
      </c>
      <c r="Y243" s="1">
        <v>36180</v>
      </c>
      <c r="AA243" s="1">
        <v>2710393</v>
      </c>
      <c r="AC243" s="1">
        <v>1495310</v>
      </c>
      <c r="AE243" s="1">
        <v>250666</v>
      </c>
      <c r="AG243" s="1">
        <v>1046074</v>
      </c>
      <c r="AI243" s="1">
        <v>176825</v>
      </c>
      <c r="AJ243" s="12" t="s">
        <v>481</v>
      </c>
      <c r="AK243" s="12"/>
      <c r="AL243" s="12" t="s">
        <v>47</v>
      </c>
      <c r="AN243" s="1">
        <v>1161036</v>
      </c>
      <c r="AP243" s="1">
        <v>457954</v>
      </c>
      <c r="AR243" s="1">
        <v>0</v>
      </c>
      <c r="AT243" s="1">
        <v>1694042</v>
      </c>
      <c r="AV243" s="1">
        <v>1395159</v>
      </c>
      <c r="AX243" s="1">
        <v>0</v>
      </c>
      <c r="AZ243" s="20">
        <f t="shared" si="18"/>
        <v>33227741</v>
      </c>
      <c r="BB243" s="1">
        <v>27000</v>
      </c>
      <c r="BH243" s="1">
        <v>0</v>
      </c>
      <c r="BJ243" s="20">
        <f t="shared" si="19"/>
        <v>33254741</v>
      </c>
      <c r="BL243" s="20">
        <f>'Gov Fd Rv'!AO243-'Gov Fnd Exp'!BJ243</f>
        <v>-1609261</v>
      </c>
      <c r="BN243" s="1">
        <v>12192341</v>
      </c>
      <c r="BP243" s="1">
        <v>0</v>
      </c>
      <c r="BR243" s="1">
        <v>0</v>
      </c>
      <c r="BT243" s="20">
        <f t="shared" si="20"/>
        <v>10583080</v>
      </c>
      <c r="BU243" s="20"/>
      <c r="BV243" s="20">
        <f>BT243-'Gov Fd BS'!AA243</f>
        <v>0</v>
      </c>
    </row>
    <row r="244" spans="1:74">
      <c r="A244" s="12" t="s">
        <v>481</v>
      </c>
      <c r="B244" s="12"/>
      <c r="C244" s="12" t="s">
        <v>78</v>
      </c>
      <c r="D244" s="12"/>
      <c r="E244" s="13">
        <v>48801</v>
      </c>
      <c r="G244" s="1">
        <v>7170952</v>
      </c>
      <c r="I244" s="1">
        <v>2410588</v>
      </c>
      <c r="K244" s="1">
        <v>153924</v>
      </c>
      <c r="M244" s="1">
        <v>0</v>
      </c>
      <c r="O244" s="1">
        <v>892190</v>
      </c>
      <c r="Q244" s="1">
        <v>909260</v>
      </c>
      <c r="S244" s="1">
        <v>276443</v>
      </c>
      <c r="U244" s="1">
        <v>707654</v>
      </c>
      <c r="W244" s="1">
        <v>397300</v>
      </c>
      <c r="Y244" s="1">
        <v>0</v>
      </c>
      <c r="AA244" s="1">
        <v>1402032</v>
      </c>
      <c r="AC244" s="1">
        <v>1238927</v>
      </c>
      <c r="AE244" s="1">
        <v>7848</v>
      </c>
      <c r="AG244" s="1">
        <v>0</v>
      </c>
      <c r="AI244" s="1">
        <v>739863</v>
      </c>
      <c r="AJ244" s="12" t="s">
        <v>481</v>
      </c>
      <c r="AK244" s="12"/>
      <c r="AL244" s="12" t="s">
        <v>78</v>
      </c>
      <c r="AN244" s="1">
        <v>337653</v>
      </c>
      <c r="AP244" s="1">
        <v>16817133</v>
      </c>
      <c r="AR244" s="1">
        <v>0</v>
      </c>
      <c r="AT244" s="1">
        <v>75263</v>
      </c>
      <c r="AV244" s="1">
        <v>760964</v>
      </c>
      <c r="AX244" s="1">
        <v>0</v>
      </c>
      <c r="AZ244" s="20">
        <f t="shared" si="18"/>
        <v>34297994</v>
      </c>
      <c r="BB244" s="1">
        <v>0</v>
      </c>
      <c r="BH244" s="1">
        <v>0</v>
      </c>
      <c r="BJ244" s="20">
        <f t="shared" si="19"/>
        <v>34297994</v>
      </c>
      <c r="BL244" s="20">
        <f>'Gov Fd Rv'!AO244-'Gov Fnd Exp'!BJ244</f>
        <v>10505788</v>
      </c>
      <c r="BN244" s="1">
        <v>25347663</v>
      </c>
      <c r="BP244" s="1">
        <v>0</v>
      </c>
      <c r="BR244" s="1">
        <v>0</v>
      </c>
      <c r="BT244" s="20">
        <f t="shared" si="20"/>
        <v>35853451</v>
      </c>
      <c r="BU244" s="20"/>
      <c r="BV244" s="20">
        <f>BT244-'Gov Fd BS'!AA244</f>
        <v>0</v>
      </c>
    </row>
    <row r="245" spans="1:74">
      <c r="A245" s="12" t="s">
        <v>337</v>
      </c>
      <c r="B245" s="12"/>
      <c r="C245" s="12" t="s">
        <v>27</v>
      </c>
      <c r="D245" s="12"/>
      <c r="E245" s="13">
        <v>47019</v>
      </c>
      <c r="G245" s="1">
        <v>86028126</v>
      </c>
      <c r="I245" s="1">
        <v>19149813</v>
      </c>
      <c r="K245" s="1">
        <v>1347615</v>
      </c>
      <c r="M245" s="1">
        <v>0</v>
      </c>
      <c r="O245" s="1">
        <v>9889608</v>
      </c>
      <c r="Q245" s="1">
        <v>9676792</v>
      </c>
      <c r="S245" s="1">
        <v>438072</v>
      </c>
      <c r="U245" s="1">
        <v>9877254</v>
      </c>
      <c r="W245" s="1">
        <v>3825655</v>
      </c>
      <c r="Y245" s="1">
        <v>966153</v>
      </c>
      <c r="AA245" s="1">
        <v>16124551</v>
      </c>
      <c r="AC245" s="1">
        <v>7124289</v>
      </c>
      <c r="AE245" s="1">
        <v>665286</v>
      </c>
      <c r="AG245" s="1">
        <v>4695145</v>
      </c>
      <c r="AI245" s="1">
        <v>2553223</v>
      </c>
      <c r="AJ245" s="12" t="s">
        <v>337</v>
      </c>
      <c r="AK245" s="12"/>
      <c r="AL245" s="12" t="s">
        <v>27</v>
      </c>
      <c r="AN245" s="1">
        <v>4630561</v>
      </c>
      <c r="AP245" s="1">
        <v>1813259</v>
      </c>
      <c r="AR245" s="1">
        <v>0</v>
      </c>
      <c r="AT245" s="1">
        <v>3001225</v>
      </c>
      <c r="AV245" s="1">
        <v>6271802</v>
      </c>
      <c r="AX245" s="1">
        <v>0</v>
      </c>
      <c r="AZ245" s="20">
        <f t="shared" si="18"/>
        <v>188078429</v>
      </c>
      <c r="BB245" s="1">
        <v>10073118</v>
      </c>
      <c r="BH245" s="1">
        <v>9226181</v>
      </c>
      <c r="BJ245" s="20">
        <f t="shared" si="19"/>
        <v>207377728</v>
      </c>
      <c r="BL245" s="20">
        <f>'Gov Fd Rv'!AO245-'Gov Fnd Exp'!BJ245</f>
        <v>16406640</v>
      </c>
      <c r="BN245" s="1">
        <v>51544513</v>
      </c>
      <c r="BP245" s="1">
        <v>0</v>
      </c>
      <c r="BR245" s="1">
        <v>0</v>
      </c>
      <c r="BT245" s="20">
        <f t="shared" si="20"/>
        <v>67951153</v>
      </c>
      <c r="BU245" s="20"/>
      <c r="BV245" s="20">
        <f>BT245-'Gov Fd BS'!AA245</f>
        <v>0</v>
      </c>
    </row>
    <row r="246" spans="1:74" hidden="1">
      <c r="A246" s="12" t="s">
        <v>398</v>
      </c>
      <c r="B246" s="12"/>
      <c r="C246" s="12" t="s">
        <v>395</v>
      </c>
      <c r="D246" s="12"/>
      <c r="E246" s="13">
        <v>44123</v>
      </c>
      <c r="AJ246" s="12" t="s">
        <v>398</v>
      </c>
      <c r="AK246" s="12"/>
      <c r="AL246" s="12" t="s">
        <v>395</v>
      </c>
      <c r="AZ246" s="20">
        <f t="shared" si="18"/>
        <v>0</v>
      </c>
      <c r="BJ246" s="20">
        <f t="shared" si="19"/>
        <v>0</v>
      </c>
      <c r="BL246" s="20">
        <f>'Gov Fd Rv'!AO246-'Gov Fnd Exp'!BJ246</f>
        <v>0</v>
      </c>
      <c r="BT246" s="20">
        <f t="shared" si="20"/>
        <v>0</v>
      </c>
      <c r="BU246" s="20"/>
      <c r="BV246" s="20">
        <f>BT246-'Gov Fd BS'!AA246</f>
        <v>0</v>
      </c>
    </row>
    <row r="247" spans="1:74">
      <c r="A247" s="12" t="s">
        <v>207</v>
      </c>
      <c r="B247" s="12"/>
      <c r="C247" s="12" t="s">
        <v>11</v>
      </c>
      <c r="D247" s="12"/>
      <c r="E247" s="13">
        <v>45823</v>
      </c>
      <c r="G247" s="1">
        <v>4595776</v>
      </c>
      <c r="I247" s="1">
        <v>602336</v>
      </c>
      <c r="K247" s="1">
        <v>402281</v>
      </c>
      <c r="M247" s="1">
        <v>240888</v>
      </c>
      <c r="O247" s="1">
        <v>562259</v>
      </c>
      <c r="Q247" s="1">
        <v>317615</v>
      </c>
      <c r="S247" s="1">
        <v>54992</v>
      </c>
      <c r="U247" s="1">
        <v>870762</v>
      </c>
      <c r="W247" s="1">
        <v>351580</v>
      </c>
      <c r="Y247" s="1">
        <v>0</v>
      </c>
      <c r="AA247" s="1">
        <v>696889</v>
      </c>
      <c r="AC247" s="1">
        <v>839678</v>
      </c>
      <c r="AE247" s="1">
        <v>6859</v>
      </c>
      <c r="AG247" s="1">
        <v>354842</v>
      </c>
      <c r="AI247" s="1">
        <v>617</v>
      </c>
      <c r="AJ247" s="12" t="s">
        <v>207</v>
      </c>
      <c r="AK247" s="12"/>
      <c r="AL247" s="12" t="s">
        <v>11</v>
      </c>
      <c r="AN247" s="1">
        <v>460179</v>
      </c>
      <c r="AP247" s="1">
        <v>95971</v>
      </c>
      <c r="AR247" s="1">
        <v>0</v>
      </c>
      <c r="AT247" s="1">
        <v>25000</v>
      </c>
      <c r="AV247" s="1">
        <v>7449</v>
      </c>
      <c r="AX247" s="1">
        <v>0</v>
      </c>
      <c r="AZ247" s="20">
        <f t="shared" si="18"/>
        <v>10485973</v>
      </c>
      <c r="BB247" s="1">
        <v>32449</v>
      </c>
      <c r="BH247" s="1">
        <v>0</v>
      </c>
      <c r="BJ247" s="20">
        <f t="shared" si="19"/>
        <v>10518422</v>
      </c>
      <c r="BL247" s="20">
        <f>'Gov Fd Rv'!AO247-'Gov Fnd Exp'!BJ247</f>
        <v>220521</v>
      </c>
      <c r="BN247" s="1">
        <v>1811655</v>
      </c>
      <c r="BP247" s="1">
        <v>0</v>
      </c>
      <c r="BR247" s="1">
        <v>0</v>
      </c>
      <c r="BT247" s="20">
        <f t="shared" si="20"/>
        <v>2032176</v>
      </c>
      <c r="BU247" s="20"/>
      <c r="BV247" s="20">
        <f>BT247-'Gov Fd BS'!AA247</f>
        <v>0</v>
      </c>
    </row>
    <row r="248" spans="1:74">
      <c r="A248" s="12" t="s">
        <v>390</v>
      </c>
      <c r="B248" s="12"/>
      <c r="C248" s="12" t="s">
        <v>34</v>
      </c>
      <c r="D248" s="12"/>
      <c r="E248" s="13">
        <v>47571</v>
      </c>
      <c r="G248" s="1">
        <v>2469476</v>
      </c>
      <c r="I248" s="1">
        <v>523779</v>
      </c>
      <c r="K248" s="1">
        <v>91480</v>
      </c>
      <c r="M248" s="1">
        <v>0</v>
      </c>
      <c r="O248" s="1">
        <v>239036</v>
      </c>
      <c r="Q248" s="1">
        <v>157759</v>
      </c>
      <c r="S248" s="1">
        <v>17994</v>
      </c>
      <c r="U248" s="1">
        <v>481629</v>
      </c>
      <c r="W248" s="1">
        <v>196369</v>
      </c>
      <c r="Y248" s="1">
        <v>8917</v>
      </c>
      <c r="AA248" s="1">
        <v>357129</v>
      </c>
      <c r="AC248" s="1">
        <v>265007</v>
      </c>
      <c r="AE248" s="1">
        <v>90291</v>
      </c>
      <c r="AG248" s="1">
        <v>0</v>
      </c>
      <c r="AI248" s="1">
        <v>214074</v>
      </c>
      <c r="AJ248" s="12" t="s">
        <v>390</v>
      </c>
      <c r="AK248" s="12"/>
      <c r="AL248" s="12" t="s">
        <v>34</v>
      </c>
      <c r="AN248" s="1">
        <v>234573</v>
      </c>
      <c r="AP248" s="1">
        <v>519986</v>
      </c>
      <c r="AR248" s="1">
        <v>0</v>
      </c>
      <c r="AT248" s="1">
        <v>138474</v>
      </c>
      <c r="AV248" s="1">
        <v>222340</v>
      </c>
      <c r="AX248" s="1">
        <v>0</v>
      </c>
      <c r="AZ248" s="20">
        <f t="shared" si="18"/>
        <v>6228313</v>
      </c>
      <c r="BB248" s="1">
        <v>496773</v>
      </c>
      <c r="BH248" s="1">
        <v>0</v>
      </c>
      <c r="BJ248" s="20">
        <f t="shared" si="19"/>
        <v>6725086</v>
      </c>
      <c r="BL248" s="20">
        <f>'Gov Fd Rv'!AO248-'Gov Fnd Exp'!BJ248</f>
        <v>949413</v>
      </c>
      <c r="BN248" s="1">
        <v>2879415</v>
      </c>
      <c r="BP248" s="1">
        <v>0</v>
      </c>
      <c r="BR248" s="1">
        <v>0</v>
      </c>
      <c r="BT248" s="20">
        <f t="shared" si="20"/>
        <v>3828828</v>
      </c>
      <c r="BU248" s="20"/>
      <c r="BV248" s="20">
        <f>BT248-'Gov Fd BS'!AA248</f>
        <v>0</v>
      </c>
    </row>
    <row r="249" spans="1:74">
      <c r="A249" s="12" t="s">
        <v>604</v>
      </c>
      <c r="B249" s="12"/>
      <c r="C249" s="12" t="s">
        <v>64</v>
      </c>
      <c r="D249" s="12"/>
      <c r="E249" s="12">
        <v>50161</v>
      </c>
      <c r="G249" s="1">
        <v>13320098</v>
      </c>
      <c r="I249" s="1">
        <v>3823068</v>
      </c>
      <c r="K249" s="1">
        <v>608574</v>
      </c>
      <c r="M249" s="1">
        <v>1708193</v>
      </c>
      <c r="O249" s="1">
        <v>1714523</v>
      </c>
      <c r="Q249" s="1">
        <v>1270167</v>
      </c>
      <c r="S249" s="1">
        <v>304684</v>
      </c>
      <c r="U249" s="1">
        <v>2392146</v>
      </c>
      <c r="W249" s="1">
        <v>683516</v>
      </c>
      <c r="Y249" s="1">
        <v>97443</v>
      </c>
      <c r="AA249" s="1">
        <v>2984900</v>
      </c>
      <c r="AC249" s="1">
        <v>1833857</v>
      </c>
      <c r="AE249" s="1">
        <v>13510</v>
      </c>
      <c r="AG249" s="1">
        <v>934743</v>
      </c>
      <c r="AI249" s="1">
        <v>182493</v>
      </c>
      <c r="AJ249" s="12" t="s">
        <v>604</v>
      </c>
      <c r="AK249" s="12"/>
      <c r="AL249" s="12" t="s">
        <v>64</v>
      </c>
      <c r="AN249" s="1">
        <v>699419</v>
      </c>
      <c r="AP249" s="1">
        <v>445572</v>
      </c>
      <c r="AR249" s="1">
        <v>0</v>
      </c>
      <c r="AT249" s="1">
        <v>0</v>
      </c>
      <c r="AV249" s="1">
        <v>0</v>
      </c>
      <c r="AX249" s="1">
        <v>0</v>
      </c>
      <c r="AZ249" s="20">
        <f t="shared" si="18"/>
        <v>33016906</v>
      </c>
      <c r="BB249" s="1">
        <v>0</v>
      </c>
      <c r="BH249" s="1">
        <v>0</v>
      </c>
      <c r="BJ249" s="20">
        <f t="shared" si="19"/>
        <v>33016906</v>
      </c>
      <c r="BL249" s="20">
        <f>'Gov Fd Rv'!AO249-'Gov Fnd Exp'!BJ249</f>
        <v>24222</v>
      </c>
      <c r="BN249" s="1">
        <v>-1374676</v>
      </c>
      <c r="BP249" s="1">
        <v>0</v>
      </c>
      <c r="BR249" s="1">
        <v>0</v>
      </c>
      <c r="BT249" s="20">
        <f t="shared" si="20"/>
        <v>-1350454</v>
      </c>
      <c r="BU249" s="20"/>
      <c r="BV249" s="20">
        <f>BT249-'Gov Fd BS'!AA249</f>
        <v>0</v>
      </c>
    </row>
    <row r="250" spans="1:74">
      <c r="A250" s="12" t="s">
        <v>605</v>
      </c>
      <c r="B250" s="12"/>
      <c r="C250" s="12" t="s">
        <v>64</v>
      </c>
      <c r="D250" s="12"/>
      <c r="E250" s="13">
        <v>45427</v>
      </c>
      <c r="G250" s="1">
        <v>8621997</v>
      </c>
      <c r="I250" s="1">
        <v>1787621</v>
      </c>
      <c r="K250" s="1">
        <v>328084</v>
      </c>
      <c r="M250" s="1">
        <v>549773</v>
      </c>
      <c r="O250" s="1">
        <v>948671</v>
      </c>
      <c r="Q250" s="1">
        <v>733503</v>
      </c>
      <c r="S250" s="1">
        <v>18682</v>
      </c>
      <c r="U250" s="1">
        <v>1396039</v>
      </c>
      <c r="W250" s="1">
        <v>448994</v>
      </c>
      <c r="Y250" s="1">
        <v>19647</v>
      </c>
      <c r="AA250" s="1">
        <v>1935837</v>
      </c>
      <c r="AC250" s="1">
        <v>1082183</v>
      </c>
      <c r="AE250" s="1">
        <v>330076</v>
      </c>
      <c r="AG250" s="1">
        <v>910587</v>
      </c>
      <c r="AI250" s="1">
        <v>404781</v>
      </c>
      <c r="AJ250" s="12" t="s">
        <v>605</v>
      </c>
      <c r="AK250" s="12"/>
      <c r="AL250" s="12" t="s">
        <v>64</v>
      </c>
      <c r="AN250" s="1">
        <v>587331</v>
      </c>
      <c r="AP250" s="1">
        <v>20376819</v>
      </c>
      <c r="AR250" s="1">
        <v>0</v>
      </c>
      <c r="AT250" s="1">
        <v>662822</v>
      </c>
      <c r="AV250" s="1">
        <v>807078</v>
      </c>
      <c r="AX250" s="1">
        <v>0</v>
      </c>
      <c r="AZ250" s="20">
        <f t="shared" si="18"/>
        <v>41950525</v>
      </c>
      <c r="BB250" s="1">
        <v>286687</v>
      </c>
      <c r="BH250" s="1">
        <v>0</v>
      </c>
      <c r="BJ250" s="20">
        <f t="shared" si="19"/>
        <v>42237212</v>
      </c>
      <c r="BL250" s="20">
        <f>'Gov Fd Rv'!AO250-'Gov Fnd Exp'!BJ250</f>
        <v>-2176307</v>
      </c>
      <c r="BN250" s="1">
        <v>34172224</v>
      </c>
      <c r="BP250" s="1">
        <v>0</v>
      </c>
      <c r="BR250" s="1">
        <v>0</v>
      </c>
      <c r="BT250" s="20">
        <f t="shared" si="20"/>
        <v>31995917</v>
      </c>
      <c r="BU250" s="20"/>
      <c r="BV250" s="20">
        <f>BT250-'Gov Fd BS'!AA250</f>
        <v>0</v>
      </c>
    </row>
    <row r="251" spans="1:74">
      <c r="A251" s="12" t="s">
        <v>497</v>
      </c>
      <c r="B251" s="12"/>
      <c r="C251" s="12" t="s">
        <v>50</v>
      </c>
      <c r="D251" s="12"/>
      <c r="E251" s="13">
        <v>48751</v>
      </c>
      <c r="G251" s="1">
        <v>46222098</v>
      </c>
      <c r="I251" s="1">
        <v>0</v>
      </c>
      <c r="K251" s="1">
        <v>0</v>
      </c>
      <c r="M251" s="1">
        <v>0</v>
      </c>
      <c r="O251" s="1">
        <v>3006665</v>
      </c>
      <c r="Q251" s="1">
        <v>4802786</v>
      </c>
      <c r="S251" s="1">
        <v>34682</v>
      </c>
      <c r="U251" s="1">
        <v>4321401</v>
      </c>
      <c r="W251" s="1">
        <v>1054222</v>
      </c>
      <c r="Y251" s="1">
        <v>541685</v>
      </c>
      <c r="AA251" s="1">
        <v>4819065</v>
      </c>
      <c r="AC251" s="1">
        <v>3399072</v>
      </c>
      <c r="AE251" s="1">
        <v>596321</v>
      </c>
      <c r="AG251" s="1">
        <v>2335947</v>
      </c>
      <c r="AI251" s="1">
        <v>549673</v>
      </c>
      <c r="AJ251" s="12" t="s">
        <v>497</v>
      </c>
      <c r="AK251" s="12"/>
      <c r="AL251" s="12" t="s">
        <v>50</v>
      </c>
      <c r="AN251" s="1">
        <v>1064298</v>
      </c>
      <c r="AP251" s="1">
        <v>9783359</v>
      </c>
      <c r="AR251" s="1">
        <v>0</v>
      </c>
      <c r="AT251" s="1">
        <v>2187747</v>
      </c>
      <c r="AV251" s="1">
        <v>3505700</v>
      </c>
      <c r="AX251" s="1">
        <v>0</v>
      </c>
      <c r="AZ251" s="20">
        <f t="shared" si="18"/>
        <v>88224721</v>
      </c>
      <c r="BB251" s="1">
        <v>1424739</v>
      </c>
      <c r="BH251" s="1">
        <v>0</v>
      </c>
      <c r="BJ251" s="20">
        <f t="shared" si="19"/>
        <v>89649460</v>
      </c>
      <c r="BL251" s="20">
        <f>'Gov Fd Rv'!AO251-'Gov Fnd Exp'!BJ251</f>
        <v>102451433</v>
      </c>
      <c r="BN251" s="1">
        <v>27467176</v>
      </c>
      <c r="BP251" s="1">
        <v>-125234</v>
      </c>
      <c r="BR251" s="1">
        <v>0</v>
      </c>
      <c r="BT251" s="20">
        <f t="shared" si="20"/>
        <v>129793375</v>
      </c>
      <c r="BU251" s="20"/>
      <c r="BV251" s="20">
        <f>BT251-'Gov Fd BS'!AA251</f>
        <v>0</v>
      </c>
    </row>
    <row r="252" spans="1:74">
      <c r="A252" s="12" t="s">
        <v>590</v>
      </c>
      <c r="B252" s="12"/>
      <c r="C252" s="12" t="s">
        <v>63</v>
      </c>
      <c r="D252" s="12"/>
      <c r="E252" s="13">
        <v>50021</v>
      </c>
      <c r="G252" s="1">
        <v>30065006</v>
      </c>
      <c r="I252" s="1">
        <v>6748321</v>
      </c>
      <c r="K252" s="1">
        <v>405644</v>
      </c>
      <c r="M252" s="1">
        <v>1024287</v>
      </c>
      <c r="O252" s="1">
        <v>4739136</v>
      </c>
      <c r="Q252" s="1">
        <v>5354574</v>
      </c>
      <c r="S252" s="1">
        <v>37223</v>
      </c>
      <c r="U252" s="1">
        <v>4567935</v>
      </c>
      <c r="W252" s="1">
        <v>1662388</v>
      </c>
      <c r="Y252" s="1">
        <v>615677</v>
      </c>
      <c r="AA252" s="1">
        <v>5398265</v>
      </c>
      <c r="AC252" s="1">
        <v>4181700</v>
      </c>
      <c r="AE252" s="1">
        <v>530602</v>
      </c>
      <c r="AG252" s="1">
        <v>1748682</v>
      </c>
      <c r="AI252" s="1">
        <v>52563</v>
      </c>
      <c r="AJ252" s="12" t="s">
        <v>590</v>
      </c>
      <c r="AK252" s="12"/>
      <c r="AL252" s="12" t="s">
        <v>63</v>
      </c>
      <c r="AN252" s="1">
        <v>1300036</v>
      </c>
      <c r="AP252" s="1">
        <v>2480455</v>
      </c>
      <c r="AR252" s="1">
        <v>0</v>
      </c>
      <c r="AT252" s="1">
        <v>2415000</v>
      </c>
      <c r="AV252" s="1">
        <f>1266666+91606</f>
        <v>1358272</v>
      </c>
      <c r="AX252" s="1">
        <v>0</v>
      </c>
      <c r="AZ252" s="20">
        <f t="shared" si="18"/>
        <v>74685766</v>
      </c>
      <c r="BB252" s="1">
        <v>515476</v>
      </c>
      <c r="BH252" s="1">
        <v>0</v>
      </c>
      <c r="BJ252" s="20">
        <f t="shared" si="19"/>
        <v>75201242</v>
      </c>
      <c r="BL252" s="20">
        <f>'Gov Fd Rv'!AO252-'Gov Fnd Exp'!BJ252</f>
        <v>-1531198</v>
      </c>
      <c r="BN252" s="1">
        <v>16972698</v>
      </c>
      <c r="BP252" s="1">
        <v>0</v>
      </c>
      <c r="BR252" s="1">
        <v>0</v>
      </c>
      <c r="BT252" s="20">
        <f t="shared" si="20"/>
        <v>15441500</v>
      </c>
      <c r="BU252" s="20"/>
      <c r="BV252" s="20">
        <f>BT252-'Gov Fd BS'!AA252</f>
        <v>0</v>
      </c>
    </row>
    <row r="253" spans="1:74">
      <c r="A253" s="12" t="s">
        <v>551</v>
      </c>
      <c r="B253" s="12"/>
      <c r="C253" s="12" t="s">
        <v>58</v>
      </c>
      <c r="D253" s="12"/>
      <c r="E253" s="12">
        <v>49502</v>
      </c>
      <c r="G253" s="1">
        <v>6520857</v>
      </c>
      <c r="I253" s="1">
        <v>1500037</v>
      </c>
      <c r="K253" s="1">
        <v>165477</v>
      </c>
      <c r="M253" s="1">
        <v>0</v>
      </c>
      <c r="O253" s="1">
        <v>304010</v>
      </c>
      <c r="Q253" s="1">
        <v>144726</v>
      </c>
      <c r="S253" s="1">
        <v>29439</v>
      </c>
      <c r="U253" s="1">
        <v>744355</v>
      </c>
      <c r="W253" s="1">
        <v>595473</v>
      </c>
      <c r="Y253" s="1">
        <v>0</v>
      </c>
      <c r="AA253" s="1">
        <v>1060445</v>
      </c>
      <c r="AC253" s="1">
        <v>834078</v>
      </c>
      <c r="AE253" s="1">
        <v>0</v>
      </c>
      <c r="AG253" s="1">
        <v>508359</v>
      </c>
      <c r="AI253" s="1">
        <v>0</v>
      </c>
      <c r="AJ253" s="12" t="s">
        <v>551</v>
      </c>
      <c r="AK253" s="12"/>
      <c r="AL253" s="12" t="s">
        <v>58</v>
      </c>
      <c r="AN253" s="1">
        <v>308673</v>
      </c>
      <c r="AP253" s="1">
        <v>537</v>
      </c>
      <c r="AR253" s="1">
        <v>0</v>
      </c>
      <c r="AT253" s="1">
        <v>85932</v>
      </c>
      <c r="AV253" s="1">
        <v>45646</v>
      </c>
      <c r="AX253" s="1">
        <v>0</v>
      </c>
      <c r="AZ253" s="20">
        <f t="shared" si="18"/>
        <v>12848044</v>
      </c>
      <c r="BB253" s="1">
        <v>40015</v>
      </c>
      <c r="BH253" s="1">
        <v>0</v>
      </c>
      <c r="BJ253" s="20">
        <f t="shared" si="19"/>
        <v>12888059</v>
      </c>
      <c r="BL253" s="20">
        <f>'Gov Fd Rv'!AO253-'Gov Fnd Exp'!BJ253</f>
        <v>-402671</v>
      </c>
      <c r="BN253" s="1">
        <v>4952604</v>
      </c>
      <c r="BP253" s="1">
        <v>0</v>
      </c>
      <c r="BR253" s="1">
        <v>0</v>
      </c>
      <c r="BT253" s="20">
        <f t="shared" si="20"/>
        <v>4549933</v>
      </c>
      <c r="BU253" s="20"/>
      <c r="BV253" s="20">
        <f>BT253-'Gov Fd BS'!AA253</f>
        <v>0</v>
      </c>
    </row>
    <row r="254" spans="1:74">
      <c r="A254" s="12" t="s">
        <v>315</v>
      </c>
      <c r="B254" s="12"/>
      <c r="C254" s="12" t="s">
        <v>24</v>
      </c>
      <c r="D254" s="12"/>
      <c r="E254" s="13">
        <v>44131</v>
      </c>
      <c r="G254" s="1">
        <v>7053261</v>
      </c>
      <c r="I254" s="1">
        <v>2192181</v>
      </c>
      <c r="K254" s="1">
        <v>0</v>
      </c>
      <c r="M254" s="1">
        <v>79409</v>
      </c>
      <c r="O254" s="1">
        <v>508025</v>
      </c>
      <c r="Q254" s="1">
        <v>717243</v>
      </c>
      <c r="S254" s="1">
        <v>35456</v>
      </c>
      <c r="U254" s="1">
        <v>1558333</v>
      </c>
      <c r="W254" s="1">
        <v>525165</v>
      </c>
      <c r="Y254" s="1">
        <v>0</v>
      </c>
      <c r="AA254" s="1">
        <v>2125400</v>
      </c>
      <c r="AC254" s="1">
        <v>893098</v>
      </c>
      <c r="AE254" s="1">
        <v>4378</v>
      </c>
      <c r="AG254" s="1">
        <v>645584</v>
      </c>
      <c r="AI254" s="1">
        <v>216213</v>
      </c>
      <c r="AJ254" s="12" t="s">
        <v>315</v>
      </c>
      <c r="AK254" s="12"/>
      <c r="AL254" s="12" t="s">
        <v>24</v>
      </c>
      <c r="AN254" s="1">
        <v>574513</v>
      </c>
      <c r="AP254" s="1">
        <v>239701</v>
      </c>
      <c r="AR254" s="1">
        <v>36482</v>
      </c>
      <c r="AT254" s="1">
        <v>664632</v>
      </c>
      <c r="AV254" s="1">
        <v>328850</v>
      </c>
      <c r="AX254" s="1">
        <v>0</v>
      </c>
      <c r="AZ254" s="20">
        <f t="shared" si="18"/>
        <v>18397924</v>
      </c>
      <c r="BB254" s="1">
        <v>35389</v>
      </c>
      <c r="BH254" s="1">
        <v>0</v>
      </c>
      <c r="BJ254" s="20">
        <f t="shared" si="19"/>
        <v>18433313</v>
      </c>
      <c r="BL254" s="20">
        <f>'Gov Fd Rv'!AO254-'Gov Fnd Exp'!BJ254</f>
        <v>1906562</v>
      </c>
      <c r="BN254" s="1">
        <v>7242196</v>
      </c>
      <c r="BP254" s="1">
        <v>0</v>
      </c>
      <c r="BR254" s="1">
        <v>0</v>
      </c>
      <c r="BT254" s="20">
        <f t="shared" si="20"/>
        <v>9148758</v>
      </c>
      <c r="BU254" s="20"/>
      <c r="BV254" s="20">
        <f>BT254-'Gov Fd BS'!AA254</f>
        <v>0</v>
      </c>
    </row>
    <row r="255" spans="1:74">
      <c r="A255" s="12" t="s">
        <v>292</v>
      </c>
      <c r="B255" s="12"/>
      <c r="C255" s="12" t="s">
        <v>20</v>
      </c>
      <c r="D255" s="12"/>
      <c r="E255" s="13">
        <v>46565</v>
      </c>
      <c r="G255" s="1">
        <v>7327465</v>
      </c>
      <c r="I255" s="1">
        <v>403417</v>
      </c>
      <c r="K255" s="1">
        <v>0</v>
      </c>
      <c r="M255" s="1">
        <f>135053+16283</f>
        <v>151336</v>
      </c>
      <c r="O255" s="1">
        <v>811506</v>
      </c>
      <c r="Q255" s="1">
        <v>1876487</v>
      </c>
      <c r="S255" s="1">
        <v>188288</v>
      </c>
      <c r="U255" s="1">
        <v>1012853</v>
      </c>
      <c r="W255" s="1">
        <v>624035</v>
      </c>
      <c r="Y255" s="1">
        <v>220029</v>
      </c>
      <c r="AA255" s="1">
        <v>1727070</v>
      </c>
      <c r="AC255" s="1">
        <v>835341</v>
      </c>
      <c r="AE255" s="1">
        <v>5000</v>
      </c>
      <c r="AG255" s="1">
        <v>300513</v>
      </c>
      <c r="AI255" s="1">
        <v>194786</v>
      </c>
      <c r="AJ255" s="12" t="s">
        <v>292</v>
      </c>
      <c r="AK255" s="12"/>
      <c r="AL255" s="12" t="s">
        <v>20</v>
      </c>
      <c r="AN255" s="1">
        <v>545551</v>
      </c>
      <c r="AP255" s="1">
        <v>343333</v>
      </c>
      <c r="AR255" s="1">
        <v>0</v>
      </c>
      <c r="AT255" s="1">
        <v>450000</v>
      </c>
      <c r="AV255" s="1">
        <v>686430</v>
      </c>
      <c r="AX255" s="1">
        <v>0</v>
      </c>
      <c r="AZ255" s="20">
        <f t="shared" si="18"/>
        <v>17703440</v>
      </c>
      <c r="BB255" s="1">
        <v>742466</v>
      </c>
      <c r="BH255" s="1">
        <v>0</v>
      </c>
      <c r="BJ255" s="20">
        <f t="shared" si="19"/>
        <v>18445906</v>
      </c>
      <c r="BL255" s="20">
        <f>'Gov Fd Rv'!AO255-'Gov Fnd Exp'!BJ255</f>
        <v>911572</v>
      </c>
      <c r="BN255" s="1">
        <v>2203431</v>
      </c>
      <c r="BP255" s="1">
        <v>0</v>
      </c>
      <c r="BR255" s="1">
        <v>0</v>
      </c>
      <c r="BT255" s="20">
        <f t="shared" si="20"/>
        <v>3115003</v>
      </c>
      <c r="BU255" s="20"/>
      <c r="BV255" s="20">
        <f>BT255-'Gov Fd BS'!AA255</f>
        <v>0</v>
      </c>
    </row>
    <row r="256" spans="1:74">
      <c r="A256" s="12"/>
      <c r="B256" s="12"/>
      <c r="C256" s="12"/>
      <c r="D256" s="12"/>
      <c r="E256" s="13"/>
      <c r="AJ256" s="12"/>
      <c r="AK256" s="12"/>
      <c r="AL256" s="12"/>
      <c r="AZ256" s="20"/>
      <c r="BJ256" s="20"/>
      <c r="BL256" s="20"/>
      <c r="BT256" s="20"/>
      <c r="BU256" s="20"/>
      <c r="BV256" s="20"/>
    </row>
    <row r="257" spans="1:74">
      <c r="A257" s="12"/>
      <c r="B257" s="12"/>
      <c r="C257" s="12"/>
      <c r="D257" s="12"/>
      <c r="E257" s="13"/>
      <c r="AI257" s="20" t="s">
        <v>709</v>
      </c>
      <c r="AJ257" s="12"/>
      <c r="AK257" s="12"/>
      <c r="AL257" s="12"/>
      <c r="AZ257" s="20"/>
      <c r="BJ257" s="20"/>
      <c r="BL257" s="20"/>
      <c r="BT257" s="20" t="s">
        <v>709</v>
      </c>
      <c r="BU257" s="20"/>
      <c r="BV257" s="20"/>
    </row>
    <row r="258" spans="1:74">
      <c r="A258" s="12"/>
      <c r="B258" s="12"/>
      <c r="C258" s="12"/>
      <c r="D258" s="12"/>
      <c r="E258" s="13"/>
      <c r="AJ258" s="12"/>
      <c r="AK258" s="12"/>
      <c r="AL258" s="12"/>
      <c r="AZ258" s="20"/>
      <c r="BJ258" s="20"/>
      <c r="BL258" s="20"/>
      <c r="BT258" s="20"/>
      <c r="BU258" s="20"/>
      <c r="BV258" s="20"/>
    </row>
    <row r="259" spans="1:74">
      <c r="A259" s="12" t="s">
        <v>411</v>
      </c>
      <c r="B259" s="12"/>
      <c r="C259" s="12" t="s">
        <v>39</v>
      </c>
      <c r="D259" s="12"/>
      <c r="E259" s="13">
        <v>47803</v>
      </c>
      <c r="G259" s="16">
        <v>10608635</v>
      </c>
      <c r="H259" s="16"/>
      <c r="I259" s="16">
        <v>3054832</v>
      </c>
      <c r="J259" s="16"/>
      <c r="K259" s="16">
        <v>316273</v>
      </c>
      <c r="L259" s="16"/>
      <c r="M259" s="16">
        <f>3251+267555</f>
        <v>270806</v>
      </c>
      <c r="N259" s="16"/>
      <c r="O259" s="16">
        <v>882820</v>
      </c>
      <c r="P259" s="16"/>
      <c r="Q259" s="16">
        <v>987345</v>
      </c>
      <c r="R259" s="16"/>
      <c r="S259" s="16">
        <v>14565</v>
      </c>
      <c r="T259" s="16"/>
      <c r="U259" s="16">
        <v>1719500</v>
      </c>
      <c r="V259" s="16"/>
      <c r="W259" s="16">
        <v>430667</v>
      </c>
      <c r="X259" s="16"/>
      <c r="Y259" s="16">
        <v>0</v>
      </c>
      <c r="Z259" s="16"/>
      <c r="AA259" s="16">
        <v>1802764</v>
      </c>
      <c r="AB259" s="16"/>
      <c r="AC259" s="16">
        <v>968260</v>
      </c>
      <c r="AD259" s="16"/>
      <c r="AE259" s="16">
        <v>90874</v>
      </c>
      <c r="AF259" s="16"/>
      <c r="AG259" s="16">
        <v>894275</v>
      </c>
      <c r="AH259" s="16"/>
      <c r="AI259" s="16">
        <v>247409</v>
      </c>
      <c r="AJ259" s="12" t="s">
        <v>411</v>
      </c>
      <c r="AK259" s="12"/>
      <c r="AL259" s="12" t="s">
        <v>39</v>
      </c>
      <c r="AN259" s="16">
        <v>366456</v>
      </c>
      <c r="AO259" s="16"/>
      <c r="AP259" s="16">
        <v>1322812</v>
      </c>
      <c r="AQ259" s="16"/>
      <c r="AR259" s="16">
        <v>0</v>
      </c>
      <c r="AS259" s="16"/>
      <c r="AT259" s="16">
        <v>430295</v>
      </c>
      <c r="AU259" s="16"/>
      <c r="AV259" s="16">
        <v>615284</v>
      </c>
      <c r="AW259" s="16"/>
      <c r="AX259" s="16">
        <v>0</v>
      </c>
      <c r="AY259" s="16"/>
      <c r="AZ259" s="72">
        <f t="shared" si="18"/>
        <v>25023872</v>
      </c>
      <c r="BA259" s="16"/>
      <c r="BB259" s="16">
        <v>67367</v>
      </c>
      <c r="BC259" s="16"/>
      <c r="BD259" s="16"/>
      <c r="BE259" s="16"/>
      <c r="BF259" s="16"/>
      <c r="BG259" s="16"/>
      <c r="BH259" s="16">
        <v>0</v>
      </c>
      <c r="BI259" s="16"/>
      <c r="BJ259" s="72">
        <f t="shared" si="19"/>
        <v>25091239</v>
      </c>
      <c r="BK259" s="16"/>
      <c r="BL259" s="72">
        <f>'Gov Fd Rv'!AO259-'Gov Fnd Exp'!BJ259</f>
        <v>2267644</v>
      </c>
      <c r="BM259" s="16"/>
      <c r="BN259" s="16">
        <v>11444629</v>
      </c>
      <c r="BO259" s="16"/>
      <c r="BP259" s="16">
        <v>0</v>
      </c>
      <c r="BQ259" s="16"/>
      <c r="BR259" s="16">
        <v>0</v>
      </c>
      <c r="BS259" s="16"/>
      <c r="BT259" s="72">
        <f t="shared" si="20"/>
        <v>13712273</v>
      </c>
      <c r="BU259" s="20"/>
      <c r="BV259" s="20">
        <f>BT259-'Gov Fd BS'!AA259</f>
        <v>0</v>
      </c>
    </row>
    <row r="260" spans="1:74">
      <c r="A260" s="12" t="s">
        <v>365</v>
      </c>
      <c r="B260" s="12"/>
      <c r="C260" s="12" t="s">
        <v>32</v>
      </c>
      <c r="D260" s="12"/>
      <c r="E260" s="13">
        <v>45435</v>
      </c>
      <c r="G260" s="1">
        <v>14054410</v>
      </c>
      <c r="I260" s="1">
        <v>2239750</v>
      </c>
      <c r="K260" s="1">
        <v>0</v>
      </c>
      <c r="M260" s="1">
        <v>378161</v>
      </c>
      <c r="O260" s="1">
        <v>2212944</v>
      </c>
      <c r="Q260" s="1">
        <v>3013694</v>
      </c>
      <c r="S260" s="1">
        <v>28994</v>
      </c>
      <c r="U260" s="1">
        <v>2590189</v>
      </c>
      <c r="W260" s="1">
        <v>780661</v>
      </c>
      <c r="Y260" s="1">
        <v>94847</v>
      </c>
      <c r="AA260" s="1">
        <v>3599920</v>
      </c>
      <c r="AC260" s="1">
        <v>1737490</v>
      </c>
      <c r="AE260" s="1">
        <v>80813</v>
      </c>
      <c r="AG260" s="1">
        <v>733002</v>
      </c>
      <c r="AI260" s="1">
        <v>1105088</v>
      </c>
      <c r="AJ260" s="12" t="s">
        <v>365</v>
      </c>
      <c r="AK260" s="12"/>
      <c r="AL260" s="12" t="s">
        <v>32</v>
      </c>
      <c r="AN260" s="1">
        <v>865582</v>
      </c>
      <c r="AP260" s="1">
        <v>25954</v>
      </c>
      <c r="AR260" s="1">
        <v>0</v>
      </c>
      <c r="AT260" s="1">
        <v>2268000</v>
      </c>
      <c r="AV260" s="1">
        <v>1614740</v>
      </c>
      <c r="AX260" s="1">
        <v>0</v>
      </c>
      <c r="AZ260" s="20">
        <f t="shared" si="18"/>
        <v>37424239</v>
      </c>
      <c r="BB260" s="1">
        <v>0</v>
      </c>
      <c r="BH260" s="1">
        <v>0</v>
      </c>
      <c r="BJ260" s="20">
        <f t="shared" si="19"/>
        <v>37424239</v>
      </c>
      <c r="BL260" s="20">
        <f>'Gov Fd Rv'!AO260-'Gov Fnd Exp'!BJ260</f>
        <v>2691818</v>
      </c>
      <c r="BN260" s="1">
        <v>33063486</v>
      </c>
      <c r="BP260" s="1">
        <v>0</v>
      </c>
      <c r="BR260" s="1">
        <v>0</v>
      </c>
      <c r="BT260" s="20">
        <f t="shared" si="20"/>
        <v>35755304</v>
      </c>
      <c r="BU260" s="20"/>
      <c r="BV260" s="20">
        <f>BT260-'Gov Fd BS'!AA260</f>
        <v>0</v>
      </c>
    </row>
    <row r="261" spans="1:74" hidden="1">
      <c r="A261" s="17" t="s">
        <v>937</v>
      </c>
      <c r="B261" s="17"/>
      <c r="C261" s="17" t="s">
        <v>43</v>
      </c>
      <c r="D261" s="12"/>
      <c r="E261" s="13"/>
      <c r="AJ261" s="17" t="s">
        <v>937</v>
      </c>
      <c r="AK261" s="17"/>
      <c r="AL261" s="17" t="s">
        <v>43</v>
      </c>
      <c r="AZ261" s="20">
        <f t="shared" si="18"/>
        <v>0</v>
      </c>
      <c r="BJ261" s="20">
        <f t="shared" si="19"/>
        <v>0</v>
      </c>
      <c r="BL261" s="20">
        <f>'Gov Fd Rv'!AO261-'Gov Fnd Exp'!BJ261</f>
        <v>0</v>
      </c>
      <c r="BT261" s="20">
        <f t="shared" si="20"/>
        <v>0</v>
      </c>
      <c r="BU261" s="20"/>
      <c r="BV261" s="20">
        <f>BT261-'Gov Fd BS'!AA261</f>
        <v>0</v>
      </c>
    </row>
    <row r="262" spans="1:74">
      <c r="A262" s="12" t="s">
        <v>621</v>
      </c>
      <c r="B262" s="12"/>
      <c r="C262" s="12" t="s">
        <v>65</v>
      </c>
      <c r="D262" s="12"/>
      <c r="E262" s="13">
        <v>50286</v>
      </c>
      <c r="G262" s="1">
        <v>6108933</v>
      </c>
      <c r="I262" s="1">
        <v>1814144</v>
      </c>
      <c r="K262" s="1">
        <v>188136</v>
      </c>
      <c r="M262" s="1">
        <f>89483+1616292</f>
        <v>1705775</v>
      </c>
      <c r="O262" s="1">
        <v>557898</v>
      </c>
      <c r="Q262" s="1">
        <v>539746</v>
      </c>
      <c r="S262" s="1">
        <v>46659</v>
      </c>
      <c r="U262" s="1">
        <v>1100637</v>
      </c>
      <c r="W262" s="1">
        <v>399806</v>
      </c>
      <c r="Y262" s="1">
        <v>121787</v>
      </c>
      <c r="AA262" s="1">
        <v>1628773</v>
      </c>
      <c r="AC262" s="1">
        <v>1099755</v>
      </c>
      <c r="AE262" s="1">
        <v>18906</v>
      </c>
      <c r="AG262" s="1">
        <v>799699</v>
      </c>
      <c r="AI262" s="1">
        <v>11500</v>
      </c>
      <c r="AJ262" s="12" t="s">
        <v>621</v>
      </c>
      <c r="AK262" s="12"/>
      <c r="AL262" s="12" t="s">
        <v>65</v>
      </c>
      <c r="AN262" s="1">
        <v>471778</v>
      </c>
      <c r="AP262" s="1">
        <v>0</v>
      </c>
      <c r="AR262" s="1">
        <v>0</v>
      </c>
      <c r="AT262" s="1">
        <v>752695</v>
      </c>
      <c r="AV262" s="1">
        <v>426357</v>
      </c>
      <c r="AX262" s="1">
        <v>0</v>
      </c>
      <c r="AZ262" s="20">
        <f t="shared" si="18"/>
        <v>17792984</v>
      </c>
      <c r="BB262" s="1">
        <v>0</v>
      </c>
      <c r="BH262" s="1">
        <v>0</v>
      </c>
      <c r="BJ262" s="20">
        <f t="shared" si="19"/>
        <v>17792984</v>
      </c>
      <c r="BL262" s="20">
        <f>'Gov Fd Rv'!AO262-'Gov Fnd Exp'!BJ262</f>
        <v>755010</v>
      </c>
      <c r="BN262" s="1">
        <v>2168970</v>
      </c>
      <c r="BP262" s="1">
        <v>0</v>
      </c>
      <c r="BR262" s="1">
        <v>0</v>
      </c>
      <c r="BT262" s="20">
        <f t="shared" si="20"/>
        <v>2923980</v>
      </c>
      <c r="BU262" s="20"/>
      <c r="BV262" s="20">
        <f>BT262-'Gov Fd BS'!AA262</f>
        <v>0</v>
      </c>
    </row>
    <row r="263" spans="1:74">
      <c r="A263" s="12" t="s">
        <v>423</v>
      </c>
      <c r="B263" s="12"/>
      <c r="C263" s="12" t="s">
        <v>420</v>
      </c>
      <c r="D263" s="12"/>
      <c r="E263" s="13">
        <v>44149</v>
      </c>
      <c r="G263" s="1">
        <v>6372193</v>
      </c>
      <c r="I263" s="1">
        <v>1904822</v>
      </c>
      <c r="K263" s="1">
        <v>167813</v>
      </c>
      <c r="M263" s="1">
        <v>31444</v>
      </c>
      <c r="O263" s="1">
        <v>650985</v>
      </c>
      <c r="Q263" s="1">
        <v>461122</v>
      </c>
      <c r="S263" s="1">
        <v>213156</v>
      </c>
      <c r="U263" s="1">
        <v>991181</v>
      </c>
      <c r="W263" s="1">
        <v>543928</v>
      </c>
      <c r="Y263" s="1">
        <v>0</v>
      </c>
      <c r="AA263" s="1">
        <v>2040218</v>
      </c>
      <c r="AC263" s="1">
        <v>535836</v>
      </c>
      <c r="AE263" s="1">
        <v>115838</v>
      </c>
      <c r="AG263" s="1">
        <v>699889</v>
      </c>
      <c r="AI263" s="1">
        <v>170785</v>
      </c>
      <c r="AJ263" s="12" t="s">
        <v>423</v>
      </c>
      <c r="AK263" s="12"/>
      <c r="AL263" s="12" t="s">
        <v>420</v>
      </c>
      <c r="AN263" s="1">
        <v>644986</v>
      </c>
      <c r="AP263" s="1">
        <v>10165536</v>
      </c>
      <c r="AR263" s="1">
        <v>0</v>
      </c>
      <c r="AT263" s="1">
        <v>220000</v>
      </c>
      <c r="AV263" s="1">
        <f>773919+33658</f>
        <v>807577</v>
      </c>
      <c r="AX263" s="1">
        <v>0</v>
      </c>
      <c r="AZ263" s="20">
        <f t="shared" si="18"/>
        <v>26737309</v>
      </c>
      <c r="BB263" s="1">
        <v>20757</v>
      </c>
      <c r="BH263" s="1">
        <v>30000</v>
      </c>
      <c r="BJ263" s="20">
        <f t="shared" si="19"/>
        <v>26788066</v>
      </c>
      <c r="BL263" s="20">
        <f>'Gov Fd Rv'!AO263-'Gov Fnd Exp'!BJ263</f>
        <v>-5088425</v>
      </c>
      <c r="BN263" s="1">
        <v>11277016</v>
      </c>
      <c r="BP263" s="1">
        <v>0</v>
      </c>
      <c r="BR263" s="1">
        <v>0</v>
      </c>
      <c r="BT263" s="20">
        <f t="shared" si="20"/>
        <v>6188591</v>
      </c>
      <c r="BU263" s="20"/>
      <c r="BV263" s="20">
        <f>BT263-'Gov Fd BS'!AA263</f>
        <v>0</v>
      </c>
    </row>
    <row r="264" spans="1:74" hidden="1">
      <c r="A264" s="17" t="s">
        <v>820</v>
      </c>
      <c r="B264" s="12"/>
      <c r="C264" s="12" t="s">
        <v>61</v>
      </c>
      <c r="D264" s="12"/>
      <c r="E264" s="13">
        <v>49809</v>
      </c>
      <c r="AJ264" s="17" t="s">
        <v>820</v>
      </c>
      <c r="AK264" s="12"/>
      <c r="AL264" s="12" t="s">
        <v>61</v>
      </c>
      <c r="AX264" s="1">
        <v>0</v>
      </c>
      <c r="AZ264" s="20">
        <f t="shared" si="18"/>
        <v>0</v>
      </c>
      <c r="BJ264" s="20">
        <f t="shared" si="19"/>
        <v>0</v>
      </c>
      <c r="BL264" s="20">
        <f>'Gov Fd Rv'!AO264-'Gov Fnd Exp'!BJ264</f>
        <v>0</v>
      </c>
      <c r="BT264" s="20">
        <f t="shared" si="20"/>
        <v>0</v>
      </c>
      <c r="BU264" s="20"/>
      <c r="BV264" s="20">
        <f>BT264-'Gov Fd BS'!AA264</f>
        <v>0</v>
      </c>
    </row>
    <row r="265" spans="1:74" hidden="1">
      <c r="A265" s="17" t="s">
        <v>838</v>
      </c>
      <c r="B265" s="12"/>
      <c r="C265" s="12" t="s">
        <v>38</v>
      </c>
      <c r="D265" s="12"/>
      <c r="E265" s="13"/>
      <c r="AJ265" s="17" t="s">
        <v>838</v>
      </c>
      <c r="AK265" s="12"/>
      <c r="AL265" s="12" t="s">
        <v>38</v>
      </c>
      <c r="AZ265" s="20">
        <f t="shared" si="18"/>
        <v>0</v>
      </c>
      <c r="BJ265" s="20">
        <f t="shared" si="19"/>
        <v>0</v>
      </c>
      <c r="BL265" s="20">
        <f>'Gov Fd Rv'!AO265-'Gov Fnd Exp'!BJ265</f>
        <v>0</v>
      </c>
      <c r="BT265" s="20">
        <f t="shared" si="20"/>
        <v>0</v>
      </c>
      <c r="BU265" s="20"/>
      <c r="BV265" s="20">
        <f>BT265-'Gov Fd BS'!AA265</f>
        <v>0</v>
      </c>
    </row>
    <row r="266" spans="1:74">
      <c r="A266" s="12" t="s">
        <v>576</v>
      </c>
      <c r="B266" s="12"/>
      <c r="C266" s="12" t="s">
        <v>62</v>
      </c>
      <c r="D266" s="12"/>
      <c r="E266" s="13">
        <v>49858</v>
      </c>
      <c r="G266" s="1">
        <v>21943619</v>
      </c>
      <c r="I266" s="1">
        <v>4005541</v>
      </c>
      <c r="K266" s="1">
        <v>752258</v>
      </c>
      <c r="M266" s="1">
        <f>69796+1216777</f>
        <v>1286573</v>
      </c>
      <c r="O266" s="1">
        <v>2858028</v>
      </c>
      <c r="Q266" s="1">
        <v>2865869</v>
      </c>
      <c r="S266" s="1">
        <v>18064</v>
      </c>
      <c r="U266" s="1">
        <v>3190688</v>
      </c>
      <c r="W266" s="1">
        <v>1102562</v>
      </c>
      <c r="Y266" s="1">
        <v>325480</v>
      </c>
      <c r="AA266" s="1">
        <v>5076451</v>
      </c>
      <c r="AC266" s="1">
        <v>3093614</v>
      </c>
      <c r="AE266" s="1">
        <v>1305294</v>
      </c>
      <c r="AG266" s="1">
        <v>1553784</v>
      </c>
      <c r="AI266" s="1">
        <v>20912</v>
      </c>
      <c r="AJ266" s="12" t="s">
        <v>576</v>
      </c>
      <c r="AK266" s="12"/>
      <c r="AL266" s="12" t="s">
        <v>62</v>
      </c>
      <c r="AN266" s="1">
        <v>1777903</v>
      </c>
      <c r="AP266" s="1">
        <v>1800262</v>
      </c>
      <c r="AR266" s="1">
        <v>0</v>
      </c>
      <c r="AT266" s="1">
        <v>4223635</v>
      </c>
      <c r="AV266" s="1">
        <v>2736099</v>
      </c>
      <c r="AX266" s="1">
        <v>0</v>
      </c>
      <c r="AZ266" s="20">
        <f t="shared" si="18"/>
        <v>59936636</v>
      </c>
      <c r="BB266" s="1">
        <v>5500</v>
      </c>
      <c r="BH266" s="1">
        <v>0</v>
      </c>
      <c r="BJ266" s="20">
        <f t="shared" si="19"/>
        <v>59942136</v>
      </c>
      <c r="BL266" s="20">
        <f>'Gov Fd Rv'!AO266-'Gov Fnd Exp'!BJ266</f>
        <v>1118484</v>
      </c>
      <c r="BN266" s="1">
        <v>12040397</v>
      </c>
      <c r="BP266" s="1">
        <v>52109</v>
      </c>
      <c r="BR266" s="1">
        <v>0</v>
      </c>
      <c r="BT266" s="20">
        <f t="shared" si="20"/>
        <v>13210990</v>
      </c>
      <c r="BU266" s="20"/>
      <c r="BV266" s="20">
        <f>BT266-'Gov Fd BS'!AA266</f>
        <v>0</v>
      </c>
    </row>
    <row r="267" spans="1:74">
      <c r="A267" s="12" t="s">
        <v>465</v>
      </c>
      <c r="B267" s="12"/>
      <c r="C267" s="12" t="s">
        <v>45</v>
      </c>
      <c r="D267" s="12"/>
      <c r="E267" s="13">
        <v>48322</v>
      </c>
      <c r="G267" s="1">
        <v>4307814</v>
      </c>
      <c r="I267" s="1">
        <v>1359674</v>
      </c>
      <c r="K267" s="1">
        <v>87894</v>
      </c>
      <c r="M267" s="1">
        <v>0</v>
      </c>
      <c r="O267" s="1">
        <v>241317</v>
      </c>
      <c r="Q267" s="1">
        <v>134886</v>
      </c>
      <c r="S267" s="1">
        <v>72100</v>
      </c>
      <c r="U267" s="1">
        <v>553801</v>
      </c>
      <c r="W267" s="1">
        <v>455425</v>
      </c>
      <c r="Y267" s="1">
        <v>0</v>
      </c>
      <c r="AA267" s="1">
        <v>744174</v>
      </c>
      <c r="AC267" s="1">
        <v>883475</v>
      </c>
      <c r="AE267" s="1">
        <v>0</v>
      </c>
      <c r="AG267" s="1">
        <v>360685</v>
      </c>
      <c r="AI267" s="1">
        <v>1942</v>
      </c>
      <c r="AJ267" s="12" t="s">
        <v>465</v>
      </c>
      <c r="AK267" s="12"/>
      <c r="AL267" s="12" t="s">
        <v>45</v>
      </c>
      <c r="AN267" s="1">
        <v>403926</v>
      </c>
      <c r="AP267" s="1">
        <v>1711204</v>
      </c>
      <c r="AR267" s="1">
        <v>0</v>
      </c>
      <c r="AT267" s="1">
        <v>240000</v>
      </c>
      <c r="AV267" s="1">
        <v>666244</v>
      </c>
      <c r="AX267" s="1">
        <v>0</v>
      </c>
      <c r="AZ267" s="20">
        <f t="shared" si="18"/>
        <v>12224561</v>
      </c>
      <c r="BB267" s="1">
        <v>476961</v>
      </c>
      <c r="BH267" s="1">
        <v>0</v>
      </c>
      <c r="BJ267" s="20">
        <f t="shared" si="19"/>
        <v>12701522</v>
      </c>
      <c r="BL267" s="20">
        <f>'Gov Fd Rv'!AO267-'Gov Fnd Exp'!BJ267</f>
        <v>-1405797</v>
      </c>
      <c r="BN267" s="1">
        <v>4982212</v>
      </c>
      <c r="BP267" s="1">
        <v>0</v>
      </c>
      <c r="BR267" s="1">
        <v>0</v>
      </c>
      <c r="BT267" s="20">
        <f t="shared" si="20"/>
        <v>3576415</v>
      </c>
      <c r="BU267" s="20"/>
      <c r="BV267" s="20">
        <f>BT267-'Gov Fd BS'!AA267</f>
        <v>0</v>
      </c>
    </row>
    <row r="268" spans="1:74">
      <c r="A268" s="12" t="s">
        <v>534</v>
      </c>
      <c r="B268" s="12"/>
      <c r="C268" s="12" t="s">
        <v>56</v>
      </c>
      <c r="D268" s="12"/>
      <c r="E268" s="13">
        <v>49205</v>
      </c>
      <c r="G268" s="1">
        <v>6101141</v>
      </c>
      <c r="I268" s="1">
        <v>1202393</v>
      </c>
      <c r="K268" s="1">
        <v>0</v>
      </c>
      <c r="M268" s="1">
        <v>6766</v>
      </c>
      <c r="O268" s="1">
        <v>601996</v>
      </c>
      <c r="Q268" s="1">
        <v>537649</v>
      </c>
      <c r="S268" s="1">
        <v>34118</v>
      </c>
      <c r="U268" s="1">
        <v>1032314</v>
      </c>
      <c r="W268" s="1">
        <v>287868</v>
      </c>
      <c r="Y268" s="1">
        <v>0</v>
      </c>
      <c r="AA268" s="1">
        <v>1282575</v>
      </c>
      <c r="AC268" s="1">
        <v>883064</v>
      </c>
      <c r="AE268" s="1">
        <v>145758</v>
      </c>
      <c r="AG268" s="1">
        <v>549226</v>
      </c>
      <c r="AI268" s="1">
        <v>6633</v>
      </c>
      <c r="AJ268" s="12" t="s">
        <v>534</v>
      </c>
      <c r="AK268" s="12"/>
      <c r="AL268" s="12" t="s">
        <v>56</v>
      </c>
      <c r="AN268" s="1">
        <v>531967</v>
      </c>
      <c r="AP268" s="1">
        <v>0</v>
      </c>
      <c r="AR268" s="1">
        <v>0</v>
      </c>
      <c r="AT268" s="1">
        <v>304546</v>
      </c>
      <c r="AV268" s="1">
        <v>198172</v>
      </c>
      <c r="AX268" s="1">
        <v>0</v>
      </c>
      <c r="AZ268" s="20">
        <f t="shared" si="18"/>
        <v>13706186</v>
      </c>
      <c r="BB268" s="1">
        <v>0</v>
      </c>
      <c r="BH268" s="1">
        <v>0</v>
      </c>
      <c r="BJ268" s="20">
        <f t="shared" si="19"/>
        <v>13706186</v>
      </c>
      <c r="BL268" s="20">
        <f>'Gov Fd Rv'!AO268-'Gov Fnd Exp'!BJ268</f>
        <v>974083</v>
      </c>
      <c r="BN268" s="1">
        <v>1796583</v>
      </c>
      <c r="BP268" s="1">
        <v>0</v>
      </c>
      <c r="BR268" s="1">
        <v>0</v>
      </c>
      <c r="BT268" s="20">
        <f t="shared" si="20"/>
        <v>2770666</v>
      </c>
      <c r="BU268" s="20"/>
      <c r="BV268" s="20">
        <f>BT268-'Gov Fd BS'!AA268</f>
        <v>0</v>
      </c>
    </row>
    <row r="269" spans="1:74">
      <c r="A269" s="17" t="s">
        <v>840</v>
      </c>
      <c r="B269" s="12"/>
      <c r="C269" s="12" t="s">
        <v>12</v>
      </c>
      <c r="D269" s="12"/>
      <c r="E269" s="13">
        <v>45872</v>
      </c>
      <c r="G269" s="1">
        <v>8536891</v>
      </c>
      <c r="I269" s="1">
        <v>1620484</v>
      </c>
      <c r="K269" s="1">
        <v>100715</v>
      </c>
      <c r="M269" s="1">
        <v>0</v>
      </c>
      <c r="O269" s="1">
        <v>1420344</v>
      </c>
      <c r="Q269" s="1">
        <v>125349</v>
      </c>
      <c r="S269" s="1">
        <v>19307</v>
      </c>
      <c r="U269" s="1">
        <v>1065364</v>
      </c>
      <c r="W269" s="1">
        <v>614808</v>
      </c>
      <c r="Y269" s="1">
        <v>8305</v>
      </c>
      <c r="AA269" s="1">
        <v>1631198</v>
      </c>
      <c r="AC269" s="1">
        <v>1183040</v>
      </c>
      <c r="AE269" s="1">
        <v>131764</v>
      </c>
      <c r="AG269" s="1">
        <v>735841</v>
      </c>
      <c r="AI269" s="1">
        <v>118198</v>
      </c>
      <c r="AJ269" s="17" t="s">
        <v>840</v>
      </c>
      <c r="AK269" s="12"/>
      <c r="AL269" s="12" t="s">
        <v>12</v>
      </c>
      <c r="AN269" s="1">
        <v>447079</v>
      </c>
      <c r="AP269" s="1">
        <v>9054760</v>
      </c>
      <c r="AR269" s="1">
        <v>0</v>
      </c>
      <c r="AT269" s="1">
        <v>813909</v>
      </c>
      <c r="AV269" s="1">
        <v>898399</v>
      </c>
      <c r="AX269" s="1">
        <v>0</v>
      </c>
      <c r="AZ269" s="20">
        <f t="shared" si="18"/>
        <v>28525755</v>
      </c>
      <c r="BB269" s="1">
        <v>160883</v>
      </c>
      <c r="BH269" s="1">
        <v>0</v>
      </c>
      <c r="BJ269" s="20">
        <f t="shared" si="19"/>
        <v>28686638</v>
      </c>
      <c r="BL269" s="20">
        <f>'Gov Fd Rv'!AO269-'Gov Fnd Exp'!BJ269</f>
        <v>-8714079</v>
      </c>
      <c r="BN269" s="1">
        <v>20269352</v>
      </c>
      <c r="BP269" s="1">
        <v>0</v>
      </c>
      <c r="BR269" s="1">
        <v>0</v>
      </c>
      <c r="BT269" s="20">
        <f t="shared" si="20"/>
        <v>11555273</v>
      </c>
      <c r="BU269" s="20"/>
      <c r="BV269" s="20">
        <f>BT269-'Gov Fd BS'!AA269</f>
        <v>0</v>
      </c>
    </row>
    <row r="270" spans="1:74">
      <c r="A270" s="12" t="s">
        <v>457</v>
      </c>
      <c r="B270" s="12"/>
      <c r="C270" s="12" t="s">
        <v>458</v>
      </c>
      <c r="D270" s="12"/>
      <c r="E270" s="13">
        <v>48256</v>
      </c>
      <c r="G270" s="1">
        <v>5189419</v>
      </c>
      <c r="I270" s="1">
        <v>1578906</v>
      </c>
      <c r="K270" s="1">
        <v>0</v>
      </c>
      <c r="M270" s="1">
        <v>0</v>
      </c>
      <c r="O270" s="1">
        <v>756992</v>
      </c>
      <c r="Q270" s="1">
        <v>573275</v>
      </c>
      <c r="S270" s="1">
        <v>64062</v>
      </c>
      <c r="U270" s="1">
        <v>721943</v>
      </c>
      <c r="W270" s="1">
        <v>440031</v>
      </c>
      <c r="Y270" s="1">
        <v>58671</v>
      </c>
      <c r="AA270" s="1">
        <v>1372658</v>
      </c>
      <c r="AC270" s="1">
        <v>640428</v>
      </c>
      <c r="AE270" s="1">
        <v>279567</v>
      </c>
      <c r="AG270" s="1">
        <v>547644</v>
      </c>
      <c r="AI270" s="1">
        <v>0</v>
      </c>
      <c r="AJ270" s="12" t="s">
        <v>457</v>
      </c>
      <c r="AK270" s="12"/>
      <c r="AL270" s="12" t="s">
        <v>458</v>
      </c>
      <c r="AN270" s="1">
        <v>635341</v>
      </c>
      <c r="AP270" s="1">
        <v>723255</v>
      </c>
      <c r="AR270" s="1">
        <v>0</v>
      </c>
      <c r="AT270" s="1">
        <v>1772468</v>
      </c>
      <c r="AV270" s="1">
        <v>622198</v>
      </c>
      <c r="AX270" s="1">
        <v>0</v>
      </c>
      <c r="AZ270" s="20">
        <f t="shared" si="18"/>
        <v>15976858</v>
      </c>
      <c r="BB270" s="1">
        <v>839314</v>
      </c>
      <c r="BH270" s="1">
        <v>0</v>
      </c>
      <c r="BJ270" s="20">
        <f t="shared" si="19"/>
        <v>16816172</v>
      </c>
      <c r="BL270" s="20">
        <f>'Gov Fd Rv'!AO270-'Gov Fnd Exp'!BJ270</f>
        <v>153191</v>
      </c>
      <c r="BN270" s="1">
        <v>9176787</v>
      </c>
      <c r="BP270" s="1">
        <v>0</v>
      </c>
      <c r="BR270" s="1">
        <v>0</v>
      </c>
      <c r="BT270" s="20">
        <f t="shared" si="20"/>
        <v>9329978</v>
      </c>
      <c r="BU270" s="20"/>
      <c r="BV270" s="20">
        <f>BT270-'Gov Fd BS'!AA270</f>
        <v>0</v>
      </c>
    </row>
    <row r="271" spans="1:74">
      <c r="A271" s="17" t="s">
        <v>841</v>
      </c>
      <c r="B271" s="12"/>
      <c r="C271" s="12" t="s">
        <v>50</v>
      </c>
      <c r="D271" s="12"/>
      <c r="E271" s="13">
        <v>48686</v>
      </c>
      <c r="G271" s="1">
        <v>1913844</v>
      </c>
      <c r="I271" s="1">
        <v>2006579</v>
      </c>
      <c r="K271" s="1">
        <v>0</v>
      </c>
      <c r="M271" s="1">
        <v>1835957</v>
      </c>
      <c r="O271" s="1">
        <v>187087</v>
      </c>
      <c r="Q271" s="1">
        <v>442113</v>
      </c>
      <c r="S271" s="1">
        <v>15009</v>
      </c>
      <c r="U271" s="1">
        <v>580973</v>
      </c>
      <c r="W271" s="1">
        <v>229355</v>
      </c>
      <c r="Y271" s="1">
        <v>518</v>
      </c>
      <c r="AA271" s="1">
        <v>643919</v>
      </c>
      <c r="AC271" s="1">
        <v>547366</v>
      </c>
      <c r="AE271" s="1">
        <v>53698</v>
      </c>
      <c r="AG271" s="1">
        <v>334230</v>
      </c>
      <c r="AI271" s="1">
        <v>11180</v>
      </c>
      <c r="AJ271" s="17" t="s">
        <v>841</v>
      </c>
      <c r="AK271" s="12"/>
      <c r="AL271" s="12" t="s">
        <v>50</v>
      </c>
      <c r="AN271" s="1">
        <v>106461</v>
      </c>
      <c r="AP271" s="1">
        <v>88610</v>
      </c>
      <c r="AR271" s="1">
        <v>0</v>
      </c>
      <c r="AT271" s="1">
        <v>764000</v>
      </c>
      <c r="AV271" s="1">
        <v>37000</v>
      </c>
      <c r="AX271" s="1">
        <v>0</v>
      </c>
      <c r="AZ271" s="20">
        <f t="shared" si="18"/>
        <v>9797899</v>
      </c>
      <c r="BB271" s="1">
        <v>35000</v>
      </c>
      <c r="BH271" s="1">
        <v>0</v>
      </c>
      <c r="BJ271" s="20">
        <f t="shared" si="19"/>
        <v>9832899</v>
      </c>
      <c r="BL271" s="20">
        <f>'Gov Fd Rv'!AO271-'Gov Fnd Exp'!BJ271</f>
        <v>387934</v>
      </c>
      <c r="BN271" s="1">
        <v>1438960</v>
      </c>
      <c r="BP271" s="1">
        <v>0</v>
      </c>
      <c r="BR271" s="1">
        <v>0</v>
      </c>
      <c r="BT271" s="20">
        <f t="shared" si="20"/>
        <v>1826894</v>
      </c>
      <c r="BU271" s="20"/>
      <c r="BV271" s="20">
        <f>BT271-'Gov Fd BS'!AA271</f>
        <v>0</v>
      </c>
    </row>
    <row r="272" spans="1:74" hidden="1">
      <c r="A272" s="17" t="s">
        <v>821</v>
      </c>
      <c r="B272" s="17"/>
      <c r="C272" s="17" t="s">
        <v>542</v>
      </c>
      <c r="D272" s="12"/>
      <c r="E272" s="13"/>
      <c r="AJ272" s="17" t="s">
        <v>821</v>
      </c>
      <c r="AK272" s="17"/>
      <c r="AL272" s="17" t="s">
        <v>542</v>
      </c>
      <c r="AZ272" s="20">
        <f t="shared" si="18"/>
        <v>0</v>
      </c>
      <c r="BJ272" s="20">
        <f t="shared" si="19"/>
        <v>0</v>
      </c>
      <c r="BL272" s="20">
        <f>'Gov Fd Rv'!AO272-'Gov Fnd Exp'!BJ272</f>
        <v>0</v>
      </c>
      <c r="BT272" s="20">
        <f t="shared" si="20"/>
        <v>0</v>
      </c>
      <c r="BU272" s="20"/>
      <c r="BV272" s="20">
        <f>BT272-'Gov Fd BS'!AA272</f>
        <v>0</v>
      </c>
    </row>
    <row r="273" spans="1:74">
      <c r="A273" s="12" t="s">
        <v>428</v>
      </c>
      <c r="B273" s="12"/>
      <c r="C273" s="12" t="s">
        <v>42</v>
      </c>
      <c r="D273" s="12"/>
      <c r="E273" s="13">
        <v>47985</v>
      </c>
      <c r="G273" s="1">
        <v>5826435</v>
      </c>
      <c r="I273" s="1">
        <v>1251029</v>
      </c>
      <c r="K273" s="1">
        <v>181568</v>
      </c>
      <c r="M273" s="1">
        <v>358997</v>
      </c>
      <c r="O273" s="1">
        <v>471206</v>
      </c>
      <c r="Q273" s="1">
        <v>532257</v>
      </c>
      <c r="S273" s="1">
        <v>57358</v>
      </c>
      <c r="U273" s="1">
        <v>987382</v>
      </c>
      <c r="W273" s="1">
        <v>385428</v>
      </c>
      <c r="Y273" s="1">
        <v>0</v>
      </c>
      <c r="AA273" s="1">
        <v>979783</v>
      </c>
      <c r="AC273" s="1">
        <v>691780</v>
      </c>
      <c r="AE273" s="1">
        <v>48869</v>
      </c>
      <c r="AG273" s="1">
        <v>491476</v>
      </c>
      <c r="AI273" s="1">
        <v>22941</v>
      </c>
      <c r="AJ273" s="12" t="s">
        <v>428</v>
      </c>
      <c r="AK273" s="12"/>
      <c r="AL273" s="12" t="s">
        <v>42</v>
      </c>
      <c r="AN273" s="1">
        <v>467571</v>
      </c>
      <c r="AP273" s="1">
        <v>0</v>
      </c>
      <c r="AR273" s="1">
        <v>0</v>
      </c>
      <c r="AT273" s="1">
        <v>138176</v>
      </c>
      <c r="AV273" s="1">
        <v>21457</v>
      </c>
      <c r="AX273" s="1">
        <v>0</v>
      </c>
      <c r="AZ273" s="20">
        <f t="shared" si="18"/>
        <v>12913713</v>
      </c>
      <c r="BB273" s="1">
        <v>124161</v>
      </c>
      <c r="BH273" s="1">
        <v>0</v>
      </c>
      <c r="BJ273" s="20">
        <f t="shared" si="19"/>
        <v>13037874</v>
      </c>
      <c r="BL273" s="20">
        <f>'Gov Fd Rv'!AO273-'Gov Fnd Exp'!BJ273</f>
        <v>3176482</v>
      </c>
      <c r="BN273" s="1">
        <v>4201931</v>
      </c>
      <c r="BP273" s="1">
        <v>0</v>
      </c>
      <c r="BR273" s="1">
        <v>0</v>
      </c>
      <c r="BT273" s="20">
        <f t="shared" si="20"/>
        <v>7378413</v>
      </c>
      <c r="BU273" s="20"/>
      <c r="BV273" s="20">
        <f>BT273-'Gov Fd BS'!AA273</f>
        <v>0</v>
      </c>
    </row>
    <row r="274" spans="1:74">
      <c r="A274" s="12" t="s">
        <v>459</v>
      </c>
      <c r="B274" s="12"/>
      <c r="C274" s="12" t="s">
        <v>458</v>
      </c>
      <c r="D274" s="12"/>
      <c r="E274" s="13">
        <v>48264</v>
      </c>
      <c r="G274" s="1">
        <v>7723633</v>
      </c>
      <c r="I274" s="1">
        <v>2240146</v>
      </c>
      <c r="K274" s="1">
        <v>169633</v>
      </c>
      <c r="M274" s="1">
        <v>3722</v>
      </c>
      <c r="O274" s="1">
        <v>1083821</v>
      </c>
      <c r="Q274" s="1">
        <v>793024</v>
      </c>
      <c r="S274" s="1">
        <v>99766</v>
      </c>
      <c r="U274" s="1">
        <v>1546423</v>
      </c>
      <c r="W274" s="1">
        <v>610160</v>
      </c>
      <c r="Y274" s="1">
        <v>7743</v>
      </c>
      <c r="AA274" s="1">
        <v>1667251</v>
      </c>
      <c r="AC274" s="1">
        <v>993575</v>
      </c>
      <c r="AE274" s="1">
        <v>0</v>
      </c>
      <c r="AG274" s="1">
        <v>679534</v>
      </c>
      <c r="AI274" s="1">
        <v>0</v>
      </c>
      <c r="AJ274" s="12" t="s">
        <v>459</v>
      </c>
      <c r="AK274" s="12"/>
      <c r="AL274" s="12" t="s">
        <v>458</v>
      </c>
      <c r="AN274" s="1">
        <v>590717</v>
      </c>
      <c r="AP274" s="1">
        <v>3486513</v>
      </c>
      <c r="AR274" s="1">
        <v>0</v>
      </c>
      <c r="AT274" s="1">
        <v>738197</v>
      </c>
      <c r="AV274" s="1">
        <v>942857</v>
      </c>
      <c r="AX274" s="1">
        <v>0</v>
      </c>
      <c r="AZ274" s="20">
        <f t="shared" si="18"/>
        <v>23376715</v>
      </c>
      <c r="BB274" s="1">
        <v>589256</v>
      </c>
      <c r="BH274" s="1">
        <v>0</v>
      </c>
      <c r="BJ274" s="20">
        <f t="shared" si="19"/>
        <v>23965971</v>
      </c>
      <c r="BL274" s="20">
        <f>'Gov Fd Rv'!AO274-'Gov Fnd Exp'!BJ274</f>
        <v>8701763</v>
      </c>
      <c r="BN274" s="1">
        <v>7832571</v>
      </c>
      <c r="BP274" s="1">
        <v>0</v>
      </c>
      <c r="BR274" s="1">
        <v>0</v>
      </c>
      <c r="BT274" s="20">
        <f t="shared" si="20"/>
        <v>16534334</v>
      </c>
      <c r="BU274" s="20"/>
      <c r="BV274" s="20">
        <f>BT274-'Gov Fd BS'!AA274</f>
        <v>0</v>
      </c>
    </row>
    <row r="275" spans="1:74">
      <c r="A275" s="12" t="s">
        <v>606</v>
      </c>
      <c r="B275" s="12"/>
      <c r="C275" s="12" t="s">
        <v>64</v>
      </c>
      <c r="D275" s="12"/>
      <c r="E275" s="13">
        <v>50179</v>
      </c>
      <c r="G275" s="1">
        <v>3869855</v>
      </c>
      <c r="I275" s="1">
        <v>674370</v>
      </c>
      <c r="K275" s="1">
        <v>70644</v>
      </c>
      <c r="M275" s="1">
        <v>53257</v>
      </c>
      <c r="O275" s="1">
        <v>349903</v>
      </c>
      <c r="Q275" s="1">
        <v>91017</v>
      </c>
      <c r="S275" s="1">
        <v>145313</v>
      </c>
      <c r="U275" s="1">
        <v>669045</v>
      </c>
      <c r="W275" s="1">
        <v>306941</v>
      </c>
      <c r="Y275" s="1">
        <v>0</v>
      </c>
      <c r="AA275" s="1">
        <v>683226</v>
      </c>
      <c r="AC275" s="1">
        <v>706768</v>
      </c>
      <c r="AE275" s="1">
        <v>129372</v>
      </c>
      <c r="AG275" s="1">
        <v>0</v>
      </c>
      <c r="AI275" s="1">
        <v>512562</v>
      </c>
      <c r="AJ275" s="12" t="s">
        <v>606</v>
      </c>
      <c r="AK275" s="12"/>
      <c r="AL275" s="12" t="s">
        <v>64</v>
      </c>
      <c r="AN275" s="1">
        <v>250080</v>
      </c>
      <c r="AP275" s="1">
        <v>225050</v>
      </c>
      <c r="AR275" s="1">
        <v>0</v>
      </c>
      <c r="AT275" s="1">
        <v>314681</v>
      </c>
      <c r="AV275" s="1">
        <v>323096</v>
      </c>
      <c r="AX275" s="1">
        <v>0</v>
      </c>
      <c r="AZ275" s="20">
        <f t="shared" si="18"/>
        <v>9375180</v>
      </c>
      <c r="BB275" s="1">
        <v>60382</v>
      </c>
      <c r="BH275" s="1">
        <v>0</v>
      </c>
      <c r="BJ275" s="20">
        <f t="shared" si="19"/>
        <v>9435562</v>
      </c>
      <c r="BL275" s="20">
        <f>'Gov Fd Rv'!AO275-'Gov Fnd Exp'!BJ275</f>
        <v>267290</v>
      </c>
      <c r="BN275" s="1">
        <v>2204422</v>
      </c>
      <c r="BP275" s="1">
        <v>0</v>
      </c>
      <c r="BR275" s="1">
        <v>0</v>
      </c>
      <c r="BT275" s="20">
        <f t="shared" si="20"/>
        <v>2471712</v>
      </c>
      <c r="BU275" s="20"/>
      <c r="BV275" s="20">
        <f>BT275-'Gov Fd BS'!AA275</f>
        <v>0</v>
      </c>
    </row>
    <row r="276" spans="1:74" hidden="1">
      <c r="A276" s="12" t="s">
        <v>316</v>
      </c>
      <c r="B276" s="12"/>
      <c r="C276" s="12" t="s">
        <v>24</v>
      </c>
      <c r="D276" s="12"/>
      <c r="E276" s="13">
        <v>46797</v>
      </c>
      <c r="AJ276" s="12" t="s">
        <v>316</v>
      </c>
      <c r="AK276" s="12"/>
      <c r="AL276" s="12" t="s">
        <v>24</v>
      </c>
      <c r="AZ276" s="20">
        <f t="shared" si="18"/>
        <v>0</v>
      </c>
      <c r="BJ276" s="20">
        <f t="shared" si="19"/>
        <v>0</v>
      </c>
      <c r="BL276" s="20">
        <f>'Gov Fd Rv'!AO276-'Gov Fnd Exp'!BJ276</f>
        <v>0</v>
      </c>
      <c r="BT276" s="20">
        <f t="shared" si="20"/>
        <v>0</v>
      </c>
      <c r="BU276" s="20"/>
      <c r="BV276" s="20">
        <f>BT276-'Gov Fd BS'!AA276</f>
        <v>0</v>
      </c>
    </row>
    <row r="277" spans="1:74">
      <c r="A277" s="12" t="s">
        <v>353</v>
      </c>
      <c r="B277" s="12"/>
      <c r="C277" s="12" t="s">
        <v>30</v>
      </c>
      <c r="D277" s="12"/>
      <c r="E277" s="13">
        <v>47191</v>
      </c>
      <c r="G277" s="1">
        <v>15085933</v>
      </c>
      <c r="I277" s="1">
        <v>4192988</v>
      </c>
      <c r="K277" s="1">
        <v>148356</v>
      </c>
      <c r="M277" s="1">
        <v>547437</v>
      </c>
      <c r="O277" s="1">
        <v>2522365</v>
      </c>
      <c r="Q277" s="1">
        <v>1156742</v>
      </c>
      <c r="S277" s="1">
        <v>54749</v>
      </c>
      <c r="U277" s="1">
        <v>2835247</v>
      </c>
      <c r="W277" s="1">
        <v>1013879</v>
      </c>
      <c r="Y277" s="1">
        <v>48639</v>
      </c>
      <c r="AA277" s="1">
        <v>3882822</v>
      </c>
      <c r="AC277" s="1">
        <v>2569055</v>
      </c>
      <c r="AE277" s="1">
        <v>7264</v>
      </c>
      <c r="AG277" s="1">
        <v>0</v>
      </c>
      <c r="AI277" s="1">
        <f>117732+24635</f>
        <v>142367</v>
      </c>
      <c r="AJ277" s="12" t="s">
        <v>353</v>
      </c>
      <c r="AK277" s="12"/>
      <c r="AL277" s="12" t="s">
        <v>30</v>
      </c>
      <c r="AN277" s="1">
        <v>1469854</v>
      </c>
      <c r="AP277" s="1">
        <v>918308</v>
      </c>
      <c r="AR277" s="1">
        <v>0</v>
      </c>
      <c r="AT277" s="1">
        <v>1358500</v>
      </c>
      <c r="AV277" s="1">
        <v>2061692</v>
      </c>
      <c r="AX277" s="1">
        <v>0</v>
      </c>
      <c r="AZ277" s="20">
        <f t="shared" si="18"/>
        <v>40016197</v>
      </c>
      <c r="BB277" s="1">
        <v>116585</v>
      </c>
      <c r="BH277" s="1">
        <v>0</v>
      </c>
      <c r="BJ277" s="20">
        <f t="shared" si="19"/>
        <v>40132782</v>
      </c>
      <c r="BL277" s="20">
        <f>'Gov Fd Rv'!AO277-'Gov Fnd Exp'!BJ277</f>
        <v>-614752</v>
      </c>
      <c r="BN277" s="1">
        <v>14609124</v>
      </c>
      <c r="BP277" s="1">
        <v>0</v>
      </c>
      <c r="BR277" s="1">
        <v>0</v>
      </c>
      <c r="BT277" s="20">
        <f t="shared" si="20"/>
        <v>13994372</v>
      </c>
      <c r="BU277" s="20"/>
      <c r="BV277" s="20">
        <f>BT277-'Gov Fd BS'!AA277</f>
        <v>0</v>
      </c>
    </row>
    <row r="278" spans="1:74">
      <c r="A278" s="12" t="s">
        <v>535</v>
      </c>
      <c r="B278" s="12"/>
      <c r="C278" s="12" t="s">
        <v>56</v>
      </c>
      <c r="D278" s="12"/>
      <c r="E278" s="13">
        <v>44164</v>
      </c>
      <c r="G278" s="1">
        <v>18141748</v>
      </c>
      <c r="I278" s="1">
        <v>5373659</v>
      </c>
      <c r="K278" s="1">
        <v>2144124</v>
      </c>
      <c r="M278" s="1">
        <f>42243+426360+668944</f>
        <v>1137547</v>
      </c>
      <c r="O278" s="1">
        <v>2516252</v>
      </c>
      <c r="Q278" s="1">
        <v>2477574</v>
      </c>
      <c r="S278" s="1">
        <v>174970</v>
      </c>
      <c r="U278" s="1">
        <v>3192169</v>
      </c>
      <c r="W278" s="1">
        <v>997461</v>
      </c>
      <c r="Y278" s="1">
        <v>355769</v>
      </c>
      <c r="AA278" s="1">
        <v>3221283</v>
      </c>
      <c r="AC278" s="1">
        <v>1400420</v>
      </c>
      <c r="AE278" s="1">
        <v>339690</v>
      </c>
      <c r="AG278" s="1">
        <v>1325364</v>
      </c>
      <c r="AI278" s="1">
        <v>448219</v>
      </c>
      <c r="AJ278" s="12" t="s">
        <v>535</v>
      </c>
      <c r="AK278" s="12"/>
      <c r="AL278" s="12" t="s">
        <v>56</v>
      </c>
      <c r="AN278" s="1">
        <v>1162996</v>
      </c>
      <c r="AP278" s="1">
        <v>412492</v>
      </c>
      <c r="AR278" s="1">
        <v>14301</v>
      </c>
      <c r="AT278" s="1">
        <v>1643684</v>
      </c>
      <c r="AV278" s="1">
        <v>1143461</v>
      </c>
      <c r="AX278" s="1">
        <v>0</v>
      </c>
      <c r="AZ278" s="20">
        <f t="shared" si="18"/>
        <v>47623183</v>
      </c>
      <c r="BB278" s="1">
        <v>613403</v>
      </c>
      <c r="BH278" s="1">
        <v>0</v>
      </c>
      <c r="BJ278" s="20">
        <f t="shared" si="19"/>
        <v>48236586</v>
      </c>
      <c r="BL278" s="20">
        <f>'Gov Fd Rv'!AO278-'Gov Fnd Exp'!BJ278</f>
        <v>3081128</v>
      </c>
      <c r="BN278" s="1">
        <v>14839510</v>
      </c>
      <c r="BP278" s="1">
        <v>0</v>
      </c>
      <c r="BR278" s="1">
        <v>0</v>
      </c>
      <c r="BT278" s="20">
        <f t="shared" si="20"/>
        <v>17920638</v>
      </c>
      <c r="BU278" s="20"/>
      <c r="BV278" s="20">
        <f>BT278-'Gov Fd BS'!AA278</f>
        <v>0</v>
      </c>
    </row>
    <row r="279" spans="1:74">
      <c r="A279" s="12" t="s">
        <v>385</v>
      </c>
      <c r="B279" s="12"/>
      <c r="C279" s="12" t="s">
        <v>383</v>
      </c>
      <c r="D279" s="12"/>
      <c r="E279" s="13">
        <v>44172</v>
      </c>
      <c r="G279" s="1">
        <v>10129527</v>
      </c>
      <c r="I279" s="1">
        <v>2408079</v>
      </c>
      <c r="K279" s="1">
        <v>181737</v>
      </c>
      <c r="M279" s="1">
        <v>0</v>
      </c>
      <c r="O279" s="1">
        <v>618431</v>
      </c>
      <c r="Q279" s="1">
        <v>1207925</v>
      </c>
      <c r="S279" s="1">
        <v>24746</v>
      </c>
      <c r="U279" s="1">
        <v>1672370</v>
      </c>
      <c r="W279" s="1">
        <v>412663</v>
      </c>
      <c r="Y279" s="1">
        <v>0</v>
      </c>
      <c r="AA279" s="1">
        <v>1526222</v>
      </c>
      <c r="AC279" s="1">
        <v>858926</v>
      </c>
      <c r="AE279" s="1">
        <v>68070</v>
      </c>
      <c r="AG279" s="1">
        <v>0</v>
      </c>
      <c r="AI279" s="1">
        <v>904731</v>
      </c>
      <c r="AJ279" s="12" t="s">
        <v>385</v>
      </c>
      <c r="AK279" s="12"/>
      <c r="AL279" s="12" t="s">
        <v>383</v>
      </c>
      <c r="AN279" s="1">
        <v>216929</v>
      </c>
      <c r="AP279" s="1">
        <v>0</v>
      </c>
      <c r="AR279" s="1">
        <v>0</v>
      </c>
      <c r="AT279" s="1">
        <v>36495</v>
      </c>
      <c r="AV279" s="1">
        <v>0</v>
      </c>
      <c r="AX279" s="1">
        <v>0</v>
      </c>
      <c r="AZ279" s="20">
        <f t="shared" si="18"/>
        <v>20266851</v>
      </c>
      <c r="BB279" s="1">
        <v>0</v>
      </c>
      <c r="BH279" s="1">
        <v>0</v>
      </c>
      <c r="BJ279" s="20">
        <f t="shared" si="19"/>
        <v>20266851</v>
      </c>
      <c r="BL279" s="20">
        <f>'Gov Fd Rv'!AO279-'Gov Fnd Exp'!BJ279</f>
        <v>-1307606</v>
      </c>
      <c r="BN279" s="1">
        <v>2648607</v>
      </c>
      <c r="BP279" s="1">
        <v>0</v>
      </c>
      <c r="BR279" s="1">
        <v>0</v>
      </c>
      <c r="BT279" s="20">
        <f t="shared" si="20"/>
        <v>1341001</v>
      </c>
      <c r="BU279" s="20"/>
      <c r="BV279" s="20">
        <f>BT279-'Gov Fd BS'!AA279</f>
        <v>0</v>
      </c>
    </row>
    <row r="280" spans="1:74">
      <c r="A280" s="12" t="s">
        <v>499</v>
      </c>
      <c r="B280" s="12"/>
      <c r="C280" s="12" t="s">
        <v>50</v>
      </c>
      <c r="D280" s="12"/>
      <c r="E280" s="13">
        <v>44180</v>
      </c>
      <c r="G280" s="1">
        <v>35757961</v>
      </c>
      <c r="I280" s="1">
        <v>9112354</v>
      </c>
      <c r="K280" s="1">
        <v>2603181</v>
      </c>
      <c r="M280" s="1">
        <f>80097+2330680</f>
        <v>2410777</v>
      </c>
      <c r="O280" s="1">
        <v>8670527</v>
      </c>
      <c r="Q280" s="1">
        <v>5556122</v>
      </c>
      <c r="S280" s="1">
        <v>67089</v>
      </c>
      <c r="U280" s="1">
        <v>5811186</v>
      </c>
      <c r="W280" s="1">
        <v>1572373</v>
      </c>
      <c r="Y280" s="1">
        <v>610412</v>
      </c>
      <c r="AA280" s="1">
        <v>8757425</v>
      </c>
      <c r="AC280" s="1">
        <v>3448507</v>
      </c>
      <c r="AE280" s="1">
        <v>1857867</v>
      </c>
      <c r="AG280" s="1">
        <v>0</v>
      </c>
      <c r="AI280" s="1">
        <v>4680816</v>
      </c>
      <c r="AJ280" s="12" t="s">
        <v>499</v>
      </c>
      <c r="AK280" s="12"/>
      <c r="AL280" s="12" t="s">
        <v>50</v>
      </c>
      <c r="AN280" s="1">
        <v>1667391</v>
      </c>
      <c r="AP280" s="1">
        <v>459417</v>
      </c>
      <c r="AR280" s="1">
        <v>0</v>
      </c>
      <c r="AT280" s="1">
        <v>3522002</v>
      </c>
      <c r="AV280" s="1">
        <v>4364486</v>
      </c>
      <c r="AX280" s="1">
        <v>0</v>
      </c>
      <c r="AZ280" s="20">
        <f t="shared" si="18"/>
        <v>100929893</v>
      </c>
      <c r="BB280" s="1">
        <v>343500</v>
      </c>
      <c r="BH280" s="1">
        <v>0</v>
      </c>
      <c r="BJ280" s="20">
        <f t="shared" si="19"/>
        <v>101273393</v>
      </c>
      <c r="BL280" s="20">
        <f>'Gov Fd Rv'!AO280-'Gov Fnd Exp'!BJ280</f>
        <v>-5777577</v>
      </c>
      <c r="BN280" s="1">
        <v>14074745</v>
      </c>
      <c r="BP280" s="1">
        <v>-5991</v>
      </c>
      <c r="BR280" s="1">
        <v>0</v>
      </c>
      <c r="BT280" s="20">
        <f t="shared" si="20"/>
        <v>8291177</v>
      </c>
      <c r="BU280" s="20"/>
      <c r="BV280" s="20">
        <f>BT280-'Gov Fd BS'!AA280</f>
        <v>0</v>
      </c>
    </row>
    <row r="281" spans="1:74">
      <c r="A281" s="12" t="s">
        <v>442</v>
      </c>
      <c r="B281" s="12"/>
      <c r="C281" s="12" t="s">
        <v>44</v>
      </c>
      <c r="D281" s="12"/>
      <c r="E281" s="13">
        <v>48165</v>
      </c>
      <c r="G281" s="1">
        <v>7021672</v>
      </c>
      <c r="I281" s="1">
        <v>1638378</v>
      </c>
      <c r="K281" s="1">
        <v>100478</v>
      </c>
      <c r="M281" s="1">
        <v>116797</v>
      </c>
      <c r="O281" s="1">
        <v>882916</v>
      </c>
      <c r="Q281" s="1">
        <v>529378</v>
      </c>
      <c r="S281" s="1">
        <v>34668</v>
      </c>
      <c r="U281" s="1">
        <v>1246756</v>
      </c>
      <c r="W281" s="1">
        <v>417531</v>
      </c>
      <c r="Y281" s="1">
        <v>0</v>
      </c>
      <c r="AA281" s="1">
        <v>1217001</v>
      </c>
      <c r="AC281" s="1">
        <v>1034244</v>
      </c>
      <c r="AE281" s="1">
        <v>384903</v>
      </c>
      <c r="AG281" s="1">
        <v>481473</v>
      </c>
      <c r="AI281" s="1">
        <f>55778+111471</f>
        <v>167249</v>
      </c>
      <c r="AJ281" s="12" t="s">
        <v>442</v>
      </c>
      <c r="AK281" s="12"/>
      <c r="AL281" s="12" t="s">
        <v>44</v>
      </c>
      <c r="AN281" s="1">
        <v>396081</v>
      </c>
      <c r="AP281" s="1">
        <v>147450</v>
      </c>
      <c r="AR281" s="1">
        <v>0</v>
      </c>
      <c r="AT281" s="1">
        <v>734000</v>
      </c>
      <c r="AV281" s="1">
        <v>734586</v>
      </c>
      <c r="AX281" s="1">
        <v>0</v>
      </c>
      <c r="AZ281" s="20">
        <f t="shared" si="18"/>
        <v>17285561</v>
      </c>
      <c r="BB281" s="1">
        <v>25000</v>
      </c>
      <c r="BH281" s="1">
        <v>0</v>
      </c>
      <c r="BJ281" s="20">
        <f t="shared" si="19"/>
        <v>17310561</v>
      </c>
      <c r="BL281" s="20">
        <f>'Gov Fd Rv'!AO281-'Gov Fnd Exp'!BJ281</f>
        <v>-427350</v>
      </c>
      <c r="BN281" s="1">
        <v>7210823</v>
      </c>
      <c r="BP281" s="1">
        <v>0</v>
      </c>
      <c r="BR281" s="1">
        <v>0</v>
      </c>
      <c r="BT281" s="20">
        <f t="shared" si="20"/>
        <v>6783473</v>
      </c>
      <c r="BU281" s="20"/>
      <c r="BV281" s="20">
        <f>BT281-'Gov Fd BS'!AA281</f>
        <v>0</v>
      </c>
    </row>
    <row r="282" spans="1:74">
      <c r="A282" s="12" t="s">
        <v>633</v>
      </c>
      <c r="B282" s="12"/>
      <c r="C282" s="12" t="s">
        <v>69</v>
      </c>
      <c r="D282" s="12"/>
      <c r="E282" s="13">
        <v>50435</v>
      </c>
      <c r="G282" s="1">
        <v>17556848</v>
      </c>
      <c r="I282" s="1">
        <v>4025945</v>
      </c>
      <c r="K282" s="1">
        <v>0</v>
      </c>
      <c r="M282" s="1">
        <v>768467</v>
      </c>
      <c r="O282" s="1">
        <v>1872274</v>
      </c>
      <c r="Q282" s="1">
        <v>1802184</v>
      </c>
      <c r="S282" s="1">
        <v>95730</v>
      </c>
      <c r="U282" s="1">
        <v>3479100</v>
      </c>
      <c r="W282" s="1">
        <v>890628</v>
      </c>
      <c r="Y282" s="1">
        <v>256283</v>
      </c>
      <c r="AA282" s="1">
        <v>3881800</v>
      </c>
      <c r="AC282" s="1">
        <v>2858817</v>
      </c>
      <c r="AE282" s="1">
        <v>286659</v>
      </c>
      <c r="AG282" s="1">
        <v>0</v>
      </c>
      <c r="AI282" s="1">
        <v>380314</v>
      </c>
      <c r="AJ282" s="12" t="s">
        <v>633</v>
      </c>
      <c r="AK282" s="12"/>
      <c r="AL282" s="12" t="s">
        <v>69</v>
      </c>
      <c r="AN282" s="1">
        <v>1272744</v>
      </c>
      <c r="AP282" s="1">
        <v>3942510</v>
      </c>
      <c r="AR282" s="1">
        <v>0</v>
      </c>
      <c r="AT282" s="1">
        <v>2381477</v>
      </c>
      <c r="AV282" s="1">
        <v>3207871</v>
      </c>
      <c r="AX282" s="1">
        <v>0</v>
      </c>
      <c r="AZ282" s="20">
        <f t="shared" si="18"/>
        <v>48959651</v>
      </c>
      <c r="BB282" s="1">
        <v>0</v>
      </c>
      <c r="BH282" s="1">
        <v>0</v>
      </c>
      <c r="BJ282" s="20">
        <f t="shared" si="19"/>
        <v>48959651</v>
      </c>
      <c r="BL282" s="20">
        <f>'Gov Fd Rv'!AO282-'Gov Fnd Exp'!BJ282</f>
        <v>-7012814</v>
      </c>
      <c r="BN282" s="1">
        <v>19421200</v>
      </c>
      <c r="BP282" s="1">
        <v>0</v>
      </c>
      <c r="BR282" s="1">
        <v>0</v>
      </c>
      <c r="BT282" s="20">
        <f t="shared" si="20"/>
        <v>12408386</v>
      </c>
      <c r="BU282" s="20"/>
      <c r="BV282" s="20">
        <f>BT282-'Gov Fd BS'!AA282</f>
        <v>0</v>
      </c>
    </row>
    <row r="283" spans="1:74" hidden="1">
      <c r="A283" s="17" t="s">
        <v>862</v>
      </c>
      <c r="B283" s="12"/>
      <c r="C283" s="12" t="s">
        <v>41</v>
      </c>
      <c r="D283" s="12"/>
      <c r="E283" s="13">
        <v>47878</v>
      </c>
      <c r="AJ283" s="17" t="s">
        <v>862</v>
      </c>
      <c r="AK283" s="12"/>
      <c r="AL283" s="12" t="s">
        <v>41</v>
      </c>
      <c r="AZ283" s="20">
        <f t="shared" si="18"/>
        <v>0</v>
      </c>
      <c r="BJ283" s="20">
        <f t="shared" si="19"/>
        <v>0</v>
      </c>
      <c r="BL283" s="20">
        <f>'Gov Fd Rv'!AO283-'Gov Fnd Exp'!BJ283</f>
        <v>0</v>
      </c>
      <c r="BT283" s="20">
        <f t="shared" si="20"/>
        <v>0</v>
      </c>
      <c r="BU283" s="20"/>
      <c r="BV283" s="20">
        <f>BT283-'Gov Fd BS'!AA283</f>
        <v>0</v>
      </c>
    </row>
    <row r="284" spans="1:74">
      <c r="A284" s="12" t="s">
        <v>607</v>
      </c>
      <c r="B284" s="12"/>
      <c r="C284" s="12" t="s">
        <v>64</v>
      </c>
      <c r="D284" s="12"/>
      <c r="E284" s="13">
        <v>50245</v>
      </c>
      <c r="G284" s="1">
        <v>6189451</v>
      </c>
      <c r="I284" s="1">
        <v>1500220</v>
      </c>
      <c r="K284" s="1">
        <v>88602</v>
      </c>
      <c r="M284" s="1">
        <f>1365+476250</f>
        <v>477615</v>
      </c>
      <c r="O284" s="1">
        <v>701666</v>
      </c>
      <c r="Q284" s="1">
        <v>208069</v>
      </c>
      <c r="S284" s="1">
        <v>44424</v>
      </c>
      <c r="U284" s="1">
        <v>1081677</v>
      </c>
      <c r="W284" s="1">
        <v>330751</v>
      </c>
      <c r="Y284" s="1">
        <v>0</v>
      </c>
      <c r="AA284" s="1">
        <v>1354151</v>
      </c>
      <c r="AC284" s="1">
        <v>542975</v>
      </c>
      <c r="AE284" s="1">
        <v>107405</v>
      </c>
      <c r="AG284" s="1">
        <v>694860</v>
      </c>
      <c r="AI284" s="1">
        <v>3473</v>
      </c>
      <c r="AJ284" s="12" t="s">
        <v>607</v>
      </c>
      <c r="AK284" s="12"/>
      <c r="AL284" s="12" t="s">
        <v>64</v>
      </c>
      <c r="AN284" s="1">
        <v>360412</v>
      </c>
      <c r="AP284" s="1">
        <v>252703</v>
      </c>
      <c r="AR284" s="1">
        <v>0</v>
      </c>
      <c r="AT284" s="1">
        <v>507750</v>
      </c>
      <c r="AV284" s="1">
        <v>400815</v>
      </c>
      <c r="AX284" s="1">
        <v>0</v>
      </c>
      <c r="AZ284" s="20">
        <f t="shared" si="18"/>
        <v>14847019</v>
      </c>
      <c r="BB284" s="1">
        <v>0</v>
      </c>
      <c r="BH284" s="1">
        <v>0</v>
      </c>
      <c r="BJ284" s="20">
        <f t="shared" si="19"/>
        <v>14847019</v>
      </c>
      <c r="BL284" s="20">
        <f>'Gov Fd Rv'!AO284-'Gov Fnd Exp'!BJ284</f>
        <v>506809</v>
      </c>
      <c r="BN284" s="1">
        <v>4792673</v>
      </c>
      <c r="BP284" s="1">
        <v>2285</v>
      </c>
      <c r="BR284" s="1">
        <v>0</v>
      </c>
      <c r="BT284" s="20">
        <f t="shared" si="20"/>
        <v>5301767</v>
      </c>
      <c r="BU284" s="20"/>
      <c r="BV284" s="20">
        <f>BT284-'Gov Fd BS'!AA284</f>
        <v>0</v>
      </c>
    </row>
    <row r="285" spans="1:74">
      <c r="A285" s="12" t="s">
        <v>577</v>
      </c>
      <c r="B285" s="12"/>
      <c r="C285" s="12" t="s">
        <v>62</v>
      </c>
      <c r="D285" s="12"/>
      <c r="E285" s="13">
        <v>49866</v>
      </c>
      <c r="G285" s="1">
        <v>14584123</v>
      </c>
      <c r="I285" s="1">
        <v>3502684</v>
      </c>
      <c r="K285" s="1">
        <v>502141</v>
      </c>
      <c r="M285" s="1">
        <f>246412+1027414</f>
        <v>1273826</v>
      </c>
      <c r="O285" s="1">
        <v>942401</v>
      </c>
      <c r="Q285" s="1">
        <v>1643112</v>
      </c>
      <c r="S285" s="1">
        <v>35370</v>
      </c>
      <c r="U285" s="1">
        <v>2696240</v>
      </c>
      <c r="W285" s="1">
        <v>651358</v>
      </c>
      <c r="Y285" s="1">
        <v>76163</v>
      </c>
      <c r="AA285" s="1">
        <v>3234540</v>
      </c>
      <c r="AC285" s="1">
        <v>2186027</v>
      </c>
      <c r="AE285" s="1">
        <v>158174</v>
      </c>
      <c r="AG285" s="1">
        <v>0</v>
      </c>
      <c r="AI285" s="1">
        <v>438349</v>
      </c>
      <c r="AJ285" s="12" t="s">
        <v>577</v>
      </c>
      <c r="AK285" s="12"/>
      <c r="AL285" s="12" t="s">
        <v>62</v>
      </c>
      <c r="AN285" s="1">
        <v>929933</v>
      </c>
      <c r="AP285" s="1">
        <v>269712</v>
      </c>
      <c r="AR285" s="1">
        <v>0</v>
      </c>
      <c r="AT285" s="1">
        <v>1035506</v>
      </c>
      <c r="AV285" s="1">
        <v>1030148</v>
      </c>
      <c r="AX285" s="1">
        <v>0</v>
      </c>
      <c r="AZ285" s="20">
        <f t="shared" si="18"/>
        <v>35189807</v>
      </c>
      <c r="BB285" s="1">
        <v>13716</v>
      </c>
      <c r="BH285" s="1">
        <v>0</v>
      </c>
      <c r="BJ285" s="20">
        <f t="shared" si="19"/>
        <v>35203523</v>
      </c>
      <c r="BL285" s="20">
        <f>'Gov Fd Rv'!AO285-'Gov Fnd Exp'!BJ285</f>
        <v>-1047031</v>
      </c>
      <c r="BN285" s="1">
        <v>5998505</v>
      </c>
      <c r="BP285" s="1">
        <v>0</v>
      </c>
      <c r="BR285" s="1">
        <v>0</v>
      </c>
      <c r="BT285" s="20">
        <f t="shared" si="20"/>
        <v>4951474</v>
      </c>
      <c r="BU285" s="20"/>
      <c r="BV285" s="20">
        <f>BT285-'Gov Fd BS'!AA285</f>
        <v>0</v>
      </c>
    </row>
    <row r="286" spans="1:74" hidden="1">
      <c r="A286" s="12" t="s">
        <v>939</v>
      </c>
      <c r="B286" s="12"/>
      <c r="C286" s="12" t="s">
        <v>72</v>
      </c>
      <c r="D286" s="12"/>
      <c r="E286" s="13">
        <v>50690</v>
      </c>
      <c r="AG286" s="1">
        <v>0</v>
      </c>
      <c r="AJ286" s="12" t="s">
        <v>939</v>
      </c>
      <c r="AK286" s="12"/>
      <c r="AL286" s="12" t="s">
        <v>72</v>
      </c>
      <c r="AZ286" s="20">
        <f t="shared" si="18"/>
        <v>0</v>
      </c>
      <c r="BJ286" s="20">
        <f t="shared" si="19"/>
        <v>0</v>
      </c>
      <c r="BL286" s="20">
        <f>'Gov Fd Rv'!AO286-'Gov Fnd Exp'!BJ286</f>
        <v>0</v>
      </c>
      <c r="BT286" s="20">
        <f t="shared" si="20"/>
        <v>0</v>
      </c>
      <c r="BU286" s="20"/>
      <c r="BV286" s="20">
        <f>BT286-'Gov Fd BS'!AA286</f>
        <v>0</v>
      </c>
    </row>
    <row r="287" spans="1:74">
      <c r="A287" s="12" t="s">
        <v>608</v>
      </c>
      <c r="B287" s="12"/>
      <c r="C287" s="12" t="s">
        <v>64</v>
      </c>
      <c r="D287" s="12"/>
      <c r="E287" s="13">
        <v>50187</v>
      </c>
      <c r="G287" s="1">
        <v>7448564</v>
      </c>
      <c r="I287" s="1">
        <v>2468499</v>
      </c>
      <c r="K287" s="1">
        <v>0</v>
      </c>
      <c r="M287" s="1">
        <v>0</v>
      </c>
      <c r="O287" s="1">
        <v>881191</v>
      </c>
      <c r="Q287" s="1">
        <v>791601</v>
      </c>
      <c r="S287" s="1">
        <v>21771</v>
      </c>
      <c r="U287" s="1">
        <v>1190685</v>
      </c>
      <c r="W287" s="1">
        <v>431701</v>
      </c>
      <c r="Y287" s="1">
        <v>0</v>
      </c>
      <c r="AA287" s="1">
        <v>1636191</v>
      </c>
      <c r="AC287" s="1">
        <v>820084</v>
      </c>
      <c r="AE287" s="1">
        <v>0</v>
      </c>
      <c r="AG287" s="1">
        <v>584208</v>
      </c>
      <c r="AI287" s="1">
        <v>9119</v>
      </c>
      <c r="AJ287" s="12" t="s">
        <v>608</v>
      </c>
      <c r="AK287" s="12"/>
      <c r="AL287" s="12" t="s">
        <v>64</v>
      </c>
      <c r="AN287" s="1">
        <v>440933</v>
      </c>
      <c r="AP287" s="1">
        <v>93522</v>
      </c>
      <c r="AR287" s="1">
        <v>0</v>
      </c>
      <c r="AT287" s="1">
        <v>318576</v>
      </c>
      <c r="AV287" s="1">
        <v>471404</v>
      </c>
      <c r="AX287" s="1">
        <v>0</v>
      </c>
      <c r="AZ287" s="20">
        <f t="shared" si="18"/>
        <v>17608049</v>
      </c>
      <c r="BB287" s="1">
        <v>104</v>
      </c>
      <c r="BH287" s="1">
        <v>0</v>
      </c>
      <c r="BJ287" s="20">
        <f t="shared" si="19"/>
        <v>17608153</v>
      </c>
      <c r="BL287" s="20">
        <f>'Gov Fd Rv'!AO287-'Gov Fnd Exp'!BJ287</f>
        <v>1656845</v>
      </c>
      <c r="BN287" s="1">
        <v>-565214</v>
      </c>
      <c r="BP287" s="1">
        <v>0</v>
      </c>
      <c r="BR287" s="1">
        <v>0</v>
      </c>
      <c r="BT287" s="20">
        <f t="shared" si="20"/>
        <v>1091631</v>
      </c>
      <c r="BU287" s="20"/>
      <c r="BV287" s="20">
        <f>BT287-'Gov Fd BS'!AA287</f>
        <v>0</v>
      </c>
    </row>
    <row r="288" spans="1:74">
      <c r="A288" s="12" t="s">
        <v>293</v>
      </c>
      <c r="B288" s="12"/>
      <c r="C288" s="12" t="s">
        <v>20</v>
      </c>
      <c r="D288" s="12"/>
      <c r="E288" s="13">
        <v>44198</v>
      </c>
      <c r="G288" s="1">
        <v>27504739</v>
      </c>
      <c r="I288" s="1">
        <v>13728817</v>
      </c>
      <c r="K288" s="1">
        <v>3213377</v>
      </c>
      <c r="M288" s="1">
        <f>225353+2870564</f>
        <v>3095917</v>
      </c>
      <c r="O288" s="1">
        <v>5047174</v>
      </c>
      <c r="Q288" s="1">
        <v>4904135</v>
      </c>
      <c r="S288" s="1">
        <v>33160</v>
      </c>
      <c r="U288" s="1">
        <v>3419556</v>
      </c>
      <c r="W288" s="1">
        <v>1741884</v>
      </c>
      <c r="Y288" s="1">
        <v>1000330</v>
      </c>
      <c r="AA288" s="1">
        <v>8027920</v>
      </c>
      <c r="AC288" s="1">
        <v>67944</v>
      </c>
      <c r="AE288" s="1">
        <v>458074</v>
      </c>
      <c r="AG288" s="1">
        <v>0</v>
      </c>
      <c r="AI288" s="1">
        <v>2593400</v>
      </c>
      <c r="AJ288" s="12" t="s">
        <v>293</v>
      </c>
      <c r="AK288" s="12"/>
      <c r="AL288" s="12" t="s">
        <v>20</v>
      </c>
      <c r="AN288" s="1">
        <v>1402885</v>
      </c>
      <c r="AP288" s="1">
        <f>4007438+1003756</f>
        <v>5011194</v>
      </c>
      <c r="AR288" s="1">
        <v>0</v>
      </c>
      <c r="AT288" s="1">
        <v>3596093</v>
      </c>
      <c r="AV288" s="1">
        <v>5466492</v>
      </c>
      <c r="AX288" s="1">
        <v>0</v>
      </c>
      <c r="AZ288" s="20">
        <f t="shared" si="18"/>
        <v>90313091</v>
      </c>
      <c r="BB288" s="1">
        <v>35000</v>
      </c>
      <c r="BH288" s="1">
        <v>0</v>
      </c>
      <c r="BJ288" s="20">
        <f t="shared" si="19"/>
        <v>90348091</v>
      </c>
      <c r="BL288" s="20">
        <f>'Gov Fd Rv'!AO288-'Gov Fnd Exp'!BJ288</f>
        <v>-7566167</v>
      </c>
      <c r="BN288" s="1">
        <v>26858727</v>
      </c>
      <c r="BP288" s="1">
        <v>0</v>
      </c>
      <c r="BR288" s="1">
        <v>0</v>
      </c>
      <c r="BT288" s="20">
        <f t="shared" si="20"/>
        <v>19292560</v>
      </c>
      <c r="BU288" s="20"/>
      <c r="BV288" s="20">
        <f>BT288-'Gov Fd BS'!AA288</f>
        <v>0</v>
      </c>
    </row>
    <row r="289" spans="1:74">
      <c r="A289" s="12" t="s">
        <v>762</v>
      </c>
      <c r="B289" s="12"/>
      <c r="C289" s="12" t="s">
        <v>42</v>
      </c>
      <c r="D289" s="12"/>
      <c r="E289" s="13">
        <v>47993</v>
      </c>
      <c r="G289" s="1">
        <v>13254304</v>
      </c>
      <c r="I289" s="1">
        <v>0</v>
      </c>
      <c r="K289" s="1">
        <v>0</v>
      </c>
      <c r="M289" s="1">
        <v>0</v>
      </c>
      <c r="O289" s="1">
        <v>1308054</v>
      </c>
      <c r="Q289" s="1">
        <v>375185</v>
      </c>
      <c r="S289" s="1">
        <v>81589</v>
      </c>
      <c r="U289" s="1">
        <v>1730479</v>
      </c>
      <c r="W289" s="1">
        <v>589442</v>
      </c>
      <c r="Y289" s="1">
        <v>19125</v>
      </c>
      <c r="AA289" s="1">
        <v>1567970</v>
      </c>
      <c r="AC289" s="1">
        <v>1782897</v>
      </c>
      <c r="AE289" s="1">
        <v>314738</v>
      </c>
      <c r="AG289" s="1">
        <v>0</v>
      </c>
      <c r="AI289" s="1">
        <v>16361</v>
      </c>
      <c r="AJ289" s="12" t="s">
        <v>762</v>
      </c>
      <c r="AK289" s="12"/>
      <c r="AL289" s="12" t="s">
        <v>42</v>
      </c>
      <c r="AN289" s="1">
        <v>382776</v>
      </c>
      <c r="AP289" s="1">
        <v>0</v>
      </c>
      <c r="AR289" s="1">
        <v>0</v>
      </c>
      <c r="AT289" s="1">
        <v>710783</v>
      </c>
      <c r="AV289" s="1">
        <v>523093</v>
      </c>
      <c r="AX289" s="1">
        <v>0</v>
      </c>
      <c r="AZ289" s="20">
        <f t="shared" si="18"/>
        <v>22656796</v>
      </c>
      <c r="BB289" s="1">
        <v>0</v>
      </c>
      <c r="BH289" s="1">
        <v>0</v>
      </c>
      <c r="BJ289" s="20">
        <f t="shared" si="19"/>
        <v>22656796</v>
      </c>
      <c r="BL289" s="20">
        <f>'Gov Fd Rv'!AO289-'Gov Fnd Exp'!BJ289</f>
        <v>-537370</v>
      </c>
      <c r="BN289" s="1">
        <v>5916732</v>
      </c>
      <c r="BP289" s="1">
        <v>9921</v>
      </c>
      <c r="BR289" s="1">
        <v>0</v>
      </c>
      <c r="BT289" s="20">
        <f t="shared" si="20"/>
        <v>5389283</v>
      </c>
      <c r="BU289" s="20"/>
      <c r="BV289" s="20">
        <f>BT289-'Gov Fd BS'!AA289</f>
        <v>0</v>
      </c>
    </row>
    <row r="290" spans="1:74">
      <c r="A290" s="12" t="s">
        <v>230</v>
      </c>
      <c r="B290" s="12"/>
      <c r="C290" s="12" t="s">
        <v>227</v>
      </c>
      <c r="D290" s="12"/>
      <c r="E290" s="13">
        <v>46110</v>
      </c>
      <c r="G290" s="1">
        <v>72485934</v>
      </c>
      <c r="I290" s="1">
        <v>14714652</v>
      </c>
      <c r="K290" s="1">
        <v>0</v>
      </c>
      <c r="M290" s="1">
        <v>3035460</v>
      </c>
      <c r="O290" s="1">
        <v>12670167</v>
      </c>
      <c r="Q290" s="1">
        <v>12448325</v>
      </c>
      <c r="S290" s="1">
        <v>66318</v>
      </c>
      <c r="U290" s="1">
        <v>14385096</v>
      </c>
      <c r="W290" s="1">
        <v>1275852</v>
      </c>
      <c r="Y290" s="1">
        <v>282518</v>
      </c>
      <c r="AA290" s="1">
        <v>14038230</v>
      </c>
      <c r="AC290" s="1">
        <v>17417776</v>
      </c>
      <c r="AE290" s="1">
        <v>3483625</v>
      </c>
      <c r="AG290" s="1">
        <v>0</v>
      </c>
      <c r="AI290" s="1">
        <v>599732</v>
      </c>
      <c r="AJ290" s="12" t="s">
        <v>230</v>
      </c>
      <c r="AK290" s="12"/>
      <c r="AL290" s="12" t="s">
        <v>227</v>
      </c>
      <c r="AN290" s="1">
        <v>3124572</v>
      </c>
      <c r="AP290" s="1">
        <v>9142535</v>
      </c>
      <c r="AR290" s="1">
        <v>0</v>
      </c>
      <c r="AT290" s="1">
        <v>4734714</v>
      </c>
      <c r="AV290" s="1">
        <v>8205712</v>
      </c>
      <c r="AX290" s="1">
        <v>0</v>
      </c>
      <c r="AZ290" s="20">
        <f t="shared" si="18"/>
        <v>192111218</v>
      </c>
      <c r="BB290" s="1">
        <v>2255500</v>
      </c>
      <c r="BH290" s="1">
        <v>0</v>
      </c>
      <c r="BJ290" s="20">
        <f t="shared" si="19"/>
        <v>194366718</v>
      </c>
      <c r="BL290" s="20">
        <f>'Gov Fd Rv'!AO290-'Gov Fnd Exp'!BJ290</f>
        <v>-2001358</v>
      </c>
      <c r="BN290" s="1">
        <v>41370016</v>
      </c>
      <c r="BP290" s="1">
        <v>0</v>
      </c>
      <c r="BR290" s="1">
        <v>0</v>
      </c>
      <c r="BT290" s="20">
        <f t="shared" si="20"/>
        <v>39368658</v>
      </c>
      <c r="BU290" s="20"/>
      <c r="BV290" s="20">
        <f>BT290-'Gov Fd BS'!AA290</f>
        <v>0</v>
      </c>
    </row>
    <row r="291" spans="1:74">
      <c r="A291" s="17" t="s">
        <v>842</v>
      </c>
      <c r="B291" s="12"/>
      <c r="C291" s="12" t="s">
        <v>79</v>
      </c>
      <c r="D291" s="12"/>
      <c r="E291" s="13">
        <v>49569</v>
      </c>
      <c r="G291" s="1">
        <v>4961763</v>
      </c>
      <c r="I291" s="1">
        <v>1783915</v>
      </c>
      <c r="K291" s="1">
        <v>22262</v>
      </c>
      <c r="M291" s="1">
        <v>23201</v>
      </c>
      <c r="O291" s="1">
        <v>632329</v>
      </c>
      <c r="Q291" s="1">
        <v>363927</v>
      </c>
      <c r="S291" s="1">
        <v>21257</v>
      </c>
      <c r="U291" s="1">
        <v>837854</v>
      </c>
      <c r="W291" s="1">
        <v>217104</v>
      </c>
      <c r="Y291" s="1">
        <v>225583</v>
      </c>
      <c r="AA291" s="1">
        <v>836259</v>
      </c>
      <c r="AC291" s="1">
        <v>701739</v>
      </c>
      <c r="AE291" s="1">
        <v>60740</v>
      </c>
      <c r="AG291" s="1">
        <v>446815</v>
      </c>
      <c r="AI291" s="1">
        <v>1722</v>
      </c>
      <c r="AJ291" s="17" t="s">
        <v>842</v>
      </c>
      <c r="AK291" s="12"/>
      <c r="AL291" s="12" t="s">
        <v>79</v>
      </c>
      <c r="AN291" s="1">
        <v>287180</v>
      </c>
      <c r="AP291" s="1">
        <v>15075655</v>
      </c>
      <c r="AR291" s="1">
        <v>0</v>
      </c>
      <c r="AT291" s="1">
        <v>515000</v>
      </c>
      <c r="AV291" s="1">
        <v>752959</v>
      </c>
      <c r="AX291" s="1">
        <v>0</v>
      </c>
      <c r="AZ291" s="20">
        <f t="shared" si="18"/>
        <v>27767264</v>
      </c>
      <c r="BB291" s="1">
        <v>365339</v>
      </c>
      <c r="BH291" s="1">
        <v>0</v>
      </c>
      <c r="BJ291" s="20">
        <f t="shared" si="19"/>
        <v>28132603</v>
      </c>
      <c r="BL291" s="20">
        <f>'Gov Fd Rv'!AO291-'Gov Fnd Exp'!BJ291</f>
        <v>-4544772</v>
      </c>
      <c r="BN291" s="1">
        <v>25134222</v>
      </c>
      <c r="BP291" s="1">
        <v>0</v>
      </c>
      <c r="BR291" s="1">
        <v>0</v>
      </c>
      <c r="BT291" s="20">
        <f t="shared" si="20"/>
        <v>20589450</v>
      </c>
      <c r="BU291" s="20"/>
      <c r="BV291" s="20">
        <f>BT291-'Gov Fd BS'!AA291</f>
        <v>0</v>
      </c>
    </row>
    <row r="292" spans="1:74">
      <c r="A292" s="12" t="s">
        <v>325</v>
      </c>
      <c r="B292" s="12"/>
      <c r="C292" s="12" t="s">
        <v>25</v>
      </c>
      <c r="D292" s="12"/>
      <c r="E292" s="13">
        <v>44206</v>
      </c>
      <c r="G292" s="1">
        <v>26486501</v>
      </c>
      <c r="I292" s="1">
        <v>6683180</v>
      </c>
      <c r="K292" s="1">
        <v>2340419</v>
      </c>
      <c r="M292" s="1">
        <v>183208</v>
      </c>
      <c r="O292" s="1">
        <v>3563711</v>
      </c>
      <c r="Q292" s="1">
        <v>3959734</v>
      </c>
      <c r="S292" s="1">
        <v>100093</v>
      </c>
      <c r="U292" s="1">
        <v>3827631</v>
      </c>
      <c r="W292" s="1">
        <v>1187136</v>
      </c>
      <c r="Y292" s="1">
        <v>366104</v>
      </c>
      <c r="AA292" s="1">
        <v>4737066</v>
      </c>
      <c r="AC292" s="1">
        <v>2042037</v>
      </c>
      <c r="AE292" s="1">
        <v>1113133</v>
      </c>
      <c r="AG292" s="1">
        <v>2460290</v>
      </c>
      <c r="AI292" s="1">
        <v>1102192</v>
      </c>
      <c r="AJ292" s="12" t="s">
        <v>325</v>
      </c>
      <c r="AK292" s="12"/>
      <c r="AL292" s="12" t="s">
        <v>25</v>
      </c>
      <c r="AN292" s="1">
        <v>1181301</v>
      </c>
      <c r="AP292" s="1">
        <v>897077</v>
      </c>
      <c r="AR292" s="1">
        <v>0</v>
      </c>
      <c r="AT292" s="1">
        <v>95273</v>
      </c>
      <c r="AV292" s="1">
        <v>42918</v>
      </c>
      <c r="AX292" s="1">
        <v>0</v>
      </c>
      <c r="AZ292" s="20">
        <f t="shared" si="18"/>
        <v>62369004</v>
      </c>
      <c r="BB292" s="1">
        <v>19007</v>
      </c>
      <c r="BH292" s="1">
        <v>0</v>
      </c>
      <c r="BJ292" s="20">
        <f t="shared" si="19"/>
        <v>62388011</v>
      </c>
      <c r="BL292" s="20">
        <f>'Gov Fd Rv'!AO292-'Gov Fnd Exp'!BJ292</f>
        <v>5147884</v>
      </c>
      <c r="BN292" s="1">
        <v>23470560</v>
      </c>
      <c r="BP292" s="1">
        <v>0</v>
      </c>
      <c r="BR292" s="1">
        <v>0</v>
      </c>
      <c r="BT292" s="20">
        <f t="shared" si="20"/>
        <v>28618444</v>
      </c>
      <c r="BU292" s="20"/>
      <c r="BV292" s="20">
        <f>BT292-'Gov Fd BS'!AA292</f>
        <v>0</v>
      </c>
    </row>
    <row r="293" spans="1:74" hidden="1">
      <c r="A293" s="17" t="s">
        <v>732</v>
      </c>
      <c r="B293" s="12"/>
      <c r="C293" s="12" t="s">
        <v>69</v>
      </c>
      <c r="D293" s="12"/>
      <c r="E293" s="13">
        <v>44214</v>
      </c>
      <c r="AJ293" s="17" t="s">
        <v>732</v>
      </c>
      <c r="AK293" s="12"/>
      <c r="AL293" s="12" t="s">
        <v>69</v>
      </c>
      <c r="AR293" s="1">
        <v>0</v>
      </c>
      <c r="AZ293" s="20">
        <f t="shared" si="18"/>
        <v>0</v>
      </c>
      <c r="BJ293" s="20">
        <f t="shared" si="19"/>
        <v>0</v>
      </c>
      <c r="BL293" s="20">
        <f>'Gov Fd Rv'!AO293-'Gov Fnd Exp'!BJ293</f>
        <v>0</v>
      </c>
      <c r="BT293" s="20">
        <f t="shared" si="20"/>
        <v>0</v>
      </c>
      <c r="BU293" s="20"/>
      <c r="BV293" s="20">
        <f>BT293-'Gov Fd BS'!AA293</f>
        <v>0</v>
      </c>
    </row>
    <row r="294" spans="1:74">
      <c r="A294" s="12" t="s">
        <v>354</v>
      </c>
      <c r="B294" s="12"/>
      <c r="C294" s="12" t="s">
        <v>30</v>
      </c>
      <c r="D294" s="12"/>
      <c r="E294" s="12">
        <v>47209</v>
      </c>
      <c r="G294" s="1">
        <v>2346694</v>
      </c>
      <c r="I294" s="1">
        <v>965142</v>
      </c>
      <c r="K294" s="1">
        <v>141408</v>
      </c>
      <c r="M294" s="1">
        <v>627355</v>
      </c>
      <c r="O294" s="1">
        <v>111157</v>
      </c>
      <c r="Q294" s="1">
        <v>106741</v>
      </c>
      <c r="S294" s="1">
        <v>24201</v>
      </c>
      <c r="U294" s="1">
        <v>609121</v>
      </c>
      <c r="W294" s="1">
        <v>193120</v>
      </c>
      <c r="Y294" s="1">
        <v>0</v>
      </c>
      <c r="AA294" s="1">
        <v>581931</v>
      </c>
      <c r="AC294" s="1">
        <v>551397</v>
      </c>
      <c r="AE294" s="1">
        <v>24564</v>
      </c>
      <c r="AG294" s="1">
        <v>169250</v>
      </c>
      <c r="AI294" s="1">
        <v>6060</v>
      </c>
      <c r="AJ294" s="12" t="s">
        <v>354</v>
      </c>
      <c r="AK294" s="12"/>
      <c r="AL294" s="12" t="s">
        <v>30</v>
      </c>
      <c r="AN294" s="1">
        <v>115727</v>
      </c>
      <c r="AP294" s="1">
        <v>12093</v>
      </c>
      <c r="AR294" s="1">
        <v>0</v>
      </c>
      <c r="AT294" s="1">
        <v>0</v>
      </c>
      <c r="AV294" s="1">
        <v>0</v>
      </c>
      <c r="AX294" s="1">
        <v>0</v>
      </c>
      <c r="AZ294" s="20">
        <f t="shared" si="18"/>
        <v>6585961</v>
      </c>
      <c r="BB294" s="1">
        <v>126690</v>
      </c>
      <c r="BH294" s="1">
        <v>0</v>
      </c>
      <c r="BJ294" s="20">
        <f t="shared" si="19"/>
        <v>6712651</v>
      </c>
      <c r="BL294" s="20">
        <f>'Gov Fd Rv'!AO294-'Gov Fnd Exp'!BJ294</f>
        <v>-1097054</v>
      </c>
      <c r="BN294" s="1">
        <v>479418</v>
      </c>
      <c r="BP294" s="1">
        <v>0</v>
      </c>
      <c r="BR294" s="1">
        <v>0</v>
      </c>
      <c r="BT294" s="20">
        <f t="shared" si="20"/>
        <v>-617636</v>
      </c>
      <c r="BU294" s="20"/>
      <c r="BV294" s="20">
        <f>BT294-'Gov Fd BS'!AA294</f>
        <v>0</v>
      </c>
    </row>
    <row r="295" spans="1:74" hidden="1">
      <c r="A295" s="12" t="s">
        <v>941</v>
      </c>
      <c r="B295" s="12"/>
      <c r="C295" s="12" t="s">
        <v>114</v>
      </c>
      <c r="D295" s="12"/>
      <c r="E295" s="13"/>
      <c r="AJ295" s="12" t="s">
        <v>941</v>
      </c>
      <c r="AK295" s="12"/>
      <c r="AL295" s="12" t="s">
        <v>114</v>
      </c>
      <c r="AZ295" s="20">
        <f t="shared" ref="AZ295" si="22">SUM(G295:AX295)</f>
        <v>0</v>
      </c>
      <c r="BJ295" s="20">
        <f t="shared" ref="BJ295" si="23">AZ295+BB295+BH295</f>
        <v>0</v>
      </c>
      <c r="BL295" s="20">
        <f>'Gov Fd Rv'!AO295-'Gov Fnd Exp'!BJ295</f>
        <v>0</v>
      </c>
      <c r="BT295" s="20">
        <f t="shared" ref="BT295" si="24">BL295+BN295+BP295+BR295</f>
        <v>0</v>
      </c>
      <c r="BU295" s="20"/>
      <c r="BV295" s="20">
        <f>BT295-'Gov Fd BS'!AA295</f>
        <v>0</v>
      </c>
    </row>
    <row r="296" spans="1:74" hidden="1">
      <c r="A296" s="17" t="s">
        <v>843</v>
      </c>
      <c r="B296" s="12"/>
      <c r="C296" s="12" t="s">
        <v>542</v>
      </c>
      <c r="D296" s="12"/>
      <c r="E296" s="13">
        <v>49353</v>
      </c>
      <c r="AJ296" s="17" t="s">
        <v>843</v>
      </c>
      <c r="AK296" s="12"/>
      <c r="AL296" s="12" t="s">
        <v>542</v>
      </c>
      <c r="AZ296" s="20">
        <f t="shared" ref="AZ296:AZ319" si="25">SUM(G296:AX296)</f>
        <v>0</v>
      </c>
      <c r="BJ296" s="20">
        <f t="shared" ref="BJ296:BJ366" si="26">AZ296+BB296+BH296</f>
        <v>0</v>
      </c>
      <c r="BL296" s="20">
        <f>'Gov Fd Rv'!AO296-'Gov Fnd Exp'!BJ296</f>
        <v>0</v>
      </c>
      <c r="BT296" s="20">
        <f t="shared" si="20"/>
        <v>0</v>
      </c>
      <c r="BU296" s="20"/>
      <c r="BV296" s="20">
        <f>BT296-'Gov Fd BS'!AA296</f>
        <v>0</v>
      </c>
    </row>
    <row r="297" spans="1:74" hidden="1">
      <c r="A297" s="12" t="s">
        <v>942</v>
      </c>
      <c r="B297" s="12"/>
      <c r="C297" s="12" t="s">
        <v>112</v>
      </c>
      <c r="D297" s="12"/>
      <c r="E297" s="13">
        <v>49437</v>
      </c>
      <c r="AJ297" s="12" t="s">
        <v>942</v>
      </c>
      <c r="AK297" s="12"/>
      <c r="AL297" s="12" t="s">
        <v>112</v>
      </c>
      <c r="AZ297" s="20">
        <f t="shared" si="25"/>
        <v>0</v>
      </c>
      <c r="BJ297" s="20">
        <f t="shared" si="26"/>
        <v>0</v>
      </c>
      <c r="BL297" s="20">
        <f>'Gov Fd Rv'!AO297-'Gov Fnd Exp'!BJ297</f>
        <v>0</v>
      </c>
      <c r="BT297" s="20">
        <f t="shared" si="20"/>
        <v>0</v>
      </c>
      <c r="BU297" s="20"/>
      <c r="BV297" s="20">
        <f>BT297-'Gov Fd BS'!AA297</f>
        <v>0</v>
      </c>
    </row>
    <row r="298" spans="1:74">
      <c r="A298" s="12" t="s">
        <v>391</v>
      </c>
      <c r="B298" s="12"/>
      <c r="C298" s="12" t="s">
        <v>34</v>
      </c>
      <c r="D298" s="12"/>
      <c r="E298" s="13">
        <v>47589</v>
      </c>
      <c r="G298" s="1">
        <v>4427926</v>
      </c>
      <c r="I298" s="1">
        <v>2255656</v>
      </c>
      <c r="K298" s="1">
        <v>243094</v>
      </c>
      <c r="M298" s="1">
        <f>63819+284087</f>
        <v>347906</v>
      </c>
      <c r="O298" s="1">
        <v>720376</v>
      </c>
      <c r="Q298" s="1">
        <v>534174</v>
      </c>
      <c r="S298" s="1">
        <v>76919</v>
      </c>
      <c r="U298" s="1">
        <v>804982</v>
      </c>
      <c r="W298" s="1">
        <v>309917</v>
      </c>
      <c r="Y298" s="1">
        <v>0</v>
      </c>
      <c r="AA298" s="1">
        <v>757686</v>
      </c>
      <c r="AC298" s="1">
        <v>601201</v>
      </c>
      <c r="AE298" s="1">
        <v>204134</v>
      </c>
      <c r="AG298" s="1">
        <v>0</v>
      </c>
      <c r="AI298" s="1">
        <v>476919</v>
      </c>
      <c r="AJ298" s="12" t="s">
        <v>391</v>
      </c>
      <c r="AK298" s="12"/>
      <c r="AL298" s="12" t="s">
        <v>34</v>
      </c>
      <c r="AN298" s="1">
        <v>525642</v>
      </c>
      <c r="AP298" s="1">
        <v>1074731</v>
      </c>
      <c r="AR298" s="1">
        <v>0</v>
      </c>
      <c r="AT298" s="1">
        <v>307418</v>
      </c>
      <c r="AV298" s="1">
        <v>60621</v>
      </c>
      <c r="AX298" s="1">
        <v>0</v>
      </c>
      <c r="AZ298" s="20">
        <f t="shared" si="25"/>
        <v>13729302</v>
      </c>
      <c r="BB298" s="1">
        <v>0</v>
      </c>
      <c r="BH298" s="1">
        <v>0</v>
      </c>
      <c r="BJ298" s="20">
        <f t="shared" si="26"/>
        <v>13729302</v>
      </c>
      <c r="BL298" s="20">
        <f>'Gov Fd Rv'!AO298-'Gov Fnd Exp'!BJ298</f>
        <v>1072792</v>
      </c>
      <c r="BN298" s="1">
        <v>4294181</v>
      </c>
      <c r="BP298" s="1">
        <v>0</v>
      </c>
      <c r="BR298" s="1">
        <v>0</v>
      </c>
      <c r="BT298" s="20">
        <f t="shared" ref="BT298:BT368" si="27">BL298+BN298+BP298+BR298</f>
        <v>5366973</v>
      </c>
      <c r="BU298" s="20"/>
      <c r="BV298" s="20">
        <f>BT298-'Gov Fd BS'!AA298</f>
        <v>0</v>
      </c>
    </row>
    <row r="299" spans="1:74">
      <c r="A299" s="17" t="s">
        <v>844</v>
      </c>
      <c r="B299" s="12"/>
      <c r="C299" s="12" t="s">
        <v>64</v>
      </c>
      <c r="D299" s="12"/>
      <c r="E299" s="13">
        <v>50195</v>
      </c>
      <c r="G299" s="1">
        <v>9519812</v>
      </c>
      <c r="I299" s="1">
        <v>1515098</v>
      </c>
      <c r="K299" s="1">
        <v>83076</v>
      </c>
      <c r="M299" s="1">
        <v>0</v>
      </c>
      <c r="O299" s="1">
        <v>667920</v>
      </c>
      <c r="Q299" s="1">
        <v>506646</v>
      </c>
      <c r="S299" s="1">
        <v>9873</v>
      </c>
      <c r="U299" s="1">
        <v>1170310</v>
      </c>
      <c r="W299" s="1">
        <v>2117579</v>
      </c>
      <c r="Y299" s="1">
        <v>626</v>
      </c>
      <c r="AA299" s="1">
        <v>1701598</v>
      </c>
      <c r="AC299" s="1">
        <v>805803</v>
      </c>
      <c r="AE299" s="1">
        <v>76692</v>
      </c>
      <c r="AG299" s="1">
        <v>637432</v>
      </c>
      <c r="AI299" s="1">
        <v>15618</v>
      </c>
      <c r="AJ299" s="17" t="s">
        <v>844</v>
      </c>
      <c r="AK299" s="12"/>
      <c r="AL299" s="12" t="s">
        <v>64</v>
      </c>
      <c r="AN299" s="1">
        <v>465408</v>
      </c>
      <c r="AP299" s="1">
        <v>0</v>
      </c>
      <c r="AR299" s="1">
        <v>0</v>
      </c>
      <c r="AT299" s="1">
        <v>655000</v>
      </c>
      <c r="AV299" s="1">
        <v>288075</v>
      </c>
      <c r="AX299" s="1">
        <v>0</v>
      </c>
      <c r="AZ299" s="20">
        <f t="shared" si="25"/>
        <v>20236566</v>
      </c>
      <c r="BB299" s="1">
        <v>424370</v>
      </c>
      <c r="BH299" s="1">
        <v>0</v>
      </c>
      <c r="BJ299" s="20">
        <f t="shared" si="26"/>
        <v>20660936</v>
      </c>
      <c r="BL299" s="20">
        <f>'Gov Fd Rv'!AO299-'Gov Fnd Exp'!BJ299</f>
        <v>-510845</v>
      </c>
      <c r="BN299" s="1">
        <v>-1627810</v>
      </c>
      <c r="BP299" s="1">
        <v>-1863</v>
      </c>
      <c r="BR299" s="1">
        <v>0</v>
      </c>
      <c r="BT299" s="20">
        <f t="shared" si="27"/>
        <v>-2140518</v>
      </c>
      <c r="BU299" s="20"/>
      <c r="BV299" s="20">
        <f>BT299-'Gov Fd BS'!AA299</f>
        <v>0</v>
      </c>
    </row>
    <row r="300" spans="1:74">
      <c r="A300" s="12" t="s">
        <v>768</v>
      </c>
      <c r="B300" s="12"/>
      <c r="C300" s="12" t="s">
        <v>25</v>
      </c>
      <c r="D300" s="12"/>
      <c r="E300" s="13">
        <v>46888</v>
      </c>
      <c r="G300" s="1">
        <v>5345535</v>
      </c>
      <c r="I300" s="1">
        <v>1531741</v>
      </c>
      <c r="K300" s="1">
        <v>421335</v>
      </c>
      <c r="M300" s="1">
        <v>77921</v>
      </c>
      <c r="O300" s="1">
        <v>664511</v>
      </c>
      <c r="Q300" s="1">
        <v>606927</v>
      </c>
      <c r="S300" s="1">
        <v>87247</v>
      </c>
      <c r="U300" s="1">
        <v>1060924</v>
      </c>
      <c r="W300" s="1">
        <v>602240</v>
      </c>
      <c r="Y300" s="1">
        <v>0</v>
      </c>
      <c r="AA300" s="1">
        <v>1342634</v>
      </c>
      <c r="AC300" s="1">
        <v>750056</v>
      </c>
      <c r="AE300" s="1">
        <v>0</v>
      </c>
      <c r="AG300" s="1">
        <v>0</v>
      </c>
      <c r="AI300" s="1">
        <v>516981</v>
      </c>
      <c r="AJ300" s="12" t="s">
        <v>768</v>
      </c>
      <c r="AK300" s="12"/>
      <c r="AL300" s="12" t="s">
        <v>25</v>
      </c>
      <c r="AN300" s="1">
        <v>572667</v>
      </c>
      <c r="AP300" s="1">
        <v>1791746</v>
      </c>
      <c r="AR300" s="1">
        <v>0</v>
      </c>
      <c r="AT300" s="1">
        <v>628709</v>
      </c>
      <c r="AV300" s="1">
        <v>486231</v>
      </c>
      <c r="AX300" s="1">
        <v>0</v>
      </c>
      <c r="AZ300" s="20">
        <f t="shared" si="25"/>
        <v>16487405</v>
      </c>
      <c r="BB300" s="1">
        <v>0</v>
      </c>
      <c r="BH300" s="1">
        <v>0</v>
      </c>
      <c r="BJ300" s="20">
        <f t="shared" si="26"/>
        <v>16487405</v>
      </c>
      <c r="BL300" s="20">
        <f>'Gov Fd Rv'!AO300-'Gov Fnd Exp'!BJ300</f>
        <v>1048187</v>
      </c>
      <c r="BN300" s="1">
        <v>19318045</v>
      </c>
      <c r="BP300" s="1">
        <v>0</v>
      </c>
      <c r="BR300" s="1">
        <v>0</v>
      </c>
      <c r="BT300" s="20">
        <f t="shared" si="27"/>
        <v>20366232</v>
      </c>
      <c r="BU300" s="20"/>
      <c r="BV300" s="20">
        <f>BT300-'Gov Fd BS'!AA300</f>
        <v>0</v>
      </c>
    </row>
    <row r="301" spans="1:74">
      <c r="A301" s="12" t="s">
        <v>381</v>
      </c>
      <c r="B301" s="12"/>
      <c r="C301" s="12" t="s">
        <v>33</v>
      </c>
      <c r="D301" s="12"/>
      <c r="E301" s="13">
        <v>47449</v>
      </c>
      <c r="G301" s="1">
        <v>5756977</v>
      </c>
      <c r="I301" s="1">
        <v>1231788</v>
      </c>
      <c r="K301" s="1">
        <v>358768</v>
      </c>
      <c r="M301" s="1">
        <v>0</v>
      </c>
      <c r="O301" s="1">
        <v>1048185</v>
      </c>
      <c r="Q301" s="1">
        <v>447457</v>
      </c>
      <c r="S301" s="1">
        <v>13261</v>
      </c>
      <c r="U301" s="1">
        <v>912195</v>
      </c>
      <c r="W301" s="1">
        <v>308886</v>
      </c>
      <c r="Y301" s="1">
        <v>2035</v>
      </c>
      <c r="AA301" s="1">
        <v>1101724</v>
      </c>
      <c r="AC301" s="1">
        <v>506130</v>
      </c>
      <c r="AE301" s="1">
        <v>104922</v>
      </c>
      <c r="AG301" s="1">
        <v>0</v>
      </c>
      <c r="AI301" s="1">
        <v>493316</v>
      </c>
      <c r="AJ301" s="12" t="s">
        <v>381</v>
      </c>
      <c r="AK301" s="12"/>
      <c r="AL301" s="12" t="s">
        <v>33</v>
      </c>
      <c r="AN301" s="1">
        <v>431851</v>
      </c>
      <c r="AP301" s="1">
        <v>40988</v>
      </c>
      <c r="AR301" s="1">
        <v>0</v>
      </c>
      <c r="AT301" s="1">
        <v>89832</v>
      </c>
      <c r="AV301" s="1">
        <f>546994+32751</f>
        <v>579745</v>
      </c>
      <c r="AX301" s="1">
        <v>0</v>
      </c>
      <c r="AZ301" s="20">
        <f t="shared" si="25"/>
        <v>13428060</v>
      </c>
      <c r="BB301" s="1">
        <v>208908</v>
      </c>
      <c r="BH301" s="1">
        <v>1585281</v>
      </c>
      <c r="BJ301" s="20">
        <f t="shared" si="26"/>
        <v>15222249</v>
      </c>
      <c r="BL301" s="20">
        <f>'Gov Fd Rv'!AO301-'Gov Fnd Exp'!BJ301</f>
        <v>236668</v>
      </c>
      <c r="BN301" s="1">
        <v>4556972</v>
      </c>
      <c r="BP301" s="1">
        <v>0</v>
      </c>
      <c r="BR301" s="1">
        <v>0</v>
      </c>
      <c r="BT301" s="20">
        <f t="shared" si="27"/>
        <v>4793640</v>
      </c>
      <c r="BU301" s="20"/>
      <c r="BV301" s="20">
        <f>BT301-'Gov Fd BS'!AA301</f>
        <v>0</v>
      </c>
    </row>
    <row r="302" spans="1:74">
      <c r="A302" s="12" t="s">
        <v>429</v>
      </c>
      <c r="B302" s="12"/>
      <c r="C302" s="12" t="s">
        <v>42</v>
      </c>
      <c r="D302" s="12"/>
      <c r="E302" s="13">
        <v>48009</v>
      </c>
      <c r="G302" s="1">
        <v>12488248</v>
      </c>
      <c r="I302" s="1">
        <v>3296940</v>
      </c>
      <c r="K302" s="1">
        <v>297015</v>
      </c>
      <c r="M302" s="1">
        <v>349980</v>
      </c>
      <c r="O302" s="1">
        <v>1262696</v>
      </c>
      <c r="Q302" s="1">
        <v>1300329</v>
      </c>
      <c r="S302" s="1">
        <v>72287</v>
      </c>
      <c r="U302" s="1">
        <v>2106286</v>
      </c>
      <c r="W302" s="1">
        <v>672430</v>
      </c>
      <c r="Y302" s="1">
        <v>0</v>
      </c>
      <c r="AA302" s="1">
        <v>3077971</v>
      </c>
      <c r="AC302" s="1">
        <v>2355031</v>
      </c>
      <c r="AE302" s="1">
        <v>216032</v>
      </c>
      <c r="AG302" s="1">
        <v>0</v>
      </c>
      <c r="AI302" s="1">
        <v>1305206</v>
      </c>
      <c r="AJ302" s="12" t="s">
        <v>429</v>
      </c>
      <c r="AK302" s="12"/>
      <c r="AL302" s="12" t="s">
        <v>42</v>
      </c>
      <c r="AN302" s="1">
        <v>596713</v>
      </c>
      <c r="AP302" s="1">
        <v>119276</v>
      </c>
      <c r="AR302" s="1">
        <v>0</v>
      </c>
      <c r="AT302" s="1">
        <v>2224815</v>
      </c>
      <c r="AV302" s="1">
        <v>2556590</v>
      </c>
      <c r="AX302" s="1">
        <v>0</v>
      </c>
      <c r="AZ302" s="20">
        <f t="shared" si="25"/>
        <v>34297845</v>
      </c>
      <c r="BB302" s="1">
        <v>0</v>
      </c>
      <c r="BH302" s="1">
        <v>0</v>
      </c>
      <c r="BJ302" s="20">
        <f t="shared" si="26"/>
        <v>34297845</v>
      </c>
      <c r="BL302" s="20">
        <f>'Gov Fd Rv'!AO302-'Gov Fnd Exp'!BJ302</f>
        <v>-257755</v>
      </c>
      <c r="BN302" s="1">
        <v>9382781</v>
      </c>
      <c r="BP302" s="1">
        <v>0</v>
      </c>
      <c r="BR302" s="1">
        <v>0</v>
      </c>
      <c r="BT302" s="20">
        <f t="shared" si="27"/>
        <v>9125026</v>
      </c>
      <c r="BU302" s="20"/>
      <c r="BV302" s="20">
        <f>BT302-'Gov Fd BS'!AA302</f>
        <v>0</v>
      </c>
    </row>
    <row r="303" spans="1:74">
      <c r="A303" s="12" t="s">
        <v>430</v>
      </c>
      <c r="B303" s="12"/>
      <c r="C303" s="12" t="s">
        <v>42</v>
      </c>
      <c r="D303" s="12"/>
      <c r="E303" s="13">
        <v>48017</v>
      </c>
      <c r="G303" s="1">
        <v>6769686</v>
      </c>
      <c r="I303" s="1">
        <v>1825388</v>
      </c>
      <c r="K303" s="1">
        <v>295293</v>
      </c>
      <c r="M303" s="1">
        <v>39978</v>
      </c>
      <c r="O303" s="1">
        <v>576294</v>
      </c>
      <c r="Q303" s="1">
        <v>853166</v>
      </c>
      <c r="S303" s="1">
        <v>30201</v>
      </c>
      <c r="U303" s="1">
        <v>1912523</v>
      </c>
      <c r="W303" s="1">
        <v>449062</v>
      </c>
      <c r="Y303" s="1">
        <v>64765</v>
      </c>
      <c r="AA303" s="1">
        <v>1645893</v>
      </c>
      <c r="AC303" s="1">
        <v>1282415</v>
      </c>
      <c r="AE303" s="1">
        <v>171861</v>
      </c>
      <c r="AG303" s="1">
        <v>0</v>
      </c>
      <c r="AI303" s="1">
        <v>1008451</v>
      </c>
      <c r="AJ303" s="12" t="s">
        <v>430</v>
      </c>
      <c r="AK303" s="12"/>
      <c r="AL303" s="12" t="s">
        <v>42</v>
      </c>
      <c r="AN303" s="1">
        <v>473822</v>
      </c>
      <c r="AP303" s="1">
        <v>497110</v>
      </c>
      <c r="AR303" s="1">
        <v>0</v>
      </c>
      <c r="AT303" s="1">
        <v>985012</v>
      </c>
      <c r="AV303" s="1">
        <v>566343</v>
      </c>
      <c r="AX303" s="1">
        <v>0</v>
      </c>
      <c r="AZ303" s="20">
        <f t="shared" si="25"/>
        <v>19447263</v>
      </c>
      <c r="BB303" s="1">
        <v>572058</v>
      </c>
      <c r="BH303" s="1">
        <v>0</v>
      </c>
      <c r="BJ303" s="20">
        <f>AZ303+BB303+BH303</f>
        <v>20019321</v>
      </c>
      <c r="BL303" s="20">
        <f>'Gov Fd Rv'!AO303-'Gov Fnd Exp'!BJ303</f>
        <v>1474534</v>
      </c>
      <c r="BN303" s="1">
        <v>5461791</v>
      </c>
      <c r="BP303" s="1">
        <v>0</v>
      </c>
      <c r="BR303" s="1">
        <v>0</v>
      </c>
      <c r="BT303" s="20">
        <f t="shared" si="27"/>
        <v>6936325</v>
      </c>
      <c r="BU303" s="20"/>
      <c r="BV303" s="20">
        <f>BT303-'Gov Fd BS'!AA303</f>
        <v>0</v>
      </c>
    </row>
    <row r="304" spans="1:74" hidden="1">
      <c r="A304" s="12" t="s">
        <v>845</v>
      </c>
      <c r="B304" s="12"/>
      <c r="C304" s="12" t="s">
        <v>10</v>
      </c>
      <c r="D304" s="12"/>
      <c r="E304" s="13"/>
      <c r="AJ304" s="12" t="s">
        <v>845</v>
      </c>
      <c r="AK304" s="12"/>
      <c r="AL304" s="12" t="s">
        <v>10</v>
      </c>
      <c r="AR304" s="1">
        <v>0</v>
      </c>
      <c r="AZ304" s="20">
        <f t="shared" si="25"/>
        <v>0</v>
      </c>
      <c r="BJ304" s="20">
        <f t="shared" ref="BJ304:BJ307" si="28">AZ304+BB304+BH304</f>
        <v>0</v>
      </c>
      <c r="BL304" s="20">
        <f>'Gov Fd Rv'!AO304-'Gov Fnd Exp'!BJ304</f>
        <v>0</v>
      </c>
      <c r="BT304" s="20">
        <f t="shared" si="27"/>
        <v>0</v>
      </c>
      <c r="BU304" s="20"/>
      <c r="BV304" s="20">
        <f>BT304-'Gov Fd BS'!AA304</f>
        <v>0</v>
      </c>
    </row>
    <row r="305" spans="1:74">
      <c r="A305" s="12" t="s">
        <v>628</v>
      </c>
      <c r="B305" s="12"/>
      <c r="C305" s="12" t="s">
        <v>67</v>
      </c>
      <c r="D305" s="12"/>
      <c r="E305" s="13">
        <v>50369</v>
      </c>
      <c r="G305" s="1">
        <v>3310471</v>
      </c>
      <c r="I305" s="1">
        <v>1685304</v>
      </c>
      <c r="K305" s="1">
        <v>157098</v>
      </c>
      <c r="M305" s="1">
        <v>702901</v>
      </c>
      <c r="O305" s="1">
        <v>141695</v>
      </c>
      <c r="Q305" s="1">
        <v>343394</v>
      </c>
      <c r="S305" s="1">
        <v>30786</v>
      </c>
      <c r="U305" s="1">
        <v>941355</v>
      </c>
      <c r="W305" s="1">
        <v>281769</v>
      </c>
      <c r="Y305" s="1">
        <v>0</v>
      </c>
      <c r="AA305" s="1">
        <v>596345</v>
      </c>
      <c r="AC305" s="1">
        <v>333377</v>
      </c>
      <c r="AE305" s="1">
        <v>15314</v>
      </c>
      <c r="AG305" s="1">
        <v>339053</v>
      </c>
      <c r="AI305" s="1">
        <v>14668</v>
      </c>
      <c r="AJ305" s="12" t="s">
        <v>628</v>
      </c>
      <c r="AK305" s="12"/>
      <c r="AL305" s="12" t="s">
        <v>67</v>
      </c>
      <c r="AN305" s="1">
        <v>229739</v>
      </c>
      <c r="AP305" s="1">
        <v>562356</v>
      </c>
      <c r="AR305" s="1">
        <v>0</v>
      </c>
      <c r="AT305" s="1">
        <v>355000</v>
      </c>
      <c r="AV305" s="1">
        <v>513520</v>
      </c>
      <c r="AX305" s="1">
        <v>0</v>
      </c>
      <c r="AZ305" s="20">
        <f t="shared" si="25"/>
        <v>10554145</v>
      </c>
      <c r="BB305" s="1">
        <v>340078</v>
      </c>
      <c r="BH305" s="1">
        <v>0</v>
      </c>
      <c r="BJ305" s="20">
        <f t="shared" si="28"/>
        <v>10894223</v>
      </c>
      <c r="BL305" s="20">
        <f>'Gov Fd Rv'!AO305-'Gov Fnd Exp'!BJ305</f>
        <v>292129</v>
      </c>
      <c r="BN305" s="1">
        <v>10033823</v>
      </c>
      <c r="BP305" s="1">
        <v>0</v>
      </c>
      <c r="BR305" s="1">
        <v>0</v>
      </c>
      <c r="BT305" s="20">
        <f t="shared" si="27"/>
        <v>10325952</v>
      </c>
      <c r="BU305" s="20"/>
      <c r="BV305" s="20">
        <f>BT305-'Gov Fd BS'!AA305</f>
        <v>0</v>
      </c>
    </row>
    <row r="306" spans="1:74">
      <c r="A306" s="12" t="s">
        <v>268</v>
      </c>
      <c r="B306" s="12"/>
      <c r="C306" s="12" t="s">
        <v>114</v>
      </c>
      <c r="D306" s="12"/>
      <c r="E306" s="13">
        <v>45450</v>
      </c>
      <c r="G306" s="1">
        <v>4686696</v>
      </c>
      <c r="I306" s="1">
        <v>760254</v>
      </c>
      <c r="K306" s="1">
        <v>87485</v>
      </c>
      <c r="M306" s="1">
        <v>432253</v>
      </c>
      <c r="O306" s="1">
        <v>504131</v>
      </c>
      <c r="Q306" s="1">
        <v>320741</v>
      </c>
      <c r="S306" s="1">
        <v>31119</v>
      </c>
      <c r="U306" s="1">
        <v>773905</v>
      </c>
      <c r="W306" s="1">
        <v>264257</v>
      </c>
      <c r="Y306" s="1">
        <v>0</v>
      </c>
      <c r="AA306" s="1">
        <v>737671</v>
      </c>
      <c r="AC306" s="1">
        <v>369477</v>
      </c>
      <c r="AE306" s="1">
        <v>43168</v>
      </c>
      <c r="AG306" s="1">
        <v>473560</v>
      </c>
      <c r="AI306" s="1">
        <v>0</v>
      </c>
      <c r="AJ306" s="12" t="s">
        <v>268</v>
      </c>
      <c r="AK306" s="12"/>
      <c r="AL306" s="12" t="s">
        <v>114</v>
      </c>
      <c r="AN306" s="1">
        <v>236566</v>
      </c>
      <c r="AP306" s="1">
        <v>191727</v>
      </c>
      <c r="AR306" s="1">
        <v>0</v>
      </c>
      <c r="AT306" s="1">
        <v>239000</v>
      </c>
      <c r="AV306" s="1">
        <v>261647</v>
      </c>
      <c r="AX306" s="1">
        <v>0</v>
      </c>
      <c r="AZ306" s="20">
        <f t="shared" si="25"/>
        <v>10413657</v>
      </c>
      <c r="BB306" s="1">
        <v>0</v>
      </c>
      <c r="BH306" s="1">
        <v>0</v>
      </c>
      <c r="BJ306" s="20">
        <f t="shared" si="28"/>
        <v>10413657</v>
      </c>
      <c r="BL306" s="20">
        <f>'Gov Fd Rv'!AO306-'Gov Fnd Exp'!BJ306</f>
        <v>773426</v>
      </c>
      <c r="BN306" s="1">
        <v>3495371</v>
      </c>
      <c r="BP306" s="1">
        <v>0</v>
      </c>
      <c r="BR306" s="1">
        <v>0</v>
      </c>
      <c r="BT306" s="20">
        <f t="shared" si="27"/>
        <v>4268797</v>
      </c>
      <c r="BU306" s="20"/>
      <c r="BV306" s="20">
        <f>BT306-'Gov Fd BS'!AA306</f>
        <v>0</v>
      </c>
    </row>
    <row r="307" spans="1:74">
      <c r="A307" s="12" t="s">
        <v>634</v>
      </c>
      <c r="B307" s="12"/>
      <c r="C307" s="12" t="s">
        <v>69</v>
      </c>
      <c r="D307" s="12"/>
      <c r="E307" s="13">
        <v>50443</v>
      </c>
      <c r="G307" s="1">
        <v>14752453</v>
      </c>
      <c r="I307" s="1">
        <v>4262943</v>
      </c>
      <c r="K307" s="1">
        <v>0</v>
      </c>
      <c r="M307" s="1">
        <v>1622023</v>
      </c>
      <c r="O307" s="1">
        <v>1188798</v>
      </c>
      <c r="Q307" s="1">
        <v>667837</v>
      </c>
      <c r="S307" s="1">
        <v>22205</v>
      </c>
      <c r="U307" s="1">
        <v>2347282</v>
      </c>
      <c r="W307" s="1">
        <v>690748</v>
      </c>
      <c r="Y307" s="1">
        <v>223148</v>
      </c>
      <c r="AA307" s="1">
        <v>3064661</v>
      </c>
      <c r="AC307" s="1">
        <v>2576471</v>
      </c>
      <c r="AE307" s="1">
        <v>654440</v>
      </c>
      <c r="AG307" s="1">
        <v>0</v>
      </c>
      <c r="AI307" s="1">
        <v>1284886</v>
      </c>
      <c r="AJ307" s="12" t="s">
        <v>634</v>
      </c>
      <c r="AK307" s="12"/>
      <c r="AL307" s="12" t="s">
        <v>69</v>
      </c>
      <c r="AN307" s="1">
        <v>716061</v>
      </c>
      <c r="AP307" s="1">
        <v>4996227</v>
      </c>
      <c r="AR307" s="1">
        <v>0</v>
      </c>
      <c r="AT307" s="1">
        <v>3365193</v>
      </c>
      <c r="AV307" s="1">
        <v>2802757</v>
      </c>
      <c r="AX307" s="1">
        <v>0</v>
      </c>
      <c r="AZ307" s="20">
        <f t="shared" si="25"/>
        <v>45238133</v>
      </c>
      <c r="BB307" s="1">
        <v>67500</v>
      </c>
      <c r="BH307" s="1">
        <v>0</v>
      </c>
      <c r="BJ307" s="20">
        <f t="shared" si="28"/>
        <v>45305633</v>
      </c>
      <c r="BL307" s="20">
        <f>'Gov Fd Rv'!AO307-'Gov Fnd Exp'!BJ307</f>
        <v>-7137268</v>
      </c>
      <c r="BN307" s="1">
        <v>-123255</v>
      </c>
      <c r="BP307" s="1">
        <v>0</v>
      </c>
      <c r="BR307" s="1">
        <v>0</v>
      </c>
      <c r="BT307" s="20">
        <f t="shared" si="27"/>
        <v>-7260523</v>
      </c>
      <c r="BU307" s="20"/>
      <c r="BV307" s="20">
        <f>BT307-'Gov Fd BS'!AA307</f>
        <v>0</v>
      </c>
    </row>
    <row r="308" spans="1:74" hidden="1">
      <c r="A308" s="17" t="s">
        <v>944</v>
      </c>
      <c r="B308" s="12"/>
      <c r="C308" s="12" t="s">
        <v>32</v>
      </c>
      <c r="D308" s="12"/>
      <c r="E308" s="13">
        <v>44230</v>
      </c>
      <c r="AJ308" s="17" t="s">
        <v>944</v>
      </c>
      <c r="AK308" s="12"/>
      <c r="AL308" s="12" t="s">
        <v>32</v>
      </c>
      <c r="AR308" s="1">
        <v>0</v>
      </c>
      <c r="AZ308" s="20">
        <f t="shared" si="25"/>
        <v>0</v>
      </c>
      <c r="BJ308" s="20">
        <f t="shared" si="26"/>
        <v>0</v>
      </c>
      <c r="BL308" s="20">
        <f>'Gov Fd Rv'!AO308-'Gov Fnd Exp'!BJ308</f>
        <v>0</v>
      </c>
      <c r="BT308" s="20">
        <f t="shared" si="27"/>
        <v>0</v>
      </c>
      <c r="BU308" s="20"/>
      <c r="BV308" s="20">
        <f>BT308-'Gov Fd BS'!AA308</f>
        <v>0</v>
      </c>
    </row>
    <row r="309" spans="1:74">
      <c r="A309" s="12" t="s">
        <v>526</v>
      </c>
      <c r="B309" s="12"/>
      <c r="C309" s="12" t="s">
        <v>54</v>
      </c>
      <c r="D309" s="12"/>
      <c r="E309" s="13">
        <v>49080</v>
      </c>
      <c r="G309" s="1">
        <v>10157234</v>
      </c>
      <c r="I309" s="1">
        <v>2304357</v>
      </c>
      <c r="K309" s="1">
        <v>11614</v>
      </c>
      <c r="M309" s="1">
        <v>290035</v>
      </c>
      <c r="O309" s="1">
        <v>939147</v>
      </c>
      <c r="Q309" s="1">
        <v>1298626</v>
      </c>
      <c r="S309" s="1">
        <v>105970</v>
      </c>
      <c r="U309" s="1">
        <v>1442974</v>
      </c>
      <c r="W309" s="1">
        <v>500746</v>
      </c>
      <c r="Y309" s="1">
        <v>3776</v>
      </c>
      <c r="AA309" s="1">
        <v>1978765</v>
      </c>
      <c r="AC309" s="1">
        <v>1529113</v>
      </c>
      <c r="AE309" s="1">
        <v>270558</v>
      </c>
      <c r="AG309" s="1">
        <v>936441</v>
      </c>
      <c r="AI309" s="1">
        <v>0</v>
      </c>
      <c r="AJ309" s="12" t="s">
        <v>526</v>
      </c>
      <c r="AK309" s="12"/>
      <c r="AL309" s="12" t="s">
        <v>54</v>
      </c>
      <c r="AN309" s="1">
        <v>477912</v>
      </c>
      <c r="AP309" s="1">
        <v>203684</v>
      </c>
      <c r="AR309" s="1">
        <v>0</v>
      </c>
      <c r="AT309" s="1">
        <v>0</v>
      </c>
      <c r="AV309" s="1">
        <v>0</v>
      </c>
      <c r="AX309" s="1">
        <v>0</v>
      </c>
      <c r="AZ309" s="20">
        <f t="shared" si="25"/>
        <v>22450952</v>
      </c>
      <c r="BB309" s="1">
        <v>0</v>
      </c>
      <c r="BH309" s="1">
        <v>0</v>
      </c>
      <c r="BJ309" s="20">
        <f t="shared" si="26"/>
        <v>22450952</v>
      </c>
      <c r="BL309" s="20">
        <f>'Gov Fd Rv'!AO309-'Gov Fnd Exp'!BJ309</f>
        <v>1298490</v>
      </c>
      <c r="BN309" s="1">
        <v>6679948</v>
      </c>
      <c r="BP309" s="1">
        <v>0</v>
      </c>
      <c r="BR309" s="1">
        <v>0</v>
      </c>
      <c r="BT309" s="20">
        <f t="shared" si="27"/>
        <v>7978438</v>
      </c>
      <c r="BU309" s="20"/>
      <c r="BV309" s="20">
        <f>BT309-'Gov Fd BS'!AA309</f>
        <v>0</v>
      </c>
    </row>
    <row r="310" spans="1:74">
      <c r="A310" s="12" t="s">
        <v>400</v>
      </c>
      <c r="B310" s="12"/>
      <c r="C310" s="12" t="s">
        <v>35</v>
      </c>
      <c r="D310" s="12"/>
      <c r="E310" s="13">
        <v>44248</v>
      </c>
      <c r="G310" s="1">
        <v>14827193</v>
      </c>
      <c r="I310" s="1">
        <v>5080213</v>
      </c>
      <c r="K310" s="1">
        <v>516649</v>
      </c>
      <c r="M310" s="1">
        <v>111036</v>
      </c>
      <c r="O310" s="1">
        <v>2590685</v>
      </c>
      <c r="Q310" s="1">
        <v>3117717</v>
      </c>
      <c r="S310" s="1">
        <v>84459</v>
      </c>
      <c r="U310" s="1">
        <v>2494941</v>
      </c>
      <c r="W310" s="1">
        <v>1054622</v>
      </c>
      <c r="Y310" s="1">
        <v>0</v>
      </c>
      <c r="AA310" s="1">
        <v>3707719</v>
      </c>
      <c r="AC310" s="1">
        <v>2562161</v>
      </c>
      <c r="AE310" s="1">
        <v>43361</v>
      </c>
      <c r="AG310" s="1">
        <v>0</v>
      </c>
      <c r="AI310" s="1">
        <v>141945</v>
      </c>
      <c r="AJ310" s="12" t="s">
        <v>400</v>
      </c>
      <c r="AK310" s="12"/>
      <c r="AL310" s="12" t="s">
        <v>35</v>
      </c>
      <c r="AN310" s="1">
        <v>802468</v>
      </c>
      <c r="AP310" s="1">
        <v>8623706</v>
      </c>
      <c r="AR310" s="1">
        <v>0</v>
      </c>
      <c r="AT310" s="1">
        <v>1315249</v>
      </c>
      <c r="AV310" s="1">
        <v>1926003</v>
      </c>
      <c r="AX310" s="1">
        <v>0</v>
      </c>
      <c r="AZ310" s="20">
        <f t="shared" si="25"/>
        <v>49000127</v>
      </c>
      <c r="BB310" s="1">
        <v>420210</v>
      </c>
      <c r="BH310" s="1">
        <v>0</v>
      </c>
      <c r="BJ310" s="20">
        <f t="shared" si="26"/>
        <v>49420337</v>
      </c>
      <c r="BL310" s="20">
        <f>'Gov Fd Rv'!AO310-'Gov Fnd Exp'!BJ310</f>
        <v>-5105978</v>
      </c>
      <c r="BN310" s="1">
        <v>20786037</v>
      </c>
      <c r="BP310" s="1">
        <v>-17788</v>
      </c>
      <c r="BR310" s="1">
        <v>0</v>
      </c>
      <c r="BT310" s="20">
        <f t="shared" si="27"/>
        <v>15662271</v>
      </c>
      <c r="BU310" s="20"/>
      <c r="BV310" s="20">
        <f>BT310-'Gov Fd BS'!AA310</f>
        <v>0</v>
      </c>
    </row>
    <row r="311" spans="1:74">
      <c r="A311" s="12" t="s">
        <v>460</v>
      </c>
      <c r="B311" s="12"/>
      <c r="C311" s="12" t="s">
        <v>458</v>
      </c>
      <c r="D311" s="12"/>
      <c r="E311" s="13">
        <v>44255</v>
      </c>
      <c r="G311" s="1">
        <v>9938145</v>
      </c>
      <c r="I311" s="1">
        <v>3357065</v>
      </c>
      <c r="K311" s="1">
        <v>392652</v>
      </c>
      <c r="M311" s="1">
        <v>37137</v>
      </c>
      <c r="O311" s="1">
        <v>922261</v>
      </c>
      <c r="Q311" s="1">
        <v>1545742</v>
      </c>
      <c r="S311" s="1">
        <v>172366</v>
      </c>
      <c r="U311" s="1">
        <v>1965232</v>
      </c>
      <c r="W311" s="1">
        <v>673235</v>
      </c>
      <c r="Y311" s="1">
        <v>0</v>
      </c>
      <c r="AA311" s="1">
        <v>2435431</v>
      </c>
      <c r="AC311" s="1">
        <v>1038293</v>
      </c>
      <c r="AE311" s="1">
        <v>309705</v>
      </c>
      <c r="AG311" s="1">
        <v>737678</v>
      </c>
      <c r="AI311" s="1">
        <v>880145</v>
      </c>
      <c r="AJ311" s="12" t="s">
        <v>460</v>
      </c>
      <c r="AK311" s="12"/>
      <c r="AL311" s="12" t="s">
        <v>458</v>
      </c>
      <c r="AN311" s="1">
        <v>0</v>
      </c>
      <c r="AP311" s="1">
        <v>3885929</v>
      </c>
      <c r="AR311" s="1">
        <v>0</v>
      </c>
      <c r="AT311" s="1">
        <v>1810894</v>
      </c>
      <c r="AV311" s="1">
        <v>939867</v>
      </c>
      <c r="AX311" s="1">
        <v>0</v>
      </c>
      <c r="AZ311" s="20">
        <f t="shared" si="25"/>
        <v>31041777</v>
      </c>
      <c r="BB311" s="1">
        <v>642003</v>
      </c>
      <c r="BH311" s="1">
        <v>0</v>
      </c>
      <c r="BJ311" s="20">
        <f t="shared" si="26"/>
        <v>31683780</v>
      </c>
      <c r="BL311" s="20">
        <f>'Gov Fd Rv'!AO311-'Gov Fnd Exp'!BJ311</f>
        <v>6362526</v>
      </c>
      <c r="BN311" s="1">
        <v>4152894</v>
      </c>
      <c r="BP311" s="1">
        <v>0</v>
      </c>
      <c r="BR311" s="1">
        <v>0</v>
      </c>
      <c r="BT311" s="20">
        <f t="shared" si="27"/>
        <v>10515420</v>
      </c>
      <c r="BU311" s="20"/>
      <c r="BV311" s="20">
        <f>BT311-'Gov Fd BS'!AA311</f>
        <v>0</v>
      </c>
    </row>
    <row r="312" spans="1:74" s="16" customFormat="1">
      <c r="A312" s="14" t="s">
        <v>443</v>
      </c>
      <c r="B312" s="14"/>
      <c r="C312" s="14" t="s">
        <v>44</v>
      </c>
      <c r="D312" s="14"/>
      <c r="E312" s="14">
        <v>44263</v>
      </c>
      <c r="G312" s="1">
        <v>41440874</v>
      </c>
      <c r="H312" s="1"/>
      <c r="I312" s="1">
        <v>8765615</v>
      </c>
      <c r="J312" s="1"/>
      <c r="K312" s="1">
        <v>3486360</v>
      </c>
      <c r="L312" s="1"/>
      <c r="M312" s="1">
        <f>1621839+16611016</f>
        <v>18232855</v>
      </c>
      <c r="N312" s="1"/>
      <c r="O312" s="1">
        <v>4917183</v>
      </c>
      <c r="P312" s="1"/>
      <c r="Q312" s="1">
        <v>7372080</v>
      </c>
      <c r="R312" s="1"/>
      <c r="S312" s="1">
        <v>57755</v>
      </c>
      <c r="T312" s="1"/>
      <c r="U312" s="1">
        <v>8309762</v>
      </c>
      <c r="V312" s="1"/>
      <c r="W312" s="1">
        <v>1930672</v>
      </c>
      <c r="X312" s="1"/>
      <c r="Y312" s="1">
        <v>463407</v>
      </c>
      <c r="Z312" s="1"/>
      <c r="AA312" s="1">
        <v>8935321</v>
      </c>
      <c r="AB312" s="1"/>
      <c r="AC312" s="1">
        <v>2708942</v>
      </c>
      <c r="AD312" s="1"/>
      <c r="AE312" s="1">
        <v>1360598</v>
      </c>
      <c r="AF312" s="1"/>
      <c r="AG312" s="1">
        <v>4382244</v>
      </c>
      <c r="AH312" s="1"/>
      <c r="AI312" s="1">
        <v>1426951</v>
      </c>
      <c r="AJ312" s="14" t="s">
        <v>443</v>
      </c>
      <c r="AK312" s="14"/>
      <c r="AL312" s="14" t="s">
        <v>44</v>
      </c>
      <c r="AN312" s="1">
        <v>1846441</v>
      </c>
      <c r="AO312" s="1"/>
      <c r="AP312" s="1">
        <v>19181961</v>
      </c>
      <c r="AQ312" s="1"/>
      <c r="AR312" s="1">
        <v>0</v>
      </c>
      <c r="AS312" s="1"/>
      <c r="AT312" s="1">
        <v>2305000</v>
      </c>
      <c r="AU312" s="1"/>
      <c r="AV312" s="1">
        <v>1594695</v>
      </c>
      <c r="AW312" s="1"/>
      <c r="AX312" s="1">
        <v>0</v>
      </c>
      <c r="AY312" s="1"/>
      <c r="AZ312" s="20">
        <f t="shared" si="25"/>
        <v>138718716</v>
      </c>
      <c r="BA312" s="1"/>
      <c r="BB312" s="1">
        <v>521416</v>
      </c>
      <c r="BC312" s="1"/>
      <c r="BD312" s="1"/>
      <c r="BE312" s="1"/>
      <c r="BF312" s="1"/>
      <c r="BG312" s="1"/>
      <c r="BH312" s="1">
        <v>0</v>
      </c>
      <c r="BI312" s="1"/>
      <c r="BJ312" s="20">
        <f t="shared" si="26"/>
        <v>139240132</v>
      </c>
      <c r="BK312" s="1"/>
      <c r="BL312" s="20">
        <f>'Gov Fd Rv'!AO312-'Gov Fnd Exp'!BJ312</f>
        <v>-3504877</v>
      </c>
      <c r="BM312" s="1"/>
      <c r="BN312" s="1">
        <v>59798424</v>
      </c>
      <c r="BO312" s="1"/>
      <c r="BP312" s="1">
        <v>0</v>
      </c>
      <c r="BQ312" s="1"/>
      <c r="BR312" s="1">
        <v>0</v>
      </c>
      <c r="BS312" s="1"/>
      <c r="BT312" s="20">
        <f t="shared" si="27"/>
        <v>56293547</v>
      </c>
      <c r="BU312" s="20"/>
      <c r="BV312" s="20">
        <f>BT312-'Gov Fd BS'!AA312</f>
        <v>0</v>
      </c>
    </row>
    <row r="313" spans="1:74">
      <c r="A313" s="12" t="s">
        <v>610</v>
      </c>
      <c r="B313" s="12"/>
      <c r="C313" s="12" t="s">
        <v>64</v>
      </c>
      <c r="D313" s="12"/>
      <c r="E313" s="12">
        <v>50203</v>
      </c>
      <c r="G313" s="1">
        <v>3059057</v>
      </c>
      <c r="I313" s="1">
        <v>792437</v>
      </c>
      <c r="K313" s="1">
        <v>44146</v>
      </c>
      <c r="M313" s="1">
        <v>232064</v>
      </c>
      <c r="O313" s="1">
        <v>173503</v>
      </c>
      <c r="Q313" s="1">
        <v>206815</v>
      </c>
      <c r="S313" s="1">
        <v>127461</v>
      </c>
      <c r="U313" s="1">
        <v>570208</v>
      </c>
      <c r="W313" s="1">
        <v>313394</v>
      </c>
      <c r="Y313" s="1">
        <v>35749</v>
      </c>
      <c r="AA313" s="1">
        <v>1848824</v>
      </c>
      <c r="AC313" s="1">
        <v>264336</v>
      </c>
      <c r="AE313" s="1">
        <v>44507</v>
      </c>
      <c r="AG313" s="1">
        <v>156847</v>
      </c>
      <c r="AI313" s="1">
        <v>0</v>
      </c>
      <c r="AJ313" s="12" t="s">
        <v>610</v>
      </c>
      <c r="AK313" s="12"/>
      <c r="AL313" s="12" t="s">
        <v>64</v>
      </c>
      <c r="AN313" s="1">
        <v>240500</v>
      </c>
      <c r="AP313" s="1">
        <v>0</v>
      </c>
      <c r="AR313" s="1">
        <v>0</v>
      </c>
      <c r="AT313" s="1">
        <v>461505</v>
      </c>
      <c r="AV313" s="1">
        <v>114814</v>
      </c>
      <c r="AX313" s="1">
        <v>0</v>
      </c>
      <c r="AZ313" s="20">
        <f t="shared" si="25"/>
        <v>8686167</v>
      </c>
      <c r="BB313" s="1">
        <v>0</v>
      </c>
      <c r="BH313" s="1">
        <v>0</v>
      </c>
      <c r="BJ313" s="20">
        <f t="shared" si="26"/>
        <v>8686167</v>
      </c>
      <c r="BL313" s="20">
        <f>'Gov Fd Rv'!AO313-'Gov Fnd Exp'!BJ313</f>
        <v>-1113595</v>
      </c>
      <c r="BN313" s="1">
        <v>2222389</v>
      </c>
      <c r="BP313" s="1">
        <v>0</v>
      </c>
      <c r="BR313" s="1">
        <v>0</v>
      </c>
      <c r="BT313" s="20">
        <f t="shared" si="27"/>
        <v>1108794</v>
      </c>
      <c r="BU313" s="20"/>
      <c r="BV313" s="20">
        <f>BT313-'Gov Fd BS'!AA313</f>
        <v>0</v>
      </c>
    </row>
    <row r="314" spans="1:74">
      <c r="A314" s="17" t="s">
        <v>846</v>
      </c>
      <c r="B314" s="12"/>
      <c r="C314" s="12" t="s">
        <v>11</v>
      </c>
      <c r="D314" s="12"/>
      <c r="E314" s="13">
        <v>45468</v>
      </c>
      <c r="G314" s="1">
        <v>5173349</v>
      </c>
      <c r="I314" s="1">
        <v>1402688</v>
      </c>
      <c r="K314" s="1">
        <v>389865</v>
      </c>
      <c r="M314" s="1">
        <v>788445</v>
      </c>
      <c r="O314" s="1">
        <v>741838</v>
      </c>
      <c r="Q314" s="1">
        <v>810797</v>
      </c>
      <c r="S314" s="1">
        <v>27635</v>
      </c>
      <c r="U314" s="1">
        <v>983848</v>
      </c>
      <c r="W314" s="1">
        <v>330178</v>
      </c>
      <c r="Y314" s="1">
        <v>11228</v>
      </c>
      <c r="AA314" s="1">
        <v>957703</v>
      </c>
      <c r="AC314" s="1">
        <v>699601</v>
      </c>
      <c r="AE314" s="1">
        <v>98234</v>
      </c>
      <c r="AG314" s="1">
        <v>484954</v>
      </c>
      <c r="AI314" s="1">
        <v>78748</v>
      </c>
      <c r="AJ314" s="17" t="s">
        <v>846</v>
      </c>
      <c r="AK314" s="12"/>
      <c r="AL314" s="12" t="s">
        <v>11</v>
      </c>
      <c r="AN314" s="1">
        <v>433842</v>
      </c>
      <c r="AP314" s="1">
        <v>464070</v>
      </c>
      <c r="AR314" s="1">
        <v>0</v>
      </c>
      <c r="AT314" s="1">
        <v>64940</v>
      </c>
      <c r="AV314" s="1">
        <v>53348</v>
      </c>
      <c r="AX314" s="1">
        <v>0</v>
      </c>
      <c r="AZ314" s="20">
        <f t="shared" si="25"/>
        <v>13995311</v>
      </c>
      <c r="BB314" s="1">
        <v>0</v>
      </c>
      <c r="BH314" s="1">
        <v>0</v>
      </c>
      <c r="BJ314" s="20">
        <f t="shared" si="26"/>
        <v>13995311</v>
      </c>
      <c r="BL314" s="20">
        <f>'Gov Fd Rv'!AO314-'Gov Fnd Exp'!BJ314</f>
        <v>158898</v>
      </c>
      <c r="BN314" s="1">
        <v>3827868</v>
      </c>
      <c r="BP314" s="1">
        <v>0</v>
      </c>
      <c r="BR314" s="1">
        <v>0</v>
      </c>
      <c r="BT314" s="20">
        <f t="shared" si="27"/>
        <v>3986766</v>
      </c>
      <c r="BU314" s="20"/>
      <c r="BV314" s="20">
        <f>BT314-'Gov Fd BS'!AA314</f>
        <v>0</v>
      </c>
    </row>
    <row r="315" spans="1:74">
      <c r="A315" s="12" t="s">
        <v>578</v>
      </c>
      <c r="B315" s="12"/>
      <c r="C315" s="12" t="s">
        <v>62</v>
      </c>
      <c r="D315" s="12"/>
      <c r="E315" s="13">
        <v>49874</v>
      </c>
      <c r="G315" s="1">
        <v>11839543</v>
      </c>
      <c r="I315" s="1">
        <v>3266989</v>
      </c>
      <c r="K315" s="1">
        <v>343813</v>
      </c>
      <c r="M315" s="1">
        <v>878180</v>
      </c>
      <c r="O315" s="1">
        <v>1544876</v>
      </c>
      <c r="Q315" s="1">
        <v>847263</v>
      </c>
      <c r="S315" s="1">
        <v>58653</v>
      </c>
      <c r="U315" s="1">
        <v>1785063</v>
      </c>
      <c r="W315" s="1">
        <v>599302</v>
      </c>
      <c r="Y315" s="1">
        <v>112730</v>
      </c>
      <c r="AA315" s="1">
        <v>2394958</v>
      </c>
      <c r="AC315" s="1">
        <v>1075135</v>
      </c>
      <c r="AE315" s="1">
        <v>14840</v>
      </c>
      <c r="AG315" s="1">
        <v>0</v>
      </c>
      <c r="AI315" s="1">
        <v>1552391</v>
      </c>
      <c r="AJ315" s="12" t="s">
        <v>578</v>
      </c>
      <c r="AK315" s="12"/>
      <c r="AL315" s="12" t="s">
        <v>62</v>
      </c>
      <c r="AN315" s="1">
        <v>1078992</v>
      </c>
      <c r="AP315" s="1">
        <v>4377131</v>
      </c>
      <c r="AR315" s="1">
        <v>0</v>
      </c>
      <c r="AT315" s="1">
        <v>9200073</v>
      </c>
      <c r="AV315" s="1">
        <f>1623102+46750</f>
        <v>1669852</v>
      </c>
      <c r="AX315" s="1">
        <v>0</v>
      </c>
      <c r="AZ315" s="20">
        <f t="shared" si="25"/>
        <v>42639784</v>
      </c>
      <c r="BB315" s="1">
        <v>54912</v>
      </c>
      <c r="BH315" s="1">
        <v>0</v>
      </c>
      <c r="BJ315" s="20">
        <f t="shared" si="26"/>
        <v>42694696</v>
      </c>
      <c r="BL315" s="20">
        <f>'Gov Fd Rv'!AO315-'Gov Fnd Exp'!BJ315</f>
        <v>11833073</v>
      </c>
      <c r="BN315" s="1">
        <v>15731944</v>
      </c>
      <c r="BP315" s="1">
        <v>0</v>
      </c>
      <c r="BR315" s="1">
        <v>0</v>
      </c>
      <c r="BT315" s="20">
        <f t="shared" si="27"/>
        <v>27565017</v>
      </c>
      <c r="BU315" s="20"/>
      <c r="BV315" s="20">
        <f>BT315-'Gov Fd BS'!AA315</f>
        <v>0</v>
      </c>
    </row>
    <row r="316" spans="1:74">
      <c r="A316" s="12" t="s">
        <v>366</v>
      </c>
      <c r="B316" s="12"/>
      <c r="C316" s="12" t="s">
        <v>32</v>
      </c>
      <c r="D316" s="12"/>
      <c r="E316" s="13">
        <v>44271</v>
      </c>
      <c r="G316" s="1">
        <v>18883233</v>
      </c>
      <c r="I316" s="1">
        <v>5875829</v>
      </c>
      <c r="K316" s="1">
        <v>167404</v>
      </c>
      <c r="M316" s="1">
        <v>784112</v>
      </c>
      <c r="O316" s="1">
        <v>2454776</v>
      </c>
      <c r="Q316" s="1">
        <v>1418043</v>
      </c>
      <c r="S316" s="1">
        <v>69219</v>
      </c>
      <c r="U316" s="1">
        <v>2995174</v>
      </c>
      <c r="W316" s="1">
        <v>1146899</v>
      </c>
      <c r="Y316" s="1">
        <v>233182</v>
      </c>
      <c r="AA316" s="1">
        <v>3528705</v>
      </c>
      <c r="AC316" s="1">
        <v>3627388</v>
      </c>
      <c r="AE316" s="1">
        <v>830489</v>
      </c>
      <c r="AG316" s="1">
        <v>0</v>
      </c>
      <c r="AI316" s="1">
        <v>2129987</v>
      </c>
      <c r="AJ316" s="12" t="s">
        <v>366</v>
      </c>
      <c r="AK316" s="12"/>
      <c r="AL316" s="12" t="s">
        <v>32</v>
      </c>
      <c r="AN316" s="1">
        <v>1210977</v>
      </c>
      <c r="AP316" s="1">
        <v>4252014</v>
      </c>
      <c r="AR316" s="1">
        <v>0</v>
      </c>
      <c r="AT316" s="1">
        <v>1195656</v>
      </c>
      <c r="AV316" s="1">
        <f>1799535+103665</f>
        <v>1903200</v>
      </c>
      <c r="AX316" s="1">
        <v>0</v>
      </c>
      <c r="AZ316" s="20">
        <f t="shared" si="25"/>
        <v>52706287</v>
      </c>
      <c r="BB316" s="1">
        <v>0</v>
      </c>
      <c r="BH316" s="1">
        <v>4526207</v>
      </c>
      <c r="BJ316" s="20">
        <f t="shared" si="26"/>
        <v>57232494</v>
      </c>
      <c r="BL316" s="20">
        <f>'Gov Fd Rv'!AO316-'Gov Fnd Exp'!BJ316</f>
        <v>3613269</v>
      </c>
      <c r="BN316" s="1">
        <v>6353233</v>
      </c>
      <c r="BP316" s="1">
        <v>0</v>
      </c>
      <c r="BR316" s="1">
        <v>0</v>
      </c>
      <c r="BT316" s="20">
        <f t="shared" si="27"/>
        <v>9966502</v>
      </c>
      <c r="BU316" s="20"/>
      <c r="BV316" s="20">
        <f>BT316-'Gov Fd BS'!AA316</f>
        <v>0</v>
      </c>
    </row>
    <row r="317" spans="1:74">
      <c r="A317" s="12" t="s">
        <v>466</v>
      </c>
      <c r="B317" s="12"/>
      <c r="C317" s="12" t="s">
        <v>45</v>
      </c>
      <c r="D317" s="12"/>
      <c r="E317" s="13">
        <v>48330</v>
      </c>
      <c r="G317" s="1">
        <v>2573774</v>
      </c>
      <c r="I317" s="1">
        <v>323345</v>
      </c>
      <c r="K317" s="1">
        <v>30234</v>
      </c>
      <c r="M317" s="1">
        <v>1404</v>
      </c>
      <c r="O317" s="1">
        <v>127931</v>
      </c>
      <c r="Q317" s="1">
        <v>287971</v>
      </c>
      <c r="S317" s="1">
        <v>15255</v>
      </c>
      <c r="U317" s="1">
        <v>325749</v>
      </c>
      <c r="W317" s="1">
        <v>154256</v>
      </c>
      <c r="Y317" s="1">
        <v>0</v>
      </c>
      <c r="AA317" s="1">
        <v>436996</v>
      </c>
      <c r="AC317" s="1">
        <v>149488</v>
      </c>
      <c r="AE317" s="1">
        <v>40705</v>
      </c>
      <c r="AG317" s="1">
        <v>222033</v>
      </c>
      <c r="AI317" s="1">
        <v>0</v>
      </c>
      <c r="AJ317" s="12" t="s">
        <v>466</v>
      </c>
      <c r="AK317" s="12"/>
      <c r="AL317" s="12" t="s">
        <v>45</v>
      </c>
      <c r="AN317" s="1">
        <v>305121</v>
      </c>
      <c r="AP317" s="1">
        <v>0</v>
      </c>
      <c r="AR317" s="1">
        <v>0</v>
      </c>
      <c r="AT317" s="1">
        <v>70000</v>
      </c>
      <c r="AV317" s="1">
        <v>92903</v>
      </c>
      <c r="AX317" s="1">
        <v>0</v>
      </c>
      <c r="AZ317" s="20">
        <f t="shared" si="25"/>
        <v>5157165</v>
      </c>
      <c r="BB317" s="1">
        <v>26344</v>
      </c>
      <c r="BH317" s="1">
        <v>0</v>
      </c>
      <c r="BJ317" s="20">
        <f t="shared" si="26"/>
        <v>5183509</v>
      </c>
      <c r="BL317" s="20">
        <f>'Gov Fd Rv'!AO317-'Gov Fnd Exp'!BJ317</f>
        <v>615029</v>
      </c>
      <c r="BN317" s="1">
        <v>2905335</v>
      </c>
      <c r="BP317" s="1">
        <v>0</v>
      </c>
      <c r="BR317" s="1">
        <v>0</v>
      </c>
      <c r="BT317" s="20">
        <f t="shared" si="27"/>
        <v>3520364</v>
      </c>
      <c r="BU317" s="20"/>
      <c r="BV317" s="20">
        <f>BT317-'Gov Fd BS'!AA317</f>
        <v>0</v>
      </c>
    </row>
    <row r="318" spans="1:74">
      <c r="A318" s="12" t="s">
        <v>544</v>
      </c>
      <c r="B318" s="12"/>
      <c r="C318" s="12" t="s">
        <v>112</v>
      </c>
      <c r="D318" s="12"/>
      <c r="E318" s="13">
        <v>49445</v>
      </c>
      <c r="G318" s="1">
        <v>2151153</v>
      </c>
      <c r="I318" s="1">
        <v>652351</v>
      </c>
      <c r="K318" s="1">
        <v>72</v>
      </c>
      <c r="M318" s="1">
        <v>448573</v>
      </c>
      <c r="O318" s="1">
        <v>85586</v>
      </c>
      <c r="Q318" s="1">
        <v>229140</v>
      </c>
      <c r="S318" s="1">
        <v>20523</v>
      </c>
      <c r="U318" s="1">
        <v>568372</v>
      </c>
      <c r="W318" s="1">
        <v>225950</v>
      </c>
      <c r="Y318" s="1">
        <v>0</v>
      </c>
      <c r="AA318" s="1">
        <v>577018</v>
      </c>
      <c r="AC318" s="1">
        <v>280022</v>
      </c>
      <c r="AE318" s="1">
        <v>84179</v>
      </c>
      <c r="AG318" s="1">
        <v>203425</v>
      </c>
      <c r="AI318" s="1">
        <v>1544</v>
      </c>
      <c r="AJ318" s="12" t="s">
        <v>544</v>
      </c>
      <c r="AK318" s="12"/>
      <c r="AL318" s="12" t="s">
        <v>112</v>
      </c>
      <c r="AN318" s="1">
        <v>189621</v>
      </c>
      <c r="AP318" s="1">
        <v>0</v>
      </c>
      <c r="AR318" s="1">
        <v>0</v>
      </c>
      <c r="AT318" s="1">
        <v>0</v>
      </c>
      <c r="AV318" s="1">
        <v>0</v>
      </c>
      <c r="AX318" s="1">
        <v>0</v>
      </c>
      <c r="AZ318" s="20">
        <f t="shared" si="25"/>
        <v>5717529</v>
      </c>
      <c r="BB318" s="1">
        <v>25000</v>
      </c>
      <c r="BH318" s="1">
        <v>0</v>
      </c>
      <c r="BJ318" s="20">
        <f t="shared" si="26"/>
        <v>5742529</v>
      </c>
      <c r="BL318" s="20">
        <f>'Gov Fd Rv'!AO318-'Gov Fnd Exp'!BJ318</f>
        <v>133346</v>
      </c>
      <c r="BN318" s="1">
        <v>3049946</v>
      </c>
      <c r="BP318" s="1">
        <v>0</v>
      </c>
      <c r="BR318" s="1">
        <v>0</v>
      </c>
      <c r="BT318" s="20">
        <f t="shared" si="27"/>
        <v>3183292</v>
      </c>
      <c r="BU318" s="20"/>
      <c r="BV318" s="20">
        <f>BT318-'Gov Fd BS'!AA318</f>
        <v>0</v>
      </c>
    </row>
    <row r="319" spans="1:74">
      <c r="A319" s="12" t="s">
        <v>399</v>
      </c>
      <c r="B319" s="12"/>
      <c r="C319" s="12" t="s">
        <v>395</v>
      </c>
      <c r="D319" s="12"/>
      <c r="E319" s="13">
        <v>47639</v>
      </c>
      <c r="G319" s="1">
        <v>5727908</v>
      </c>
      <c r="I319" s="1">
        <v>1193541</v>
      </c>
      <c r="K319" s="1">
        <v>194107</v>
      </c>
      <c r="M319" s="1">
        <v>7042</v>
      </c>
      <c r="O319" s="1">
        <v>460344</v>
      </c>
      <c r="Q319" s="1">
        <v>730805</v>
      </c>
      <c r="S319" s="1">
        <v>39717</v>
      </c>
      <c r="U319" s="1">
        <v>1113012</v>
      </c>
      <c r="W319" s="1">
        <v>316695</v>
      </c>
      <c r="Y319" s="1">
        <v>37191</v>
      </c>
      <c r="AA319" s="1">
        <v>1191393</v>
      </c>
      <c r="AC319" s="1">
        <v>827308</v>
      </c>
      <c r="AE319" s="1">
        <v>12000</v>
      </c>
      <c r="AG319" s="1">
        <v>543500</v>
      </c>
      <c r="AI319" s="1">
        <v>53</v>
      </c>
      <c r="AJ319" s="12" t="s">
        <v>399</v>
      </c>
      <c r="AK319" s="12"/>
      <c r="AL319" s="12" t="s">
        <v>395</v>
      </c>
      <c r="AN319" s="1">
        <v>187229</v>
      </c>
      <c r="AP319" s="1">
        <v>19800</v>
      </c>
      <c r="AR319" s="1">
        <v>0</v>
      </c>
      <c r="AT319" s="1">
        <v>99999</v>
      </c>
      <c r="AV319" s="1">
        <v>63594</v>
      </c>
      <c r="AX319" s="1">
        <v>0</v>
      </c>
      <c r="AZ319" s="20">
        <f t="shared" si="25"/>
        <v>12765238</v>
      </c>
      <c r="BB319" s="1">
        <v>106938</v>
      </c>
      <c r="BH319" s="1">
        <v>0</v>
      </c>
      <c r="BJ319" s="20">
        <f t="shared" si="26"/>
        <v>12872176</v>
      </c>
      <c r="BL319" s="20">
        <f>'Gov Fd Rv'!AO319-'Gov Fnd Exp'!BJ319</f>
        <v>254667</v>
      </c>
      <c r="BN319" s="1">
        <v>7885091</v>
      </c>
      <c r="BP319" s="1">
        <v>0</v>
      </c>
      <c r="BR319" s="1">
        <v>0</v>
      </c>
      <c r="BT319" s="20">
        <f t="shared" si="27"/>
        <v>8139758</v>
      </c>
      <c r="BU319" s="20"/>
      <c r="BV319" s="20">
        <f>BT319-'Gov Fd BS'!AA319</f>
        <v>0</v>
      </c>
    </row>
    <row r="320" spans="1:74">
      <c r="A320" s="12" t="s">
        <v>892</v>
      </c>
      <c r="B320" s="12"/>
      <c r="C320" s="12" t="s">
        <v>50</v>
      </c>
      <c r="D320" s="12"/>
      <c r="E320" s="13">
        <v>48702</v>
      </c>
      <c r="G320" s="1">
        <v>15851137</v>
      </c>
      <c r="I320" s="1">
        <v>4316272</v>
      </c>
      <c r="K320" s="1">
        <v>1648067</v>
      </c>
      <c r="M320" s="1">
        <f>28546+1490562</f>
        <v>1519108</v>
      </c>
      <c r="O320" s="1">
        <v>2597145</v>
      </c>
      <c r="Q320" s="1">
        <v>3112005</v>
      </c>
      <c r="S320" s="1">
        <v>75920</v>
      </c>
      <c r="U320" s="1">
        <v>3174048</v>
      </c>
      <c r="W320" s="1">
        <v>686927</v>
      </c>
      <c r="Y320" s="1">
        <v>8543</v>
      </c>
      <c r="AA320" s="1">
        <v>4240005</v>
      </c>
      <c r="AC320" s="1">
        <v>1429091</v>
      </c>
      <c r="AE320" s="1">
        <v>378989</v>
      </c>
      <c r="AG320" s="1">
        <v>0</v>
      </c>
      <c r="AI320" s="1">
        <v>2421507</v>
      </c>
      <c r="AJ320" s="12" t="s">
        <v>892</v>
      </c>
      <c r="AK320" s="12"/>
      <c r="AL320" s="12" t="s">
        <v>50</v>
      </c>
      <c r="AN320" s="1">
        <v>657319</v>
      </c>
      <c r="AP320" s="1">
        <v>105804</v>
      </c>
      <c r="AR320" s="1">
        <v>0</v>
      </c>
      <c r="AT320" s="1">
        <v>1013516</v>
      </c>
      <c r="AV320" s="1">
        <v>664997</v>
      </c>
      <c r="AX320" s="1">
        <v>0</v>
      </c>
      <c r="AZ320" s="20">
        <f t="shared" ref="AZ320:AZ366" si="29">SUM(G320:AX320)</f>
        <v>43900400</v>
      </c>
      <c r="BB320" s="1">
        <v>200000</v>
      </c>
      <c r="BH320" s="1">
        <v>0</v>
      </c>
      <c r="BJ320" s="20">
        <f t="shared" si="26"/>
        <v>44100400</v>
      </c>
      <c r="BL320" s="20">
        <f>'Gov Fd Rv'!AO320-'Gov Fnd Exp'!BJ320</f>
        <v>-1158128</v>
      </c>
      <c r="BN320" s="1">
        <v>16635638</v>
      </c>
      <c r="BP320" s="1">
        <v>0</v>
      </c>
      <c r="BR320" s="1">
        <v>0</v>
      </c>
      <c r="BT320" s="20">
        <f t="shared" si="27"/>
        <v>15477510</v>
      </c>
      <c r="BU320" s="20"/>
      <c r="BV320" s="20">
        <f>BT320-'Gov Fd BS'!AA320</f>
        <v>0</v>
      </c>
    </row>
    <row r="321" spans="1:74">
      <c r="A321" s="12" t="s">
        <v>367</v>
      </c>
      <c r="B321" s="12"/>
      <c r="C321" s="12" t="s">
        <v>32</v>
      </c>
      <c r="D321" s="12"/>
      <c r="E321" s="13">
        <v>44289</v>
      </c>
      <c r="G321" s="1">
        <v>7564284</v>
      </c>
      <c r="I321" s="1">
        <v>2109669</v>
      </c>
      <c r="K321" s="1">
        <v>527</v>
      </c>
      <c r="M321" s="1">
        <v>78167</v>
      </c>
      <c r="O321" s="1">
        <v>1107040</v>
      </c>
      <c r="Q321" s="1">
        <v>368230</v>
      </c>
      <c r="S321" s="1">
        <v>41362</v>
      </c>
      <c r="U321" s="1">
        <v>1105728</v>
      </c>
      <c r="W321" s="1">
        <v>503802</v>
      </c>
      <c r="Y321" s="1">
        <v>50050</v>
      </c>
      <c r="AA321" s="1">
        <v>1712835</v>
      </c>
      <c r="AC321" s="1">
        <v>767077</v>
      </c>
      <c r="AE321" s="1">
        <v>516253</v>
      </c>
      <c r="AG321" s="1">
        <v>0</v>
      </c>
      <c r="AI321" s="1">
        <v>821074</v>
      </c>
      <c r="AJ321" s="12" t="s">
        <v>367</v>
      </c>
      <c r="AK321" s="12"/>
      <c r="AL321" s="12" t="s">
        <v>32</v>
      </c>
      <c r="AN321" s="1">
        <v>505604</v>
      </c>
      <c r="AP321" s="1">
        <v>194794</v>
      </c>
      <c r="AR321" s="1">
        <v>0</v>
      </c>
      <c r="AT321" s="1">
        <v>1374978</v>
      </c>
      <c r="AV321" s="1">
        <v>1148371</v>
      </c>
      <c r="AX321" s="1">
        <v>0</v>
      </c>
      <c r="AZ321" s="20">
        <f t="shared" si="29"/>
        <v>19969845</v>
      </c>
      <c r="BB321" s="1">
        <v>2500</v>
      </c>
      <c r="BH321" s="1">
        <v>0</v>
      </c>
      <c r="BJ321" s="20">
        <f t="shared" si="26"/>
        <v>19972345</v>
      </c>
      <c r="BL321" s="20">
        <f>'Gov Fd Rv'!AO321-'Gov Fnd Exp'!BJ321</f>
        <v>1915707</v>
      </c>
      <c r="BN321" s="1">
        <v>9908024</v>
      </c>
      <c r="BP321" s="1">
        <v>0</v>
      </c>
      <c r="BR321" s="1">
        <v>0</v>
      </c>
      <c r="BT321" s="20">
        <f t="shared" si="27"/>
        <v>11823731</v>
      </c>
      <c r="BU321" s="20"/>
      <c r="BV321" s="20">
        <f>BT321-'Gov Fd BS'!AA321</f>
        <v>0</v>
      </c>
    </row>
    <row r="322" spans="1:74">
      <c r="A322" s="12" t="s">
        <v>231</v>
      </c>
      <c r="B322" s="12"/>
      <c r="C322" s="12" t="s">
        <v>227</v>
      </c>
      <c r="D322" s="12"/>
      <c r="E322" s="13">
        <v>46128</v>
      </c>
      <c r="G322" s="1">
        <v>5779445</v>
      </c>
      <c r="I322" s="1">
        <v>1064501</v>
      </c>
      <c r="K322" s="1">
        <v>1522</v>
      </c>
      <c r="M322" s="1">
        <v>534703</v>
      </c>
      <c r="O322" s="1">
        <v>669690</v>
      </c>
      <c r="Q322" s="1">
        <v>903756</v>
      </c>
      <c r="S322" s="1">
        <v>83741</v>
      </c>
      <c r="U322" s="1">
        <v>1259591</v>
      </c>
      <c r="W322" s="1">
        <v>310688</v>
      </c>
      <c r="Y322" s="1">
        <v>4796</v>
      </c>
      <c r="AA322" s="1">
        <v>1669667</v>
      </c>
      <c r="AC322" s="1">
        <v>850180</v>
      </c>
      <c r="AE322" s="1">
        <v>411556</v>
      </c>
      <c r="AG322" s="1">
        <v>703903</v>
      </c>
      <c r="AI322" s="1">
        <v>41066</v>
      </c>
      <c r="AJ322" s="12" t="s">
        <v>231</v>
      </c>
      <c r="AK322" s="12"/>
      <c r="AL322" s="12" t="s">
        <v>227</v>
      </c>
      <c r="AN322" s="1">
        <v>410679</v>
      </c>
      <c r="AP322" s="1">
        <v>11995639</v>
      </c>
      <c r="AR322" s="1">
        <v>0</v>
      </c>
      <c r="AT322" s="1">
        <v>621494</v>
      </c>
      <c r="AV322" s="1">
        <v>496506</v>
      </c>
      <c r="AX322" s="1">
        <v>0</v>
      </c>
      <c r="AZ322" s="20">
        <f t="shared" si="29"/>
        <v>27813123</v>
      </c>
      <c r="BB322" s="1">
        <v>162</v>
      </c>
      <c r="BH322" s="1">
        <v>0</v>
      </c>
      <c r="BJ322" s="20">
        <f t="shared" si="26"/>
        <v>27813285</v>
      </c>
      <c r="BL322" s="20">
        <f>'Gov Fd Rv'!AO322-'Gov Fnd Exp'!BJ322</f>
        <v>-3133334</v>
      </c>
      <c r="BN322" s="1">
        <v>12032829</v>
      </c>
      <c r="BP322" s="1">
        <v>9555</v>
      </c>
      <c r="BR322" s="1">
        <v>0</v>
      </c>
      <c r="BT322" s="20">
        <f t="shared" si="27"/>
        <v>8909050</v>
      </c>
      <c r="BU322" s="20"/>
      <c r="BV322" s="20">
        <f>BT322-'Gov Fd BS'!AA322</f>
        <v>0</v>
      </c>
    </row>
    <row r="323" spans="1:74" hidden="1">
      <c r="A323" s="17" t="s">
        <v>848</v>
      </c>
      <c r="B323" s="17"/>
      <c r="C323" s="17" t="s">
        <v>41</v>
      </c>
      <c r="D323" s="12"/>
      <c r="E323" s="13"/>
      <c r="AJ323" s="17" t="s">
        <v>848</v>
      </c>
      <c r="AK323" s="17"/>
      <c r="AL323" s="17" t="s">
        <v>41</v>
      </c>
      <c r="AZ323" s="20">
        <f t="shared" si="29"/>
        <v>0</v>
      </c>
      <c r="BJ323" s="20">
        <f t="shared" si="26"/>
        <v>0</v>
      </c>
      <c r="BL323" s="20">
        <f>'Gov Fd Rv'!AO323-'Gov Fnd Exp'!BJ323</f>
        <v>0</v>
      </c>
      <c r="BT323" s="20">
        <f t="shared" si="27"/>
        <v>0</v>
      </c>
      <c r="BU323" s="20"/>
      <c r="BV323" s="20">
        <f>BT323-'Gov Fd BS'!AA323</f>
        <v>0</v>
      </c>
    </row>
    <row r="324" spans="1:74">
      <c r="A324" s="12" t="s">
        <v>231</v>
      </c>
      <c r="B324" s="12"/>
      <c r="C324" s="12" t="s">
        <v>112</v>
      </c>
      <c r="D324" s="12"/>
      <c r="E324" s="13">
        <v>49452</v>
      </c>
      <c r="G324" s="1">
        <v>12294184</v>
      </c>
      <c r="I324" s="1">
        <v>3718410</v>
      </c>
      <c r="K324" s="1">
        <v>3189345</v>
      </c>
      <c r="M324" s="1">
        <f>61973+2103861</f>
        <v>2165834</v>
      </c>
      <c r="O324" s="1">
        <v>1348802</v>
      </c>
      <c r="Q324" s="1">
        <v>2187016</v>
      </c>
      <c r="S324" s="1">
        <v>37308</v>
      </c>
      <c r="U324" s="1">
        <v>2385356</v>
      </c>
      <c r="W324" s="1">
        <v>753768</v>
      </c>
      <c r="Y324" s="1">
        <v>70271</v>
      </c>
      <c r="AA324" s="1">
        <v>3005595</v>
      </c>
      <c r="AC324" s="1">
        <v>1536273</v>
      </c>
      <c r="AE324" s="1">
        <v>195055</v>
      </c>
      <c r="AG324" s="1">
        <v>1289786</v>
      </c>
      <c r="AI324" s="1">
        <v>514443</v>
      </c>
      <c r="AJ324" s="12" t="s">
        <v>231</v>
      </c>
      <c r="AK324" s="12"/>
      <c r="AL324" s="12" t="s">
        <v>112</v>
      </c>
      <c r="AN324" s="1">
        <v>620459</v>
      </c>
      <c r="AP324" s="1">
        <v>426884</v>
      </c>
      <c r="AR324" s="1">
        <v>0</v>
      </c>
      <c r="AT324" s="1">
        <v>175000</v>
      </c>
      <c r="AV324" s="1">
        <v>4725</v>
      </c>
      <c r="AX324" s="1">
        <v>0</v>
      </c>
      <c r="AZ324" s="20">
        <f t="shared" si="29"/>
        <v>35918514</v>
      </c>
      <c r="BB324" s="1">
        <v>204725</v>
      </c>
      <c r="BH324" s="1">
        <v>0</v>
      </c>
      <c r="BJ324" s="20">
        <f t="shared" si="26"/>
        <v>36123239</v>
      </c>
      <c r="BL324" s="20">
        <f>'Gov Fd Rv'!AO324-'Gov Fnd Exp'!BJ324</f>
        <v>-1526461</v>
      </c>
      <c r="BN324" s="1">
        <v>8498557</v>
      </c>
      <c r="BP324" s="1">
        <v>443</v>
      </c>
      <c r="BR324" s="1">
        <v>0</v>
      </c>
      <c r="BT324" s="20">
        <f t="shared" si="27"/>
        <v>6972539</v>
      </c>
      <c r="BU324" s="20"/>
      <c r="BV324" s="20">
        <f>BT324-'Gov Fd BS'!AA324</f>
        <v>0</v>
      </c>
    </row>
    <row r="325" spans="1:74">
      <c r="A325" s="17" t="s">
        <v>864</v>
      </c>
      <c r="B325" s="17"/>
      <c r="C325" s="17" t="s">
        <v>458</v>
      </c>
      <c r="D325" s="12"/>
      <c r="E325" s="13"/>
      <c r="G325" s="1">
        <v>7127787</v>
      </c>
      <c r="I325" s="1">
        <v>833285</v>
      </c>
      <c r="K325" s="1">
        <v>413860</v>
      </c>
      <c r="M325" s="1">
        <v>0</v>
      </c>
      <c r="O325" s="1">
        <v>428428</v>
      </c>
      <c r="Q325" s="1">
        <v>577316</v>
      </c>
      <c r="S325" s="1">
        <v>64329</v>
      </c>
      <c r="U325" s="1">
        <v>1418049</v>
      </c>
      <c r="W325" s="1">
        <v>587084</v>
      </c>
      <c r="Y325" s="1">
        <v>3109</v>
      </c>
      <c r="AA325" s="1">
        <v>954795</v>
      </c>
      <c r="AC325" s="1">
        <v>906581</v>
      </c>
      <c r="AE325" s="1">
        <v>190405</v>
      </c>
      <c r="AG325" s="1">
        <v>659237</v>
      </c>
      <c r="AI325" s="1">
        <v>0</v>
      </c>
      <c r="AJ325" s="17" t="s">
        <v>864</v>
      </c>
      <c r="AK325" s="17"/>
      <c r="AL325" s="17" t="s">
        <v>458</v>
      </c>
      <c r="AN325" s="1">
        <v>490150</v>
      </c>
      <c r="AP325" s="1">
        <v>276870</v>
      </c>
      <c r="AR325" s="1">
        <v>0</v>
      </c>
      <c r="AT325" s="1">
        <v>25000</v>
      </c>
      <c r="AV325" s="1">
        <v>8586</v>
      </c>
      <c r="AX325" s="1">
        <v>0</v>
      </c>
      <c r="AZ325" s="20">
        <f t="shared" si="29"/>
        <v>14964871</v>
      </c>
      <c r="BB325" s="1">
        <v>0</v>
      </c>
      <c r="BH325" s="1">
        <v>0</v>
      </c>
      <c r="BJ325" s="20">
        <f t="shared" si="26"/>
        <v>14964871</v>
      </c>
      <c r="BL325" s="20">
        <f>'Gov Fd Rv'!AO325-'Gov Fnd Exp'!BJ325</f>
        <v>3307902</v>
      </c>
      <c r="BN325" s="1">
        <v>8257741</v>
      </c>
      <c r="BP325" s="1">
        <v>0</v>
      </c>
      <c r="BR325" s="1">
        <v>0</v>
      </c>
      <c r="BT325" s="20">
        <f t="shared" si="27"/>
        <v>11565643</v>
      </c>
      <c r="BU325" s="20"/>
      <c r="BV325" s="20">
        <f>BT325-'Gov Fd BS'!AA325</f>
        <v>0</v>
      </c>
    </row>
    <row r="326" spans="1:74">
      <c r="A326" s="12" t="s">
        <v>722</v>
      </c>
      <c r="B326" s="12"/>
      <c r="C326" s="12" t="s">
        <v>203</v>
      </c>
      <c r="D326" s="12"/>
      <c r="E326" s="13"/>
      <c r="G326" s="1">
        <v>4507689</v>
      </c>
      <c r="I326" s="1">
        <v>1816031</v>
      </c>
      <c r="K326" s="1">
        <v>693303</v>
      </c>
      <c r="M326" s="1">
        <v>176342</v>
      </c>
      <c r="O326" s="1">
        <v>453508</v>
      </c>
      <c r="Q326" s="1">
        <v>638682</v>
      </c>
      <c r="S326" s="1">
        <v>79503</v>
      </c>
      <c r="U326" s="1">
        <v>899780</v>
      </c>
      <c r="W326" s="1">
        <v>435105</v>
      </c>
      <c r="Y326" s="1">
        <v>0</v>
      </c>
      <c r="AA326" s="1">
        <v>1108627</v>
      </c>
      <c r="AC326" s="1">
        <v>495695</v>
      </c>
      <c r="AE326" s="1">
        <v>0</v>
      </c>
      <c r="AG326" s="1">
        <v>474316</v>
      </c>
      <c r="AI326" s="1">
        <v>113573</v>
      </c>
      <c r="AJ326" s="12" t="s">
        <v>722</v>
      </c>
      <c r="AK326" s="12"/>
      <c r="AL326" s="12" t="s">
        <v>203</v>
      </c>
      <c r="AN326" s="1">
        <v>252331</v>
      </c>
      <c r="AP326" s="1">
        <v>27188</v>
      </c>
      <c r="AR326" s="1">
        <v>0</v>
      </c>
      <c r="AT326" s="1">
        <v>2388044</v>
      </c>
      <c r="AV326" s="1">
        <v>1023490</v>
      </c>
      <c r="AX326" s="1">
        <v>0</v>
      </c>
      <c r="AZ326" s="20">
        <f t="shared" si="29"/>
        <v>15583207</v>
      </c>
      <c r="BB326" s="1">
        <v>2670752</v>
      </c>
      <c r="BH326" s="1">
        <v>0</v>
      </c>
      <c r="BJ326" s="20">
        <f t="shared" si="26"/>
        <v>18253959</v>
      </c>
      <c r="BL326" s="20">
        <f>'Gov Fd Rv'!AO326-'Gov Fnd Exp'!BJ326</f>
        <v>1280813</v>
      </c>
      <c r="BN326" s="1">
        <v>4975052</v>
      </c>
      <c r="BP326" s="1">
        <v>0</v>
      </c>
      <c r="BR326" s="1">
        <v>0</v>
      </c>
      <c r="BT326" s="20">
        <f t="shared" si="27"/>
        <v>6255865</v>
      </c>
      <c r="BU326" s="20"/>
      <c r="BV326" s="20">
        <f>BT326-'Gov Fd BS'!AA326</f>
        <v>0</v>
      </c>
    </row>
    <row r="327" spans="1:74">
      <c r="A327" s="12" t="s">
        <v>545</v>
      </c>
      <c r="B327" s="12"/>
      <c r="C327" s="12" t="s">
        <v>112</v>
      </c>
      <c r="D327" s="12"/>
      <c r="E327" s="13">
        <v>44297</v>
      </c>
      <c r="G327" s="1">
        <v>16729467</v>
      </c>
      <c r="I327" s="1">
        <v>7563013</v>
      </c>
      <c r="K327" s="1">
        <v>1281876</v>
      </c>
      <c r="M327" s="1">
        <f>313123+11500234</f>
        <v>11813357</v>
      </c>
      <c r="O327" s="1">
        <v>3862432</v>
      </c>
      <c r="Q327" s="1">
        <v>2308291</v>
      </c>
      <c r="S327" s="1">
        <v>41808</v>
      </c>
      <c r="U327" s="1">
        <v>3901169</v>
      </c>
      <c r="W327" s="1">
        <v>1398341</v>
      </c>
      <c r="Y327" s="1">
        <v>850630</v>
      </c>
      <c r="AA327" s="1">
        <v>5586576</v>
      </c>
      <c r="AC327" s="1">
        <v>2091547</v>
      </c>
      <c r="AE327" s="1">
        <v>2562382</v>
      </c>
      <c r="AG327" s="1">
        <v>1997209</v>
      </c>
      <c r="AI327" s="1">
        <v>1936900</v>
      </c>
      <c r="AJ327" s="12" t="s">
        <v>545</v>
      </c>
      <c r="AK327" s="12"/>
      <c r="AL327" s="12" t="s">
        <v>112</v>
      </c>
      <c r="AN327" s="1">
        <v>790056</v>
      </c>
      <c r="AP327" s="1">
        <v>0</v>
      </c>
      <c r="AR327" s="1">
        <v>0</v>
      </c>
      <c r="AT327" s="1">
        <v>1232225</v>
      </c>
      <c r="AV327" s="1">
        <v>603100</v>
      </c>
      <c r="AX327" s="1">
        <v>0</v>
      </c>
      <c r="AZ327" s="20">
        <f t="shared" si="29"/>
        <v>66550379</v>
      </c>
      <c r="BB327" s="1">
        <v>37279</v>
      </c>
      <c r="BH327" s="1">
        <v>0</v>
      </c>
      <c r="BJ327" s="20">
        <f t="shared" si="26"/>
        <v>66587658</v>
      </c>
      <c r="BL327" s="20">
        <f>'Gov Fd Rv'!AO327-'Gov Fnd Exp'!BJ327</f>
        <v>-647885</v>
      </c>
      <c r="BN327" s="1">
        <v>17755741</v>
      </c>
      <c r="BP327" s="1">
        <v>0</v>
      </c>
      <c r="BR327" s="1">
        <v>0</v>
      </c>
      <c r="BT327" s="20">
        <f t="shared" si="27"/>
        <v>17107856</v>
      </c>
      <c r="BU327" s="20"/>
      <c r="BV327" s="20">
        <f>BT327-'Gov Fd BS'!AA327</f>
        <v>0</v>
      </c>
    </row>
    <row r="328" spans="1:74">
      <c r="A328" s="17" t="s">
        <v>294</v>
      </c>
      <c r="B328" s="12"/>
      <c r="C328" s="12" t="s">
        <v>20</v>
      </c>
      <c r="D328" s="12"/>
      <c r="E328" s="13">
        <v>44305</v>
      </c>
      <c r="G328" s="1">
        <v>20393373</v>
      </c>
      <c r="I328" s="1">
        <v>4008721</v>
      </c>
      <c r="K328" s="1">
        <v>1470348</v>
      </c>
      <c r="M328" s="1">
        <v>1588</v>
      </c>
      <c r="O328" s="1">
        <v>2258708</v>
      </c>
      <c r="Q328" s="1">
        <v>1683420</v>
      </c>
      <c r="S328" s="1">
        <v>82357</v>
      </c>
      <c r="U328" s="1">
        <v>4086350</v>
      </c>
      <c r="W328" s="1">
        <v>1554002</v>
      </c>
      <c r="Y328" s="1">
        <v>619762</v>
      </c>
      <c r="AA328" s="1">
        <v>4528908</v>
      </c>
      <c r="AC328" s="1">
        <v>1542839</v>
      </c>
      <c r="AE328" s="1">
        <v>21912</v>
      </c>
      <c r="AG328" s="1">
        <v>1623988</v>
      </c>
      <c r="AI328" s="1">
        <v>249318</v>
      </c>
      <c r="AJ328" s="12" t="s">
        <v>294</v>
      </c>
      <c r="AK328" s="12"/>
      <c r="AL328" s="12" t="s">
        <v>20</v>
      </c>
      <c r="AN328" s="1">
        <v>910147</v>
      </c>
      <c r="AP328" s="1">
        <v>6528413</v>
      </c>
      <c r="AR328" s="1">
        <v>0</v>
      </c>
      <c r="AT328" s="1">
        <v>55826506</v>
      </c>
      <c r="AV328" s="1">
        <v>2697682</v>
      </c>
      <c r="AX328" s="1">
        <v>0</v>
      </c>
      <c r="AZ328" s="20">
        <f t="shared" si="29"/>
        <v>110088342</v>
      </c>
      <c r="BB328" s="1">
        <v>371903</v>
      </c>
      <c r="BH328" s="1">
        <v>0</v>
      </c>
      <c r="BJ328" s="20">
        <f t="shared" si="26"/>
        <v>110460245</v>
      </c>
      <c r="BL328" s="20">
        <f>'Gov Fd Rv'!AO328-'Gov Fnd Exp'!BJ328</f>
        <v>34490830</v>
      </c>
      <c r="BN328" s="1">
        <v>63025895</v>
      </c>
      <c r="BP328" s="1">
        <v>0</v>
      </c>
      <c r="BR328" s="1">
        <v>0</v>
      </c>
      <c r="BT328" s="20">
        <f t="shared" si="27"/>
        <v>97516725</v>
      </c>
      <c r="BU328" s="20"/>
      <c r="BV328" s="20">
        <f>BT328-'Gov Fd BS'!AA328</f>
        <v>0</v>
      </c>
    </row>
    <row r="329" spans="1:74">
      <c r="A329" s="12" t="s">
        <v>208</v>
      </c>
      <c r="B329" s="12"/>
      <c r="C329" s="12" t="s">
        <v>11</v>
      </c>
      <c r="D329" s="12"/>
      <c r="E329" s="13">
        <v>45831</v>
      </c>
      <c r="G329" s="1">
        <v>3461475</v>
      </c>
      <c r="I329" s="1">
        <v>815221</v>
      </c>
      <c r="K329" s="1">
        <v>82645</v>
      </c>
      <c r="M329" s="1">
        <v>841982</v>
      </c>
      <c r="O329" s="1">
        <v>261400</v>
      </c>
      <c r="Q329" s="1">
        <v>424995</v>
      </c>
      <c r="S329" s="1">
        <v>58023</v>
      </c>
      <c r="U329" s="1">
        <v>615432</v>
      </c>
      <c r="W329" s="1">
        <v>273160</v>
      </c>
      <c r="Y329" s="1">
        <v>0</v>
      </c>
      <c r="AA329" s="1">
        <v>701157</v>
      </c>
      <c r="AC329" s="1">
        <v>611759</v>
      </c>
      <c r="AE329" s="1">
        <v>120539</v>
      </c>
      <c r="AG329" s="1">
        <v>321890</v>
      </c>
      <c r="AI329" s="1">
        <v>101</v>
      </c>
      <c r="AJ329" s="12" t="s">
        <v>208</v>
      </c>
      <c r="AK329" s="12"/>
      <c r="AL329" s="12" t="s">
        <v>11</v>
      </c>
      <c r="AN329" s="1">
        <v>263312</v>
      </c>
      <c r="AP329" s="1">
        <v>140044</v>
      </c>
      <c r="AR329" s="1">
        <v>0</v>
      </c>
      <c r="AT329" s="1">
        <v>199790</v>
      </c>
      <c r="AV329" s="1">
        <v>163204</v>
      </c>
      <c r="AX329" s="1">
        <v>0</v>
      </c>
      <c r="AZ329" s="20">
        <f t="shared" si="29"/>
        <v>9356129</v>
      </c>
      <c r="BB329" s="1">
        <v>25000</v>
      </c>
      <c r="BH329" s="1">
        <v>0</v>
      </c>
      <c r="BJ329" s="20">
        <f t="shared" si="26"/>
        <v>9381129</v>
      </c>
      <c r="BL329" s="20">
        <f>'Gov Fd Rv'!AO329-'Gov Fnd Exp'!BJ329</f>
        <v>310369</v>
      </c>
      <c r="BN329" s="1">
        <v>2716436</v>
      </c>
      <c r="BP329" s="1">
        <v>0</v>
      </c>
      <c r="BR329" s="1">
        <v>0</v>
      </c>
      <c r="BT329" s="20">
        <f t="shared" si="27"/>
        <v>3026805</v>
      </c>
      <c r="BU329" s="20"/>
      <c r="BV329" s="20">
        <f>BT329-'Gov Fd BS'!AA329</f>
        <v>0</v>
      </c>
    </row>
    <row r="330" spans="1:74">
      <c r="A330" s="12" t="s">
        <v>611</v>
      </c>
      <c r="B330" s="12"/>
      <c r="C330" s="12" t="s">
        <v>64</v>
      </c>
      <c r="D330" s="12"/>
      <c r="E330" s="13">
        <v>50211</v>
      </c>
      <c r="G330" s="1">
        <v>4494074</v>
      </c>
      <c r="I330" s="1">
        <v>952602</v>
      </c>
      <c r="K330" s="1">
        <v>39961</v>
      </c>
      <c r="M330" s="1">
        <v>0</v>
      </c>
      <c r="O330" s="1">
        <v>458857</v>
      </c>
      <c r="Q330" s="1">
        <v>172602</v>
      </c>
      <c r="S330" s="1">
        <v>32559</v>
      </c>
      <c r="U330" s="1">
        <v>754251</v>
      </c>
      <c r="W330" s="1">
        <v>304165</v>
      </c>
      <c r="Y330" s="1">
        <v>61530</v>
      </c>
      <c r="AA330" s="1">
        <v>1050340</v>
      </c>
      <c r="AC330" s="1">
        <v>639977</v>
      </c>
      <c r="AE330" s="1">
        <v>46153</v>
      </c>
      <c r="AG330" s="1">
        <v>365268</v>
      </c>
      <c r="AI330" s="1">
        <v>0</v>
      </c>
      <c r="AJ330" s="12" t="s">
        <v>611</v>
      </c>
      <c r="AK330" s="12"/>
      <c r="AL330" s="12" t="s">
        <v>64</v>
      </c>
      <c r="AN330" s="1">
        <v>253754</v>
      </c>
      <c r="AP330" s="1">
        <v>20313</v>
      </c>
      <c r="AR330" s="1">
        <v>0</v>
      </c>
      <c r="AT330" s="1">
        <v>128985</v>
      </c>
      <c r="AV330" s="1">
        <v>104709</v>
      </c>
      <c r="AX330" s="1">
        <v>0</v>
      </c>
      <c r="AZ330" s="20">
        <f t="shared" si="29"/>
        <v>9880100</v>
      </c>
      <c r="BB330" s="1">
        <v>0</v>
      </c>
      <c r="BH330" s="1">
        <v>0</v>
      </c>
      <c r="BJ330" s="20">
        <f t="shared" si="26"/>
        <v>9880100</v>
      </c>
      <c r="BL330" s="20">
        <f>'Gov Fd Rv'!AO330-'Gov Fnd Exp'!BJ330</f>
        <v>373548</v>
      </c>
      <c r="BN330" s="1">
        <v>2094141</v>
      </c>
      <c r="BP330" s="1">
        <v>0</v>
      </c>
      <c r="BR330" s="1">
        <v>0</v>
      </c>
      <c r="BT330" s="20">
        <f t="shared" si="27"/>
        <v>2467689</v>
      </c>
      <c r="BU330" s="20"/>
      <c r="BV330" s="20">
        <f>BT330-'Gov Fd BS'!AA330</f>
        <v>0</v>
      </c>
    </row>
    <row r="331" spans="1:74">
      <c r="A331" s="12" t="s">
        <v>317</v>
      </c>
      <c r="B331" s="12"/>
      <c r="C331" s="12" t="s">
        <v>24</v>
      </c>
      <c r="D331" s="12"/>
      <c r="E331" s="13">
        <v>46805</v>
      </c>
      <c r="G331" s="1">
        <v>5258407</v>
      </c>
      <c r="I331" s="1">
        <v>1457252</v>
      </c>
      <c r="K331" s="1">
        <v>266087</v>
      </c>
      <c r="M331" s="1">
        <v>22938</v>
      </c>
      <c r="O331" s="1">
        <v>754754</v>
      </c>
      <c r="Q331" s="1">
        <v>710124</v>
      </c>
      <c r="S331" s="1">
        <v>179904</v>
      </c>
      <c r="U331" s="1">
        <v>949140</v>
      </c>
      <c r="W331" s="1">
        <v>406893</v>
      </c>
      <c r="Y331" s="1">
        <v>0</v>
      </c>
      <c r="AA331" s="1">
        <v>1170691</v>
      </c>
      <c r="AC331" s="1">
        <v>994153</v>
      </c>
      <c r="AE331" s="1">
        <v>68808</v>
      </c>
      <c r="AG331" s="1">
        <v>595437</v>
      </c>
      <c r="AI331" s="1">
        <v>167936</v>
      </c>
      <c r="AJ331" s="12" t="s">
        <v>317</v>
      </c>
      <c r="AK331" s="12"/>
      <c r="AL331" s="12" t="s">
        <v>24</v>
      </c>
      <c r="AN331" s="1">
        <v>436965</v>
      </c>
      <c r="AP331" s="1">
        <v>281234</v>
      </c>
      <c r="AR331" s="1">
        <v>0</v>
      </c>
      <c r="AT331" s="1">
        <v>89000</v>
      </c>
      <c r="AV331" s="1">
        <v>110770</v>
      </c>
      <c r="AX331" s="1">
        <v>0</v>
      </c>
      <c r="AZ331" s="20">
        <f t="shared" si="29"/>
        <v>13920493</v>
      </c>
      <c r="BB331" s="1">
        <v>81841</v>
      </c>
      <c r="BH331" s="1">
        <v>0</v>
      </c>
      <c r="BJ331" s="20">
        <f t="shared" si="26"/>
        <v>14002334</v>
      </c>
      <c r="BL331" s="20">
        <f>'Gov Fd Rv'!AO331-'Gov Fnd Exp'!BJ331</f>
        <v>-453193</v>
      </c>
      <c r="BN331" s="1">
        <v>84999</v>
      </c>
      <c r="BP331" s="1">
        <v>562</v>
      </c>
      <c r="BR331" s="1">
        <v>0</v>
      </c>
      <c r="BT331" s="20">
        <f t="shared" si="27"/>
        <v>-367632</v>
      </c>
      <c r="BU331" s="20"/>
      <c r="BV331" s="20">
        <f>BT331-'Gov Fd BS'!AA331</f>
        <v>0</v>
      </c>
    </row>
    <row r="332" spans="1:74">
      <c r="A332" s="12" t="s">
        <v>368</v>
      </c>
      <c r="B332" s="12"/>
      <c r="C332" s="12" t="s">
        <v>32</v>
      </c>
      <c r="D332" s="12"/>
      <c r="E332" s="13">
        <v>44313</v>
      </c>
      <c r="G332" s="1">
        <v>9721266</v>
      </c>
      <c r="I332" s="1">
        <v>1803164</v>
      </c>
      <c r="K332" s="1">
        <v>0</v>
      </c>
      <c r="M332" s="1">
        <f>3926+79997</f>
        <v>83923</v>
      </c>
      <c r="O332" s="1">
        <v>1758217</v>
      </c>
      <c r="Q332" s="1">
        <v>1195039</v>
      </c>
      <c r="S332" s="1">
        <v>16418</v>
      </c>
      <c r="U332" s="1">
        <v>1722198</v>
      </c>
      <c r="W332" s="1">
        <v>522263</v>
      </c>
      <c r="Y332" s="1">
        <v>53874</v>
      </c>
      <c r="AA332" s="1">
        <v>2018155</v>
      </c>
      <c r="AC332" s="1">
        <v>754414</v>
      </c>
      <c r="AE332" s="1">
        <v>195018</v>
      </c>
      <c r="AG332" s="1">
        <v>0</v>
      </c>
      <c r="AI332" s="1">
        <v>220160</v>
      </c>
      <c r="AJ332" s="12" t="s">
        <v>368</v>
      </c>
      <c r="AK332" s="12"/>
      <c r="AL332" s="12" t="s">
        <v>32</v>
      </c>
      <c r="AN332" s="1">
        <v>579495</v>
      </c>
      <c r="AP332" s="1">
        <v>751823</v>
      </c>
      <c r="AR332" s="1">
        <v>0</v>
      </c>
      <c r="AT332" s="1">
        <v>563371</v>
      </c>
      <c r="AV332" s="1">
        <v>319812</v>
      </c>
      <c r="AX332" s="1">
        <v>0</v>
      </c>
      <c r="AZ332" s="20">
        <f t="shared" si="29"/>
        <v>22278610</v>
      </c>
      <c r="BB332" s="1">
        <v>449060</v>
      </c>
      <c r="BH332" s="1">
        <v>0</v>
      </c>
      <c r="BJ332" s="20">
        <f t="shared" si="26"/>
        <v>22727670</v>
      </c>
      <c r="BL332" s="20">
        <f>'Gov Fd Rv'!AO332-'Gov Fnd Exp'!BJ332</f>
        <v>1155872</v>
      </c>
      <c r="BN332" s="1">
        <v>9321029</v>
      </c>
      <c r="BP332" s="1">
        <v>0</v>
      </c>
      <c r="BR332" s="1">
        <v>0</v>
      </c>
      <c r="BT332" s="20">
        <f t="shared" si="27"/>
        <v>10476901</v>
      </c>
      <c r="BU332" s="20"/>
      <c r="BV332" s="20">
        <f>BT332-'Gov Fd BS'!AA332</f>
        <v>0</v>
      </c>
    </row>
    <row r="333" spans="1:74" hidden="1">
      <c r="A333" s="17" t="s">
        <v>733</v>
      </c>
      <c r="B333" s="12"/>
      <c r="C333" s="12" t="s">
        <v>70</v>
      </c>
      <c r="D333" s="12"/>
      <c r="E333" s="13">
        <v>44321</v>
      </c>
      <c r="AJ333" s="17" t="s">
        <v>733</v>
      </c>
      <c r="AK333" s="12"/>
      <c r="AL333" s="12" t="s">
        <v>70</v>
      </c>
      <c r="AZ333" s="20">
        <f t="shared" si="29"/>
        <v>0</v>
      </c>
      <c r="BJ333" s="20">
        <f>AZ333+BB333+BH333+BD333</f>
        <v>0</v>
      </c>
      <c r="BL333" s="20">
        <f>'Gov Fd Rv'!AO333-'Gov Fnd Exp'!BJ333</f>
        <v>0</v>
      </c>
      <c r="BT333" s="20">
        <f t="shared" si="27"/>
        <v>0</v>
      </c>
      <c r="BU333" s="20"/>
      <c r="BV333" s="20">
        <f>BT333-'Gov Fd BS'!AA333</f>
        <v>0</v>
      </c>
    </row>
    <row r="334" spans="1:74">
      <c r="A334" s="12" t="s">
        <v>474</v>
      </c>
      <c r="B334" s="12"/>
      <c r="C334" s="12" t="s">
        <v>46</v>
      </c>
      <c r="D334" s="12"/>
      <c r="E334" s="13">
        <v>44339</v>
      </c>
      <c r="G334" s="1">
        <v>24843044</v>
      </c>
      <c r="I334" s="1">
        <v>7035328</v>
      </c>
      <c r="K334" s="1">
        <v>525945</v>
      </c>
      <c r="M334" s="1">
        <v>27005</v>
      </c>
      <c r="O334" s="1">
        <v>2337074</v>
      </c>
      <c r="Q334" s="1">
        <v>4404459</v>
      </c>
      <c r="S334" s="1">
        <v>40943</v>
      </c>
      <c r="U334" s="1">
        <v>3304145</v>
      </c>
      <c r="W334" s="1">
        <v>717354</v>
      </c>
      <c r="Y334" s="1">
        <v>400568</v>
      </c>
      <c r="AA334" s="1">
        <v>4347382</v>
      </c>
      <c r="AC334" s="1">
        <v>1209322</v>
      </c>
      <c r="AE334" s="1">
        <v>0</v>
      </c>
      <c r="AG334" s="1">
        <v>0</v>
      </c>
      <c r="AI334" s="1">
        <v>2309594</v>
      </c>
      <c r="AJ334" s="12" t="s">
        <v>474</v>
      </c>
      <c r="AK334" s="12"/>
      <c r="AL334" s="12" t="s">
        <v>46</v>
      </c>
      <c r="AN334" s="1">
        <v>802263</v>
      </c>
      <c r="AP334" s="1">
        <v>110925</v>
      </c>
      <c r="AR334" s="1">
        <v>0</v>
      </c>
      <c r="AT334" s="1">
        <v>696062</v>
      </c>
      <c r="AV334" s="1">
        <v>529955</v>
      </c>
      <c r="AX334" s="1">
        <v>0</v>
      </c>
      <c r="AZ334" s="20">
        <f t="shared" si="29"/>
        <v>53641368</v>
      </c>
      <c r="BB334" s="1">
        <v>75000</v>
      </c>
      <c r="BH334" s="1">
        <v>0</v>
      </c>
      <c r="BJ334" s="20">
        <f t="shared" si="26"/>
        <v>53716368</v>
      </c>
      <c r="BL334" s="20">
        <f>'Gov Fd Rv'!AO334-'Gov Fnd Exp'!BJ334</f>
        <v>560913</v>
      </c>
      <c r="BN334" s="1">
        <v>15224523</v>
      </c>
      <c r="BP334" s="1">
        <v>0</v>
      </c>
      <c r="BR334" s="1">
        <v>0</v>
      </c>
      <c r="BT334" s="20">
        <f t="shared" si="27"/>
        <v>15785436</v>
      </c>
      <c r="BU334" s="20"/>
      <c r="BV334" s="20">
        <f>BT334-'Gov Fd BS'!AA334</f>
        <v>0</v>
      </c>
    </row>
    <row r="335" spans="1:74" hidden="1">
      <c r="A335" s="17" t="s">
        <v>850</v>
      </c>
      <c r="B335" s="17"/>
      <c r="C335" s="17" t="s">
        <v>486</v>
      </c>
      <c r="D335" s="12"/>
      <c r="E335" s="13"/>
      <c r="AJ335" s="17" t="s">
        <v>850</v>
      </c>
      <c r="AK335" s="17"/>
      <c r="AL335" s="17" t="s">
        <v>486</v>
      </c>
      <c r="AZ335" s="20">
        <f t="shared" si="29"/>
        <v>0</v>
      </c>
      <c r="BJ335" s="20">
        <f t="shared" si="26"/>
        <v>0</v>
      </c>
      <c r="BL335" s="20">
        <f>'Gov Fd Rv'!AO335-'Gov Fnd Exp'!BJ335</f>
        <v>0</v>
      </c>
      <c r="BT335" s="20">
        <f t="shared" si="27"/>
        <v>0</v>
      </c>
      <c r="BU335" s="20"/>
      <c r="BV335" s="20">
        <f>BT335-'Gov Fd BS'!AA335</f>
        <v>0</v>
      </c>
    </row>
    <row r="336" spans="1:74">
      <c r="A336" s="12" t="s">
        <v>579</v>
      </c>
      <c r="B336" s="12"/>
      <c r="C336" s="12" t="s">
        <v>62</v>
      </c>
      <c r="D336" s="12"/>
      <c r="E336" s="13">
        <v>49882</v>
      </c>
      <c r="G336" s="1">
        <v>8724189</v>
      </c>
      <c r="I336" s="1">
        <v>2734242</v>
      </c>
      <c r="K336" s="1">
        <v>836883</v>
      </c>
      <c r="M336" s="1">
        <v>648615</v>
      </c>
      <c r="O336" s="1">
        <v>732929</v>
      </c>
      <c r="Q336" s="1">
        <v>1320616</v>
      </c>
      <c r="S336" s="1">
        <v>19647</v>
      </c>
      <c r="U336" s="1">
        <v>1758215</v>
      </c>
      <c r="W336" s="1">
        <v>535967</v>
      </c>
      <c r="Y336" s="1">
        <v>494286</v>
      </c>
      <c r="AA336" s="1">
        <v>2083921</v>
      </c>
      <c r="AC336" s="1">
        <v>1303877</v>
      </c>
      <c r="AE336" s="1">
        <v>93728</v>
      </c>
      <c r="AG336" s="1">
        <v>1002066</v>
      </c>
      <c r="AI336" s="1">
        <v>715</v>
      </c>
      <c r="AJ336" s="12" t="s">
        <v>579</v>
      </c>
      <c r="AK336" s="12"/>
      <c r="AL336" s="12" t="s">
        <v>62</v>
      </c>
      <c r="AN336" s="1">
        <v>875282</v>
      </c>
      <c r="AP336" s="1">
        <v>4000</v>
      </c>
      <c r="AR336" s="1">
        <v>0</v>
      </c>
      <c r="AT336" s="1">
        <v>118475</v>
      </c>
      <c r="AV336" s="1">
        <v>21958</v>
      </c>
      <c r="AX336" s="1">
        <v>0</v>
      </c>
      <c r="AZ336" s="20">
        <f t="shared" si="29"/>
        <v>23309611</v>
      </c>
      <c r="BB336" s="1">
        <v>285879</v>
      </c>
      <c r="BH336" s="1">
        <v>0</v>
      </c>
      <c r="BJ336" s="20">
        <f t="shared" si="26"/>
        <v>23595490</v>
      </c>
      <c r="BL336" s="20">
        <f>'Gov Fd Rv'!AO336-'Gov Fnd Exp'!BJ336</f>
        <v>1264926</v>
      </c>
      <c r="BN336" s="1">
        <v>5615583</v>
      </c>
      <c r="BP336" s="1">
        <v>-6825</v>
      </c>
      <c r="BR336" s="1">
        <v>0</v>
      </c>
      <c r="BT336" s="20">
        <f t="shared" si="27"/>
        <v>6873684</v>
      </c>
      <c r="BU336" s="20"/>
      <c r="BV336" s="20">
        <f>BT336-'Gov Fd BS'!AA336</f>
        <v>0</v>
      </c>
    </row>
    <row r="337" spans="1:74">
      <c r="A337" s="12" t="s">
        <v>221</v>
      </c>
      <c r="B337" s="12"/>
      <c r="C337" s="12" t="s">
        <v>15</v>
      </c>
      <c r="D337" s="12"/>
      <c r="E337" s="13">
        <v>44347</v>
      </c>
      <c r="G337" s="1">
        <v>6316455</v>
      </c>
      <c r="I337" s="1">
        <v>2104758</v>
      </c>
      <c r="K337" s="1">
        <v>378497</v>
      </c>
      <c r="M337" s="1">
        <v>72066</v>
      </c>
      <c r="O337" s="1">
        <v>612551</v>
      </c>
      <c r="Q337" s="1">
        <v>721439</v>
      </c>
      <c r="S337" s="1">
        <v>38219</v>
      </c>
      <c r="U337" s="1">
        <v>1180547</v>
      </c>
      <c r="W337" s="1">
        <v>311777</v>
      </c>
      <c r="Y337" s="1">
        <v>0</v>
      </c>
      <c r="AA337" s="1">
        <v>1327855</v>
      </c>
      <c r="AC337" s="1">
        <v>620939</v>
      </c>
      <c r="AE337" s="1">
        <v>78688</v>
      </c>
      <c r="AG337" s="1">
        <v>672949</v>
      </c>
      <c r="AI337" s="1">
        <v>160226</v>
      </c>
      <c r="AJ337" s="12" t="s">
        <v>221</v>
      </c>
      <c r="AK337" s="12"/>
      <c r="AL337" s="12" t="s">
        <v>15</v>
      </c>
      <c r="AN337" s="1">
        <v>311614</v>
      </c>
      <c r="AP337" s="1">
        <v>200831</v>
      </c>
      <c r="AR337" s="1">
        <v>0</v>
      </c>
      <c r="AT337" s="1">
        <v>338523</v>
      </c>
      <c r="AV337" s="1">
        <v>667713</v>
      </c>
      <c r="AX337" s="1">
        <v>0</v>
      </c>
      <c r="AZ337" s="20">
        <f t="shared" si="29"/>
        <v>16115647</v>
      </c>
      <c r="BB337" s="1">
        <v>0</v>
      </c>
      <c r="BH337" s="1">
        <v>0</v>
      </c>
      <c r="BJ337" s="20">
        <f t="shared" si="26"/>
        <v>16115647</v>
      </c>
      <c r="BL337" s="20">
        <f>'Gov Fd Rv'!AO337-'Gov Fnd Exp'!BJ337</f>
        <v>-301629</v>
      </c>
      <c r="BN337" s="1">
        <v>-902338</v>
      </c>
      <c r="BP337" s="1">
        <v>0</v>
      </c>
      <c r="BR337" s="1">
        <v>0</v>
      </c>
      <c r="BT337" s="20">
        <f t="shared" si="27"/>
        <v>-1203967</v>
      </c>
      <c r="BU337" s="20"/>
      <c r="BV337" s="20">
        <f>BT337-'Gov Fd BS'!AA337</f>
        <v>0</v>
      </c>
    </row>
    <row r="338" spans="1:74">
      <c r="A338" s="12" t="s">
        <v>626</v>
      </c>
      <c r="B338" s="12"/>
      <c r="C338" s="12" t="s">
        <v>66</v>
      </c>
      <c r="D338" s="12"/>
      <c r="E338" s="13">
        <v>45476</v>
      </c>
      <c r="G338" s="1">
        <v>28405587</v>
      </c>
      <c r="I338" s="1">
        <v>0</v>
      </c>
      <c r="K338" s="1">
        <v>0</v>
      </c>
      <c r="M338" s="1">
        <v>0</v>
      </c>
      <c r="O338" s="1">
        <v>3070355</v>
      </c>
      <c r="Q338" s="1">
        <v>4060116</v>
      </c>
      <c r="S338" s="1">
        <v>26410</v>
      </c>
      <c r="U338" s="1">
        <v>3152150</v>
      </c>
      <c r="W338" s="1">
        <v>1326303</v>
      </c>
      <c r="Y338" s="1">
        <v>882425</v>
      </c>
      <c r="AA338" s="1">
        <v>4910411</v>
      </c>
      <c r="AC338" s="1">
        <v>2277014</v>
      </c>
      <c r="AE338" s="1">
        <v>869848</v>
      </c>
      <c r="AG338" s="1">
        <v>0</v>
      </c>
      <c r="AI338" s="1">
        <v>102513</v>
      </c>
      <c r="AJ338" s="12" t="s">
        <v>626</v>
      </c>
      <c r="AK338" s="12"/>
      <c r="AL338" s="12" t="s">
        <v>66</v>
      </c>
      <c r="AN338" s="1">
        <v>1090208</v>
      </c>
      <c r="AP338" s="1">
        <v>1096303</v>
      </c>
      <c r="AR338" s="1">
        <v>0</v>
      </c>
      <c r="AT338" s="1">
        <v>4295000</v>
      </c>
      <c r="AV338" s="1">
        <v>4217291</v>
      </c>
      <c r="AX338" s="1">
        <v>0</v>
      </c>
      <c r="AZ338" s="20">
        <f t="shared" si="29"/>
        <v>59781934</v>
      </c>
      <c r="BB338" s="1">
        <v>74712</v>
      </c>
      <c r="BH338" s="1">
        <v>0</v>
      </c>
      <c r="BJ338" s="20">
        <f t="shared" si="26"/>
        <v>59856646</v>
      </c>
      <c r="BL338" s="20">
        <f>'Gov Fd Rv'!AO338-'Gov Fnd Exp'!BJ338</f>
        <v>1632060</v>
      </c>
      <c r="BN338" s="1">
        <v>5701232</v>
      </c>
      <c r="BP338" s="1">
        <v>0</v>
      </c>
      <c r="BR338" s="1">
        <v>0</v>
      </c>
      <c r="BT338" s="20">
        <f t="shared" si="27"/>
        <v>7333292</v>
      </c>
      <c r="BU338" s="20"/>
      <c r="BV338" s="20">
        <f>BT338-'Gov Fd BS'!AA338</f>
        <v>0</v>
      </c>
    </row>
    <row r="339" spans="1:74">
      <c r="A339" s="12" t="s">
        <v>635</v>
      </c>
      <c r="B339" s="12"/>
      <c r="C339" s="12" t="s">
        <v>69</v>
      </c>
      <c r="D339" s="12"/>
      <c r="E339" s="13">
        <v>50450</v>
      </c>
      <c r="G339" s="1">
        <v>46241514</v>
      </c>
      <c r="I339" s="1">
        <v>12147873</v>
      </c>
      <c r="K339" s="1">
        <v>8082</v>
      </c>
      <c r="M339" s="1">
        <v>745660</v>
      </c>
      <c r="O339" s="1">
        <v>6444095</v>
      </c>
      <c r="Q339" s="1">
        <v>7355141</v>
      </c>
      <c r="S339" s="1">
        <v>46528</v>
      </c>
      <c r="U339" s="1">
        <v>5568335</v>
      </c>
      <c r="W339" s="1">
        <v>1943552</v>
      </c>
      <c r="Y339" s="1">
        <v>411529</v>
      </c>
      <c r="AA339" s="1">
        <v>11557719</v>
      </c>
      <c r="AC339" s="1">
        <v>7611602</v>
      </c>
      <c r="AE339" s="1">
        <v>4254192</v>
      </c>
      <c r="AG339" s="1">
        <v>0</v>
      </c>
      <c r="AI339" s="1">
        <v>5664258</v>
      </c>
      <c r="AJ339" s="12" t="s">
        <v>635</v>
      </c>
      <c r="AK339" s="12"/>
      <c r="AL339" s="12" t="s">
        <v>69</v>
      </c>
      <c r="AN339" s="1">
        <v>2660674</v>
      </c>
      <c r="AP339" s="1">
        <v>4257718</v>
      </c>
      <c r="AR339" s="1">
        <v>0</v>
      </c>
      <c r="AT339" s="1">
        <v>6949000</v>
      </c>
      <c r="AV339" s="1">
        <v>6945574</v>
      </c>
      <c r="AX339" s="1">
        <v>0</v>
      </c>
      <c r="AZ339" s="20">
        <f t="shared" si="29"/>
        <v>130813046</v>
      </c>
      <c r="BB339" s="1">
        <v>18513505</v>
      </c>
      <c r="BH339" s="1">
        <v>0</v>
      </c>
      <c r="BJ339" s="20">
        <f t="shared" si="26"/>
        <v>149326551</v>
      </c>
      <c r="BL339" s="20">
        <f>'Gov Fd Rv'!AO339-'Gov Fnd Exp'!BJ339</f>
        <v>-6644045</v>
      </c>
      <c r="BN339" s="1">
        <v>61220229</v>
      </c>
      <c r="BP339" s="1">
        <v>0</v>
      </c>
      <c r="BR339" s="1">
        <v>0</v>
      </c>
      <c r="BT339" s="20">
        <f t="shared" si="27"/>
        <v>54576184</v>
      </c>
      <c r="BU339" s="20"/>
      <c r="BV339" s="20">
        <f>BT339-'Gov Fd BS'!AA339</f>
        <v>0</v>
      </c>
    </row>
    <row r="340" spans="1:74">
      <c r="A340" s="12" t="s">
        <v>580</v>
      </c>
      <c r="B340" s="12"/>
      <c r="C340" s="12" t="s">
        <v>62</v>
      </c>
      <c r="D340" s="12"/>
      <c r="E340" s="13">
        <v>44354</v>
      </c>
      <c r="G340" s="1">
        <v>19113488</v>
      </c>
      <c r="I340" s="1">
        <v>5395211</v>
      </c>
      <c r="K340" s="1">
        <v>1983791</v>
      </c>
      <c r="M340" s="1">
        <f>45894+304333+868797</f>
        <v>1219024</v>
      </c>
      <c r="O340" s="1">
        <v>3038988</v>
      </c>
      <c r="Q340" s="1">
        <v>1779999</v>
      </c>
      <c r="S340" s="1">
        <v>358126</v>
      </c>
      <c r="U340" s="1">
        <v>3010245</v>
      </c>
      <c r="W340" s="1">
        <v>1006265</v>
      </c>
      <c r="Y340" s="1">
        <v>12233</v>
      </c>
      <c r="AA340" s="1">
        <v>4720900</v>
      </c>
      <c r="AC340" s="1">
        <v>1915636</v>
      </c>
      <c r="AE340" s="1">
        <v>666826</v>
      </c>
      <c r="AG340" s="1">
        <v>1705030</v>
      </c>
      <c r="AI340" s="1">
        <f>295406+629</f>
        <v>296035</v>
      </c>
      <c r="AJ340" s="12" t="s">
        <v>580</v>
      </c>
      <c r="AK340" s="12"/>
      <c r="AL340" s="12" t="s">
        <v>62</v>
      </c>
      <c r="AN340" s="1">
        <v>1491345</v>
      </c>
      <c r="AP340" s="1">
        <v>300644</v>
      </c>
      <c r="AR340" s="1">
        <v>0</v>
      </c>
      <c r="AT340" s="1">
        <v>2531041</v>
      </c>
      <c r="AV340" s="1">
        <v>2131389</v>
      </c>
      <c r="AX340" s="1">
        <v>0</v>
      </c>
      <c r="AZ340" s="20">
        <f t="shared" si="29"/>
        <v>52676216</v>
      </c>
      <c r="BB340" s="1">
        <v>58678</v>
      </c>
      <c r="BH340" s="1">
        <v>0</v>
      </c>
      <c r="BJ340" s="20">
        <f t="shared" si="26"/>
        <v>52734894</v>
      </c>
      <c r="BL340" s="20">
        <f>'Gov Fd Rv'!AO340-'Gov Fnd Exp'!BJ340</f>
        <v>-1291811</v>
      </c>
      <c r="BN340" s="1">
        <v>12486790</v>
      </c>
      <c r="BP340" s="1">
        <v>0</v>
      </c>
      <c r="BR340" s="1">
        <v>0</v>
      </c>
      <c r="BT340" s="20">
        <f t="shared" si="27"/>
        <v>11194979</v>
      </c>
      <c r="BU340" s="20"/>
      <c r="BV340" s="20">
        <f>BT340-'Gov Fd BS'!AA340</f>
        <v>0</v>
      </c>
    </row>
    <row r="341" spans="1:74">
      <c r="A341" s="12"/>
      <c r="B341" s="12"/>
      <c r="C341" s="12"/>
      <c r="D341" s="12"/>
      <c r="E341" s="13"/>
      <c r="AJ341" s="12"/>
      <c r="AK341" s="12"/>
      <c r="AL341" s="12"/>
      <c r="AZ341" s="20"/>
      <c r="BJ341" s="20"/>
      <c r="BL341" s="20"/>
      <c r="BT341" s="20"/>
      <c r="BU341" s="20"/>
      <c r="BV341" s="20"/>
    </row>
    <row r="342" spans="1:74">
      <c r="A342" s="12"/>
      <c r="B342" s="12"/>
      <c r="C342" s="12"/>
      <c r="D342" s="12"/>
      <c r="E342" s="13"/>
      <c r="AI342" s="20" t="s">
        <v>709</v>
      </c>
      <c r="AJ342" s="12"/>
      <c r="AK342" s="12"/>
      <c r="AL342" s="12"/>
      <c r="AZ342" s="20"/>
      <c r="BJ342" s="20"/>
      <c r="BL342" s="20"/>
      <c r="BT342" s="20" t="s">
        <v>709</v>
      </c>
      <c r="BU342" s="20"/>
      <c r="BV342" s="20"/>
    </row>
    <row r="343" spans="1:74">
      <c r="A343" s="12"/>
      <c r="B343" s="12"/>
      <c r="C343" s="12"/>
      <c r="D343" s="12"/>
      <c r="E343" s="13"/>
      <c r="AJ343" s="12"/>
      <c r="AK343" s="12"/>
      <c r="AL343" s="12"/>
      <c r="AZ343" s="20"/>
      <c r="BJ343" s="20"/>
      <c r="BL343" s="20"/>
      <c r="BT343" s="20"/>
      <c r="BU343" s="20"/>
      <c r="BV343" s="20"/>
    </row>
    <row r="344" spans="1:74">
      <c r="A344" s="12" t="s">
        <v>612</v>
      </c>
      <c r="B344" s="12"/>
      <c r="C344" s="12" t="s">
        <v>64</v>
      </c>
      <c r="D344" s="12"/>
      <c r="E344" s="13">
        <v>50153</v>
      </c>
      <c r="G344" s="16">
        <v>4346300</v>
      </c>
      <c r="H344" s="16"/>
      <c r="I344" s="16">
        <v>1037200</v>
      </c>
      <c r="J344" s="16"/>
      <c r="K344" s="16">
        <v>70616</v>
      </c>
      <c r="L344" s="16"/>
      <c r="M344" s="16">
        <v>164438</v>
      </c>
      <c r="N344" s="16"/>
      <c r="O344" s="16">
        <v>521695</v>
      </c>
      <c r="P344" s="16"/>
      <c r="Q344" s="16">
        <v>236136</v>
      </c>
      <c r="R344" s="16"/>
      <c r="S344" s="16">
        <v>63008</v>
      </c>
      <c r="T344" s="16"/>
      <c r="U344" s="16">
        <v>758211</v>
      </c>
      <c r="V344" s="16"/>
      <c r="W344" s="16">
        <v>317706</v>
      </c>
      <c r="X344" s="16"/>
      <c r="Y344" s="16">
        <v>0</v>
      </c>
      <c r="Z344" s="16"/>
      <c r="AA344" s="16">
        <v>999649</v>
      </c>
      <c r="AB344" s="16"/>
      <c r="AC344" s="16">
        <v>509692</v>
      </c>
      <c r="AD344" s="16"/>
      <c r="AE344" s="16">
        <v>89337</v>
      </c>
      <c r="AF344" s="16"/>
      <c r="AG344" s="16">
        <v>325586</v>
      </c>
      <c r="AH344" s="16"/>
      <c r="AI344" s="16">
        <v>2644</v>
      </c>
      <c r="AJ344" s="12" t="s">
        <v>612</v>
      </c>
      <c r="AK344" s="12"/>
      <c r="AL344" s="12" t="s">
        <v>64</v>
      </c>
      <c r="AN344" s="16">
        <v>194983</v>
      </c>
      <c r="AO344" s="16"/>
      <c r="AP344" s="16">
        <v>0</v>
      </c>
      <c r="AQ344" s="16"/>
      <c r="AR344" s="16">
        <v>0</v>
      </c>
      <c r="AS344" s="16"/>
      <c r="AT344" s="16">
        <v>12961</v>
      </c>
      <c r="AU344" s="16"/>
      <c r="AV344" s="16">
        <v>0</v>
      </c>
      <c r="AW344" s="16"/>
      <c r="AX344" s="16">
        <v>0</v>
      </c>
      <c r="AY344" s="16"/>
      <c r="AZ344" s="72">
        <f t="shared" si="29"/>
        <v>9650162</v>
      </c>
      <c r="BA344" s="16"/>
      <c r="BB344" s="16">
        <v>235917</v>
      </c>
      <c r="BC344" s="16"/>
      <c r="BD344" s="16"/>
      <c r="BE344" s="16"/>
      <c r="BF344" s="16"/>
      <c r="BG344" s="16"/>
      <c r="BH344" s="16">
        <v>0</v>
      </c>
      <c r="BI344" s="16"/>
      <c r="BJ344" s="72">
        <f t="shared" si="26"/>
        <v>9886079</v>
      </c>
      <c r="BK344" s="16"/>
      <c r="BL344" s="72">
        <f>'Gov Fd Rv'!AO344-'Gov Fnd Exp'!BJ344</f>
        <v>-139986</v>
      </c>
      <c r="BM344" s="16"/>
      <c r="BN344" s="16">
        <v>852474</v>
      </c>
      <c r="BO344" s="16"/>
      <c r="BP344" s="16">
        <v>0</v>
      </c>
      <c r="BQ344" s="16"/>
      <c r="BR344" s="16">
        <v>0</v>
      </c>
      <c r="BS344" s="16"/>
      <c r="BT344" s="72">
        <f t="shared" si="27"/>
        <v>712488</v>
      </c>
      <c r="BU344" s="20"/>
      <c r="BV344" s="20">
        <f>BT344-'Gov Fd BS'!AA344</f>
        <v>0</v>
      </c>
    </row>
    <row r="345" spans="1:74">
      <c r="A345" s="12" t="s">
        <v>450</v>
      </c>
      <c r="B345" s="12"/>
      <c r="C345" s="12" t="s">
        <v>117</v>
      </c>
      <c r="D345" s="12"/>
      <c r="E345" s="13">
        <v>44362</v>
      </c>
      <c r="G345" s="1">
        <v>14317678</v>
      </c>
      <c r="I345" s="1">
        <v>3786704</v>
      </c>
      <c r="K345" s="1">
        <v>311888</v>
      </c>
      <c r="M345" s="1">
        <f>6575+734196</f>
        <v>740771</v>
      </c>
      <c r="O345" s="1">
        <v>1373928</v>
      </c>
      <c r="Q345" s="1">
        <v>860585</v>
      </c>
      <c r="S345" s="1">
        <v>39302</v>
      </c>
      <c r="U345" s="1">
        <v>2356835</v>
      </c>
      <c r="W345" s="1">
        <v>718133</v>
      </c>
      <c r="Y345" s="1">
        <v>233101</v>
      </c>
      <c r="AA345" s="1">
        <v>3034802</v>
      </c>
      <c r="AC345" s="1">
        <v>1228544</v>
      </c>
      <c r="AE345" s="1">
        <v>215054</v>
      </c>
      <c r="AG345" s="1">
        <v>912015</v>
      </c>
      <c r="AI345" s="1">
        <v>447275</v>
      </c>
      <c r="AJ345" s="12" t="s">
        <v>450</v>
      </c>
      <c r="AK345" s="12"/>
      <c r="AL345" s="12" t="s">
        <v>117</v>
      </c>
      <c r="AN345" s="1">
        <v>1055957</v>
      </c>
      <c r="AP345" s="1">
        <v>266491</v>
      </c>
      <c r="AR345" s="1">
        <v>0</v>
      </c>
      <c r="AT345" s="1">
        <v>850000</v>
      </c>
      <c r="AV345" s="1">
        <v>1697165</v>
      </c>
      <c r="AX345" s="1">
        <v>0</v>
      </c>
      <c r="AZ345" s="20">
        <f t="shared" si="29"/>
        <v>34446228</v>
      </c>
      <c r="BB345" s="1">
        <v>88352</v>
      </c>
      <c r="BH345" s="1">
        <v>0</v>
      </c>
      <c r="BJ345" s="20">
        <f t="shared" si="26"/>
        <v>34534580</v>
      </c>
      <c r="BL345" s="20">
        <f>'Gov Fd Rv'!AO345-'Gov Fnd Exp'!BJ345</f>
        <v>-350738</v>
      </c>
      <c r="BN345" s="1">
        <v>776254</v>
      </c>
      <c r="BP345" s="1">
        <v>-11190</v>
      </c>
      <c r="BR345" s="1">
        <v>0</v>
      </c>
      <c r="BT345" s="20">
        <f t="shared" si="27"/>
        <v>414326</v>
      </c>
      <c r="BU345" s="20"/>
      <c r="BV345" s="20">
        <f>BT345-'Gov Fd BS'!AA345</f>
        <v>0</v>
      </c>
    </row>
    <row r="346" spans="1:74">
      <c r="A346" s="17" t="s">
        <v>893</v>
      </c>
      <c r="B346" s="12"/>
      <c r="C346" s="12" t="s">
        <v>20</v>
      </c>
      <c r="D346" s="12"/>
      <c r="E346" s="13">
        <v>44370</v>
      </c>
      <c r="G346" s="1">
        <v>22468473</v>
      </c>
      <c r="I346" s="1">
        <v>11144720</v>
      </c>
      <c r="K346" s="1">
        <f>853517+6037557</f>
        <v>6891074</v>
      </c>
      <c r="M346" s="1">
        <f>440807+118950</f>
        <v>559757</v>
      </c>
      <c r="O346" s="1">
        <v>5200315</v>
      </c>
      <c r="Q346" s="1">
        <v>5725693</v>
      </c>
      <c r="S346" s="1">
        <v>77557</v>
      </c>
      <c r="U346" s="1">
        <v>3833719</v>
      </c>
      <c r="W346" s="1">
        <v>1970674</v>
      </c>
      <c r="Y346" s="1">
        <v>242583</v>
      </c>
      <c r="AA346" s="1">
        <v>6110185</v>
      </c>
      <c r="AC346" s="1">
        <v>4404303</v>
      </c>
      <c r="AE346" s="1">
        <v>733216</v>
      </c>
      <c r="AG346" s="1">
        <v>1308953</v>
      </c>
      <c r="AI346" s="1">
        <v>914753</v>
      </c>
      <c r="AJ346" s="17" t="s">
        <v>893</v>
      </c>
      <c r="AK346" s="12"/>
      <c r="AL346" s="12" t="s">
        <v>20</v>
      </c>
      <c r="AN346" s="1">
        <v>1435019</v>
      </c>
      <c r="AP346" s="1">
        <v>2421325</v>
      </c>
      <c r="AR346" s="1">
        <v>0</v>
      </c>
      <c r="AT346" s="1">
        <f>785239+88094</f>
        <v>873333</v>
      </c>
      <c r="AV346" s="1">
        <f>1051009+535468</f>
        <v>1586477</v>
      </c>
      <c r="AX346" s="1">
        <v>0</v>
      </c>
      <c r="AZ346" s="20">
        <f t="shared" si="29"/>
        <v>77902129</v>
      </c>
      <c r="BB346" s="1">
        <v>1550352</v>
      </c>
      <c r="BH346" s="1">
        <v>3933703</v>
      </c>
      <c r="BJ346" s="20">
        <f t="shared" si="26"/>
        <v>83386184</v>
      </c>
      <c r="BL346" s="20">
        <f>'Gov Fd Rv'!AO346-'Gov Fnd Exp'!BJ346</f>
        <v>28470446</v>
      </c>
      <c r="BN346" s="1">
        <v>25990281</v>
      </c>
      <c r="BP346" s="1">
        <v>0</v>
      </c>
      <c r="BR346" s="1">
        <v>0</v>
      </c>
      <c r="BT346" s="20">
        <f t="shared" si="27"/>
        <v>54460727</v>
      </c>
      <c r="BU346" s="20"/>
      <c r="BV346" s="20">
        <f>BT346-'Gov Fd BS'!AA346</f>
        <v>0</v>
      </c>
    </row>
    <row r="347" spans="1:74">
      <c r="A347" s="12" t="s">
        <v>513</v>
      </c>
      <c r="B347" s="12"/>
      <c r="C347" s="12" t="s">
        <v>51</v>
      </c>
      <c r="D347" s="12"/>
      <c r="E347" s="13">
        <v>48850</v>
      </c>
      <c r="G347" s="1">
        <v>9764917</v>
      </c>
      <c r="I347" s="1">
        <v>2105634</v>
      </c>
      <c r="K347" s="1">
        <v>67204</v>
      </c>
      <c r="M347" s="1">
        <v>224748</v>
      </c>
      <c r="O347" s="1">
        <v>894080</v>
      </c>
      <c r="Q347" s="1">
        <v>1640159</v>
      </c>
      <c r="S347" s="1">
        <v>26969</v>
      </c>
      <c r="U347" s="1">
        <v>1910680</v>
      </c>
      <c r="W347" s="1">
        <v>393988</v>
      </c>
      <c r="Y347" s="1">
        <v>0</v>
      </c>
      <c r="AA347" s="1">
        <v>2298000</v>
      </c>
      <c r="AC347" s="1">
        <v>1075023</v>
      </c>
      <c r="AE347" s="1">
        <v>73249</v>
      </c>
      <c r="AG347" s="1">
        <v>905196</v>
      </c>
      <c r="AI347" s="1">
        <v>20742</v>
      </c>
      <c r="AJ347" s="12" t="s">
        <v>513</v>
      </c>
      <c r="AK347" s="12"/>
      <c r="AL347" s="12" t="s">
        <v>51</v>
      </c>
      <c r="AN347" s="1">
        <v>591387</v>
      </c>
      <c r="AP347" s="1">
        <v>140837</v>
      </c>
      <c r="AR347" s="1">
        <v>0</v>
      </c>
      <c r="AT347" s="1">
        <v>351303</v>
      </c>
      <c r="AV347" s="1">
        <v>252115</v>
      </c>
      <c r="AX347" s="1">
        <v>0</v>
      </c>
      <c r="AZ347" s="20">
        <f t="shared" si="29"/>
        <v>22736231</v>
      </c>
      <c r="BB347" s="1">
        <v>300000</v>
      </c>
      <c r="BH347" s="1">
        <v>0</v>
      </c>
      <c r="BJ347" s="20">
        <f t="shared" si="26"/>
        <v>23036231</v>
      </c>
      <c r="BL347" s="20">
        <f>'Gov Fd Rv'!AO347-'Gov Fnd Exp'!BJ347</f>
        <v>-512716</v>
      </c>
      <c r="BN347" s="1">
        <v>4081223</v>
      </c>
      <c r="BP347" s="1">
        <v>0</v>
      </c>
      <c r="BR347" s="1">
        <v>0</v>
      </c>
      <c r="BT347" s="20">
        <f t="shared" si="27"/>
        <v>3568507</v>
      </c>
      <c r="BU347" s="20"/>
      <c r="BV347" s="20">
        <f>BT347-'Gov Fd BS'!AA347</f>
        <v>0</v>
      </c>
    </row>
    <row r="348" spans="1:74" hidden="1">
      <c r="A348" s="17" t="s">
        <v>783</v>
      </c>
      <c r="B348" s="12"/>
      <c r="C348" s="12" t="s">
        <v>33</v>
      </c>
      <c r="D348" s="12"/>
      <c r="E348" s="13">
        <v>47456</v>
      </c>
      <c r="AJ348" s="17" t="s">
        <v>783</v>
      </c>
      <c r="AK348" s="12"/>
      <c r="AL348" s="12" t="s">
        <v>33</v>
      </c>
      <c r="AZ348" s="20">
        <f t="shared" si="29"/>
        <v>0</v>
      </c>
      <c r="BJ348" s="20">
        <f>AZ348+BB348+BH348+BD348</f>
        <v>0</v>
      </c>
      <c r="BL348" s="20">
        <f>'Gov Fd Rv'!AO348-'Gov Fnd Exp'!BJ348</f>
        <v>0</v>
      </c>
      <c r="BT348" s="20">
        <f t="shared" si="27"/>
        <v>0</v>
      </c>
      <c r="BU348" s="20"/>
      <c r="BV348" s="20">
        <f>BT348-'Gov Fd BS'!AA348</f>
        <v>0</v>
      </c>
    </row>
    <row r="349" spans="1:74">
      <c r="A349" s="12" t="s">
        <v>780</v>
      </c>
      <c r="B349" s="12"/>
      <c r="C349" s="12" t="s">
        <v>64</v>
      </c>
      <c r="D349" s="12"/>
      <c r="E349" s="13">
        <v>50229</v>
      </c>
      <c r="G349" s="1">
        <v>3772184</v>
      </c>
      <c r="I349" s="1">
        <v>634097</v>
      </c>
      <c r="K349" s="1">
        <v>50304</v>
      </c>
      <c r="M349" s="1">
        <v>0</v>
      </c>
      <c r="O349" s="1">
        <v>403825</v>
      </c>
      <c r="Q349" s="1">
        <v>74670</v>
      </c>
      <c r="S349" s="1">
        <v>22332</v>
      </c>
      <c r="U349" s="1">
        <v>490850</v>
      </c>
      <c r="W349" s="1">
        <v>314433</v>
      </c>
      <c r="Y349" s="1">
        <v>0</v>
      </c>
      <c r="AA349" s="1">
        <v>672610</v>
      </c>
      <c r="AC349" s="1">
        <v>130042</v>
      </c>
      <c r="AE349" s="1">
        <v>24046</v>
      </c>
      <c r="AG349" s="1">
        <v>115458</v>
      </c>
      <c r="AI349" s="1">
        <v>0</v>
      </c>
      <c r="AJ349" s="12" t="s">
        <v>613</v>
      </c>
      <c r="AK349" s="12"/>
      <c r="AL349" s="12" t="s">
        <v>64</v>
      </c>
      <c r="AN349" s="1">
        <v>219790</v>
      </c>
      <c r="AP349" s="1">
        <v>0</v>
      </c>
      <c r="AR349" s="1">
        <v>0</v>
      </c>
      <c r="AT349" s="1">
        <v>132135</v>
      </c>
      <c r="AV349" s="1">
        <v>85071</v>
      </c>
      <c r="AX349" s="1">
        <v>0</v>
      </c>
      <c r="AZ349" s="20">
        <f t="shared" si="29"/>
        <v>7141847</v>
      </c>
      <c r="BB349" s="1">
        <v>0</v>
      </c>
      <c r="BH349" s="1">
        <v>0</v>
      </c>
      <c r="BJ349" s="20">
        <f t="shared" si="26"/>
        <v>7141847</v>
      </c>
      <c r="BL349" s="20">
        <f>'Gov Fd Rv'!AO349-'Gov Fnd Exp'!BJ349</f>
        <v>98307</v>
      </c>
      <c r="BN349" s="1">
        <v>-2471650</v>
      </c>
      <c r="BP349" s="1">
        <v>0</v>
      </c>
      <c r="BR349" s="1">
        <v>0</v>
      </c>
      <c r="BT349" s="20">
        <f t="shared" si="27"/>
        <v>-2373343</v>
      </c>
      <c r="BU349" s="20"/>
      <c r="BV349" s="20">
        <f>BT349-'Gov Fd BS'!AA349</f>
        <v>0</v>
      </c>
    </row>
    <row r="350" spans="1:74">
      <c r="A350" s="12" t="s">
        <v>241</v>
      </c>
      <c r="B350" s="12"/>
      <c r="C350" s="12" t="s">
        <v>240</v>
      </c>
      <c r="D350" s="12"/>
      <c r="E350" s="13">
        <v>45484</v>
      </c>
      <c r="G350" s="1">
        <v>4354660</v>
      </c>
      <c r="I350" s="1">
        <v>1443918</v>
      </c>
      <c r="K350" s="1">
        <v>163560</v>
      </c>
      <c r="M350" s="1">
        <v>0</v>
      </c>
      <c r="O350" s="1">
        <v>369573</v>
      </c>
      <c r="Q350" s="1">
        <v>461219</v>
      </c>
      <c r="S350" s="1">
        <v>66657</v>
      </c>
      <c r="U350" s="1">
        <v>896492</v>
      </c>
      <c r="W350" s="1">
        <v>314358</v>
      </c>
      <c r="Y350" s="1">
        <v>0</v>
      </c>
      <c r="AA350" s="1">
        <v>1213861</v>
      </c>
      <c r="AC350" s="1">
        <v>794317</v>
      </c>
      <c r="AE350" s="1">
        <v>157870</v>
      </c>
      <c r="AG350" s="1">
        <v>249152</v>
      </c>
      <c r="AI350" s="1">
        <v>6427</v>
      </c>
      <c r="AJ350" s="12" t="s">
        <v>241</v>
      </c>
      <c r="AK350" s="12"/>
      <c r="AL350" s="12" t="s">
        <v>240</v>
      </c>
      <c r="AN350" s="1">
        <v>294691</v>
      </c>
      <c r="AP350" s="1">
        <v>69304</v>
      </c>
      <c r="AR350" s="1">
        <v>0</v>
      </c>
      <c r="AT350" s="1">
        <v>239206</v>
      </c>
      <c r="AV350" s="1">
        <v>313668</v>
      </c>
      <c r="AX350" s="1">
        <v>0</v>
      </c>
      <c r="AZ350" s="20">
        <f t="shared" si="29"/>
        <v>11408933</v>
      </c>
      <c r="BB350" s="1">
        <v>39204</v>
      </c>
      <c r="BH350" s="1">
        <v>0</v>
      </c>
      <c r="BJ350" s="20">
        <f t="shared" si="26"/>
        <v>11448137</v>
      </c>
      <c r="BL350" s="20">
        <f>'Gov Fd Rv'!AO350-'Gov Fnd Exp'!BJ350</f>
        <v>-892292</v>
      </c>
      <c r="BN350" s="1">
        <v>2612710</v>
      </c>
      <c r="BP350" s="1">
        <v>0</v>
      </c>
      <c r="BR350" s="1">
        <v>0</v>
      </c>
      <c r="BT350" s="20">
        <f t="shared" si="27"/>
        <v>1720418</v>
      </c>
      <c r="BU350" s="20"/>
      <c r="BV350" s="20">
        <f>BT350-'Gov Fd BS'!AA350</f>
        <v>0</v>
      </c>
    </row>
    <row r="351" spans="1:74">
      <c r="A351" s="12" t="s">
        <v>482</v>
      </c>
      <c r="B351" s="12"/>
      <c r="C351" s="12" t="s">
        <v>47</v>
      </c>
      <c r="D351" s="12"/>
      <c r="E351" s="13">
        <v>44388</v>
      </c>
      <c r="G351" s="1">
        <v>40722369</v>
      </c>
      <c r="I351" s="1">
        <v>9388438</v>
      </c>
      <c r="K351" s="1">
        <v>555315</v>
      </c>
      <c r="M351" s="1">
        <v>176667</v>
      </c>
      <c r="O351" s="1">
        <v>5329477</v>
      </c>
      <c r="Q351" s="1">
        <v>5287886</v>
      </c>
      <c r="S351" s="1">
        <v>38526</v>
      </c>
      <c r="U351" s="1">
        <v>5340461</v>
      </c>
      <c r="W351" s="1">
        <v>1312446</v>
      </c>
      <c r="Y351" s="1">
        <v>521036</v>
      </c>
      <c r="AA351" s="1">
        <v>8406180</v>
      </c>
      <c r="AC351" s="1">
        <v>3072311</v>
      </c>
      <c r="AE351" s="1">
        <v>442770</v>
      </c>
      <c r="AG351" s="1">
        <v>2321737</v>
      </c>
      <c r="AI351" s="1">
        <v>551705</v>
      </c>
      <c r="AJ351" s="12" t="s">
        <v>482</v>
      </c>
      <c r="AK351" s="12"/>
      <c r="AL351" s="12" t="s">
        <v>47</v>
      </c>
      <c r="AN351" s="1">
        <v>2148753</v>
      </c>
      <c r="AP351" s="1">
        <v>3446502</v>
      </c>
      <c r="AR351" s="1">
        <v>0</v>
      </c>
      <c r="AT351" s="1">
        <v>4381952</v>
      </c>
      <c r="AV351" s="1">
        <f>4391833+866190</f>
        <v>5258023</v>
      </c>
      <c r="AX351" s="1">
        <v>0</v>
      </c>
      <c r="AZ351" s="20">
        <f t="shared" si="29"/>
        <v>98702554</v>
      </c>
      <c r="BB351" s="1">
        <v>406630</v>
      </c>
      <c r="BH351" s="1">
        <v>0</v>
      </c>
      <c r="BJ351" s="20">
        <f t="shared" si="26"/>
        <v>99109184</v>
      </c>
      <c r="BL351" s="20">
        <f>'Gov Fd Rv'!AO351-'Gov Fnd Exp'!BJ351</f>
        <v>-6057313</v>
      </c>
      <c r="BN351" s="1">
        <v>26899416</v>
      </c>
      <c r="BP351" s="1">
        <v>0</v>
      </c>
      <c r="BR351" s="1">
        <v>0</v>
      </c>
      <c r="BT351" s="20">
        <f t="shared" si="27"/>
        <v>20842103</v>
      </c>
      <c r="BU351" s="20"/>
      <c r="BV351" s="20">
        <f>BT351-'Gov Fd BS'!AA351</f>
        <v>0</v>
      </c>
    </row>
    <row r="352" spans="1:74">
      <c r="A352" s="12" t="s">
        <v>485</v>
      </c>
      <c r="B352" s="12"/>
      <c r="C352" s="12" t="s">
        <v>484</v>
      </c>
      <c r="D352" s="12"/>
      <c r="E352" s="13">
        <v>48520</v>
      </c>
      <c r="G352" s="1">
        <v>6851316</v>
      </c>
      <c r="I352" s="1">
        <v>2725710</v>
      </c>
      <c r="K352" s="1">
        <v>1409099</v>
      </c>
      <c r="M352" s="1">
        <f>6500+61931+2031443</f>
        <v>2099874</v>
      </c>
      <c r="O352" s="1">
        <v>632439</v>
      </c>
      <c r="Q352" s="1">
        <v>802455</v>
      </c>
      <c r="S352" s="1">
        <v>50528</v>
      </c>
      <c r="U352" s="1">
        <v>1838078</v>
      </c>
      <c r="W352" s="1">
        <v>490021</v>
      </c>
      <c r="Y352" s="1">
        <v>0</v>
      </c>
      <c r="AA352" s="1">
        <v>1789892</v>
      </c>
      <c r="AC352" s="1">
        <v>1579694</v>
      </c>
      <c r="AE352" s="1">
        <v>43938</v>
      </c>
      <c r="AG352" s="1">
        <v>0</v>
      </c>
      <c r="AI352" s="1">
        <v>1143007</v>
      </c>
      <c r="AJ352" s="12" t="s">
        <v>485</v>
      </c>
      <c r="AK352" s="12"/>
      <c r="AL352" s="12" t="s">
        <v>484</v>
      </c>
      <c r="AN352" s="1">
        <v>293106</v>
      </c>
      <c r="AP352" s="1">
        <v>496789</v>
      </c>
      <c r="AR352" s="1">
        <v>0</v>
      </c>
      <c r="AT352" s="1">
        <v>395727</v>
      </c>
      <c r="AV352" s="1">
        <v>258139</v>
      </c>
      <c r="AX352" s="1">
        <v>0</v>
      </c>
      <c r="AZ352" s="20">
        <f t="shared" si="29"/>
        <v>22899812</v>
      </c>
      <c r="BB352" s="1">
        <v>55000</v>
      </c>
      <c r="BH352" s="1">
        <v>0</v>
      </c>
      <c r="BJ352" s="20">
        <f t="shared" si="26"/>
        <v>22954812</v>
      </c>
      <c r="BL352" s="20">
        <f>'Gov Fd Rv'!AO352-'Gov Fnd Exp'!BJ352</f>
        <v>370065</v>
      </c>
      <c r="BN352" s="1">
        <v>401</v>
      </c>
      <c r="BP352" s="1">
        <v>0</v>
      </c>
      <c r="BR352" s="1">
        <v>0</v>
      </c>
      <c r="BT352" s="20">
        <f t="shared" si="27"/>
        <v>370466</v>
      </c>
      <c r="BU352" s="20"/>
      <c r="BV352" s="20">
        <f>BT352-'Gov Fd BS'!AA352</f>
        <v>0</v>
      </c>
    </row>
    <row r="353" spans="1:74">
      <c r="A353" s="12" t="s">
        <v>416</v>
      </c>
      <c r="B353" s="12"/>
      <c r="C353" s="12" t="s">
        <v>41</v>
      </c>
      <c r="D353" s="12"/>
      <c r="E353" s="13">
        <v>45492</v>
      </c>
      <c r="G353" s="1">
        <v>45248495</v>
      </c>
      <c r="I353" s="1">
        <v>12735967</v>
      </c>
      <c r="K353" s="1">
        <v>2115669</v>
      </c>
      <c r="M353" s="1">
        <v>234632</v>
      </c>
      <c r="O353" s="1">
        <v>6987108</v>
      </c>
      <c r="Q353" s="1">
        <v>5528938</v>
      </c>
      <c r="S353" s="1">
        <v>603120</v>
      </c>
      <c r="U353" s="1">
        <v>5863641</v>
      </c>
      <c r="W353" s="1">
        <v>2183528</v>
      </c>
      <c r="Y353" s="1">
        <v>672979</v>
      </c>
      <c r="AA353" s="1">
        <v>10462819</v>
      </c>
      <c r="AC353" s="1">
        <v>6078092</v>
      </c>
      <c r="AE353" s="1">
        <v>2105387</v>
      </c>
      <c r="AG353" s="1">
        <v>2349998</v>
      </c>
      <c r="AI353" s="1">
        <v>1487659</v>
      </c>
      <c r="AJ353" s="12" t="s">
        <v>416</v>
      </c>
      <c r="AK353" s="12"/>
      <c r="AL353" s="12" t="s">
        <v>41</v>
      </c>
      <c r="AN353" s="1">
        <v>1886480</v>
      </c>
      <c r="AP353" s="1">
        <v>0</v>
      </c>
      <c r="AR353" s="1">
        <v>0</v>
      </c>
      <c r="AT353" s="1">
        <v>2312205</v>
      </c>
      <c r="AV353" s="1">
        <v>222884</v>
      </c>
      <c r="AX353" s="1">
        <v>0</v>
      </c>
      <c r="AZ353" s="20">
        <f t="shared" si="29"/>
        <v>109079601</v>
      </c>
      <c r="BB353" s="1">
        <v>1824762</v>
      </c>
      <c r="BH353" s="1">
        <v>0</v>
      </c>
      <c r="BJ353" s="20">
        <f t="shared" si="26"/>
        <v>110904363</v>
      </c>
      <c r="BL353" s="20">
        <f>'Gov Fd Rv'!AO353-'Gov Fnd Exp'!BJ353</f>
        <v>6883649</v>
      </c>
      <c r="BN353" s="1">
        <v>44479609</v>
      </c>
      <c r="BP353" s="1">
        <v>0</v>
      </c>
      <c r="BR353" s="1">
        <v>0</v>
      </c>
      <c r="BT353" s="20">
        <f t="shared" si="27"/>
        <v>51363258</v>
      </c>
      <c r="BU353" s="20"/>
      <c r="BV353" s="20">
        <f>BT353-'Gov Fd BS'!AA353</f>
        <v>0</v>
      </c>
    </row>
    <row r="354" spans="1:74">
      <c r="A354" s="12" t="s">
        <v>488</v>
      </c>
      <c r="B354" s="12"/>
      <c r="C354" s="12" t="s">
        <v>48</v>
      </c>
      <c r="D354" s="12"/>
      <c r="E354" s="13">
        <v>48629</v>
      </c>
      <c r="G354" s="1">
        <v>5960849</v>
      </c>
      <c r="I354" s="1">
        <v>1080956</v>
      </c>
      <c r="K354" s="1">
        <v>125880</v>
      </c>
      <c r="M354" s="1">
        <v>20225</v>
      </c>
      <c r="O354" s="1">
        <v>638329</v>
      </c>
      <c r="Q354" s="1">
        <v>294753</v>
      </c>
      <c r="S354" s="1">
        <v>82412</v>
      </c>
      <c r="U354" s="1">
        <v>840113</v>
      </c>
      <c r="W354" s="1">
        <v>379749</v>
      </c>
      <c r="Y354" s="1">
        <v>45757</v>
      </c>
      <c r="AA354" s="1">
        <v>985526</v>
      </c>
      <c r="AC354" s="1">
        <v>842305</v>
      </c>
      <c r="AE354" s="1">
        <v>278125</v>
      </c>
      <c r="AG354" s="1">
        <v>0</v>
      </c>
      <c r="AI354" s="1">
        <v>402531</v>
      </c>
      <c r="AJ354" s="12" t="s">
        <v>488</v>
      </c>
      <c r="AK354" s="12"/>
      <c r="AL354" s="12" t="s">
        <v>48</v>
      </c>
      <c r="AN354" s="1">
        <v>366032</v>
      </c>
      <c r="AP354" s="1">
        <v>3750180</v>
      </c>
      <c r="AR354" s="1">
        <v>0</v>
      </c>
      <c r="AT354" s="1">
        <v>141793</v>
      </c>
      <c r="AV354" s="1">
        <f>710008+288207</f>
        <v>998215</v>
      </c>
      <c r="AX354" s="1">
        <v>0</v>
      </c>
      <c r="AZ354" s="20">
        <f t="shared" si="29"/>
        <v>17233730</v>
      </c>
      <c r="BB354" s="1">
        <v>7147118</v>
      </c>
      <c r="BH354" s="1">
        <v>0</v>
      </c>
      <c r="BJ354" s="20">
        <f t="shared" si="26"/>
        <v>24380848</v>
      </c>
      <c r="BL354" s="20">
        <f>'Gov Fd Rv'!AO354-'Gov Fnd Exp'!BJ354</f>
        <v>6730435</v>
      </c>
      <c r="BN354" s="1">
        <v>9229309</v>
      </c>
      <c r="BP354" s="1">
        <v>0</v>
      </c>
      <c r="BR354" s="1">
        <v>0</v>
      </c>
      <c r="BT354" s="20">
        <f t="shared" si="27"/>
        <v>15959744</v>
      </c>
      <c r="BU354" s="20"/>
      <c r="BV354" s="20">
        <f>BT354-'Gov Fd BS'!AA354</f>
        <v>0</v>
      </c>
    </row>
    <row r="355" spans="1:74">
      <c r="A355" s="12" t="s">
        <v>327</v>
      </c>
      <c r="B355" s="12"/>
      <c r="C355" s="12" t="s">
        <v>26</v>
      </c>
      <c r="D355" s="12"/>
      <c r="E355" s="13">
        <v>46920</v>
      </c>
      <c r="G355" s="1">
        <v>8793553</v>
      </c>
      <c r="I355" s="1">
        <v>2221780</v>
      </c>
      <c r="K355" s="1">
        <v>402856</v>
      </c>
      <c r="M355" s="1">
        <v>1887273</v>
      </c>
      <c r="O355" s="1">
        <v>1275189</v>
      </c>
      <c r="Q355" s="1">
        <v>1645358</v>
      </c>
      <c r="S355" s="1">
        <v>28608</v>
      </c>
      <c r="U355" s="1">
        <v>2087370</v>
      </c>
      <c r="W355" s="1">
        <v>709798</v>
      </c>
      <c r="Y355" s="1">
        <v>112511</v>
      </c>
      <c r="AA355" s="1">
        <v>1963048</v>
      </c>
      <c r="AC355" s="1">
        <v>2122441</v>
      </c>
      <c r="AE355" s="1">
        <v>142791</v>
      </c>
      <c r="AG355" s="1">
        <v>0</v>
      </c>
      <c r="AI355" s="1">
        <v>1066100</v>
      </c>
      <c r="AJ355" s="12" t="s">
        <v>327</v>
      </c>
      <c r="AK355" s="12"/>
      <c r="AL355" s="12" t="s">
        <v>26</v>
      </c>
      <c r="AN355" s="1">
        <v>532128</v>
      </c>
      <c r="AP355" s="1">
        <v>13767858</v>
      </c>
      <c r="AR355" s="1">
        <v>0</v>
      </c>
      <c r="AT355" s="1">
        <v>515000</v>
      </c>
      <c r="AV355" s="1">
        <v>1224404</v>
      </c>
      <c r="AX355" s="1">
        <v>0</v>
      </c>
      <c r="AZ355" s="20">
        <f t="shared" si="29"/>
        <v>40498066</v>
      </c>
      <c r="BB355" s="1">
        <v>2957388</v>
      </c>
      <c r="BH355" s="1">
        <v>0</v>
      </c>
      <c r="BJ355" s="20">
        <f t="shared" si="26"/>
        <v>43455454</v>
      </c>
      <c r="BL355" s="20">
        <f>'Gov Fd Rv'!AO355-'Gov Fnd Exp'!BJ355</f>
        <v>-10932442</v>
      </c>
      <c r="BN355" s="1">
        <v>33050476</v>
      </c>
      <c r="BP355" s="1">
        <v>0</v>
      </c>
      <c r="BR355" s="1">
        <v>0</v>
      </c>
      <c r="BT355" s="20">
        <f t="shared" si="27"/>
        <v>22118034</v>
      </c>
      <c r="BU355" s="20"/>
      <c r="BV355" s="20">
        <f>BT355-'Gov Fd BS'!AA355</f>
        <v>0</v>
      </c>
    </row>
    <row r="356" spans="1:74">
      <c r="A356" s="12" t="s">
        <v>501</v>
      </c>
      <c r="B356" s="12"/>
      <c r="C356" s="12" t="s">
        <v>50</v>
      </c>
      <c r="D356" s="12"/>
      <c r="E356" s="13">
        <v>44396</v>
      </c>
      <c r="G356" s="1">
        <v>24577795</v>
      </c>
      <c r="I356" s="1">
        <v>8369784</v>
      </c>
      <c r="K356" s="1">
        <v>679513</v>
      </c>
      <c r="M356" s="1">
        <v>80049</v>
      </c>
      <c r="O356" s="1">
        <v>4258897</v>
      </c>
      <c r="Q356" s="1">
        <v>1282407</v>
      </c>
      <c r="S356" s="1">
        <v>30936</v>
      </c>
      <c r="U356" s="1">
        <v>2981316</v>
      </c>
      <c r="W356" s="1">
        <v>855438</v>
      </c>
      <c r="Y356" s="1">
        <v>284682</v>
      </c>
      <c r="AA356" s="1">
        <v>4183339</v>
      </c>
      <c r="AC356" s="1">
        <v>2675856</v>
      </c>
      <c r="AE356" s="1">
        <v>656253</v>
      </c>
      <c r="AG356" s="1">
        <v>0</v>
      </c>
      <c r="AI356" s="1">
        <v>3306029</v>
      </c>
      <c r="AJ356" s="12" t="s">
        <v>501</v>
      </c>
      <c r="AK356" s="12"/>
      <c r="AL356" s="12" t="s">
        <v>50</v>
      </c>
      <c r="AN356" s="1">
        <v>768154</v>
      </c>
      <c r="AP356" s="1">
        <v>29193407</v>
      </c>
      <c r="AR356" s="1">
        <v>0</v>
      </c>
      <c r="AT356" s="1">
        <f>23380000+500000</f>
        <v>23880000</v>
      </c>
      <c r="AV356" s="1">
        <f>3992257+5192</f>
        <v>3997449</v>
      </c>
      <c r="AX356" s="1">
        <v>0</v>
      </c>
      <c r="AZ356" s="20">
        <f t="shared" si="29"/>
        <v>112061304</v>
      </c>
      <c r="BB356" s="1">
        <v>713350</v>
      </c>
      <c r="BH356" s="1">
        <v>16500000</v>
      </c>
      <c r="BJ356" s="20">
        <f t="shared" si="26"/>
        <v>129274654</v>
      </c>
      <c r="BL356" s="20">
        <f>'Gov Fd Rv'!AO356-'Gov Fnd Exp'!BJ356</f>
        <v>-53947421</v>
      </c>
      <c r="BN356" s="1">
        <v>105956754</v>
      </c>
      <c r="BP356" s="1">
        <v>0</v>
      </c>
      <c r="BR356" s="1">
        <v>0</v>
      </c>
      <c r="BT356" s="20">
        <f t="shared" si="27"/>
        <v>52009333</v>
      </c>
      <c r="BU356" s="20"/>
      <c r="BV356" s="20">
        <f>BT356-'Gov Fd BS'!AA356</f>
        <v>0</v>
      </c>
    </row>
    <row r="357" spans="1:74">
      <c r="A357" s="12" t="s">
        <v>232</v>
      </c>
      <c r="B357" s="12"/>
      <c r="C357" s="12" t="s">
        <v>227</v>
      </c>
      <c r="D357" s="12"/>
      <c r="E357" s="13">
        <v>44404</v>
      </c>
      <c r="G357" s="1">
        <v>29105376</v>
      </c>
      <c r="I357" s="1">
        <v>9237386</v>
      </c>
      <c r="K357" s="1">
        <v>61965</v>
      </c>
      <c r="M357" s="1">
        <f>543232+8868615</f>
        <v>9411847</v>
      </c>
      <c r="O357" s="1">
        <v>4825255</v>
      </c>
      <c r="Q357" s="1">
        <v>5827474</v>
      </c>
      <c r="S357" s="1">
        <v>101002</v>
      </c>
      <c r="U357" s="1">
        <v>5809833</v>
      </c>
      <c r="W357" s="1">
        <v>1417411</v>
      </c>
      <c r="Y357" s="1">
        <v>485305</v>
      </c>
      <c r="AA357" s="1">
        <v>6735701</v>
      </c>
      <c r="AC357" s="1">
        <v>3472888</v>
      </c>
      <c r="AE357" s="1">
        <v>1954306</v>
      </c>
      <c r="AG357" s="1">
        <v>2911275</v>
      </c>
      <c r="AI357" s="1">
        <v>672404</v>
      </c>
      <c r="AJ357" s="12" t="s">
        <v>232</v>
      </c>
      <c r="AK357" s="12"/>
      <c r="AL357" s="12" t="s">
        <v>227</v>
      </c>
      <c r="AN357" s="1">
        <v>977802</v>
      </c>
      <c r="AP357" s="1">
        <v>510385</v>
      </c>
      <c r="AR357" s="1">
        <v>0</v>
      </c>
      <c r="AT357" s="1">
        <v>2357860</v>
      </c>
      <c r="AV357" s="1">
        <v>3036523</v>
      </c>
      <c r="AX357" s="1">
        <v>0</v>
      </c>
      <c r="AZ357" s="20">
        <f t="shared" si="29"/>
        <v>88911998</v>
      </c>
      <c r="BB357" s="1">
        <v>699567</v>
      </c>
      <c r="BH357" s="1">
        <v>0</v>
      </c>
      <c r="BJ357" s="20">
        <f t="shared" si="26"/>
        <v>89611565</v>
      </c>
      <c r="BL357" s="20">
        <f>'Gov Fd Rv'!AO357-'Gov Fnd Exp'!BJ357</f>
        <v>-1198580</v>
      </c>
      <c r="BN357" s="1">
        <v>7360720</v>
      </c>
      <c r="BP357" s="1">
        <v>0</v>
      </c>
      <c r="BR357" s="1">
        <v>0</v>
      </c>
      <c r="BT357" s="20">
        <f t="shared" si="27"/>
        <v>6162140</v>
      </c>
      <c r="BU357" s="20"/>
      <c r="BV357" s="20">
        <f>BT357-'Gov Fd BS'!AA357</f>
        <v>0</v>
      </c>
    </row>
    <row r="358" spans="1:74">
      <c r="A358" s="12" t="s">
        <v>444</v>
      </c>
      <c r="B358" s="12"/>
      <c r="C358" s="12" t="s">
        <v>44</v>
      </c>
      <c r="D358" s="12"/>
      <c r="E358" s="13">
        <v>48173</v>
      </c>
      <c r="G358" s="1">
        <v>12363244</v>
      </c>
      <c r="I358" s="1">
        <v>3218631</v>
      </c>
      <c r="K358" s="1">
        <v>134344</v>
      </c>
      <c r="M358" s="1">
        <v>33735</v>
      </c>
      <c r="O358" s="1">
        <v>1595760</v>
      </c>
      <c r="Q358" s="1">
        <v>456453</v>
      </c>
      <c r="S358" s="1">
        <v>946555</v>
      </c>
      <c r="U358" s="1">
        <v>2539163</v>
      </c>
      <c r="W358" s="1">
        <v>659734</v>
      </c>
      <c r="Y358" s="1">
        <v>416011</v>
      </c>
      <c r="AA358" s="1">
        <v>2303380</v>
      </c>
      <c r="AC358" s="1">
        <v>1337856</v>
      </c>
      <c r="AE358" s="1">
        <v>0</v>
      </c>
      <c r="AG358" s="1">
        <v>0</v>
      </c>
      <c r="AI358" s="1">
        <v>7481</v>
      </c>
      <c r="AJ358" s="12" t="s">
        <v>444</v>
      </c>
      <c r="AK358" s="12"/>
      <c r="AL358" s="12" t="s">
        <v>44</v>
      </c>
      <c r="AN358" s="1">
        <f>39502+437906+117714</f>
        <v>595122</v>
      </c>
      <c r="AP358" s="1">
        <f>585414+176693+67461</f>
        <v>829568</v>
      </c>
      <c r="AR358" s="1">
        <v>0</v>
      </c>
      <c r="AT358" s="1">
        <v>824407</v>
      </c>
      <c r="AV358" s="1">
        <v>1392637</v>
      </c>
      <c r="AX358" s="1">
        <v>0</v>
      </c>
      <c r="AZ358" s="20">
        <f t="shared" si="29"/>
        <v>29654081</v>
      </c>
      <c r="BB358" s="1">
        <v>593316</v>
      </c>
      <c r="BH358" s="1">
        <v>0</v>
      </c>
      <c r="BJ358" s="20">
        <f t="shared" si="26"/>
        <v>30247397</v>
      </c>
      <c r="BL358" s="20">
        <f>'Gov Fd Rv'!AO358-'Gov Fnd Exp'!BJ358</f>
        <v>4617407</v>
      </c>
      <c r="BN358" s="1">
        <v>6592367</v>
      </c>
      <c r="BP358" s="1">
        <v>0</v>
      </c>
      <c r="BR358" s="1">
        <v>0</v>
      </c>
      <c r="BT358" s="20">
        <f t="shared" si="27"/>
        <v>11209774</v>
      </c>
      <c r="BU358" s="20"/>
      <c r="BV358" s="20">
        <f>BT358-'Gov Fd BS'!AA358</f>
        <v>0</v>
      </c>
    </row>
    <row r="359" spans="1:74">
      <c r="A359" s="12" t="s">
        <v>255</v>
      </c>
      <c r="B359" s="12"/>
      <c r="C359" s="12" t="s">
        <v>115</v>
      </c>
      <c r="D359" s="12"/>
      <c r="E359" s="13">
        <v>45500</v>
      </c>
      <c r="G359" s="1">
        <v>27594529</v>
      </c>
      <c r="I359" s="1">
        <v>6568678</v>
      </c>
      <c r="K359" s="1">
        <v>305266</v>
      </c>
      <c r="M359" s="1">
        <v>1305555</v>
      </c>
      <c r="O359" s="1">
        <v>2746368</v>
      </c>
      <c r="Q359" s="1">
        <v>3699786</v>
      </c>
      <c r="S359" s="1">
        <v>92912</v>
      </c>
      <c r="U359" s="1">
        <v>3029858</v>
      </c>
      <c r="W359" s="1">
        <v>1360908</v>
      </c>
      <c r="Y359" s="1">
        <v>406174</v>
      </c>
      <c r="AA359" s="1">
        <v>5557411</v>
      </c>
      <c r="AC359" s="1">
        <v>5378982</v>
      </c>
      <c r="AE359" s="1">
        <v>844600</v>
      </c>
      <c r="AG359" s="1">
        <v>0</v>
      </c>
      <c r="AI359" s="1">
        <v>4603739</v>
      </c>
      <c r="AJ359" s="12" t="s">
        <v>255</v>
      </c>
      <c r="AK359" s="12"/>
      <c r="AL359" s="12" t="s">
        <v>115</v>
      </c>
      <c r="AN359" s="1">
        <v>1302539</v>
      </c>
      <c r="AP359" s="1">
        <v>19873322</v>
      </c>
      <c r="AR359" s="1">
        <v>0</v>
      </c>
      <c r="AT359" s="1">
        <v>655715</v>
      </c>
      <c r="AV359" s="1">
        <v>3246936</v>
      </c>
      <c r="AX359" s="1">
        <v>0</v>
      </c>
      <c r="AZ359" s="20">
        <f t="shared" si="29"/>
        <v>88573278</v>
      </c>
      <c r="BB359" s="1">
        <v>15298</v>
      </c>
      <c r="BH359" s="1">
        <v>0</v>
      </c>
      <c r="BJ359" s="20">
        <f t="shared" si="26"/>
        <v>88588576</v>
      </c>
      <c r="BL359" s="20">
        <f>'Gov Fd Rv'!AO359-'Gov Fnd Exp'!BJ359</f>
        <v>-14801193</v>
      </c>
      <c r="BN359" s="1">
        <v>30582482</v>
      </c>
      <c r="BP359" s="1">
        <v>0</v>
      </c>
      <c r="BR359" s="1">
        <v>0</v>
      </c>
      <c r="BT359" s="20">
        <f t="shared" si="27"/>
        <v>15781289</v>
      </c>
      <c r="BU359" s="20"/>
      <c r="BV359" s="20">
        <f>BT359-'Gov Fd BS'!AA359</f>
        <v>0</v>
      </c>
    </row>
    <row r="360" spans="1:74" hidden="1">
      <c r="A360" s="17" t="s">
        <v>734</v>
      </c>
      <c r="B360" s="12"/>
      <c r="C360" s="12" t="s">
        <v>643</v>
      </c>
      <c r="D360" s="12"/>
      <c r="E360" s="13">
        <v>50633</v>
      </c>
      <c r="AJ360" s="17" t="s">
        <v>734</v>
      </c>
      <c r="AK360" s="12"/>
      <c r="AL360" s="12" t="s">
        <v>643</v>
      </c>
      <c r="AZ360" s="20">
        <f t="shared" si="29"/>
        <v>0</v>
      </c>
      <c r="BJ360" s="20">
        <f t="shared" si="26"/>
        <v>0</v>
      </c>
      <c r="BL360" s="20">
        <f>'Gov Fd Rv'!AO360-'Gov Fnd Exp'!BJ360</f>
        <v>0</v>
      </c>
      <c r="BT360" s="20">
        <f t="shared" si="27"/>
        <v>0</v>
      </c>
      <c r="BU360" s="20"/>
      <c r="BV360" s="20">
        <f>BT360-'Gov Fd BS'!AA360</f>
        <v>0</v>
      </c>
    </row>
    <row r="361" spans="1:74" hidden="1">
      <c r="A361" s="12" t="s">
        <v>851</v>
      </c>
      <c r="B361" s="12"/>
      <c r="C361" s="12" t="s">
        <v>542</v>
      </c>
      <c r="D361" s="12"/>
      <c r="E361" s="13">
        <v>49361</v>
      </c>
      <c r="AJ361" s="12" t="s">
        <v>851</v>
      </c>
      <c r="AK361" s="12"/>
      <c r="AL361" s="12" t="s">
        <v>542</v>
      </c>
      <c r="AZ361" s="20">
        <f t="shared" si="29"/>
        <v>0</v>
      </c>
      <c r="BJ361" s="20">
        <f t="shared" si="26"/>
        <v>0</v>
      </c>
      <c r="BL361" s="20">
        <f>'Gov Fd Rv'!AO361-'Gov Fnd Exp'!BJ361</f>
        <v>0</v>
      </c>
      <c r="BT361" s="20">
        <f t="shared" si="27"/>
        <v>0</v>
      </c>
      <c r="BU361" s="20"/>
      <c r="BV361" s="20">
        <f>BT361-'Gov Fd BS'!AA361</f>
        <v>0</v>
      </c>
    </row>
    <row r="362" spans="1:74">
      <c r="A362" s="12" t="s">
        <v>489</v>
      </c>
      <c r="B362" s="12"/>
      <c r="C362" s="12" t="s">
        <v>48</v>
      </c>
      <c r="D362" s="12"/>
      <c r="E362" s="13">
        <v>45518</v>
      </c>
      <c r="G362" s="1">
        <v>8754780</v>
      </c>
      <c r="I362" s="1">
        <v>0</v>
      </c>
      <c r="K362" s="1">
        <v>0</v>
      </c>
      <c r="M362" s="1">
        <v>0</v>
      </c>
      <c r="O362" s="1">
        <v>820197</v>
      </c>
      <c r="Q362" s="1">
        <v>794212</v>
      </c>
      <c r="S362" s="1">
        <v>100276</v>
      </c>
      <c r="U362" s="1">
        <v>1211756</v>
      </c>
      <c r="W362" s="1">
        <v>467242</v>
      </c>
      <c r="Y362" s="1">
        <v>132804</v>
      </c>
      <c r="AA362" s="1">
        <v>938707</v>
      </c>
      <c r="AC362" s="1">
        <v>661125</v>
      </c>
      <c r="AE362" s="1">
        <v>370753</v>
      </c>
      <c r="AG362" s="1">
        <v>0</v>
      </c>
      <c r="AI362" s="1">
        <f>617408+10387</f>
        <v>627795</v>
      </c>
      <c r="AJ362" s="12" t="s">
        <v>489</v>
      </c>
      <c r="AK362" s="12"/>
      <c r="AL362" s="12" t="s">
        <v>48</v>
      </c>
      <c r="AN362" s="1">
        <v>482249</v>
      </c>
      <c r="AP362" s="1">
        <v>3461215</v>
      </c>
      <c r="AR362" s="1">
        <v>0</v>
      </c>
      <c r="AT362" s="1">
        <v>0</v>
      </c>
      <c r="AV362" s="1">
        <v>961046</v>
      </c>
      <c r="AX362" s="1">
        <v>0</v>
      </c>
      <c r="AZ362" s="20">
        <f t="shared" si="29"/>
        <v>19784157</v>
      </c>
      <c r="BB362" s="1">
        <v>1616864</v>
      </c>
      <c r="BH362" s="1">
        <v>0</v>
      </c>
      <c r="BJ362" s="20">
        <f t="shared" si="26"/>
        <v>21401021</v>
      </c>
      <c r="BL362" s="20">
        <f>'Gov Fd Rv'!AO362-'Gov Fnd Exp'!BJ362</f>
        <v>17495069</v>
      </c>
      <c r="BN362" s="1">
        <v>20795892</v>
      </c>
      <c r="BP362" s="1">
        <v>1305</v>
      </c>
      <c r="BR362" s="1">
        <v>0</v>
      </c>
      <c r="BT362" s="20">
        <f t="shared" si="27"/>
        <v>38292266</v>
      </c>
      <c r="BU362" s="20"/>
      <c r="BV362" s="20">
        <f>BT362-'Gov Fd BS'!AA362</f>
        <v>0</v>
      </c>
    </row>
    <row r="363" spans="1:74">
      <c r="A363" s="12" t="s">
        <v>581</v>
      </c>
      <c r="B363" s="12"/>
      <c r="C363" s="12" t="s">
        <v>62</v>
      </c>
      <c r="D363" s="12"/>
      <c r="E363" s="13">
        <v>49890</v>
      </c>
      <c r="G363" s="1">
        <v>8223878</v>
      </c>
      <c r="I363" s="1">
        <v>2750156</v>
      </c>
      <c r="K363" s="1">
        <v>6398</v>
      </c>
      <c r="M363" s="1">
        <v>4628</v>
      </c>
      <c r="O363" s="1">
        <v>759871</v>
      </c>
      <c r="Q363" s="1">
        <v>906467</v>
      </c>
      <c r="S363" s="1">
        <v>91743</v>
      </c>
      <c r="U363" s="1">
        <v>1736975</v>
      </c>
      <c r="W363" s="1">
        <v>553718</v>
      </c>
      <c r="Y363" s="1">
        <v>109231</v>
      </c>
      <c r="AA363" s="1">
        <v>1253444</v>
      </c>
      <c r="AC363" s="1">
        <v>918668</v>
      </c>
      <c r="AE363" s="1">
        <v>19205</v>
      </c>
      <c r="AG363" s="1">
        <v>801936</v>
      </c>
      <c r="AI363" s="1">
        <v>42062</v>
      </c>
      <c r="AJ363" s="12" t="s">
        <v>581</v>
      </c>
      <c r="AK363" s="12"/>
      <c r="AL363" s="12" t="s">
        <v>62</v>
      </c>
      <c r="AN363" s="1">
        <v>554240</v>
      </c>
      <c r="AP363" s="1">
        <v>3066778</v>
      </c>
      <c r="AR363" s="1">
        <v>4449</v>
      </c>
      <c r="AT363" s="1">
        <v>481520</v>
      </c>
      <c r="AV363" s="1">
        <v>510826</v>
      </c>
      <c r="AX363" s="1">
        <v>0</v>
      </c>
      <c r="AZ363" s="20">
        <f t="shared" si="29"/>
        <v>22796193</v>
      </c>
      <c r="BB363" s="1">
        <v>38224</v>
      </c>
      <c r="BH363" s="1">
        <v>0</v>
      </c>
      <c r="BJ363" s="20">
        <f t="shared" si="26"/>
        <v>22834417</v>
      </c>
      <c r="BL363" s="20">
        <f>'Gov Fd Rv'!AO363-'Gov Fnd Exp'!BJ363</f>
        <v>-2091040</v>
      </c>
      <c r="BN363" s="1">
        <v>2156858</v>
      </c>
      <c r="BP363" s="1">
        <v>0</v>
      </c>
      <c r="BR363" s="1">
        <v>0</v>
      </c>
      <c r="BT363" s="20">
        <f t="shared" si="27"/>
        <v>65818</v>
      </c>
      <c r="BU363" s="20"/>
      <c r="BV363" s="20">
        <f>BT363-'Gov Fd BS'!AA363</f>
        <v>0</v>
      </c>
    </row>
    <row r="364" spans="1:74">
      <c r="A364" s="12" t="s">
        <v>562</v>
      </c>
      <c r="B364" s="12"/>
      <c r="C364" s="12" t="s">
        <v>59</v>
      </c>
      <c r="D364" s="12"/>
      <c r="E364" s="13">
        <v>49627</v>
      </c>
      <c r="G364" s="1">
        <v>7892250</v>
      </c>
      <c r="I364" s="1">
        <v>1363323</v>
      </c>
      <c r="K364" s="1">
        <v>193479</v>
      </c>
      <c r="M364" s="1">
        <v>57970</v>
      </c>
      <c r="O364" s="1">
        <v>415872</v>
      </c>
      <c r="Q364" s="1">
        <v>682021</v>
      </c>
      <c r="S364" s="1">
        <v>86956</v>
      </c>
      <c r="U364" s="1">
        <v>1097795</v>
      </c>
      <c r="W364" s="1">
        <v>334214</v>
      </c>
      <c r="Y364" s="1">
        <v>0</v>
      </c>
      <c r="AA364" s="1">
        <v>1337967</v>
      </c>
      <c r="AC364" s="1">
        <v>955490</v>
      </c>
      <c r="AE364" s="1">
        <v>10745</v>
      </c>
      <c r="AG364" s="1">
        <v>0</v>
      </c>
      <c r="AI364" s="1">
        <v>611635</v>
      </c>
      <c r="AJ364" s="12" t="s">
        <v>562</v>
      </c>
      <c r="AK364" s="12"/>
      <c r="AL364" s="12" t="s">
        <v>59</v>
      </c>
      <c r="AN364" s="1">
        <v>447046</v>
      </c>
      <c r="AP364" s="1">
        <v>89648</v>
      </c>
      <c r="AR364" s="1">
        <v>0</v>
      </c>
      <c r="AT364" s="1">
        <v>300260</v>
      </c>
      <c r="AV364" s="1">
        <f>136596+25620</f>
        <v>162216</v>
      </c>
      <c r="AX364" s="1">
        <v>0</v>
      </c>
      <c r="AZ364" s="20">
        <f t="shared" si="29"/>
        <v>16038887</v>
      </c>
      <c r="BB364" s="1">
        <v>0</v>
      </c>
      <c r="BH364" s="1">
        <v>972610</v>
      </c>
      <c r="BJ364" s="20">
        <f t="shared" si="26"/>
        <v>17011497</v>
      </c>
      <c r="BL364" s="20">
        <f>'Gov Fd Rv'!AO364-'Gov Fnd Exp'!BJ364</f>
        <v>1155180</v>
      </c>
      <c r="BN364" s="1">
        <v>663146</v>
      </c>
      <c r="BP364" s="1">
        <v>0</v>
      </c>
      <c r="BR364" s="1">
        <v>0</v>
      </c>
      <c r="BT364" s="20">
        <f t="shared" si="27"/>
        <v>1818326</v>
      </c>
      <c r="BU364" s="20"/>
      <c r="BV364" s="20">
        <f>BT364-'Gov Fd BS'!AA364</f>
        <v>0</v>
      </c>
    </row>
    <row r="365" spans="1:74">
      <c r="A365" s="12" t="s">
        <v>217</v>
      </c>
      <c r="B365" s="12"/>
      <c r="C365" s="12" t="s">
        <v>14</v>
      </c>
      <c r="D365" s="12"/>
      <c r="E365" s="13">
        <v>45948</v>
      </c>
      <c r="G365" s="1">
        <v>4392444</v>
      </c>
      <c r="I365" s="1">
        <v>530958</v>
      </c>
      <c r="K365" s="1">
        <v>225899</v>
      </c>
      <c r="M365" s="1">
        <v>0</v>
      </c>
      <c r="O365" s="1">
        <v>617391</v>
      </c>
      <c r="Q365" s="1">
        <v>451101</v>
      </c>
      <c r="S365" s="1">
        <v>40963</v>
      </c>
      <c r="U365" s="1">
        <v>693889</v>
      </c>
      <c r="W365" s="1">
        <v>479953</v>
      </c>
      <c r="Y365" s="1">
        <v>0</v>
      </c>
      <c r="AA365" s="1">
        <v>910550</v>
      </c>
      <c r="AC365" s="1">
        <v>202868</v>
      </c>
      <c r="AE365" s="1">
        <v>65096</v>
      </c>
      <c r="AG365" s="1">
        <v>0</v>
      </c>
      <c r="AI365" s="1">
        <v>365346</v>
      </c>
      <c r="AJ365" s="12" t="s">
        <v>217</v>
      </c>
      <c r="AK365" s="12"/>
      <c r="AL365" s="12" t="s">
        <v>14</v>
      </c>
      <c r="AN365" s="1">
        <v>351531</v>
      </c>
      <c r="AP365" s="1">
        <v>90794</v>
      </c>
      <c r="AR365" s="1">
        <v>0</v>
      </c>
      <c r="AT365" s="1">
        <v>615000</v>
      </c>
      <c r="AV365" s="1">
        <v>429051</v>
      </c>
      <c r="AX365" s="1">
        <v>0</v>
      </c>
      <c r="AZ365" s="20">
        <f t="shared" si="29"/>
        <v>10462834</v>
      </c>
      <c r="BB365" s="1">
        <v>134681</v>
      </c>
      <c r="BH365" s="1">
        <v>0</v>
      </c>
      <c r="BJ365" s="20">
        <f t="shared" si="26"/>
        <v>10597515</v>
      </c>
      <c r="BL365" s="20">
        <f>'Gov Fd Rv'!AO365-'Gov Fnd Exp'!BJ365</f>
        <v>-337851</v>
      </c>
      <c r="BN365" s="1">
        <v>1303404</v>
      </c>
      <c r="BP365" s="1">
        <v>0</v>
      </c>
      <c r="BR365" s="1">
        <v>0</v>
      </c>
      <c r="BT365" s="20">
        <f t="shared" si="27"/>
        <v>965553</v>
      </c>
      <c r="BU365" s="20"/>
      <c r="BV365" s="20">
        <f>BT365-'Gov Fd BS'!AA365</f>
        <v>0</v>
      </c>
    </row>
    <row r="366" spans="1:74" hidden="1">
      <c r="A366" s="17" t="s">
        <v>782</v>
      </c>
      <c r="B366" s="12"/>
      <c r="C366" s="12" t="s">
        <v>21</v>
      </c>
      <c r="D366" s="12"/>
      <c r="E366" s="13">
        <v>46672</v>
      </c>
      <c r="AJ366" s="17" t="s">
        <v>782</v>
      </c>
      <c r="AK366" s="12"/>
      <c r="AL366" s="12" t="s">
        <v>21</v>
      </c>
      <c r="AZ366" s="20">
        <f t="shared" si="29"/>
        <v>0</v>
      </c>
      <c r="BJ366" s="20">
        <f t="shared" si="26"/>
        <v>0</v>
      </c>
      <c r="BL366" s="20">
        <f>'Gov Fd Rv'!AO366-'Gov Fnd Exp'!BJ366</f>
        <v>0</v>
      </c>
      <c r="BT366" s="20">
        <f t="shared" si="27"/>
        <v>0</v>
      </c>
      <c r="BU366" s="20"/>
      <c r="BV366" s="20">
        <f>BT366-'Gov Fd BS'!AA366</f>
        <v>0</v>
      </c>
    </row>
    <row r="367" spans="1:74">
      <c r="A367" s="12" t="s">
        <v>591</v>
      </c>
      <c r="B367" s="12"/>
      <c r="C367" s="12" t="s">
        <v>63</v>
      </c>
      <c r="D367" s="12"/>
      <c r="E367" s="13">
        <v>50039</v>
      </c>
      <c r="G367" s="1">
        <v>4517052</v>
      </c>
      <c r="I367" s="1">
        <v>1063427</v>
      </c>
      <c r="K367" s="1">
        <v>97077</v>
      </c>
      <c r="M367" s="1">
        <f>380016+155878</f>
        <v>535894</v>
      </c>
      <c r="O367" s="1">
        <v>526666</v>
      </c>
      <c r="Q367" s="1">
        <v>358713</v>
      </c>
      <c r="S367" s="1">
        <v>42351</v>
      </c>
      <c r="U367" s="1">
        <v>677140</v>
      </c>
      <c r="W367" s="1">
        <v>359882</v>
      </c>
      <c r="Y367" s="1">
        <v>372</v>
      </c>
      <c r="AA367" s="1">
        <v>885776</v>
      </c>
      <c r="AC367" s="1">
        <v>391251</v>
      </c>
      <c r="AE367" s="1">
        <v>59904</v>
      </c>
      <c r="AG367" s="1">
        <v>318223</v>
      </c>
      <c r="AI367" s="1">
        <v>0</v>
      </c>
      <c r="AJ367" s="12" t="s">
        <v>591</v>
      </c>
      <c r="AK367" s="12"/>
      <c r="AL367" s="12" t="s">
        <v>63</v>
      </c>
      <c r="AN367" s="1">
        <v>318953</v>
      </c>
      <c r="AP367" s="1">
        <v>55983</v>
      </c>
      <c r="AR367" s="1">
        <v>0</v>
      </c>
      <c r="AT367" s="1">
        <v>360000</v>
      </c>
      <c r="AV367" s="1">
        <v>474413</v>
      </c>
      <c r="AX367" s="1">
        <v>0</v>
      </c>
      <c r="AZ367" s="20">
        <f t="shared" ref="AZ367:AZ375" si="30">SUM(G367:AX367)</f>
        <v>11043077</v>
      </c>
      <c r="BB367" s="1">
        <v>175496</v>
      </c>
      <c r="BH367" s="1">
        <v>0</v>
      </c>
      <c r="BJ367" s="20">
        <f t="shared" ref="BJ367:BJ375" si="31">AZ367+BB367+BH367</f>
        <v>11218573</v>
      </c>
      <c r="BL367" s="20">
        <f>'Gov Fd Rv'!AO367-'Gov Fnd Exp'!BJ367</f>
        <v>-853798</v>
      </c>
      <c r="BN367" s="1">
        <v>5313974</v>
      </c>
      <c r="BP367" s="1">
        <v>0</v>
      </c>
      <c r="BR367" s="1">
        <v>0</v>
      </c>
      <c r="BT367" s="20">
        <f t="shared" si="27"/>
        <v>4460176</v>
      </c>
      <c r="BU367" s="20"/>
      <c r="BV367" s="20">
        <f>BT367-'Gov Fd BS'!AA367</f>
        <v>0</v>
      </c>
    </row>
    <row r="368" spans="1:74" hidden="1">
      <c r="A368" s="17" t="s">
        <v>743</v>
      </c>
      <c r="B368" s="12"/>
      <c r="C368" s="12" t="s">
        <v>653</v>
      </c>
      <c r="D368" s="12"/>
      <c r="E368" s="13">
        <v>50740</v>
      </c>
      <c r="AJ368" s="17" t="s">
        <v>743</v>
      </c>
      <c r="AK368" s="12"/>
      <c r="AL368" s="12" t="s">
        <v>653</v>
      </c>
      <c r="AZ368" s="20">
        <f t="shared" si="30"/>
        <v>0</v>
      </c>
      <c r="BJ368" s="20">
        <f t="shared" si="31"/>
        <v>0</v>
      </c>
      <c r="BL368" s="20">
        <f>'Gov Fd Rv'!AO368-'Gov Fnd Exp'!BJ368</f>
        <v>0</v>
      </c>
      <c r="BT368" s="20">
        <f t="shared" si="27"/>
        <v>0</v>
      </c>
      <c r="BU368" s="20"/>
      <c r="BV368" s="20">
        <f>BT368-'Gov Fd BS'!AA368</f>
        <v>0</v>
      </c>
    </row>
    <row r="369" spans="1:74">
      <c r="A369" s="12" t="s">
        <v>233</v>
      </c>
      <c r="B369" s="12"/>
      <c r="C369" s="12" t="s">
        <v>227</v>
      </c>
      <c r="D369" s="12"/>
      <c r="E369" s="13">
        <v>139303</v>
      </c>
      <c r="G369" s="1">
        <v>9260295</v>
      </c>
      <c r="I369" s="1">
        <v>1536682</v>
      </c>
      <c r="K369" s="1">
        <v>0</v>
      </c>
      <c r="M369" s="1">
        <v>19607</v>
      </c>
      <c r="O369" s="1">
        <v>1440022</v>
      </c>
      <c r="Q369" s="1">
        <v>1052008</v>
      </c>
      <c r="S369" s="1">
        <v>116365</v>
      </c>
      <c r="U369" s="1">
        <v>1573694</v>
      </c>
      <c r="W369" s="1">
        <v>684113</v>
      </c>
      <c r="Y369" s="1">
        <v>130234</v>
      </c>
      <c r="AA369" s="1">
        <v>2600386</v>
      </c>
      <c r="AC369" s="1">
        <v>1679363</v>
      </c>
      <c r="AE369" s="1">
        <v>475219</v>
      </c>
      <c r="AG369" s="1">
        <v>0</v>
      </c>
      <c r="AI369" s="1">
        <v>858461</v>
      </c>
      <c r="AJ369" s="12" t="s">
        <v>233</v>
      </c>
      <c r="AK369" s="12"/>
      <c r="AL369" s="12" t="s">
        <v>227</v>
      </c>
      <c r="AN369" s="1">
        <v>822989</v>
      </c>
      <c r="AP369" s="1">
        <v>234911</v>
      </c>
      <c r="AR369" s="1">
        <v>0</v>
      </c>
      <c r="AT369" s="1">
        <v>1104473</v>
      </c>
      <c r="AV369" s="1">
        <v>1445776</v>
      </c>
      <c r="AX369" s="1">
        <v>0</v>
      </c>
      <c r="AZ369" s="20">
        <f t="shared" si="30"/>
        <v>25034598</v>
      </c>
      <c r="BB369" s="1">
        <v>2295041</v>
      </c>
      <c r="BH369" s="1">
        <v>0</v>
      </c>
      <c r="BJ369" s="20">
        <f t="shared" si="31"/>
        <v>27329639</v>
      </c>
      <c r="BL369" s="20">
        <f>'Gov Fd Rv'!AO369-'Gov Fnd Exp'!BJ369</f>
        <v>-1405840</v>
      </c>
      <c r="BN369" s="1">
        <v>545591</v>
      </c>
      <c r="BP369" s="1">
        <v>0</v>
      </c>
      <c r="BR369" s="1">
        <v>0</v>
      </c>
      <c r="BT369" s="20">
        <f t="shared" ref="BT369:BT430" si="32">BL369+BN369+BP369+BR369</f>
        <v>-860249</v>
      </c>
      <c r="BU369" s="20"/>
      <c r="BV369" s="20">
        <f>BT369-'Gov Fd BS'!AA369</f>
        <v>0</v>
      </c>
    </row>
    <row r="370" spans="1:74">
      <c r="A370" s="12" t="s">
        <v>404</v>
      </c>
      <c r="B370" s="12"/>
      <c r="C370" s="12" t="s">
        <v>37</v>
      </c>
      <c r="D370" s="12"/>
      <c r="E370" s="13">
        <v>47712</v>
      </c>
      <c r="G370" s="1">
        <v>3213902</v>
      </c>
      <c r="I370" s="1">
        <v>580703</v>
      </c>
      <c r="K370" s="1">
        <v>164544</v>
      </c>
      <c r="M370" s="1">
        <v>0</v>
      </c>
      <c r="O370" s="1">
        <v>267698</v>
      </c>
      <c r="Q370" s="1">
        <v>340870</v>
      </c>
      <c r="S370" s="1">
        <v>61641</v>
      </c>
      <c r="U370" s="1">
        <v>518620</v>
      </c>
      <c r="W370" s="1">
        <v>245508</v>
      </c>
      <c r="Y370" s="1">
        <v>1189</v>
      </c>
      <c r="AA370" s="1">
        <v>430226</v>
      </c>
      <c r="AC370" s="1">
        <v>324142</v>
      </c>
      <c r="AE370" s="1">
        <v>2129</v>
      </c>
      <c r="AG370" s="1">
        <v>275648</v>
      </c>
      <c r="AI370" s="1">
        <v>65403</v>
      </c>
      <c r="AJ370" s="12" t="s">
        <v>404</v>
      </c>
      <c r="AK370" s="12"/>
      <c r="AL370" s="12" t="s">
        <v>37</v>
      </c>
      <c r="AN370" s="1">
        <v>216564</v>
      </c>
      <c r="AP370" s="1">
        <v>65888</v>
      </c>
      <c r="AR370" s="1">
        <v>0</v>
      </c>
      <c r="AT370" s="1">
        <v>92712</v>
      </c>
      <c r="AV370" s="1">
        <v>9207</v>
      </c>
      <c r="AX370" s="1">
        <v>0</v>
      </c>
      <c r="AZ370" s="20">
        <f t="shared" si="30"/>
        <v>6876594</v>
      </c>
      <c r="BB370" s="1">
        <v>141</v>
      </c>
      <c r="BH370" s="1">
        <v>0</v>
      </c>
      <c r="BJ370" s="20">
        <f t="shared" si="31"/>
        <v>6876735</v>
      </c>
      <c r="BL370" s="20">
        <f>'Gov Fd Rv'!AO370-'Gov Fnd Exp'!BJ370</f>
        <v>-434489</v>
      </c>
      <c r="BN370" s="1">
        <v>1110223</v>
      </c>
      <c r="BP370" s="1">
        <v>0</v>
      </c>
      <c r="BR370" s="1">
        <v>0</v>
      </c>
      <c r="BT370" s="20">
        <f t="shared" si="32"/>
        <v>675734</v>
      </c>
      <c r="BU370" s="20"/>
      <c r="BV370" s="20">
        <f>BT370-'Gov Fd BS'!AA370</f>
        <v>0</v>
      </c>
    </row>
    <row r="371" spans="1:74" hidden="1">
      <c r="A371" s="12" t="s">
        <v>949</v>
      </c>
      <c r="B371" s="12"/>
      <c r="C371" s="12" t="s">
        <v>643</v>
      </c>
      <c r="D371" s="12"/>
      <c r="E371" s="12">
        <v>45526</v>
      </c>
      <c r="AJ371" s="12" t="s">
        <v>949</v>
      </c>
      <c r="AK371" s="12"/>
      <c r="AL371" s="12" t="s">
        <v>643</v>
      </c>
      <c r="AZ371" s="20">
        <f t="shared" si="30"/>
        <v>0</v>
      </c>
      <c r="BJ371" s="20">
        <f t="shared" si="31"/>
        <v>0</v>
      </c>
      <c r="BL371" s="20">
        <f>'Gov Fd Rv'!AO371-'Gov Fnd Exp'!BJ371</f>
        <v>0</v>
      </c>
      <c r="BT371" s="20">
        <f t="shared" si="32"/>
        <v>0</v>
      </c>
      <c r="BU371" s="20"/>
      <c r="BV371" s="20">
        <f>BT371-'Gov Fd BS'!AA371</f>
        <v>0</v>
      </c>
    </row>
    <row r="372" spans="1:74">
      <c r="A372" s="12" t="s">
        <v>508</v>
      </c>
      <c r="B372" s="12"/>
      <c r="C372" s="12" t="s">
        <v>509</v>
      </c>
      <c r="D372" s="12"/>
      <c r="E372" s="13">
        <v>48777</v>
      </c>
      <c r="G372" s="1">
        <v>8719572</v>
      </c>
      <c r="I372" s="1">
        <v>2923809</v>
      </c>
      <c r="K372" s="1">
        <v>1064256</v>
      </c>
      <c r="M372" s="1">
        <v>439178</v>
      </c>
      <c r="O372" s="1">
        <v>890472</v>
      </c>
      <c r="Q372" s="1">
        <v>615101</v>
      </c>
      <c r="S372" s="1">
        <v>33184</v>
      </c>
      <c r="U372" s="1">
        <v>1597060</v>
      </c>
      <c r="W372" s="1">
        <v>730705</v>
      </c>
      <c r="Y372" s="1">
        <v>259382</v>
      </c>
      <c r="AA372" s="1">
        <v>1675488</v>
      </c>
      <c r="AC372" s="1">
        <v>1984372</v>
      </c>
      <c r="AE372" s="1">
        <v>201669</v>
      </c>
      <c r="AG372" s="1">
        <v>0</v>
      </c>
      <c r="AI372" s="1">
        <v>1086432</v>
      </c>
      <c r="AJ372" s="12" t="s">
        <v>508</v>
      </c>
      <c r="AK372" s="12"/>
      <c r="AL372" s="12" t="s">
        <v>509</v>
      </c>
      <c r="AN372" s="1">
        <v>213549</v>
      </c>
      <c r="AP372" s="1">
        <v>9256295</v>
      </c>
      <c r="AR372" s="1">
        <v>0</v>
      </c>
      <c r="AT372" s="1">
        <v>731353</v>
      </c>
      <c r="AV372" s="1">
        <v>390057</v>
      </c>
      <c r="AX372" s="1">
        <v>0</v>
      </c>
      <c r="AZ372" s="20">
        <f t="shared" si="30"/>
        <v>32811934</v>
      </c>
      <c r="BB372" s="1">
        <v>32607</v>
      </c>
      <c r="BH372" s="1">
        <v>0</v>
      </c>
      <c r="BJ372" s="20">
        <f t="shared" si="31"/>
        <v>32844541</v>
      </c>
      <c r="BL372" s="20">
        <f>'Gov Fd Rv'!AO372-'Gov Fnd Exp'!BJ372</f>
        <v>-6219425</v>
      </c>
      <c r="BN372" s="1">
        <v>16207689</v>
      </c>
      <c r="BP372" s="1">
        <v>0</v>
      </c>
      <c r="BR372" s="1">
        <v>0</v>
      </c>
      <c r="BT372" s="20">
        <f t="shared" si="32"/>
        <v>9988264</v>
      </c>
      <c r="BU372" s="20"/>
      <c r="BV372" s="20">
        <f>BT372-'Gov Fd BS'!AA372</f>
        <v>0</v>
      </c>
    </row>
    <row r="373" spans="1:74">
      <c r="A373" s="12" t="s">
        <v>757</v>
      </c>
      <c r="B373" s="12"/>
      <c r="C373" s="12" t="s">
        <v>78</v>
      </c>
      <c r="D373" s="12"/>
      <c r="E373" s="13">
        <v>45534</v>
      </c>
      <c r="G373" s="1">
        <v>4876602</v>
      </c>
      <c r="I373" s="1">
        <v>1408790</v>
      </c>
      <c r="K373" s="1">
        <v>321326</v>
      </c>
      <c r="M373" s="1">
        <v>1287000</v>
      </c>
      <c r="O373" s="1">
        <v>603992</v>
      </c>
      <c r="Q373" s="1">
        <v>492695</v>
      </c>
      <c r="S373" s="1">
        <v>55187</v>
      </c>
      <c r="U373" s="1">
        <v>778157</v>
      </c>
      <c r="W373" s="1">
        <v>467865</v>
      </c>
      <c r="Y373" s="1">
        <v>0</v>
      </c>
      <c r="AA373" s="1">
        <v>1238810</v>
      </c>
      <c r="AC373" s="1">
        <v>657800</v>
      </c>
      <c r="AE373" s="1">
        <v>27193</v>
      </c>
      <c r="AG373" s="1">
        <v>432184</v>
      </c>
      <c r="AI373" s="1">
        <v>1163</v>
      </c>
      <c r="AJ373" s="12" t="s">
        <v>757</v>
      </c>
      <c r="AK373" s="12"/>
      <c r="AL373" s="12" t="s">
        <v>78</v>
      </c>
      <c r="AN373" s="1">
        <v>275011</v>
      </c>
      <c r="AP373" s="1">
        <v>5427717</v>
      </c>
      <c r="AR373" s="1">
        <v>0</v>
      </c>
      <c r="AT373" s="1">
        <v>431816</v>
      </c>
      <c r="AV373" s="1">
        <v>388454</v>
      </c>
      <c r="AX373" s="1">
        <v>0</v>
      </c>
      <c r="AZ373" s="20">
        <f t="shared" si="30"/>
        <v>19171762</v>
      </c>
      <c r="BB373" s="1">
        <v>693826</v>
      </c>
      <c r="BH373" s="1">
        <v>0</v>
      </c>
      <c r="BJ373" s="20">
        <f t="shared" si="31"/>
        <v>19865588</v>
      </c>
      <c r="BL373" s="20">
        <f>'Gov Fd Rv'!AO373-'Gov Fnd Exp'!BJ373</f>
        <v>-3341849</v>
      </c>
      <c r="BN373" s="1">
        <v>9659030</v>
      </c>
      <c r="BP373" s="1">
        <v>0</v>
      </c>
      <c r="BR373" s="1">
        <v>0</v>
      </c>
      <c r="BT373" s="20">
        <f t="shared" si="32"/>
        <v>6317181</v>
      </c>
      <c r="BU373" s="20"/>
      <c r="BV373" s="20">
        <f>BT373-'Gov Fd BS'!AA373</f>
        <v>0</v>
      </c>
    </row>
    <row r="374" spans="1:74">
      <c r="A374" s="12" t="s">
        <v>415</v>
      </c>
      <c r="B374" s="12"/>
      <c r="C374" s="12" t="s">
        <v>40</v>
      </c>
      <c r="D374" s="12"/>
      <c r="E374" s="13">
        <v>44420</v>
      </c>
      <c r="G374" s="1">
        <v>18071671</v>
      </c>
      <c r="I374" s="1">
        <v>4103820</v>
      </c>
      <c r="K374" s="1">
        <v>357768</v>
      </c>
      <c r="M374" s="1">
        <v>0</v>
      </c>
      <c r="O374" s="1">
        <v>2247643</v>
      </c>
      <c r="Q374" s="1">
        <v>2266780</v>
      </c>
      <c r="S374" s="1">
        <v>69338</v>
      </c>
      <c r="U374" s="1">
        <v>2539835</v>
      </c>
      <c r="W374" s="1">
        <v>2483815</v>
      </c>
      <c r="Y374" s="1">
        <v>69286</v>
      </c>
      <c r="AA374" s="1">
        <v>2822948</v>
      </c>
      <c r="AC374" s="1">
        <v>1303871</v>
      </c>
      <c r="AE374" s="1">
        <v>143599</v>
      </c>
      <c r="AG374" s="1">
        <v>1315632</v>
      </c>
      <c r="AI374" s="1">
        <v>153023</v>
      </c>
      <c r="AJ374" s="12" t="s">
        <v>415</v>
      </c>
      <c r="AK374" s="12"/>
      <c r="AL374" s="12" t="s">
        <v>40</v>
      </c>
      <c r="AN374" s="1">
        <v>663748</v>
      </c>
      <c r="AP374" s="1">
        <v>249008</v>
      </c>
      <c r="AR374" s="1">
        <v>0</v>
      </c>
      <c r="AT374" s="1">
        <v>686603</v>
      </c>
      <c r="AV374" s="1">
        <v>271030</v>
      </c>
      <c r="AX374" s="1">
        <v>0</v>
      </c>
      <c r="AZ374" s="20">
        <f t="shared" si="30"/>
        <v>39819418</v>
      </c>
      <c r="BB374" s="1">
        <v>207350</v>
      </c>
      <c r="BH374" s="1">
        <v>0</v>
      </c>
      <c r="BJ374" s="20">
        <f t="shared" si="31"/>
        <v>40026768</v>
      </c>
      <c r="BL374" s="20">
        <f>'Gov Fd Rv'!AO374-'Gov Fnd Exp'!BJ374</f>
        <v>-2504889</v>
      </c>
      <c r="BN374" s="1">
        <v>12793609</v>
      </c>
      <c r="BP374" s="1">
        <v>0</v>
      </c>
      <c r="BR374" s="1">
        <v>0</v>
      </c>
      <c r="BT374" s="20">
        <f t="shared" si="32"/>
        <v>10288720</v>
      </c>
      <c r="BU374" s="20"/>
      <c r="BV374" s="20">
        <f>BT374-'Gov Fd BS'!AA374</f>
        <v>0</v>
      </c>
    </row>
    <row r="375" spans="1:74">
      <c r="A375" s="12" t="s">
        <v>913</v>
      </c>
      <c r="B375" s="12"/>
      <c r="C375" s="12" t="s">
        <v>32</v>
      </c>
      <c r="D375" s="12"/>
      <c r="E375" s="13">
        <v>44412</v>
      </c>
      <c r="G375" s="1">
        <v>13347921</v>
      </c>
      <c r="I375" s="1">
        <v>4783569</v>
      </c>
      <c r="K375" s="1">
        <v>174571</v>
      </c>
      <c r="M375" s="1">
        <v>5440036</v>
      </c>
      <c r="O375" s="1">
        <v>2521758</v>
      </c>
      <c r="Q375" s="1">
        <v>2697209</v>
      </c>
      <c r="S375" s="1">
        <v>101481</v>
      </c>
      <c r="U375" s="1">
        <v>2604162</v>
      </c>
      <c r="W375" s="1">
        <v>719706</v>
      </c>
      <c r="Y375" s="1">
        <v>142963</v>
      </c>
      <c r="AA375" s="1">
        <v>3395375</v>
      </c>
      <c r="AC375" s="1">
        <v>2478509</v>
      </c>
      <c r="AE375" s="1">
        <v>310435</v>
      </c>
      <c r="AG375" s="1">
        <v>0</v>
      </c>
      <c r="AI375" s="1">
        <v>1952412</v>
      </c>
      <c r="AJ375" s="12" t="s">
        <v>913</v>
      </c>
      <c r="AK375" s="12"/>
      <c r="AL375" s="12" t="s">
        <v>32</v>
      </c>
      <c r="AN375" s="1">
        <v>750401</v>
      </c>
      <c r="AP375" s="1">
        <v>11110784</v>
      </c>
      <c r="AR375" s="1">
        <v>0</v>
      </c>
      <c r="AT375" s="1">
        <v>849842</v>
      </c>
      <c r="AV375" s="1">
        <v>1732939</v>
      </c>
      <c r="AX375" s="1">
        <v>0</v>
      </c>
      <c r="AZ375" s="20">
        <f t="shared" si="30"/>
        <v>55114073</v>
      </c>
      <c r="BB375" s="1">
        <v>144605</v>
      </c>
      <c r="BH375" s="1">
        <v>0</v>
      </c>
      <c r="BJ375" s="20">
        <f t="shared" si="31"/>
        <v>55258678</v>
      </c>
      <c r="BL375" s="20">
        <f>'Gov Fd Rv'!AO375-'Gov Fnd Exp'!BJ375</f>
        <v>21058872</v>
      </c>
      <c r="BN375" s="1">
        <v>41471738</v>
      </c>
      <c r="BP375" s="1">
        <v>0</v>
      </c>
      <c r="BR375" s="1">
        <v>0</v>
      </c>
      <c r="BT375" s="20">
        <f t="shared" si="32"/>
        <v>62530610</v>
      </c>
      <c r="BU375" s="20"/>
      <c r="BV375" s="20">
        <f>BT375-'Gov Fd BS'!AA375</f>
        <v>0</v>
      </c>
    </row>
    <row r="376" spans="1:74">
      <c r="A376" s="12" t="s">
        <v>392</v>
      </c>
      <c r="B376" s="12"/>
      <c r="C376" s="12" t="s">
        <v>34</v>
      </c>
      <c r="D376" s="12"/>
      <c r="E376" s="13">
        <v>44438</v>
      </c>
      <c r="G376" s="1">
        <v>8330529</v>
      </c>
      <c r="I376" s="1">
        <v>3683595</v>
      </c>
      <c r="K376" s="1">
        <v>239492</v>
      </c>
      <c r="M376" s="1">
        <v>1318451</v>
      </c>
      <c r="O376" s="1">
        <v>1283770</v>
      </c>
      <c r="Q376" s="1">
        <v>1040185</v>
      </c>
      <c r="S376" s="1">
        <v>45763</v>
      </c>
      <c r="U376" s="1">
        <v>1837476</v>
      </c>
      <c r="W376" s="1">
        <v>633185</v>
      </c>
      <c r="Y376" s="1">
        <v>0</v>
      </c>
      <c r="AA376" s="1">
        <v>1688267</v>
      </c>
      <c r="AC376" s="1">
        <v>1054776</v>
      </c>
      <c r="AE376" s="1">
        <v>410746</v>
      </c>
      <c r="AG376" s="1">
        <v>0</v>
      </c>
      <c r="AI376" s="1">
        <v>979494</v>
      </c>
      <c r="AJ376" s="12" t="s">
        <v>392</v>
      </c>
      <c r="AK376" s="12"/>
      <c r="AL376" s="12" t="s">
        <v>34</v>
      </c>
      <c r="AN376" s="1">
        <v>745511</v>
      </c>
      <c r="AP376" s="1">
        <v>87169</v>
      </c>
      <c r="AR376" s="1">
        <v>0</v>
      </c>
      <c r="AT376" s="1">
        <v>736298</v>
      </c>
      <c r="AV376" s="1">
        <v>517296</v>
      </c>
      <c r="AX376" s="1">
        <v>0</v>
      </c>
      <c r="AZ376" s="20">
        <f t="shared" ref="AZ376:AZ423" si="33">SUM(G376:AX376)</f>
        <v>24632003</v>
      </c>
      <c r="BB376" s="1">
        <v>251338</v>
      </c>
      <c r="BH376" s="1">
        <v>0</v>
      </c>
      <c r="BJ376" s="20">
        <f>AZ376+BB376+BH376</f>
        <v>24883341</v>
      </c>
      <c r="BL376" s="20">
        <f>'Gov Fd Rv'!AO376-'Gov Fnd Exp'!BJ376</f>
        <v>406045</v>
      </c>
      <c r="BN376" s="1">
        <v>9597665</v>
      </c>
      <c r="BP376" s="1">
        <v>0</v>
      </c>
      <c r="BR376" s="1">
        <v>0</v>
      </c>
      <c r="BT376" s="20">
        <f t="shared" si="32"/>
        <v>10003710</v>
      </c>
      <c r="BU376" s="20"/>
      <c r="BV376" s="20">
        <f>BT376-'Gov Fd BS'!AA376</f>
        <v>0</v>
      </c>
    </row>
    <row r="377" spans="1:74" hidden="1">
      <c r="A377" s="12" t="s">
        <v>945</v>
      </c>
      <c r="B377" s="12"/>
      <c r="C377" s="12" t="s">
        <v>57</v>
      </c>
      <c r="D377" s="12"/>
      <c r="E377" s="13"/>
      <c r="AJ377" s="12" t="s">
        <v>945</v>
      </c>
      <c r="AK377" s="12"/>
      <c r="AL377" s="12" t="s">
        <v>57</v>
      </c>
      <c r="AZ377" s="20">
        <f t="shared" si="33"/>
        <v>0</v>
      </c>
      <c r="BJ377" s="20">
        <f t="shared" ref="BJ377" si="34">AZ377+BB377+BH377</f>
        <v>0</v>
      </c>
      <c r="BL377" s="20">
        <f>'Gov Fd Rv'!AO375-'Gov Fnd Exp'!BJ377</f>
        <v>76317550</v>
      </c>
      <c r="BT377" s="20">
        <f t="shared" si="32"/>
        <v>76317550</v>
      </c>
      <c r="BU377" s="20"/>
      <c r="BV377" s="20">
        <f>BT377-'Gov Fd BS'!AA375</f>
        <v>13786940</v>
      </c>
    </row>
    <row r="378" spans="1:74">
      <c r="A378" s="12" t="s">
        <v>215</v>
      </c>
      <c r="B378" s="12"/>
      <c r="C378" s="12" t="s">
        <v>13</v>
      </c>
      <c r="D378" s="12"/>
      <c r="E378" s="13">
        <v>44446</v>
      </c>
      <c r="G378" s="1">
        <v>5260897</v>
      </c>
      <c r="I378" s="1">
        <v>1745181</v>
      </c>
      <c r="K378" s="1">
        <v>94490</v>
      </c>
      <c r="M378" s="1">
        <f>156198+36026</f>
        <v>192224</v>
      </c>
      <c r="O378" s="1">
        <v>378488</v>
      </c>
      <c r="Q378" s="1">
        <v>1163942</v>
      </c>
      <c r="S378" s="1">
        <v>72039</v>
      </c>
      <c r="U378" s="1">
        <v>1277355</v>
      </c>
      <c r="W378" s="1">
        <v>347719</v>
      </c>
      <c r="Y378" s="1">
        <v>0</v>
      </c>
      <c r="AA378" s="1">
        <v>1239677</v>
      </c>
      <c r="AC378" s="1">
        <v>985335</v>
      </c>
      <c r="AE378" s="1">
        <v>0</v>
      </c>
      <c r="AG378" s="1">
        <v>0</v>
      </c>
      <c r="AI378" s="1">
        <v>835031</v>
      </c>
      <c r="AJ378" s="12" t="s">
        <v>215</v>
      </c>
      <c r="AK378" s="12"/>
      <c r="AL378" s="12" t="s">
        <v>13</v>
      </c>
      <c r="AN378" s="1">
        <v>255486</v>
      </c>
      <c r="AP378" s="1">
        <v>6965044</v>
      </c>
      <c r="AR378" s="1">
        <v>0</v>
      </c>
      <c r="AT378" s="1">
        <v>430000</v>
      </c>
      <c r="AV378" s="1">
        <v>326933</v>
      </c>
      <c r="AX378" s="1">
        <v>0</v>
      </c>
      <c r="AZ378" s="20">
        <f t="shared" si="33"/>
        <v>21569841</v>
      </c>
      <c r="BB378" s="1">
        <v>204172</v>
      </c>
      <c r="BH378" s="1">
        <v>0</v>
      </c>
      <c r="BJ378" s="20">
        <f t="shared" ref="BJ378:BJ408" si="35">AZ378+BB378+BH378</f>
        <v>21774013</v>
      </c>
      <c r="BL378" s="20">
        <f>'Gov Fd Rv'!AO378-'Gov Fnd Exp'!BJ378</f>
        <v>-4411481</v>
      </c>
      <c r="BN378" s="1">
        <v>9515464</v>
      </c>
      <c r="BP378" s="1">
        <v>0</v>
      </c>
      <c r="BR378" s="1">
        <v>0</v>
      </c>
      <c r="BT378" s="20">
        <f t="shared" si="32"/>
        <v>5103983</v>
      </c>
      <c r="BU378" s="20"/>
      <c r="BV378" s="20">
        <f>BT378-'Gov Fd BS'!AA378</f>
        <v>0</v>
      </c>
    </row>
    <row r="379" spans="1:74">
      <c r="A379" s="12" t="s">
        <v>728</v>
      </c>
      <c r="B379" s="12"/>
      <c r="C379" s="12" t="s">
        <v>27</v>
      </c>
      <c r="D379" s="12"/>
      <c r="E379" s="13"/>
      <c r="G379" s="1">
        <v>22170645</v>
      </c>
      <c r="I379" s="1">
        <v>5706040</v>
      </c>
      <c r="K379" s="1">
        <v>1315066</v>
      </c>
      <c r="M379" s="1">
        <v>61856</v>
      </c>
      <c r="O379" s="1">
        <v>3114998</v>
      </c>
      <c r="Q379" s="1">
        <v>1774179</v>
      </c>
      <c r="S379" s="1">
        <v>56280</v>
      </c>
      <c r="U379" s="1">
        <v>3328472</v>
      </c>
      <c r="W379" s="1">
        <v>0</v>
      </c>
      <c r="Y379" s="1">
        <v>1895649</v>
      </c>
      <c r="AA379" s="1">
        <v>4831985</v>
      </c>
      <c r="AC379" s="1">
        <v>2342197</v>
      </c>
      <c r="AE379" s="1">
        <v>394016</v>
      </c>
      <c r="AG379" s="1">
        <v>1507350</v>
      </c>
      <c r="AI379" s="1">
        <f>547262+266633</f>
        <v>813895</v>
      </c>
      <c r="AJ379" s="12" t="s">
        <v>728</v>
      </c>
      <c r="AK379" s="12"/>
      <c r="AL379" s="12" t="s">
        <v>27</v>
      </c>
      <c r="AN379" s="1">
        <v>1646544</v>
      </c>
      <c r="AP379" s="1">
        <v>0</v>
      </c>
      <c r="AR379" s="1">
        <v>0</v>
      </c>
      <c r="AT379" s="1">
        <v>2857467</v>
      </c>
      <c r="AV379" s="1">
        <v>4038944</v>
      </c>
      <c r="AX379" s="1">
        <v>0</v>
      </c>
      <c r="AZ379" s="20">
        <f t="shared" si="33"/>
        <v>57855583</v>
      </c>
      <c r="BB379" s="1">
        <v>308688</v>
      </c>
      <c r="BH379" s="1">
        <v>0</v>
      </c>
      <c r="BJ379" s="20">
        <f t="shared" si="35"/>
        <v>58164271</v>
      </c>
      <c r="BL379" s="20">
        <f>'Gov Fd Rv'!AO379-'Gov Fnd Exp'!BJ379</f>
        <v>2626859</v>
      </c>
      <c r="BN379" s="1">
        <v>34465590</v>
      </c>
      <c r="BP379" s="1">
        <v>0</v>
      </c>
      <c r="BR379" s="1">
        <v>0</v>
      </c>
      <c r="BT379" s="20">
        <f t="shared" si="32"/>
        <v>37092449</v>
      </c>
      <c r="BU379" s="20"/>
      <c r="BV379" s="20">
        <f>BT379-'Gov Fd BS'!AA379</f>
        <v>0</v>
      </c>
    </row>
    <row r="380" spans="1:74">
      <c r="A380" s="12" t="s">
        <v>563</v>
      </c>
      <c r="B380" s="12"/>
      <c r="C380" s="12" t="s">
        <v>59</v>
      </c>
      <c r="D380" s="12"/>
      <c r="E380" s="12">
        <v>44461</v>
      </c>
      <c r="G380" s="1">
        <v>2429176</v>
      </c>
      <c r="I380" s="1">
        <v>723489</v>
      </c>
      <c r="K380" s="1">
        <v>1649</v>
      </c>
      <c r="M380" s="1">
        <v>86495</v>
      </c>
      <c r="O380" s="1">
        <v>172365</v>
      </c>
      <c r="Q380" s="1">
        <v>273423</v>
      </c>
      <c r="S380" s="1">
        <v>12751</v>
      </c>
      <c r="U380" s="1">
        <v>545076</v>
      </c>
      <c r="W380" s="1">
        <v>182209</v>
      </c>
      <c r="Y380" s="1">
        <v>0</v>
      </c>
      <c r="AA380" s="1">
        <v>422629</v>
      </c>
      <c r="AC380" s="1">
        <v>106173</v>
      </c>
      <c r="AE380" s="1">
        <v>55424</v>
      </c>
      <c r="AG380" s="1">
        <v>223889</v>
      </c>
      <c r="AI380" s="1">
        <v>0</v>
      </c>
      <c r="AJ380" s="12" t="s">
        <v>563</v>
      </c>
      <c r="AK380" s="12"/>
      <c r="AL380" s="12" t="s">
        <v>59</v>
      </c>
      <c r="AN380" s="1">
        <v>106188</v>
      </c>
      <c r="AP380" s="1">
        <v>765216</v>
      </c>
      <c r="AR380" s="1">
        <v>0</v>
      </c>
      <c r="AT380" s="1">
        <v>3528000</v>
      </c>
      <c r="AV380" s="1">
        <f>215886+74681</f>
        <v>290567</v>
      </c>
      <c r="AX380" s="1">
        <v>0</v>
      </c>
      <c r="AZ380" s="20">
        <f t="shared" si="33"/>
        <v>9924719</v>
      </c>
      <c r="BB380" s="1">
        <v>92975</v>
      </c>
      <c r="BH380" s="1">
        <v>0</v>
      </c>
      <c r="BJ380" s="20">
        <f t="shared" si="35"/>
        <v>10017694</v>
      </c>
      <c r="BL380" s="20">
        <f>'Gov Fd Rv'!AO380-'Gov Fnd Exp'!BJ380</f>
        <v>1358338</v>
      </c>
      <c r="BN380" s="1">
        <v>5834280</v>
      </c>
      <c r="BP380" s="1">
        <v>0</v>
      </c>
      <c r="BR380" s="1">
        <v>0</v>
      </c>
      <c r="BT380" s="20">
        <f t="shared" si="32"/>
        <v>7192618</v>
      </c>
      <c r="BU380" s="20"/>
      <c r="BV380" s="20">
        <f>BT380-'Gov Fd BS'!AA380</f>
        <v>0</v>
      </c>
    </row>
    <row r="381" spans="1:74">
      <c r="A381" s="12" t="s">
        <v>218</v>
      </c>
      <c r="B381" s="12"/>
      <c r="C381" s="12" t="s">
        <v>14</v>
      </c>
      <c r="D381" s="12"/>
      <c r="E381" s="13">
        <v>45955</v>
      </c>
      <c r="G381" s="1">
        <v>4206876</v>
      </c>
      <c r="I381" s="1">
        <v>386841</v>
      </c>
      <c r="K381" s="1">
        <v>140309</v>
      </c>
      <c r="M381" s="1">
        <v>0</v>
      </c>
      <c r="O381" s="1">
        <v>480877</v>
      </c>
      <c r="Q381" s="1">
        <v>445389</v>
      </c>
      <c r="S381" s="1">
        <v>21294</v>
      </c>
      <c r="U381" s="1">
        <v>824614</v>
      </c>
      <c r="W381" s="1">
        <v>273398</v>
      </c>
      <c r="Y381" s="1">
        <v>0</v>
      </c>
      <c r="AA381" s="1">
        <v>922359</v>
      </c>
      <c r="AC381" s="1">
        <v>139813</v>
      </c>
      <c r="AE381" s="1">
        <v>65743</v>
      </c>
      <c r="AG381" s="1">
        <v>0</v>
      </c>
      <c r="AI381" s="1">
        <v>341947</v>
      </c>
      <c r="AJ381" s="12" t="s">
        <v>218</v>
      </c>
      <c r="AK381" s="12"/>
      <c r="AL381" s="12" t="s">
        <v>14</v>
      </c>
      <c r="AN381" s="1">
        <v>423559</v>
      </c>
      <c r="AP381" s="1">
        <v>37308</v>
      </c>
      <c r="AR381" s="1">
        <v>0</v>
      </c>
      <c r="AT381" s="1">
        <v>635000</v>
      </c>
      <c r="AV381" s="1">
        <v>175066</v>
      </c>
      <c r="AX381" s="1">
        <v>0</v>
      </c>
      <c r="AZ381" s="20">
        <f t="shared" si="33"/>
        <v>9520393</v>
      </c>
      <c r="BB381" s="1">
        <v>45000</v>
      </c>
      <c r="BH381" s="1">
        <v>0</v>
      </c>
      <c r="BJ381" s="20">
        <f t="shared" si="35"/>
        <v>9565393</v>
      </c>
      <c r="BL381" s="20">
        <f>'Gov Fd Rv'!AO381-'Gov Fnd Exp'!BJ381</f>
        <v>1011458</v>
      </c>
      <c r="BN381" s="1">
        <v>5662193</v>
      </c>
      <c r="BP381" s="1">
        <v>0</v>
      </c>
      <c r="BR381" s="1">
        <v>0</v>
      </c>
      <c r="BT381" s="20">
        <f t="shared" si="32"/>
        <v>6673651</v>
      </c>
      <c r="BU381" s="20"/>
      <c r="BV381" s="20">
        <f>BT381-'Gov Fd BS'!AA381</f>
        <v>0</v>
      </c>
    </row>
    <row r="382" spans="1:74" hidden="1">
      <c r="A382" s="17" t="s">
        <v>879</v>
      </c>
      <c r="B382" s="12"/>
      <c r="C382" s="12" t="s">
        <v>14</v>
      </c>
      <c r="D382" s="12"/>
      <c r="E382" s="13">
        <v>45963</v>
      </c>
      <c r="AJ382" s="17" t="s">
        <v>879</v>
      </c>
      <c r="AK382" s="12"/>
      <c r="AL382" s="12" t="s">
        <v>14</v>
      </c>
      <c r="AZ382" s="20">
        <f t="shared" si="33"/>
        <v>0</v>
      </c>
      <c r="BJ382" s="20">
        <f t="shared" si="35"/>
        <v>0</v>
      </c>
      <c r="BL382" s="20">
        <f>'Gov Fd Rv'!AO382-'Gov Fnd Exp'!BJ382</f>
        <v>0</v>
      </c>
      <c r="BT382" s="20">
        <f t="shared" si="32"/>
        <v>0</v>
      </c>
      <c r="BU382" s="20"/>
      <c r="BV382" s="20">
        <f>BT382-'Gov Fd BS'!AA382</f>
        <v>0</v>
      </c>
    </row>
    <row r="383" spans="1:74">
      <c r="A383" s="12" t="s">
        <v>502</v>
      </c>
      <c r="B383" s="12"/>
      <c r="C383" s="12" t="s">
        <v>50</v>
      </c>
      <c r="D383" s="12"/>
      <c r="E383" s="13">
        <v>48710</v>
      </c>
      <c r="G383" s="1">
        <v>4586838</v>
      </c>
      <c r="I383" s="1">
        <v>1334987</v>
      </c>
      <c r="K383" s="1">
        <v>0</v>
      </c>
      <c r="M383" s="1">
        <v>249328</v>
      </c>
      <c r="O383" s="1">
        <v>487047</v>
      </c>
      <c r="Q383" s="1">
        <v>691712</v>
      </c>
      <c r="S383" s="1">
        <v>66895</v>
      </c>
      <c r="U383" s="1">
        <v>826045</v>
      </c>
      <c r="W383" s="1">
        <v>277552</v>
      </c>
      <c r="Y383" s="1">
        <v>90394</v>
      </c>
      <c r="AA383" s="1">
        <v>1335705</v>
      </c>
      <c r="AC383" s="1">
        <v>456817</v>
      </c>
      <c r="AE383" s="1">
        <v>177514</v>
      </c>
      <c r="AG383" s="1">
        <v>394449</v>
      </c>
      <c r="AI383" s="1">
        <v>549</v>
      </c>
      <c r="AJ383" s="12" t="s">
        <v>502</v>
      </c>
      <c r="AK383" s="12"/>
      <c r="AL383" s="12" t="s">
        <v>50</v>
      </c>
      <c r="AN383" s="1">
        <v>329098</v>
      </c>
      <c r="AP383" s="1">
        <v>637</v>
      </c>
      <c r="AR383" s="1">
        <v>0</v>
      </c>
      <c r="AT383" s="1">
        <v>287459</v>
      </c>
      <c r="AV383" s="1">
        <v>190946</v>
      </c>
      <c r="AX383" s="1">
        <v>0</v>
      </c>
      <c r="AZ383" s="20">
        <f t="shared" si="33"/>
        <v>11783972</v>
      </c>
      <c r="BB383" s="1">
        <v>1961810</v>
      </c>
      <c r="BH383" s="1">
        <v>0</v>
      </c>
      <c r="BJ383" s="20">
        <f t="shared" si="35"/>
        <v>13745782</v>
      </c>
      <c r="BL383" s="20">
        <f>'Gov Fd Rv'!AO383-'Gov Fnd Exp'!BJ383</f>
        <v>559620</v>
      </c>
      <c r="BN383" s="1">
        <v>4291395</v>
      </c>
      <c r="BP383" s="1">
        <v>0</v>
      </c>
      <c r="BR383" s="1">
        <v>0</v>
      </c>
      <c r="BT383" s="20">
        <f t="shared" si="32"/>
        <v>4851015</v>
      </c>
      <c r="BU383" s="20"/>
      <c r="BV383" s="20">
        <f>BT383-'Gov Fd BS'!AA383</f>
        <v>0</v>
      </c>
    </row>
    <row r="384" spans="1:74" hidden="1">
      <c r="A384" s="12" t="s">
        <v>889</v>
      </c>
      <c r="B384" s="12"/>
      <c r="C384" s="12" t="s">
        <v>524</v>
      </c>
      <c r="D384" s="12"/>
      <c r="E384" s="13">
        <v>44479</v>
      </c>
      <c r="AJ384" s="12" t="s">
        <v>889</v>
      </c>
      <c r="AK384" s="12"/>
      <c r="AL384" s="12" t="s">
        <v>524</v>
      </c>
      <c r="AZ384" s="20">
        <f t="shared" si="33"/>
        <v>0</v>
      </c>
      <c r="BJ384" s="20">
        <f t="shared" si="35"/>
        <v>0</v>
      </c>
      <c r="BL384" s="20">
        <f>'Gov Fd Rv'!AO384-'Gov Fnd Exp'!BJ384</f>
        <v>0</v>
      </c>
      <c r="BT384" s="20">
        <f t="shared" si="32"/>
        <v>0</v>
      </c>
      <c r="BU384" s="20"/>
      <c r="BV384" s="20">
        <f>BT384-'Gov Fd BS'!AA384</f>
        <v>0</v>
      </c>
    </row>
    <row r="385" spans="1:74">
      <c r="A385" s="12" t="s">
        <v>405</v>
      </c>
      <c r="B385" s="12"/>
      <c r="C385" s="12" t="s">
        <v>37</v>
      </c>
      <c r="D385" s="12"/>
      <c r="E385" s="13">
        <v>47720</v>
      </c>
      <c r="G385" s="1">
        <v>4819930</v>
      </c>
      <c r="I385" s="1">
        <v>1036646</v>
      </c>
      <c r="K385" s="1">
        <v>359700</v>
      </c>
      <c r="M385" s="1">
        <f>19880+12031</f>
        <v>31911</v>
      </c>
      <c r="O385" s="1">
        <v>290575</v>
      </c>
      <c r="Q385" s="1">
        <v>620732</v>
      </c>
      <c r="S385" s="1">
        <v>18597</v>
      </c>
      <c r="U385" s="1">
        <v>724096</v>
      </c>
      <c r="W385" s="1">
        <v>256178</v>
      </c>
      <c r="Y385" s="1">
        <v>6904</v>
      </c>
      <c r="AA385" s="1">
        <v>891501</v>
      </c>
      <c r="AC385" s="1">
        <v>505770</v>
      </c>
      <c r="AE385" s="1">
        <v>0</v>
      </c>
      <c r="AG385" s="1">
        <v>383497</v>
      </c>
      <c r="AI385" s="1">
        <v>3696</v>
      </c>
      <c r="AJ385" s="12" t="s">
        <v>405</v>
      </c>
      <c r="AK385" s="12"/>
      <c r="AL385" s="12" t="s">
        <v>37</v>
      </c>
      <c r="AN385" s="1">
        <v>419606</v>
      </c>
      <c r="AP385" s="1">
        <v>20001</v>
      </c>
      <c r="AR385" s="1">
        <v>0</v>
      </c>
      <c r="AT385" s="1">
        <v>214286</v>
      </c>
      <c r="AV385" s="1">
        <v>81843</v>
      </c>
      <c r="AX385" s="1">
        <v>0</v>
      </c>
      <c r="AZ385" s="20">
        <f t="shared" si="33"/>
        <v>10685469</v>
      </c>
      <c r="BB385" s="1">
        <v>0</v>
      </c>
      <c r="BH385" s="1">
        <v>0</v>
      </c>
      <c r="BJ385" s="20">
        <f t="shared" si="35"/>
        <v>10685469</v>
      </c>
      <c r="BL385" s="20">
        <f>'Gov Fd Rv'!AO385-'Gov Fnd Exp'!BJ385</f>
        <v>96422</v>
      </c>
      <c r="BN385" s="1">
        <v>2758659</v>
      </c>
      <c r="BP385" s="1">
        <v>0</v>
      </c>
      <c r="BR385" s="1">
        <v>0</v>
      </c>
      <c r="BT385" s="20">
        <f t="shared" si="32"/>
        <v>2855081</v>
      </c>
      <c r="BU385" s="20"/>
      <c r="BV385" s="20">
        <f>BT385-'Gov Fd BS'!AA385</f>
        <v>0</v>
      </c>
    </row>
    <row r="386" spans="1:74">
      <c r="A386" s="12" t="s">
        <v>234</v>
      </c>
      <c r="B386" s="12"/>
      <c r="C386" s="12" t="s">
        <v>227</v>
      </c>
      <c r="D386" s="12"/>
      <c r="E386" s="13">
        <v>46136</v>
      </c>
      <c r="G386" s="1">
        <v>3306493</v>
      </c>
      <c r="I386" s="1">
        <v>532635</v>
      </c>
      <c r="K386" s="1">
        <v>0</v>
      </c>
      <c r="M386" s="1">
        <v>60020</v>
      </c>
      <c r="O386" s="1">
        <v>297261</v>
      </c>
      <c r="Q386" s="1">
        <v>262623</v>
      </c>
      <c r="S386" s="1">
        <v>49295</v>
      </c>
      <c r="U386" s="1">
        <v>932111</v>
      </c>
      <c r="W386" s="1">
        <v>192701</v>
      </c>
      <c r="Y386" s="1">
        <v>46306</v>
      </c>
      <c r="AA386" s="1">
        <v>874886</v>
      </c>
      <c r="AC386" s="1">
        <v>405438</v>
      </c>
      <c r="AE386" s="1">
        <v>1851</v>
      </c>
      <c r="AG386" s="1">
        <v>458720</v>
      </c>
      <c r="AI386" s="1">
        <v>0</v>
      </c>
      <c r="AJ386" s="12" t="s">
        <v>234</v>
      </c>
      <c r="AK386" s="12"/>
      <c r="AL386" s="12" t="s">
        <v>227</v>
      </c>
      <c r="AN386" s="1">
        <v>160068</v>
      </c>
      <c r="AP386" s="1">
        <v>285740</v>
      </c>
      <c r="AR386" s="1">
        <v>0</v>
      </c>
      <c r="AT386" s="1">
        <v>135241</v>
      </c>
      <c r="AV386" s="1">
        <f>57253+37778</f>
        <v>95031</v>
      </c>
      <c r="AX386" s="1">
        <v>0</v>
      </c>
      <c r="AZ386" s="20">
        <f t="shared" si="33"/>
        <v>8096420</v>
      </c>
      <c r="BB386" s="1">
        <v>74912</v>
      </c>
      <c r="BH386" s="1">
        <v>1314969</v>
      </c>
      <c r="BJ386" s="20">
        <f t="shared" si="35"/>
        <v>9486301</v>
      </c>
      <c r="BL386" s="20">
        <f>'Gov Fd Rv'!AO386-'Gov Fnd Exp'!BJ386</f>
        <v>163863</v>
      </c>
      <c r="BN386" s="1">
        <v>2897950</v>
      </c>
      <c r="BP386" s="1">
        <v>0</v>
      </c>
      <c r="BR386" s="1">
        <v>0</v>
      </c>
      <c r="BT386" s="20">
        <f t="shared" si="32"/>
        <v>3061813</v>
      </c>
      <c r="BU386" s="20"/>
      <c r="BV386" s="20">
        <f>BT386-'Gov Fd BS'!AA386</f>
        <v>0</v>
      </c>
    </row>
    <row r="387" spans="1:74">
      <c r="A387" s="12" t="s">
        <v>622</v>
      </c>
      <c r="B387" s="12"/>
      <c r="C387" s="12" t="s">
        <v>65</v>
      </c>
      <c r="D387" s="12"/>
      <c r="E387" s="13">
        <v>44487</v>
      </c>
      <c r="G387" s="1">
        <v>11437109</v>
      </c>
      <c r="I387" s="1">
        <v>2759557</v>
      </c>
      <c r="K387" s="1">
        <v>117998</v>
      </c>
      <c r="M387" s="1">
        <v>329826</v>
      </c>
      <c r="O387" s="1">
        <v>1338631</v>
      </c>
      <c r="Q387" s="1">
        <v>1039268</v>
      </c>
      <c r="S387" s="1">
        <v>57651</v>
      </c>
      <c r="U387" s="1">
        <v>2146940</v>
      </c>
      <c r="W387" s="1">
        <v>838460</v>
      </c>
      <c r="Y387" s="1">
        <v>0</v>
      </c>
      <c r="AA387" s="1">
        <v>2101283</v>
      </c>
      <c r="AC387" s="1">
        <v>880739</v>
      </c>
      <c r="AE387" s="1">
        <v>0</v>
      </c>
      <c r="AG387" s="1">
        <v>829303</v>
      </c>
      <c r="AI387" s="1">
        <v>411781</v>
      </c>
      <c r="AJ387" s="12" t="s">
        <v>622</v>
      </c>
      <c r="AK387" s="12"/>
      <c r="AL387" s="12" t="s">
        <v>65</v>
      </c>
      <c r="AN387" s="1">
        <v>968876</v>
      </c>
      <c r="AP387" s="1">
        <v>623569</v>
      </c>
      <c r="AR387" s="1">
        <v>0</v>
      </c>
      <c r="AT387" s="1">
        <v>576178</v>
      </c>
      <c r="AV387" s="1">
        <v>198439</v>
      </c>
      <c r="AX387" s="1">
        <v>0</v>
      </c>
      <c r="AZ387" s="20">
        <f t="shared" si="33"/>
        <v>26655608</v>
      </c>
      <c r="BB387" s="1">
        <v>455000</v>
      </c>
      <c r="BH387" s="1">
        <v>0</v>
      </c>
      <c r="BJ387" s="20">
        <f t="shared" si="35"/>
        <v>27110608</v>
      </c>
      <c r="BL387" s="20">
        <f>'Gov Fd Rv'!AO387-'Gov Fnd Exp'!BJ387</f>
        <v>1019359</v>
      </c>
      <c r="BN387" s="1">
        <v>7704329</v>
      </c>
      <c r="BP387" s="1">
        <v>0</v>
      </c>
      <c r="BR387" s="1">
        <v>0</v>
      </c>
      <c r="BT387" s="20">
        <f t="shared" si="32"/>
        <v>8723688</v>
      </c>
      <c r="BU387" s="20"/>
      <c r="BV387" s="20">
        <f>BT387-'Gov Fd BS'!AA387</f>
        <v>0</v>
      </c>
    </row>
    <row r="388" spans="1:74">
      <c r="A388" s="12" t="s">
        <v>256</v>
      </c>
      <c r="B388" s="12"/>
      <c r="C388" s="12" t="s">
        <v>115</v>
      </c>
      <c r="D388" s="12"/>
      <c r="E388" s="13">
        <v>45559</v>
      </c>
      <c r="G388" s="1">
        <v>13738480</v>
      </c>
      <c r="I388" s="1">
        <v>2973293</v>
      </c>
      <c r="K388" s="1">
        <v>0</v>
      </c>
      <c r="M388" s="1">
        <v>25860</v>
      </c>
      <c r="O388" s="1">
        <v>1346120</v>
      </c>
      <c r="Q388" s="1">
        <v>1201349</v>
      </c>
      <c r="S388" s="1">
        <v>102669</v>
      </c>
      <c r="U388" s="1">
        <v>1587467</v>
      </c>
      <c r="W388" s="1">
        <v>900395</v>
      </c>
      <c r="Y388" s="1">
        <v>0</v>
      </c>
      <c r="AA388" s="1">
        <v>3396970</v>
      </c>
      <c r="AC388" s="1">
        <v>1841156</v>
      </c>
      <c r="AE388" s="1">
        <v>338761</v>
      </c>
      <c r="AG388" s="1">
        <v>0</v>
      </c>
      <c r="AI388" s="1">
        <v>0</v>
      </c>
      <c r="AJ388" s="12" t="s">
        <v>256</v>
      </c>
      <c r="AK388" s="12"/>
      <c r="AL388" s="12" t="s">
        <v>115</v>
      </c>
      <c r="AN388" s="1">
        <v>496059</v>
      </c>
      <c r="AP388" s="1">
        <v>1398710</v>
      </c>
      <c r="AR388" s="1">
        <v>0</v>
      </c>
      <c r="AT388" s="1">
        <v>230000</v>
      </c>
      <c r="AV388" s="1">
        <v>5060</v>
      </c>
      <c r="AX388" s="1">
        <v>0</v>
      </c>
      <c r="AZ388" s="20">
        <f t="shared" si="33"/>
        <v>29582349</v>
      </c>
      <c r="BB388" s="1">
        <v>2410000</v>
      </c>
      <c r="BH388" s="1">
        <v>0</v>
      </c>
      <c r="BJ388" s="20">
        <f t="shared" si="35"/>
        <v>31992349</v>
      </c>
      <c r="BL388" s="20">
        <f>'Gov Fd Rv'!AO388-'Gov Fnd Exp'!BJ388</f>
        <v>-112003</v>
      </c>
      <c r="BN388" s="1">
        <v>17142781</v>
      </c>
      <c r="BP388" s="1">
        <v>0</v>
      </c>
      <c r="BR388" s="1">
        <v>0</v>
      </c>
      <c r="BT388" s="20">
        <f t="shared" si="32"/>
        <v>17030778</v>
      </c>
      <c r="BU388" s="20"/>
      <c r="BV388" s="20">
        <f>BT388-'Gov Fd BS'!AA388</f>
        <v>0</v>
      </c>
    </row>
    <row r="389" spans="1:74" hidden="1">
      <c r="A389" s="12" t="s">
        <v>888</v>
      </c>
      <c r="B389" s="12"/>
      <c r="C389" s="12" t="s">
        <v>60</v>
      </c>
      <c r="D389" s="12"/>
      <c r="E389" s="13">
        <v>49718</v>
      </c>
      <c r="AJ389" s="12" t="s">
        <v>888</v>
      </c>
      <c r="AK389" s="12"/>
      <c r="AL389" s="12" t="s">
        <v>60</v>
      </c>
      <c r="AZ389" s="20">
        <f t="shared" si="33"/>
        <v>0</v>
      </c>
      <c r="BJ389" s="20">
        <f t="shared" si="35"/>
        <v>0</v>
      </c>
      <c r="BL389" s="20">
        <f>'Gov Fd Rv'!AO389-'Gov Fnd Exp'!BJ389</f>
        <v>0</v>
      </c>
      <c r="BP389" s="1">
        <v>0</v>
      </c>
      <c r="BT389" s="20">
        <f t="shared" si="32"/>
        <v>0</v>
      </c>
      <c r="BU389" s="20"/>
      <c r="BV389" s="20">
        <f>BT389-'Gov Fd BS'!AA389</f>
        <v>0</v>
      </c>
    </row>
    <row r="390" spans="1:74">
      <c r="A390" s="12" t="s">
        <v>431</v>
      </c>
      <c r="B390" s="12"/>
      <c r="C390" s="12" t="s">
        <v>42</v>
      </c>
      <c r="D390" s="12"/>
      <c r="E390" s="12">
        <v>44453</v>
      </c>
      <c r="G390" s="1">
        <v>28345078</v>
      </c>
      <c r="I390" s="1">
        <v>8659439</v>
      </c>
      <c r="K390" s="1">
        <v>444955</v>
      </c>
      <c r="M390" s="1">
        <v>537611</v>
      </c>
      <c r="O390" s="1">
        <v>3164110</v>
      </c>
      <c r="Q390" s="1">
        <v>4481557</v>
      </c>
      <c r="S390" s="1">
        <v>209247</v>
      </c>
      <c r="U390" s="1">
        <v>3486223</v>
      </c>
      <c r="W390" s="1">
        <v>1152005</v>
      </c>
      <c r="Y390" s="1">
        <v>614141</v>
      </c>
      <c r="AA390" s="1">
        <v>5528513</v>
      </c>
      <c r="AC390" s="1">
        <v>2323704</v>
      </c>
      <c r="AE390" s="1">
        <v>818799</v>
      </c>
      <c r="AG390" s="1">
        <v>2213006</v>
      </c>
      <c r="AI390" s="1">
        <v>595149</v>
      </c>
      <c r="AJ390" s="12" t="s">
        <v>431</v>
      </c>
      <c r="AK390" s="12"/>
      <c r="AL390" s="12" t="s">
        <v>42</v>
      </c>
      <c r="AN390" s="1">
        <v>855746</v>
      </c>
      <c r="AP390" s="1">
        <v>14056143</v>
      </c>
      <c r="AR390" s="1">
        <v>0</v>
      </c>
      <c r="AT390" s="1">
        <v>1915000</v>
      </c>
      <c r="AV390" s="1">
        <v>2974338</v>
      </c>
      <c r="AX390" s="1">
        <v>0</v>
      </c>
      <c r="AZ390" s="20">
        <f t="shared" si="33"/>
        <v>82374764</v>
      </c>
      <c r="BB390" s="1">
        <v>1794890</v>
      </c>
      <c r="BH390" s="1">
        <v>0</v>
      </c>
      <c r="BJ390" s="20">
        <f t="shared" si="35"/>
        <v>84169654</v>
      </c>
      <c r="BL390" s="20">
        <f>'Gov Fd Rv'!AO390-'Gov Fnd Exp'!BJ390</f>
        <v>10533559</v>
      </c>
      <c r="BN390" s="1">
        <v>30149755</v>
      </c>
      <c r="BP390" s="1">
        <v>139</v>
      </c>
      <c r="BR390" s="1">
        <v>0</v>
      </c>
      <c r="BT390" s="20">
        <f t="shared" si="32"/>
        <v>40683453</v>
      </c>
      <c r="BU390" s="20"/>
      <c r="BV390" s="20">
        <f>BT390-'Gov Fd BS'!AA390</f>
        <v>0</v>
      </c>
    </row>
    <row r="391" spans="1:74">
      <c r="A391" s="12" t="s">
        <v>355</v>
      </c>
      <c r="B391" s="12"/>
      <c r="C391" s="12" t="s">
        <v>30</v>
      </c>
      <c r="D391" s="12"/>
      <c r="E391" s="13">
        <v>47217</v>
      </c>
      <c r="G391" s="1">
        <v>3899079</v>
      </c>
      <c r="I391" s="1">
        <v>979645</v>
      </c>
      <c r="K391" s="1">
        <v>53514</v>
      </c>
      <c r="M391" s="1">
        <v>4125</v>
      </c>
      <c r="O391" s="1">
        <v>376487</v>
      </c>
      <c r="Q391" s="1">
        <v>161697</v>
      </c>
      <c r="S391" s="1">
        <v>85795</v>
      </c>
      <c r="U391" s="1">
        <v>535228</v>
      </c>
      <c r="W391" s="1">
        <v>292945</v>
      </c>
      <c r="Y391" s="1">
        <v>0</v>
      </c>
      <c r="AA391" s="1">
        <v>722166</v>
      </c>
      <c r="AC391" s="1">
        <v>564435</v>
      </c>
      <c r="AE391" s="1">
        <v>90917</v>
      </c>
      <c r="AG391" s="1">
        <v>196125</v>
      </c>
      <c r="AI391" s="1">
        <v>153511</v>
      </c>
      <c r="AJ391" s="12" t="s">
        <v>355</v>
      </c>
      <c r="AK391" s="12"/>
      <c r="AL391" s="12" t="s">
        <v>30</v>
      </c>
      <c r="AN391" s="1">
        <v>301673</v>
      </c>
      <c r="AP391" s="1">
        <v>154383</v>
      </c>
      <c r="AR391" s="1">
        <v>0</v>
      </c>
      <c r="AT391" s="1">
        <v>0</v>
      </c>
      <c r="AV391" s="1">
        <v>0</v>
      </c>
      <c r="AX391" s="1">
        <v>0</v>
      </c>
      <c r="AZ391" s="20">
        <f t="shared" si="33"/>
        <v>8571725</v>
      </c>
      <c r="BB391" s="1">
        <v>78478</v>
      </c>
      <c r="BH391" s="1">
        <v>0</v>
      </c>
      <c r="BJ391" s="20">
        <f t="shared" si="35"/>
        <v>8650203</v>
      </c>
      <c r="BL391" s="20">
        <f>'Gov Fd Rv'!AO391-'Gov Fnd Exp'!BJ391</f>
        <v>-10573</v>
      </c>
      <c r="BN391" s="1">
        <v>1000971</v>
      </c>
      <c r="BP391" s="1">
        <v>0</v>
      </c>
      <c r="BR391" s="1">
        <v>0</v>
      </c>
      <c r="BT391" s="20">
        <f t="shared" si="32"/>
        <v>990398</v>
      </c>
      <c r="BU391" s="20"/>
      <c r="BV391" s="20">
        <f>BT391-'Gov Fd BS'!AA391</f>
        <v>0</v>
      </c>
    </row>
    <row r="392" spans="1:74">
      <c r="A392" s="12" t="s">
        <v>623</v>
      </c>
      <c r="B392" s="12"/>
      <c r="C392" s="12" t="s">
        <v>65</v>
      </c>
      <c r="D392" s="12"/>
      <c r="E392" s="13">
        <v>45542</v>
      </c>
      <c r="G392" s="1">
        <v>5179301</v>
      </c>
      <c r="I392" s="1">
        <v>1100885</v>
      </c>
      <c r="K392" s="1">
        <v>105589</v>
      </c>
      <c r="M392" s="1">
        <f>1234+425126</f>
        <v>426360</v>
      </c>
      <c r="O392" s="1">
        <v>383510</v>
      </c>
      <c r="Q392" s="1">
        <v>957173</v>
      </c>
      <c r="S392" s="1">
        <v>0</v>
      </c>
      <c r="U392" s="1">
        <v>1105332</v>
      </c>
      <c r="W392" s="1">
        <v>331606</v>
      </c>
      <c r="Y392" s="1">
        <v>0</v>
      </c>
      <c r="AA392" s="1">
        <v>1410441</v>
      </c>
      <c r="AC392" s="1">
        <v>573720</v>
      </c>
      <c r="AE392" s="1">
        <v>0</v>
      </c>
      <c r="AG392" s="1">
        <v>564835</v>
      </c>
      <c r="AI392" s="1">
        <v>23969</v>
      </c>
      <c r="AJ392" s="12" t="s">
        <v>623</v>
      </c>
      <c r="AK392" s="12"/>
      <c r="AL392" s="12" t="s">
        <v>65</v>
      </c>
      <c r="AN392" s="1">
        <v>302674</v>
      </c>
      <c r="AP392" s="1">
        <v>325237</v>
      </c>
      <c r="AR392" s="1">
        <v>0</v>
      </c>
      <c r="AT392" s="1">
        <v>221842</v>
      </c>
      <c r="AV392" s="1">
        <v>174275</v>
      </c>
      <c r="AX392" s="1">
        <v>0</v>
      </c>
      <c r="AZ392" s="20">
        <f t="shared" si="33"/>
        <v>13186749</v>
      </c>
      <c r="BB392" s="1">
        <v>2297</v>
      </c>
      <c r="BH392" s="1">
        <v>0</v>
      </c>
      <c r="BJ392" s="20">
        <f t="shared" si="35"/>
        <v>13189046</v>
      </c>
      <c r="BL392" s="20">
        <f>'Gov Fd Rv'!AO392-'Gov Fnd Exp'!BJ392</f>
        <v>-713081</v>
      </c>
      <c r="BN392" s="1">
        <v>753312</v>
      </c>
      <c r="BP392" s="1">
        <v>0</v>
      </c>
      <c r="BR392" s="1">
        <v>0</v>
      </c>
      <c r="BT392" s="20">
        <f t="shared" si="32"/>
        <v>40231</v>
      </c>
      <c r="BU392" s="20"/>
      <c r="BV392" s="20">
        <f>BT392-'Gov Fd BS'!AA392</f>
        <v>0</v>
      </c>
    </row>
    <row r="393" spans="1:74">
      <c r="A393" s="12" t="s">
        <v>614</v>
      </c>
      <c r="B393" s="12"/>
      <c r="C393" s="12" t="s">
        <v>64</v>
      </c>
      <c r="D393" s="12"/>
      <c r="E393" s="13">
        <v>45567</v>
      </c>
      <c r="G393" s="1">
        <v>5308343</v>
      </c>
      <c r="I393" s="1">
        <v>1714468</v>
      </c>
      <c r="K393" s="1">
        <v>173848</v>
      </c>
      <c r="M393" s="1">
        <f>1000+19936</f>
        <v>20936</v>
      </c>
      <c r="O393" s="1">
        <v>602379</v>
      </c>
      <c r="Q393" s="1">
        <v>394435</v>
      </c>
      <c r="S393" s="1">
        <v>90647</v>
      </c>
      <c r="U393" s="1">
        <v>1096174</v>
      </c>
      <c r="W393" s="1">
        <v>285744</v>
      </c>
      <c r="Y393" s="1">
        <v>0</v>
      </c>
      <c r="AA393" s="1">
        <v>1285772</v>
      </c>
      <c r="AC393" s="1">
        <v>755313</v>
      </c>
      <c r="AE393" s="1">
        <v>312558</v>
      </c>
      <c r="AG393" s="1">
        <v>478294</v>
      </c>
      <c r="AI393" s="1">
        <v>99601</v>
      </c>
      <c r="AJ393" s="12" t="s">
        <v>614</v>
      </c>
      <c r="AK393" s="12"/>
      <c r="AL393" s="12" t="s">
        <v>64</v>
      </c>
      <c r="AN393" s="1">
        <v>369697</v>
      </c>
      <c r="AP393" s="1">
        <v>87232</v>
      </c>
      <c r="AR393" s="1">
        <v>0</v>
      </c>
      <c r="AT393" s="1">
        <v>630000</v>
      </c>
      <c r="AV393" s="1">
        <v>187459</v>
      </c>
      <c r="AX393" s="1">
        <v>0</v>
      </c>
      <c r="AZ393" s="20">
        <f t="shared" si="33"/>
        <v>13892900</v>
      </c>
      <c r="BB393" s="1">
        <v>2721</v>
      </c>
      <c r="BH393" s="1">
        <v>0</v>
      </c>
      <c r="BJ393" s="20">
        <f t="shared" si="35"/>
        <v>13895621</v>
      </c>
      <c r="BL393" s="20">
        <f>'Gov Fd Rv'!AO393-'Gov Fnd Exp'!BJ393</f>
        <v>-226152</v>
      </c>
      <c r="BN393" s="1">
        <v>2717687</v>
      </c>
      <c r="BP393" s="1">
        <v>0</v>
      </c>
      <c r="BR393" s="1">
        <v>0</v>
      </c>
      <c r="BT393" s="20">
        <f t="shared" si="32"/>
        <v>2491535</v>
      </c>
      <c r="BU393" s="20"/>
      <c r="BV393" s="20">
        <f>BT393-'Gov Fd BS'!AA393</f>
        <v>0</v>
      </c>
    </row>
    <row r="394" spans="1:74" hidden="1">
      <c r="A394" s="12" t="s">
        <v>946</v>
      </c>
      <c r="B394" s="12"/>
      <c r="C394" s="12" t="s">
        <v>48</v>
      </c>
      <c r="D394" s="12"/>
      <c r="E394" s="13">
        <v>48637</v>
      </c>
      <c r="AJ394" s="12" t="s">
        <v>946</v>
      </c>
      <c r="AK394" s="12"/>
      <c r="AL394" s="12" t="s">
        <v>48</v>
      </c>
      <c r="AZ394" s="20">
        <f t="shared" si="33"/>
        <v>0</v>
      </c>
      <c r="BJ394" s="20">
        <f t="shared" si="35"/>
        <v>0</v>
      </c>
      <c r="BL394" s="20">
        <f>'Gov Fd Rv'!AO394-'Gov Fnd Exp'!BJ394</f>
        <v>0</v>
      </c>
      <c r="BT394" s="20">
        <f t="shared" si="32"/>
        <v>0</v>
      </c>
      <c r="BU394" s="20"/>
      <c r="BV394" s="20">
        <f>BT394-'Gov Fd BS'!AA394</f>
        <v>0</v>
      </c>
    </row>
    <row r="395" spans="1:74">
      <c r="A395" s="12" t="s">
        <v>723</v>
      </c>
      <c r="B395" s="12"/>
      <c r="C395" s="12" t="s">
        <v>64</v>
      </c>
      <c r="D395" s="12"/>
      <c r="E395" s="13"/>
      <c r="G395" s="1">
        <v>11869936</v>
      </c>
      <c r="I395" s="1">
        <v>3777465</v>
      </c>
      <c r="K395" s="1">
        <v>91012</v>
      </c>
      <c r="M395" s="1">
        <v>1091156</v>
      </c>
      <c r="O395" s="1">
        <v>1288346</v>
      </c>
      <c r="Q395" s="1">
        <v>1033590</v>
      </c>
      <c r="S395" s="1">
        <v>47355</v>
      </c>
      <c r="U395" s="1">
        <v>2453160</v>
      </c>
      <c r="W395" s="1">
        <v>692513</v>
      </c>
      <c r="Y395" s="1">
        <v>307139</v>
      </c>
      <c r="AA395" s="1">
        <v>2402300</v>
      </c>
      <c r="AC395" s="1">
        <v>895012</v>
      </c>
      <c r="AE395" s="1">
        <v>244626</v>
      </c>
      <c r="AG395" s="1">
        <v>1181452</v>
      </c>
      <c r="AI395" s="1">
        <v>156286</v>
      </c>
      <c r="AJ395" s="12" t="s">
        <v>723</v>
      </c>
      <c r="AK395" s="12"/>
      <c r="AL395" s="12" t="s">
        <v>64</v>
      </c>
      <c r="AN395" s="1">
        <v>467845</v>
      </c>
      <c r="AP395" s="1">
        <v>1865011</v>
      </c>
      <c r="AR395" s="1">
        <v>0</v>
      </c>
      <c r="AT395" s="1">
        <v>1151893</v>
      </c>
      <c r="AV395" s="1">
        <v>1004743</v>
      </c>
      <c r="AX395" s="1">
        <v>0</v>
      </c>
      <c r="AZ395" s="20">
        <f t="shared" si="33"/>
        <v>32020840</v>
      </c>
      <c r="BB395" s="1">
        <v>311</v>
      </c>
      <c r="BH395" s="1">
        <v>0</v>
      </c>
      <c r="BJ395" s="20">
        <f t="shared" si="35"/>
        <v>32021151</v>
      </c>
      <c r="BL395" s="20">
        <f>'Gov Fd Rv'!AO395-'Gov Fnd Exp'!BJ395</f>
        <v>3507683</v>
      </c>
      <c r="BN395" s="1">
        <v>20397343</v>
      </c>
      <c r="BP395" s="1">
        <v>0</v>
      </c>
      <c r="BR395" s="1">
        <v>0</v>
      </c>
      <c r="BT395" s="20">
        <f t="shared" si="32"/>
        <v>23905026</v>
      </c>
      <c r="BU395" s="20"/>
      <c r="BV395" s="20">
        <f>BT395-'Gov Fd BS'!AA395</f>
        <v>0</v>
      </c>
    </row>
    <row r="396" spans="1:74">
      <c r="A396" s="12" t="s">
        <v>518</v>
      </c>
      <c r="B396" s="12"/>
      <c r="C396" s="12" t="s">
        <v>52</v>
      </c>
      <c r="D396" s="12"/>
      <c r="E396" s="13">
        <v>48900</v>
      </c>
      <c r="G396" s="1">
        <v>4398095</v>
      </c>
      <c r="I396" s="1">
        <v>942907</v>
      </c>
      <c r="K396" s="1">
        <v>303018</v>
      </c>
      <c r="M396" s="1">
        <v>0</v>
      </c>
      <c r="O396" s="1">
        <v>346733</v>
      </c>
      <c r="Q396" s="1">
        <v>435190</v>
      </c>
      <c r="S396" s="1">
        <v>59141</v>
      </c>
      <c r="U396" s="1">
        <v>1167116</v>
      </c>
      <c r="W396" s="1">
        <v>395334</v>
      </c>
      <c r="Y396" s="1">
        <v>16041</v>
      </c>
      <c r="AA396" s="1">
        <v>842786</v>
      </c>
      <c r="AC396" s="1">
        <v>990587</v>
      </c>
      <c r="AE396" s="1">
        <v>5985</v>
      </c>
      <c r="AG396" s="1">
        <v>0</v>
      </c>
      <c r="AI396" s="1">
        <v>520017</v>
      </c>
      <c r="AJ396" s="12" t="s">
        <v>518</v>
      </c>
      <c r="AK396" s="12"/>
      <c r="AL396" s="12" t="s">
        <v>52</v>
      </c>
      <c r="AN396" s="1">
        <v>198263</v>
      </c>
      <c r="AP396" s="1">
        <v>17234</v>
      </c>
      <c r="AR396" s="1">
        <v>0</v>
      </c>
      <c r="AT396" s="1">
        <v>215653</v>
      </c>
      <c r="AV396" s="1">
        <v>11032</v>
      </c>
      <c r="AX396" s="1">
        <v>0</v>
      </c>
      <c r="AZ396" s="20">
        <f t="shared" si="33"/>
        <v>10865132</v>
      </c>
      <c r="BB396" s="1">
        <v>253231</v>
      </c>
      <c r="BH396" s="1">
        <v>0</v>
      </c>
      <c r="BJ396" s="20">
        <f t="shared" si="35"/>
        <v>11118363</v>
      </c>
      <c r="BL396" s="20">
        <f>'Gov Fd Rv'!AO396-'Gov Fnd Exp'!BJ396</f>
        <v>53539</v>
      </c>
      <c r="BN396" s="1">
        <v>975756</v>
      </c>
      <c r="BP396" s="1">
        <v>0</v>
      </c>
      <c r="BR396" s="1">
        <v>0</v>
      </c>
      <c r="BT396" s="20">
        <f t="shared" si="32"/>
        <v>1029295</v>
      </c>
      <c r="BU396" s="20"/>
      <c r="BV396" s="20">
        <f>BT396-'Gov Fd BS'!AA396</f>
        <v>0</v>
      </c>
    </row>
    <row r="397" spans="1:74">
      <c r="A397" s="12" t="s">
        <v>592</v>
      </c>
      <c r="B397" s="12"/>
      <c r="C397" s="12" t="s">
        <v>63</v>
      </c>
      <c r="D397" s="12"/>
      <c r="E397" s="13">
        <v>50047</v>
      </c>
      <c r="G397" s="1">
        <v>19116260</v>
      </c>
      <c r="I397" s="1">
        <v>4280289</v>
      </c>
      <c r="K397" s="1">
        <v>329358</v>
      </c>
      <c r="M397" s="1">
        <v>1025787</v>
      </c>
      <c r="O397" s="1">
        <v>3968206</v>
      </c>
      <c r="Q397" s="1">
        <v>1227556</v>
      </c>
      <c r="S397" s="1">
        <v>101028</v>
      </c>
      <c r="U397" s="1">
        <v>2772107</v>
      </c>
      <c r="W397" s="1">
        <v>1267239</v>
      </c>
      <c r="Y397" s="1">
        <v>274430</v>
      </c>
      <c r="AA397" s="1">
        <v>3659000</v>
      </c>
      <c r="AC397" s="1">
        <v>2772214</v>
      </c>
      <c r="AE397" s="1">
        <v>217259</v>
      </c>
      <c r="AG397" s="1">
        <v>1459847</v>
      </c>
      <c r="AI397" s="1">
        <v>486620</v>
      </c>
      <c r="AJ397" s="12" t="s">
        <v>592</v>
      </c>
      <c r="AK397" s="12"/>
      <c r="AL397" s="12" t="s">
        <v>63</v>
      </c>
      <c r="AN397" s="1">
        <v>1525698</v>
      </c>
      <c r="AP397" s="1">
        <v>5846315</v>
      </c>
      <c r="AR397" s="1">
        <v>0</v>
      </c>
      <c r="AT397" s="1">
        <v>2123497</v>
      </c>
      <c r="AV397" s="1">
        <v>1345096</v>
      </c>
      <c r="AX397" s="1">
        <v>0</v>
      </c>
      <c r="AZ397" s="20">
        <f t="shared" si="33"/>
        <v>53797806</v>
      </c>
      <c r="BB397" s="1">
        <v>35520</v>
      </c>
      <c r="BH397" s="1">
        <v>0</v>
      </c>
      <c r="BJ397" s="20">
        <f>AZ397+BB397+BH397</f>
        <v>53833326</v>
      </c>
      <c r="BL397" s="20">
        <f>'Gov Fd Rv'!AO397-'Gov Fnd Exp'!BJ397</f>
        <v>-9269300</v>
      </c>
      <c r="BN397" s="1">
        <v>20639382</v>
      </c>
      <c r="BP397" s="1">
        <v>0</v>
      </c>
      <c r="BR397" s="1">
        <v>0</v>
      </c>
      <c r="BT397" s="20">
        <f t="shared" si="32"/>
        <v>11370082</v>
      </c>
      <c r="BU397" s="20"/>
      <c r="BV397" s="20">
        <f>BT397-'Gov Fd BS'!AA397</f>
        <v>0</v>
      </c>
    </row>
    <row r="398" spans="1:74">
      <c r="A398" s="12" t="s">
        <v>648</v>
      </c>
      <c r="B398" s="12"/>
      <c r="C398" s="12" t="s">
        <v>72</v>
      </c>
      <c r="D398" s="12"/>
      <c r="E398" s="13">
        <v>50708</v>
      </c>
      <c r="G398" s="1">
        <v>2569314</v>
      </c>
      <c r="I398" s="1">
        <v>1867557</v>
      </c>
      <c r="K398" s="1">
        <v>0</v>
      </c>
      <c r="M398" s="1">
        <v>754260</v>
      </c>
      <c r="O398" s="1">
        <v>235836</v>
      </c>
      <c r="Q398" s="1">
        <v>450121</v>
      </c>
      <c r="S398" s="1">
        <v>176878</v>
      </c>
      <c r="U398" s="1">
        <v>625601</v>
      </c>
      <c r="W398" s="1">
        <v>308213</v>
      </c>
      <c r="Y398" s="1">
        <v>0</v>
      </c>
      <c r="AA398" s="1">
        <v>1591749</v>
      </c>
      <c r="AC398" s="1">
        <v>304779</v>
      </c>
      <c r="AE398" s="1">
        <v>0</v>
      </c>
      <c r="AG398" s="1">
        <v>265140</v>
      </c>
      <c r="AI398" s="1">
        <v>0</v>
      </c>
      <c r="AJ398" s="12" t="s">
        <v>648</v>
      </c>
      <c r="AK398" s="12"/>
      <c r="AL398" s="12" t="s">
        <v>72</v>
      </c>
      <c r="AN398" s="1">
        <v>271531</v>
      </c>
      <c r="AP398" s="1">
        <v>1233708</v>
      </c>
      <c r="AR398" s="1">
        <v>0</v>
      </c>
      <c r="AT398" s="1">
        <v>1820000</v>
      </c>
      <c r="AV398" s="1">
        <f>174508+454959</f>
        <v>629467</v>
      </c>
      <c r="AX398" s="1">
        <v>2400</v>
      </c>
      <c r="AZ398" s="20">
        <f t="shared" si="33"/>
        <v>13106554</v>
      </c>
      <c r="BB398" s="1">
        <v>4271</v>
      </c>
      <c r="BH398" s="1">
        <v>0</v>
      </c>
      <c r="BJ398" s="20">
        <f t="shared" si="35"/>
        <v>13110825</v>
      </c>
      <c r="BL398" s="20">
        <f>'Gov Fd Rv'!AO398-'Gov Fnd Exp'!BJ398</f>
        <v>12495230</v>
      </c>
      <c r="BN398" s="1">
        <v>1901526</v>
      </c>
      <c r="BP398" s="1">
        <v>0</v>
      </c>
      <c r="BR398" s="1">
        <v>0</v>
      </c>
      <c r="BT398" s="20">
        <f t="shared" si="32"/>
        <v>14396756</v>
      </c>
      <c r="BU398" s="20"/>
      <c r="BV398" s="20">
        <f>BT398-'Gov Fd BS'!AA398</f>
        <v>0</v>
      </c>
    </row>
    <row r="399" spans="1:74" hidden="1">
      <c r="A399" s="17" t="s">
        <v>887</v>
      </c>
      <c r="B399" s="12"/>
      <c r="C399" s="12" t="s">
        <v>53</v>
      </c>
      <c r="D399" s="12"/>
      <c r="E399" s="13">
        <v>48967</v>
      </c>
      <c r="AJ399" s="17" t="s">
        <v>887</v>
      </c>
      <c r="AK399" s="12"/>
      <c r="AL399" s="12" t="s">
        <v>53</v>
      </c>
      <c r="AZ399" s="20">
        <f t="shared" si="33"/>
        <v>0</v>
      </c>
      <c r="BJ399" s="20">
        <f t="shared" si="35"/>
        <v>0</v>
      </c>
      <c r="BL399" s="20">
        <f>'Gov Fd Rv'!AO399-'Gov Fnd Exp'!BJ399</f>
        <v>0</v>
      </c>
      <c r="BT399" s="20">
        <f t="shared" si="32"/>
        <v>0</v>
      </c>
      <c r="BU399" s="20"/>
      <c r="BV399" s="20">
        <f>BT399-'Gov Fd BS'!AA399</f>
        <v>0</v>
      </c>
    </row>
    <row r="400" spans="1:74">
      <c r="A400" s="12" t="s">
        <v>582</v>
      </c>
      <c r="B400" s="12"/>
      <c r="C400" s="12" t="s">
        <v>62</v>
      </c>
      <c r="D400" s="12"/>
      <c r="E400" s="13">
        <v>44503</v>
      </c>
      <c r="G400" s="1">
        <v>19486546</v>
      </c>
      <c r="I400" s="1">
        <v>3244596</v>
      </c>
      <c r="K400" s="1">
        <v>1676576</v>
      </c>
      <c r="M400" s="1">
        <f>51549+121685</f>
        <v>173234</v>
      </c>
      <c r="O400" s="1">
        <v>2767258</v>
      </c>
      <c r="Q400" s="1">
        <v>2582370</v>
      </c>
      <c r="S400" s="1">
        <v>24305</v>
      </c>
      <c r="U400" s="1">
        <v>3384694</v>
      </c>
      <c r="W400" s="1">
        <v>978272</v>
      </c>
      <c r="Y400" s="1">
        <v>5931</v>
      </c>
      <c r="AA400" s="1">
        <v>3668154</v>
      </c>
      <c r="AC400" s="1">
        <v>2630363</v>
      </c>
      <c r="AE400" s="1">
        <v>306104</v>
      </c>
      <c r="AG400" s="1">
        <v>1531152</v>
      </c>
      <c r="AI400" s="1">
        <v>246414</v>
      </c>
      <c r="AJ400" s="12" t="s">
        <v>582</v>
      </c>
      <c r="AK400" s="12"/>
      <c r="AL400" s="12" t="s">
        <v>62</v>
      </c>
      <c r="AN400" s="1">
        <v>1512668</v>
      </c>
      <c r="AP400" s="1">
        <v>218496</v>
      </c>
      <c r="AR400" s="1">
        <v>0</v>
      </c>
      <c r="AT400" s="1">
        <v>1782164</v>
      </c>
      <c r="AV400" s="1">
        <f>329615+222753</f>
        <v>552368</v>
      </c>
      <c r="AX400" s="1">
        <v>0</v>
      </c>
      <c r="AZ400" s="20">
        <f t="shared" si="33"/>
        <v>46771665</v>
      </c>
      <c r="BB400" s="1">
        <v>157211</v>
      </c>
      <c r="BH400" s="1">
        <v>13868966</v>
      </c>
      <c r="BJ400" s="20">
        <f t="shared" si="35"/>
        <v>60797842</v>
      </c>
      <c r="BL400" s="20">
        <f>'Gov Fd Rv'!AO400-'Gov Fnd Exp'!BJ400</f>
        <v>-719934</v>
      </c>
      <c r="BN400" s="1">
        <v>-323287</v>
      </c>
      <c r="BP400" s="1">
        <v>41556</v>
      </c>
      <c r="BR400" s="1">
        <v>0</v>
      </c>
      <c r="BT400" s="20">
        <f t="shared" si="32"/>
        <v>-1001665</v>
      </c>
      <c r="BU400" s="20"/>
      <c r="BV400" s="20">
        <f>BT400-'Gov Fd BS'!AA400</f>
        <v>0</v>
      </c>
    </row>
    <row r="401" spans="1:74" hidden="1">
      <c r="A401" s="17" t="s">
        <v>886</v>
      </c>
      <c r="B401" s="12"/>
      <c r="C401" s="12" t="s">
        <v>643</v>
      </c>
      <c r="D401" s="12"/>
      <c r="E401" s="13">
        <v>50641</v>
      </c>
      <c r="AJ401" s="17" t="s">
        <v>886</v>
      </c>
      <c r="AK401" s="12"/>
      <c r="AL401" s="12" t="s">
        <v>643</v>
      </c>
      <c r="AZ401" s="20">
        <f t="shared" si="33"/>
        <v>0</v>
      </c>
      <c r="BJ401" s="20">
        <f t="shared" si="35"/>
        <v>0</v>
      </c>
      <c r="BL401" s="20">
        <f>'Gov Fd Rv'!AO401-'Gov Fnd Exp'!BJ401</f>
        <v>0</v>
      </c>
      <c r="BT401" s="20">
        <f t="shared" si="32"/>
        <v>0</v>
      </c>
      <c r="BU401" s="20"/>
      <c r="BV401" s="20">
        <f>BT401-'Gov Fd BS'!AA401</f>
        <v>0</v>
      </c>
    </row>
    <row r="402" spans="1:74">
      <c r="A402" s="12" t="s">
        <v>369</v>
      </c>
      <c r="B402" s="12"/>
      <c r="C402" s="12" t="s">
        <v>32</v>
      </c>
      <c r="D402" s="12"/>
      <c r="E402" s="13">
        <v>44511</v>
      </c>
      <c r="G402" s="1">
        <v>5771945</v>
      </c>
      <c r="I402" s="1">
        <v>2502158</v>
      </c>
      <c r="K402" s="1">
        <v>48601</v>
      </c>
      <c r="M402" s="1">
        <f>16735+35302</f>
        <v>52037</v>
      </c>
      <c r="O402" s="1">
        <v>1139045</v>
      </c>
      <c r="Q402" s="1">
        <v>1744705</v>
      </c>
      <c r="S402" s="1">
        <v>53558</v>
      </c>
      <c r="U402" s="1">
        <v>1023961</v>
      </c>
      <c r="W402" s="1">
        <v>366455</v>
      </c>
      <c r="Y402" s="1">
        <v>11545</v>
      </c>
      <c r="AA402" s="1">
        <v>2184272</v>
      </c>
      <c r="AC402" s="1">
        <v>266618</v>
      </c>
      <c r="AE402" s="1">
        <v>52938</v>
      </c>
      <c r="AG402" s="1">
        <v>857194</v>
      </c>
      <c r="AI402" s="1">
        <v>62838</v>
      </c>
      <c r="AJ402" s="12" t="s">
        <v>369</v>
      </c>
      <c r="AK402" s="12"/>
      <c r="AL402" s="12" t="s">
        <v>32</v>
      </c>
      <c r="AN402" s="1">
        <v>358349</v>
      </c>
      <c r="AP402" s="1">
        <v>21630359</v>
      </c>
      <c r="AR402" s="1">
        <v>0</v>
      </c>
      <c r="AT402" s="1">
        <v>100000</v>
      </c>
      <c r="AV402" s="1">
        <v>414063</v>
      </c>
      <c r="AX402" s="1">
        <v>0</v>
      </c>
      <c r="AZ402" s="20">
        <f t="shared" si="33"/>
        <v>38640641</v>
      </c>
      <c r="BB402" s="1">
        <v>30000</v>
      </c>
      <c r="BH402" s="1">
        <v>0</v>
      </c>
      <c r="BJ402" s="20">
        <f t="shared" si="35"/>
        <v>38670641</v>
      </c>
      <c r="BL402" s="20">
        <f>'Gov Fd Rv'!AO402-'Gov Fnd Exp'!BJ402</f>
        <v>-14158672</v>
      </c>
      <c r="BN402" s="1">
        <v>25805415</v>
      </c>
      <c r="BP402" s="1">
        <v>0</v>
      </c>
      <c r="BR402" s="1">
        <v>0</v>
      </c>
      <c r="BT402" s="20">
        <f t="shared" si="32"/>
        <v>11646743</v>
      </c>
      <c r="BU402" s="20"/>
      <c r="BV402" s="20">
        <f>BT402-'Gov Fd BS'!AA402</f>
        <v>0</v>
      </c>
    </row>
    <row r="403" spans="1:74">
      <c r="A403" s="12" t="s">
        <v>432</v>
      </c>
      <c r="B403" s="12"/>
      <c r="C403" s="12" t="s">
        <v>42</v>
      </c>
      <c r="D403" s="12"/>
      <c r="E403" s="13">
        <v>48025</v>
      </c>
      <c r="G403" s="1">
        <v>5882218</v>
      </c>
      <c r="I403" s="1">
        <v>3169806</v>
      </c>
      <c r="K403" s="1">
        <v>282212</v>
      </c>
      <c r="M403" s="1">
        <v>211894</v>
      </c>
      <c r="O403" s="1">
        <v>1457245</v>
      </c>
      <c r="Q403" s="1">
        <v>236834</v>
      </c>
      <c r="S403" s="1">
        <v>46616</v>
      </c>
      <c r="U403" s="1">
        <v>1400786</v>
      </c>
      <c r="W403" s="1">
        <v>459138</v>
      </c>
      <c r="Y403" s="1">
        <v>0</v>
      </c>
      <c r="AA403" s="1">
        <v>1652954</v>
      </c>
      <c r="AC403" s="1">
        <v>1380973</v>
      </c>
      <c r="AE403" s="1">
        <v>507234</v>
      </c>
      <c r="AG403" s="1">
        <v>759801</v>
      </c>
      <c r="AI403" s="1">
        <v>0</v>
      </c>
      <c r="AJ403" s="12" t="s">
        <v>432</v>
      </c>
      <c r="AK403" s="12"/>
      <c r="AL403" s="12" t="s">
        <v>42</v>
      </c>
      <c r="AN403" s="1">
        <v>733873</v>
      </c>
      <c r="AP403" s="1">
        <v>25607</v>
      </c>
      <c r="AR403" s="1">
        <v>0</v>
      </c>
      <c r="AT403" s="1">
        <v>450000</v>
      </c>
      <c r="AV403" s="1">
        <v>386879</v>
      </c>
      <c r="AX403" s="1">
        <v>0</v>
      </c>
      <c r="AZ403" s="20">
        <f t="shared" si="33"/>
        <v>19044070</v>
      </c>
      <c r="BB403" s="1">
        <v>192340</v>
      </c>
      <c r="BH403" s="1">
        <v>0</v>
      </c>
      <c r="BJ403" s="20">
        <f t="shared" si="35"/>
        <v>19236410</v>
      </c>
      <c r="BL403" s="20">
        <f>'Gov Fd Rv'!AO403-'Gov Fnd Exp'!BJ403</f>
        <v>-371543</v>
      </c>
      <c r="BN403" s="1">
        <v>1575544</v>
      </c>
      <c r="BP403" s="1">
        <v>-3742</v>
      </c>
      <c r="BR403" s="1">
        <v>0</v>
      </c>
      <c r="BT403" s="20">
        <f t="shared" si="32"/>
        <v>1200259</v>
      </c>
      <c r="BU403" s="20"/>
      <c r="BV403" s="20">
        <f>BT403-'Gov Fd BS'!AA403</f>
        <v>0</v>
      </c>
    </row>
    <row r="404" spans="1:74">
      <c r="A404" s="12" t="s">
        <v>296</v>
      </c>
      <c r="B404" s="12"/>
      <c r="C404" s="12" t="s">
        <v>20</v>
      </c>
      <c r="D404" s="12"/>
      <c r="E404" s="13">
        <v>44529</v>
      </c>
      <c r="G404" s="1">
        <v>24401907</v>
      </c>
      <c r="I404" s="1">
        <v>7472724</v>
      </c>
      <c r="K404" s="1">
        <v>468509</v>
      </c>
      <c r="M404" s="1">
        <f>22162+345290</f>
        <v>367452</v>
      </c>
      <c r="O404" s="1">
        <v>5025884</v>
      </c>
      <c r="Q404" s="1">
        <v>1469968</v>
      </c>
      <c r="S404" s="1">
        <v>300183</v>
      </c>
      <c r="U404" s="1">
        <v>3308683</v>
      </c>
      <c r="W404" s="1">
        <v>1165677</v>
      </c>
      <c r="Y404" s="1">
        <v>141223</v>
      </c>
      <c r="AA404" s="1">
        <v>4706956</v>
      </c>
      <c r="AC404" s="1">
        <v>2352362</v>
      </c>
      <c r="AE404" s="1">
        <v>996014</v>
      </c>
      <c r="AG404" s="1">
        <v>1560668</v>
      </c>
      <c r="AI404" s="1">
        <v>438087</v>
      </c>
      <c r="AJ404" s="12" t="s">
        <v>296</v>
      </c>
      <c r="AK404" s="12"/>
      <c r="AL404" s="12" t="s">
        <v>20</v>
      </c>
      <c r="AN404" s="1">
        <v>1537321</v>
      </c>
      <c r="AP404" s="1">
        <v>0</v>
      </c>
      <c r="AR404" s="1">
        <v>0</v>
      </c>
      <c r="AT404" s="1">
        <v>85000</v>
      </c>
      <c r="AV404" s="1">
        <v>19465</v>
      </c>
      <c r="AX404" s="1">
        <v>0</v>
      </c>
      <c r="AZ404" s="20">
        <f t="shared" si="33"/>
        <v>55818083</v>
      </c>
      <c r="BB404" s="1">
        <v>948000</v>
      </c>
      <c r="BH404" s="1">
        <v>0</v>
      </c>
      <c r="BJ404" s="20">
        <f t="shared" si="35"/>
        <v>56766083</v>
      </c>
      <c r="BL404" s="20">
        <f>'Gov Fd Rv'!AO404-'Gov Fnd Exp'!BJ404</f>
        <v>-1667753</v>
      </c>
      <c r="BN404" s="1">
        <v>11231873</v>
      </c>
      <c r="BP404" s="1">
        <v>8004</v>
      </c>
      <c r="BR404" s="1">
        <v>0</v>
      </c>
      <c r="BT404" s="20">
        <f t="shared" si="32"/>
        <v>9572124</v>
      </c>
      <c r="BU404" s="20"/>
      <c r="BV404" s="20">
        <f>BT404-'Gov Fd BS'!AA404</f>
        <v>0</v>
      </c>
    </row>
    <row r="405" spans="1:74">
      <c r="A405" s="12" t="s">
        <v>445</v>
      </c>
      <c r="B405" s="12"/>
      <c r="C405" s="12" t="s">
        <v>44</v>
      </c>
      <c r="D405" s="12"/>
      <c r="E405" s="13">
        <v>44537</v>
      </c>
      <c r="G405" s="1">
        <v>14976223</v>
      </c>
      <c r="I405" s="1">
        <v>4560067</v>
      </c>
      <c r="K405" s="1">
        <v>310827</v>
      </c>
      <c r="M405" s="1">
        <v>1282756</v>
      </c>
      <c r="O405" s="1">
        <v>1775939</v>
      </c>
      <c r="Q405" s="1">
        <v>2856942</v>
      </c>
      <c r="S405" s="1">
        <v>85439</v>
      </c>
      <c r="U405" s="1">
        <v>2101998</v>
      </c>
      <c r="W405" s="1">
        <v>745082</v>
      </c>
      <c r="Y405" s="1">
        <v>276886</v>
      </c>
      <c r="AA405" s="1">
        <v>2892985</v>
      </c>
      <c r="AC405" s="1">
        <v>2535715</v>
      </c>
      <c r="AE405" s="1">
        <v>61890</v>
      </c>
      <c r="AG405" s="1">
        <v>1063779</v>
      </c>
      <c r="AI405" s="1">
        <v>402578</v>
      </c>
      <c r="AJ405" s="12" t="s">
        <v>445</v>
      </c>
      <c r="AK405" s="12"/>
      <c r="AL405" s="12" t="s">
        <v>44</v>
      </c>
      <c r="AN405" s="1">
        <v>766983</v>
      </c>
      <c r="AP405" s="1">
        <v>58999</v>
      </c>
      <c r="AR405" s="1">
        <v>0</v>
      </c>
      <c r="AT405" s="1">
        <v>154385</v>
      </c>
      <c r="AV405" s="1">
        <v>303963</v>
      </c>
      <c r="AX405" s="1">
        <v>0</v>
      </c>
      <c r="AZ405" s="20">
        <f t="shared" si="33"/>
        <v>37213436</v>
      </c>
      <c r="BB405" s="1">
        <v>108619</v>
      </c>
      <c r="BH405" s="1">
        <v>0</v>
      </c>
      <c r="BJ405" s="20">
        <f t="shared" si="35"/>
        <v>37322055</v>
      </c>
      <c r="BL405" s="20">
        <f>'Gov Fd Rv'!AO405-'Gov Fnd Exp'!BJ405</f>
        <v>-2186088</v>
      </c>
      <c r="BN405" s="1">
        <v>1972058</v>
      </c>
      <c r="BP405" s="1">
        <v>0</v>
      </c>
      <c r="BR405" s="1">
        <v>0</v>
      </c>
      <c r="BT405" s="20">
        <f t="shared" si="32"/>
        <v>-214030</v>
      </c>
      <c r="BU405" s="20"/>
      <c r="BV405" s="20">
        <f>BT405-'Gov Fd BS'!AA405</f>
        <v>0</v>
      </c>
    </row>
    <row r="406" spans="1:74">
      <c r="A406" s="12" t="s">
        <v>297</v>
      </c>
      <c r="B406" s="12"/>
      <c r="C406" s="12" t="s">
        <v>20</v>
      </c>
      <c r="D406" s="12"/>
      <c r="E406" s="13">
        <v>44545</v>
      </c>
      <c r="G406" s="1">
        <v>21295590</v>
      </c>
      <c r="I406" s="1">
        <v>4304154</v>
      </c>
      <c r="K406" s="1">
        <v>192427</v>
      </c>
      <c r="M406" s="1">
        <v>1901290</v>
      </c>
      <c r="O406" s="1">
        <v>2542093</v>
      </c>
      <c r="Q406" s="1">
        <v>1964190</v>
      </c>
      <c r="S406" s="1">
        <v>37330</v>
      </c>
      <c r="U406" s="1">
        <v>3333173</v>
      </c>
      <c r="W406" s="1">
        <v>1134329</v>
      </c>
      <c r="Y406" s="1">
        <v>310387</v>
      </c>
      <c r="AA406" s="1">
        <v>3239354</v>
      </c>
      <c r="AC406" s="1">
        <v>3361002</v>
      </c>
      <c r="AE406" s="1">
        <v>485603</v>
      </c>
      <c r="AG406" s="1">
        <v>1330059</v>
      </c>
      <c r="AI406" s="1">
        <v>721145</v>
      </c>
      <c r="AJ406" s="12" t="s">
        <v>297</v>
      </c>
      <c r="AK406" s="12"/>
      <c r="AL406" s="12" t="s">
        <v>20</v>
      </c>
      <c r="AN406" s="1">
        <v>994174</v>
      </c>
      <c r="AP406" s="1">
        <v>582324</v>
      </c>
      <c r="AR406" s="1">
        <v>0</v>
      </c>
      <c r="AT406" s="1">
        <v>525137</v>
      </c>
      <c r="AV406" s="1">
        <f>534382+774863</f>
        <v>1309245</v>
      </c>
      <c r="AX406" s="1">
        <v>0</v>
      </c>
      <c r="AZ406" s="20">
        <f t="shared" si="33"/>
        <v>49563006</v>
      </c>
      <c r="BB406" s="1">
        <v>226000</v>
      </c>
      <c r="BH406" s="1">
        <v>0</v>
      </c>
      <c r="BJ406" s="20">
        <f t="shared" si="35"/>
        <v>49789006</v>
      </c>
      <c r="BL406" s="20">
        <f>'Gov Fd Rv'!AO406-'Gov Fnd Exp'!BJ406</f>
        <v>2298487</v>
      </c>
      <c r="BN406" s="1">
        <v>9567259</v>
      </c>
      <c r="BP406" s="1">
        <v>0</v>
      </c>
      <c r="BR406" s="1">
        <v>0</v>
      </c>
      <c r="BT406" s="20">
        <f t="shared" si="32"/>
        <v>11865746</v>
      </c>
      <c r="BU406" s="20"/>
      <c r="BV406" s="20">
        <f>BT406-'Gov Fd BS'!AA406</f>
        <v>0</v>
      </c>
    </row>
    <row r="407" spans="1:74">
      <c r="A407" s="12" t="s">
        <v>627</v>
      </c>
      <c r="B407" s="12"/>
      <c r="C407" s="12" t="s">
        <v>66</v>
      </c>
      <c r="D407" s="12"/>
      <c r="E407" s="13">
        <v>50336</v>
      </c>
      <c r="G407" s="1">
        <v>6396757</v>
      </c>
      <c r="I407" s="1">
        <v>1563606</v>
      </c>
      <c r="K407" s="1">
        <v>874865</v>
      </c>
      <c r="M407" s="1">
        <v>0</v>
      </c>
      <c r="O407" s="1">
        <v>627667</v>
      </c>
      <c r="Q407" s="1">
        <v>1007739</v>
      </c>
      <c r="S407" s="1">
        <v>28710</v>
      </c>
      <c r="U407" s="1">
        <v>1068533</v>
      </c>
      <c r="W407" s="1">
        <v>475521</v>
      </c>
      <c r="Y407" s="1">
        <v>0</v>
      </c>
      <c r="AA407" s="1">
        <v>1913464</v>
      </c>
      <c r="AC407" s="1">
        <v>963274</v>
      </c>
      <c r="AE407" s="1">
        <v>14195</v>
      </c>
      <c r="AG407" s="1">
        <v>0</v>
      </c>
      <c r="AI407" s="1">
        <v>641270</v>
      </c>
      <c r="AJ407" s="12" t="s">
        <v>627</v>
      </c>
      <c r="AK407" s="12"/>
      <c r="AL407" s="12" t="s">
        <v>66</v>
      </c>
      <c r="AN407" s="1">
        <v>394879</v>
      </c>
      <c r="AP407" s="1">
        <v>1917364</v>
      </c>
      <c r="AR407" s="1">
        <v>0</v>
      </c>
      <c r="AT407" s="1">
        <v>465000</v>
      </c>
      <c r="AV407" s="1">
        <v>519970</v>
      </c>
      <c r="AX407" s="1">
        <v>0</v>
      </c>
      <c r="AZ407" s="20">
        <f t="shared" si="33"/>
        <v>18872814</v>
      </c>
      <c r="BB407" s="1">
        <v>100000</v>
      </c>
      <c r="BH407" s="1">
        <v>0</v>
      </c>
      <c r="BJ407" s="20">
        <f t="shared" si="35"/>
        <v>18972814</v>
      </c>
      <c r="BL407" s="20">
        <f>'Gov Fd Rv'!AO407-'Gov Fnd Exp'!BJ407</f>
        <v>-1589324</v>
      </c>
      <c r="BN407" s="1">
        <v>15974394</v>
      </c>
      <c r="BP407" s="1">
        <v>0</v>
      </c>
      <c r="BR407" s="1">
        <v>0</v>
      </c>
      <c r="BT407" s="20">
        <f t="shared" si="32"/>
        <v>14385070</v>
      </c>
      <c r="BU407" s="20"/>
      <c r="BV407" s="20">
        <f>BT407-'Gov Fd BS'!AA407</f>
        <v>0</v>
      </c>
    </row>
    <row r="408" spans="1:74">
      <c r="A408" s="12" t="s">
        <v>247</v>
      </c>
      <c r="B408" s="12"/>
      <c r="C408" s="12" t="s">
        <v>17</v>
      </c>
      <c r="D408" s="12"/>
      <c r="E408" s="13">
        <v>46250</v>
      </c>
      <c r="G408" s="1">
        <v>14206466</v>
      </c>
      <c r="I408" s="1">
        <v>3477166</v>
      </c>
      <c r="K408" s="1">
        <v>886938</v>
      </c>
      <c r="M408" s="1">
        <f>1861+22993+12516</f>
        <v>37370</v>
      </c>
      <c r="O408" s="1">
        <v>1752623</v>
      </c>
      <c r="Q408" s="1">
        <v>1775820</v>
      </c>
      <c r="S408" s="1">
        <v>63446</v>
      </c>
      <c r="U408" s="1">
        <v>2732379</v>
      </c>
      <c r="W408" s="1">
        <v>725546</v>
      </c>
      <c r="Y408" s="1">
        <v>0</v>
      </c>
      <c r="AA408" s="1">
        <v>2681575</v>
      </c>
      <c r="AC408" s="1">
        <v>1980890</v>
      </c>
      <c r="AE408" s="1">
        <v>63286</v>
      </c>
      <c r="AG408" s="1">
        <v>0</v>
      </c>
      <c r="AI408" s="1">
        <v>1334100</v>
      </c>
      <c r="AJ408" s="12" t="s">
        <v>247</v>
      </c>
      <c r="AK408" s="12"/>
      <c r="AL408" s="12" t="s">
        <v>17</v>
      </c>
      <c r="AN408" s="1">
        <v>996956</v>
      </c>
      <c r="AP408" s="1">
        <v>0</v>
      </c>
      <c r="AR408" s="1">
        <v>0</v>
      </c>
      <c r="AT408" s="1">
        <v>601355</v>
      </c>
      <c r="AV408" s="1">
        <v>198765</v>
      </c>
      <c r="AX408" s="1">
        <v>0</v>
      </c>
      <c r="AZ408" s="20">
        <f t="shared" si="33"/>
        <v>33514681</v>
      </c>
      <c r="BB408" s="1">
        <v>0</v>
      </c>
      <c r="BH408" s="1">
        <v>0</v>
      </c>
      <c r="BJ408" s="20">
        <f t="shared" si="35"/>
        <v>33514681</v>
      </c>
      <c r="BL408" s="20">
        <f>'Gov Fd Rv'!AO408-'Gov Fnd Exp'!BJ408</f>
        <v>338121</v>
      </c>
      <c r="BN408" s="1">
        <v>8262498</v>
      </c>
      <c r="BP408" s="1">
        <v>13878</v>
      </c>
      <c r="BR408" s="1">
        <v>0</v>
      </c>
      <c r="BT408" s="20">
        <f t="shared" si="32"/>
        <v>8614497</v>
      </c>
      <c r="BU408" s="20"/>
      <c r="BV408" s="20">
        <f>BT408-'Gov Fd BS'!AA408</f>
        <v>0</v>
      </c>
    </row>
    <row r="409" spans="1:74" s="16" customFormat="1" hidden="1">
      <c r="A409" s="17" t="s">
        <v>882</v>
      </c>
      <c r="B409" s="14"/>
      <c r="C409" s="14" t="s">
        <v>22</v>
      </c>
      <c r="D409" s="14"/>
      <c r="E409" s="14">
        <v>46722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7" t="s">
        <v>882</v>
      </c>
      <c r="AK409" s="14"/>
      <c r="AL409" s="14" t="s">
        <v>22</v>
      </c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20">
        <f t="shared" si="33"/>
        <v>0</v>
      </c>
      <c r="BA409" s="1"/>
      <c r="BB409" s="1"/>
      <c r="BC409" s="1"/>
      <c r="BD409" s="1"/>
      <c r="BE409" s="1"/>
      <c r="BF409" s="1"/>
      <c r="BG409" s="1"/>
      <c r="BH409" s="1"/>
      <c r="BI409" s="1"/>
      <c r="BJ409" s="20">
        <f t="shared" ref="BJ409:BJ430" si="36">AZ409+BB409+BH409</f>
        <v>0</v>
      </c>
      <c r="BK409" s="1"/>
      <c r="BL409" s="20">
        <f>'Gov Fd Rv'!AO409-'Gov Fnd Exp'!BJ409</f>
        <v>0</v>
      </c>
      <c r="BM409" s="1"/>
      <c r="BN409" s="1"/>
      <c r="BO409" s="1"/>
      <c r="BP409" s="1"/>
      <c r="BQ409" s="1"/>
      <c r="BR409" s="1"/>
      <c r="BS409" s="1"/>
      <c r="BT409" s="20">
        <f t="shared" si="32"/>
        <v>0</v>
      </c>
      <c r="BU409" s="20"/>
      <c r="BV409" s="20">
        <f>BT409-'Gov Fd BS'!AA409</f>
        <v>0</v>
      </c>
    </row>
    <row r="410" spans="1:74">
      <c r="A410" s="12" t="s">
        <v>503</v>
      </c>
      <c r="B410" s="12"/>
      <c r="C410" s="12" t="s">
        <v>50</v>
      </c>
      <c r="D410" s="12"/>
      <c r="E410" s="13">
        <v>48728</v>
      </c>
      <c r="G410" s="1">
        <v>24779075</v>
      </c>
      <c r="I410" s="1">
        <v>10716925</v>
      </c>
      <c r="K410" s="1">
        <v>303362</v>
      </c>
      <c r="M410" s="1">
        <v>5746</v>
      </c>
      <c r="O410" s="1">
        <v>3714498</v>
      </c>
      <c r="Q410" s="1">
        <v>570904</v>
      </c>
      <c r="S410" s="1">
        <v>56230</v>
      </c>
      <c r="U410" s="1">
        <v>3170557</v>
      </c>
      <c r="W410" s="1">
        <v>935063</v>
      </c>
      <c r="Y410" s="1">
        <v>423441</v>
      </c>
      <c r="AA410" s="1">
        <v>3621774</v>
      </c>
      <c r="AC410" s="1">
        <v>2040010</v>
      </c>
      <c r="AE410" s="1">
        <v>344586</v>
      </c>
      <c r="AG410" s="1">
        <v>0</v>
      </c>
      <c r="AI410" s="1">
        <v>3598476</v>
      </c>
      <c r="AJ410" s="12" t="s">
        <v>503</v>
      </c>
      <c r="AK410" s="12"/>
      <c r="AL410" s="12" t="s">
        <v>50</v>
      </c>
      <c r="AN410" s="1">
        <v>1083477</v>
      </c>
      <c r="AP410" s="1">
        <v>218581</v>
      </c>
      <c r="AR410" s="1">
        <v>0</v>
      </c>
      <c r="AT410" s="1">
        <v>310156</v>
      </c>
      <c r="AV410" s="1">
        <v>27737</v>
      </c>
      <c r="AX410" s="1">
        <v>0</v>
      </c>
      <c r="AZ410" s="20">
        <f t="shared" si="33"/>
        <v>55920598</v>
      </c>
      <c r="BB410" s="1">
        <v>5000</v>
      </c>
      <c r="BH410" s="1">
        <v>0</v>
      </c>
      <c r="BJ410" s="20">
        <f t="shared" si="36"/>
        <v>55925598</v>
      </c>
      <c r="BL410" s="20">
        <f>'Gov Fd Rv'!AO410-'Gov Fnd Exp'!BJ410</f>
        <v>114753</v>
      </c>
      <c r="BN410" s="1">
        <v>5648832</v>
      </c>
      <c r="BP410" s="1">
        <v>0</v>
      </c>
      <c r="BR410" s="1">
        <v>0</v>
      </c>
      <c r="BT410" s="20">
        <f t="shared" si="32"/>
        <v>5763585</v>
      </c>
      <c r="BU410" s="20"/>
      <c r="BV410" s="20">
        <f>BT410-'Gov Fd BS'!AA410</f>
        <v>0</v>
      </c>
    </row>
    <row r="411" spans="1:74">
      <c r="A411" s="12" t="s">
        <v>510</v>
      </c>
      <c r="B411" s="12"/>
      <c r="C411" s="12" t="s">
        <v>78</v>
      </c>
      <c r="D411" s="12"/>
      <c r="E411" s="13">
        <v>48819</v>
      </c>
      <c r="G411" s="1">
        <v>4828610</v>
      </c>
      <c r="I411" s="1">
        <v>1509960</v>
      </c>
      <c r="K411" s="1">
        <v>237032</v>
      </c>
      <c r="M411" s="1">
        <v>1172569</v>
      </c>
      <c r="O411" s="1">
        <v>343049</v>
      </c>
      <c r="Q411" s="1">
        <v>878526</v>
      </c>
      <c r="S411" s="1">
        <v>29187</v>
      </c>
      <c r="U411" s="1">
        <v>1007967</v>
      </c>
      <c r="W411" s="1">
        <v>518846</v>
      </c>
      <c r="Y411" s="1">
        <v>0</v>
      </c>
      <c r="AA411" s="1">
        <v>917624</v>
      </c>
      <c r="AC411" s="1">
        <v>811379</v>
      </c>
      <c r="AE411" s="1">
        <v>5941</v>
      </c>
      <c r="AG411" s="1">
        <v>377864</v>
      </c>
      <c r="AI411" s="1">
        <v>2282</v>
      </c>
      <c r="AJ411" s="12" t="s">
        <v>510</v>
      </c>
      <c r="AK411" s="12"/>
      <c r="AL411" s="12" t="s">
        <v>78</v>
      </c>
      <c r="AN411" s="1">
        <v>316299</v>
      </c>
      <c r="AP411" s="1">
        <v>12236770</v>
      </c>
      <c r="AR411" s="1">
        <v>0</v>
      </c>
      <c r="AT411" s="1">
        <v>80000</v>
      </c>
      <c r="AV411" s="1">
        <v>655963</v>
      </c>
      <c r="AX411" s="1">
        <v>0</v>
      </c>
      <c r="AZ411" s="20">
        <f t="shared" si="33"/>
        <v>25929868</v>
      </c>
      <c r="BB411" s="1">
        <v>0</v>
      </c>
      <c r="BH411" s="1">
        <v>0</v>
      </c>
      <c r="BJ411" s="20">
        <f t="shared" si="36"/>
        <v>25929868</v>
      </c>
      <c r="BL411" s="20">
        <f>'Gov Fd Rv'!AO411-'Gov Fnd Exp'!BJ411</f>
        <v>4143200</v>
      </c>
      <c r="BN411" s="1">
        <v>16405608</v>
      </c>
      <c r="BP411" s="1">
        <v>0</v>
      </c>
      <c r="BR411" s="1">
        <v>0</v>
      </c>
      <c r="BT411" s="20">
        <f t="shared" si="32"/>
        <v>20548808</v>
      </c>
      <c r="BU411" s="20"/>
      <c r="BV411" s="20">
        <f>BT411-'Gov Fd BS'!AA411</f>
        <v>0</v>
      </c>
    </row>
    <row r="412" spans="1:74">
      <c r="A412" s="12" t="s">
        <v>433</v>
      </c>
      <c r="B412" s="12"/>
      <c r="C412" s="17" t="s">
        <v>50</v>
      </c>
      <c r="D412" s="12"/>
      <c r="E412" s="13">
        <v>48033</v>
      </c>
      <c r="G412" s="1">
        <v>9201767</v>
      </c>
      <c r="I412" s="1">
        <v>2974407</v>
      </c>
      <c r="K412" s="1">
        <v>224634</v>
      </c>
      <c r="M412" s="1">
        <v>519425</v>
      </c>
      <c r="O412" s="1">
        <v>1768712</v>
      </c>
      <c r="Q412" s="1">
        <v>665091</v>
      </c>
      <c r="S412" s="1">
        <v>30200</v>
      </c>
      <c r="U412" s="1">
        <v>1809800</v>
      </c>
      <c r="W412" s="1">
        <v>405793</v>
      </c>
      <c r="Y412" s="1">
        <v>232592</v>
      </c>
      <c r="AA412" s="1">
        <v>2018244</v>
      </c>
      <c r="AC412" s="1">
        <v>1249904</v>
      </c>
      <c r="AE412" s="1">
        <v>67705</v>
      </c>
      <c r="AG412" s="1">
        <v>0</v>
      </c>
      <c r="AI412" s="1">
        <v>1037044</v>
      </c>
      <c r="AJ412" s="12" t="s">
        <v>433</v>
      </c>
      <c r="AK412" s="12"/>
      <c r="AL412" s="12" t="s">
        <v>50</v>
      </c>
      <c r="AN412" s="1">
        <v>569834</v>
      </c>
      <c r="AP412" s="1">
        <v>171447</v>
      </c>
      <c r="AR412" s="1">
        <v>0</v>
      </c>
      <c r="AT412" s="1">
        <v>240000</v>
      </c>
      <c r="AV412" s="1">
        <f>288208+120000</f>
        <v>408208</v>
      </c>
      <c r="AX412" s="1">
        <v>0</v>
      </c>
      <c r="AZ412" s="20">
        <f t="shared" si="33"/>
        <v>23594807</v>
      </c>
      <c r="BB412" s="1">
        <v>567</v>
      </c>
      <c r="BH412" s="1">
        <v>0</v>
      </c>
      <c r="BJ412" s="20">
        <f t="shared" si="36"/>
        <v>23595374</v>
      </c>
      <c r="BL412" s="20">
        <f>'Gov Fd Rv'!AO412-'Gov Fnd Exp'!BJ412</f>
        <v>-487997</v>
      </c>
      <c r="BN412" s="1">
        <v>8093883</v>
      </c>
      <c r="BP412" s="1">
        <v>0</v>
      </c>
      <c r="BR412" s="1">
        <v>0</v>
      </c>
      <c r="BT412" s="20">
        <f t="shared" si="32"/>
        <v>7605886</v>
      </c>
      <c r="BU412" s="20"/>
      <c r="BV412" s="20">
        <f>BT412-'Gov Fd BS'!AA412</f>
        <v>0</v>
      </c>
    </row>
    <row r="413" spans="1:74">
      <c r="A413" s="12" t="s">
        <v>433</v>
      </c>
      <c r="B413" s="12"/>
      <c r="C413" s="12" t="s">
        <v>42</v>
      </c>
      <c r="D413" s="12"/>
      <c r="E413" s="13">
        <v>48736</v>
      </c>
      <c r="G413" s="1">
        <v>5392979</v>
      </c>
      <c r="I413" s="1">
        <v>1076133</v>
      </c>
      <c r="K413" s="1">
        <v>150075</v>
      </c>
      <c r="M413" s="1">
        <v>130315</v>
      </c>
      <c r="O413" s="1">
        <v>575620</v>
      </c>
      <c r="Q413" s="1">
        <v>444045</v>
      </c>
      <c r="S413" s="1">
        <v>49700</v>
      </c>
      <c r="U413" s="1">
        <v>978135</v>
      </c>
      <c r="W413" s="1">
        <v>396626</v>
      </c>
      <c r="Y413" s="1">
        <v>0</v>
      </c>
      <c r="AA413" s="1">
        <v>952482</v>
      </c>
      <c r="AC413" s="1">
        <v>1437502</v>
      </c>
      <c r="AE413" s="1">
        <v>131257</v>
      </c>
      <c r="AG413" s="1">
        <v>379160</v>
      </c>
      <c r="AI413" s="1">
        <v>4022</v>
      </c>
      <c r="AJ413" s="12" t="s">
        <v>433</v>
      </c>
      <c r="AK413" s="12"/>
      <c r="AL413" s="12" t="s">
        <v>42</v>
      </c>
      <c r="AN413" s="1">
        <v>242839</v>
      </c>
      <c r="AP413" s="1">
        <v>219121</v>
      </c>
      <c r="AR413" s="1">
        <v>0</v>
      </c>
      <c r="AT413" s="1">
        <v>516004</v>
      </c>
      <c r="AV413" s="1">
        <v>296623</v>
      </c>
      <c r="AX413" s="1">
        <v>0</v>
      </c>
      <c r="AZ413" s="20">
        <f t="shared" si="33"/>
        <v>13372638</v>
      </c>
      <c r="BB413" s="1">
        <v>50000</v>
      </c>
      <c r="BH413" s="1">
        <v>0</v>
      </c>
      <c r="BJ413" s="20">
        <f t="shared" si="36"/>
        <v>13422638</v>
      </c>
      <c r="BL413" s="20">
        <f>'Gov Fd Rv'!AO413-'Gov Fnd Exp'!BJ413</f>
        <v>2790324</v>
      </c>
      <c r="BN413" s="1">
        <v>1255900</v>
      </c>
      <c r="BP413" s="1">
        <v>0</v>
      </c>
      <c r="BR413" s="1">
        <v>0</v>
      </c>
      <c r="BT413" s="20">
        <f t="shared" si="32"/>
        <v>4046224</v>
      </c>
      <c r="BU413" s="20"/>
      <c r="BV413" s="20">
        <f>BT413-'Gov Fd BS'!AA413</f>
        <v>0</v>
      </c>
    </row>
    <row r="414" spans="1:74">
      <c r="A414" s="12" t="s">
        <v>370</v>
      </c>
      <c r="B414" s="12"/>
      <c r="C414" s="12" t="s">
        <v>32</v>
      </c>
      <c r="D414" s="12"/>
      <c r="E414" s="13">
        <v>47365</v>
      </c>
      <c r="G414" s="1">
        <v>39495493</v>
      </c>
      <c r="I414" s="1">
        <v>10762589</v>
      </c>
      <c r="K414" s="1">
        <v>100430</v>
      </c>
      <c r="M414" s="1">
        <v>1271259</v>
      </c>
      <c r="O414" s="1">
        <v>5764624</v>
      </c>
      <c r="Q414" s="1">
        <v>6217440</v>
      </c>
      <c r="S414" s="1">
        <v>156491</v>
      </c>
      <c r="U414" s="1">
        <v>5556745</v>
      </c>
      <c r="W414" s="1">
        <v>1581978</v>
      </c>
      <c r="Y414" s="1">
        <v>597116</v>
      </c>
      <c r="AA414" s="1">
        <v>7775726</v>
      </c>
      <c r="AC414" s="1">
        <v>5414416</v>
      </c>
      <c r="AE414" s="1">
        <v>1990288</v>
      </c>
      <c r="AG414" s="1">
        <v>0</v>
      </c>
      <c r="AI414" s="1">
        <v>6711371</v>
      </c>
      <c r="AJ414" s="12" t="s">
        <v>370</v>
      </c>
      <c r="AK414" s="12"/>
      <c r="AL414" s="12" t="s">
        <v>32</v>
      </c>
      <c r="AN414" s="1">
        <v>1859708</v>
      </c>
      <c r="AP414" s="1">
        <v>990767</v>
      </c>
      <c r="AR414" s="1">
        <v>0</v>
      </c>
      <c r="AT414" s="1">
        <v>1351679</v>
      </c>
      <c r="AV414" s="1">
        <v>881907</v>
      </c>
      <c r="AX414" s="1">
        <v>0</v>
      </c>
      <c r="AZ414" s="20">
        <f t="shared" si="33"/>
        <v>98480027</v>
      </c>
      <c r="BB414" s="1">
        <v>61649</v>
      </c>
      <c r="BH414" s="1">
        <v>0</v>
      </c>
      <c r="BJ414" s="20">
        <f t="shared" si="36"/>
        <v>98541676</v>
      </c>
      <c r="BL414" s="20">
        <f>'Gov Fd Rv'!AO414-'Gov Fnd Exp'!BJ414</f>
        <v>1429458</v>
      </c>
      <c r="BN414" s="1">
        <v>25968068</v>
      </c>
      <c r="BP414" s="1">
        <v>0</v>
      </c>
      <c r="BR414" s="1">
        <v>0</v>
      </c>
      <c r="BT414" s="20">
        <f t="shared" si="32"/>
        <v>27397526</v>
      </c>
      <c r="BU414" s="20"/>
      <c r="BV414" s="20">
        <f>BT414-'Gov Fd BS'!AA414</f>
        <v>0</v>
      </c>
    </row>
    <row r="415" spans="1:74">
      <c r="A415" s="12" t="s">
        <v>370</v>
      </c>
      <c r="B415" s="12"/>
      <c r="C415" s="12" t="s">
        <v>59</v>
      </c>
      <c r="D415" s="12"/>
      <c r="E415" s="13">
        <v>49635</v>
      </c>
      <c r="G415" s="1">
        <v>7635802</v>
      </c>
      <c r="I415" s="1">
        <v>1536533</v>
      </c>
      <c r="K415" s="1">
        <v>83644</v>
      </c>
      <c r="M415" s="1">
        <v>516268</v>
      </c>
      <c r="O415" s="1">
        <v>692925</v>
      </c>
      <c r="Q415" s="1">
        <v>1186803</v>
      </c>
      <c r="S415" s="1">
        <v>89885</v>
      </c>
      <c r="U415" s="1">
        <v>1052738</v>
      </c>
      <c r="W415" s="1">
        <v>328354</v>
      </c>
      <c r="Y415" s="1">
        <v>0</v>
      </c>
      <c r="AA415" s="1">
        <v>1821297</v>
      </c>
      <c r="AC415" s="1">
        <v>1894004</v>
      </c>
      <c r="AE415" s="1">
        <v>84624</v>
      </c>
      <c r="AG415" s="1">
        <v>0</v>
      </c>
      <c r="AI415" s="1">
        <v>815905</v>
      </c>
      <c r="AJ415" s="12" t="s">
        <v>370</v>
      </c>
      <c r="AK415" s="12"/>
      <c r="AL415" s="12" t="s">
        <v>59</v>
      </c>
      <c r="AN415" s="1">
        <v>314091</v>
      </c>
      <c r="AP415" s="1">
        <v>212569</v>
      </c>
      <c r="AR415" s="1">
        <v>0</v>
      </c>
      <c r="AT415" s="1">
        <v>459000</v>
      </c>
      <c r="AV415" s="1">
        <v>104783</v>
      </c>
      <c r="AX415" s="1">
        <v>0</v>
      </c>
      <c r="AZ415" s="20">
        <f t="shared" si="33"/>
        <v>18829225</v>
      </c>
      <c r="BB415" s="1">
        <v>1156511</v>
      </c>
      <c r="BH415" s="1">
        <v>0</v>
      </c>
      <c r="BJ415" s="20">
        <f t="shared" si="36"/>
        <v>19985736</v>
      </c>
      <c r="BL415" s="20">
        <f>'Gov Fd Rv'!AO415-'Gov Fnd Exp'!BJ415</f>
        <v>-825523</v>
      </c>
      <c r="BN415" s="1">
        <v>2646716</v>
      </c>
      <c r="BP415" s="1">
        <v>0</v>
      </c>
      <c r="BR415" s="1">
        <v>0</v>
      </c>
      <c r="BT415" s="20">
        <f t="shared" si="32"/>
        <v>1821193</v>
      </c>
      <c r="BU415" s="20"/>
      <c r="BV415" s="20">
        <f>BT415-'Gov Fd BS'!AA415</f>
        <v>0</v>
      </c>
    </row>
    <row r="416" spans="1:74">
      <c r="A416" s="12" t="s">
        <v>370</v>
      </c>
      <c r="B416" s="12"/>
      <c r="C416" s="12" t="s">
        <v>62</v>
      </c>
      <c r="D416" s="12"/>
      <c r="E416" s="13">
        <v>49908</v>
      </c>
      <c r="G416" s="1">
        <v>8946556</v>
      </c>
      <c r="I416" s="1">
        <v>2265364</v>
      </c>
      <c r="K416" s="1">
        <v>207332</v>
      </c>
      <c r="M416" s="1">
        <v>107578</v>
      </c>
      <c r="O416" s="1">
        <v>857295</v>
      </c>
      <c r="Q416" s="1">
        <v>119431</v>
      </c>
      <c r="S416" s="1">
        <v>97137</v>
      </c>
      <c r="U416" s="1">
        <v>1663598</v>
      </c>
      <c r="W416" s="1">
        <v>434175</v>
      </c>
      <c r="Y416" s="1">
        <v>0</v>
      </c>
      <c r="AA416" s="1">
        <v>1677550</v>
      </c>
      <c r="AC416" s="1">
        <v>825208</v>
      </c>
      <c r="AE416" s="1">
        <v>317102</v>
      </c>
      <c r="AG416" s="1">
        <v>673434</v>
      </c>
      <c r="AI416" s="1">
        <v>156391</v>
      </c>
      <c r="AJ416" s="12" t="s">
        <v>370</v>
      </c>
      <c r="AK416" s="12"/>
      <c r="AL416" s="12" t="s">
        <v>62</v>
      </c>
      <c r="AN416" s="1">
        <v>381165</v>
      </c>
      <c r="AP416" s="1">
        <v>977039</v>
      </c>
      <c r="AR416" s="1">
        <v>0</v>
      </c>
      <c r="AT416" s="1">
        <v>705000</v>
      </c>
      <c r="AV416" s="1">
        <v>1012102</v>
      </c>
      <c r="AX416" s="1">
        <v>0</v>
      </c>
      <c r="AZ416" s="20">
        <f t="shared" si="33"/>
        <v>21423457</v>
      </c>
      <c r="BB416" s="1">
        <v>0</v>
      </c>
      <c r="BH416" s="1">
        <v>0</v>
      </c>
      <c r="BJ416" s="20">
        <f t="shared" si="36"/>
        <v>21423457</v>
      </c>
      <c r="BL416" s="20">
        <f>'Gov Fd Rv'!AO416-'Gov Fnd Exp'!BJ416</f>
        <v>3644295</v>
      </c>
      <c r="BN416" s="1">
        <v>-2004153</v>
      </c>
      <c r="BP416" s="1">
        <v>19616</v>
      </c>
      <c r="BR416" s="1">
        <v>0</v>
      </c>
      <c r="BT416" s="20">
        <f t="shared" si="32"/>
        <v>1659758</v>
      </c>
      <c r="BU416" s="20"/>
      <c r="BV416" s="20">
        <f>BT416-'Gov Fd BS'!AA416</f>
        <v>0</v>
      </c>
    </row>
    <row r="417" spans="1:74">
      <c r="A417" s="12" t="s">
        <v>248</v>
      </c>
      <c r="B417" s="12"/>
      <c r="C417" s="12" t="s">
        <v>17</v>
      </c>
      <c r="D417" s="12"/>
      <c r="E417" s="13">
        <v>46268</v>
      </c>
      <c r="G417" s="1">
        <v>7782930</v>
      </c>
      <c r="I417" s="1">
        <v>2117800</v>
      </c>
      <c r="K417" s="1">
        <v>0</v>
      </c>
      <c r="M417" s="1">
        <v>6498</v>
      </c>
      <c r="O417" s="1">
        <v>680918</v>
      </c>
      <c r="Q417" s="1">
        <v>710864</v>
      </c>
      <c r="S417" s="1">
        <v>74347</v>
      </c>
      <c r="U417" s="1">
        <v>1170876</v>
      </c>
      <c r="W417" s="1">
        <v>415940</v>
      </c>
      <c r="Y417" s="1">
        <v>0</v>
      </c>
      <c r="AA417" s="1">
        <v>1333632</v>
      </c>
      <c r="AC417" s="1">
        <v>1258935</v>
      </c>
      <c r="AE417" s="1">
        <v>228624</v>
      </c>
      <c r="AG417" s="1">
        <v>0</v>
      </c>
      <c r="AI417" s="1">
        <v>618673</v>
      </c>
      <c r="AJ417" s="12" t="s">
        <v>248</v>
      </c>
      <c r="AK417" s="12"/>
      <c r="AL417" s="12" t="s">
        <v>17</v>
      </c>
      <c r="AN417" s="1">
        <v>438525</v>
      </c>
      <c r="AP417" s="1">
        <v>733665</v>
      </c>
      <c r="AR417" s="1">
        <v>0</v>
      </c>
      <c r="AT417" s="1">
        <v>120000</v>
      </c>
      <c r="AV417" s="1">
        <v>340946</v>
      </c>
      <c r="AX417" s="1">
        <v>0</v>
      </c>
      <c r="AZ417" s="20">
        <f t="shared" si="33"/>
        <v>18033173</v>
      </c>
      <c r="BB417" s="1">
        <v>0</v>
      </c>
      <c r="BH417" s="1">
        <v>0</v>
      </c>
      <c r="BJ417" s="20">
        <f t="shared" si="36"/>
        <v>18033173</v>
      </c>
      <c r="BL417" s="20">
        <f>'Gov Fd Rv'!AO417-'Gov Fnd Exp'!BJ417</f>
        <v>14509925</v>
      </c>
      <c r="BN417" s="1">
        <v>2859929</v>
      </c>
      <c r="BP417" s="1">
        <v>0</v>
      </c>
      <c r="BR417" s="1">
        <v>0</v>
      </c>
      <c r="BT417" s="20">
        <f t="shared" si="32"/>
        <v>17369854</v>
      </c>
      <c r="BU417" s="20"/>
      <c r="BV417" s="20">
        <f>BT417-'Gov Fd BS'!AA417</f>
        <v>0</v>
      </c>
    </row>
    <row r="418" spans="1:74" hidden="1">
      <c r="A418" s="17" t="s">
        <v>947</v>
      </c>
      <c r="B418" s="12"/>
      <c r="C418" s="12" t="s">
        <v>71</v>
      </c>
      <c r="D418" s="12"/>
      <c r="E418" s="13"/>
      <c r="AJ418" s="17" t="s">
        <v>947</v>
      </c>
      <c r="AK418" s="12"/>
      <c r="AL418" s="12" t="s">
        <v>71</v>
      </c>
      <c r="AZ418" s="20">
        <f t="shared" ref="AZ418" si="37">SUM(G418:AX418)</f>
        <v>0</v>
      </c>
      <c r="BJ418" s="20">
        <f t="shared" ref="BJ418" si="38">AZ418+BB418+BH418</f>
        <v>0</v>
      </c>
      <c r="BL418" s="20">
        <f>'Gov Fd Rv'!AO418-'Gov Fnd Exp'!BJ418</f>
        <v>0</v>
      </c>
      <c r="BT418" s="20">
        <f t="shared" ref="BT418" si="39">BL418+BN418+BP418+BR418</f>
        <v>0</v>
      </c>
      <c r="BU418" s="20"/>
      <c r="BV418" s="20">
        <f>BT418-'Gov Fd BS'!AA418</f>
        <v>0</v>
      </c>
    </row>
    <row r="419" spans="1:74">
      <c r="A419" s="12" t="s">
        <v>649</v>
      </c>
      <c r="B419" s="12"/>
      <c r="C419" s="12" t="s">
        <v>72</v>
      </c>
      <c r="D419" s="12"/>
      <c r="E419" s="13">
        <v>50716</v>
      </c>
      <c r="G419" s="1">
        <v>4652547</v>
      </c>
      <c r="I419" s="1">
        <v>1486085</v>
      </c>
      <c r="K419" s="1">
        <v>170415</v>
      </c>
      <c r="M419" s="1">
        <v>0</v>
      </c>
      <c r="O419" s="1">
        <v>403980</v>
      </c>
      <c r="Q419" s="1">
        <v>521460</v>
      </c>
      <c r="S419" s="1">
        <v>14644</v>
      </c>
      <c r="U419" s="1">
        <v>828774</v>
      </c>
      <c r="W419" s="1">
        <v>353515</v>
      </c>
      <c r="Y419" s="1">
        <v>642</v>
      </c>
      <c r="AA419" s="1">
        <v>958245</v>
      </c>
      <c r="AC419" s="1">
        <v>447831</v>
      </c>
      <c r="AE419" s="1">
        <v>21903</v>
      </c>
      <c r="AG419" s="1">
        <v>0</v>
      </c>
      <c r="AI419" s="1">
        <v>421021</v>
      </c>
      <c r="AJ419" s="12" t="s">
        <v>649</v>
      </c>
      <c r="AK419" s="12"/>
      <c r="AL419" s="12" t="s">
        <v>72</v>
      </c>
      <c r="AN419" s="1">
        <v>378058</v>
      </c>
      <c r="AP419" s="1">
        <v>284653</v>
      </c>
      <c r="AR419" s="1">
        <v>0</v>
      </c>
      <c r="AT419" s="1">
        <v>355000</v>
      </c>
      <c r="AV419" s="1">
        <v>50522</v>
      </c>
      <c r="AX419" s="1">
        <v>0</v>
      </c>
      <c r="AZ419" s="20">
        <f t="shared" si="33"/>
        <v>11349295</v>
      </c>
      <c r="BB419" s="1">
        <v>117532</v>
      </c>
      <c r="BH419" s="1">
        <v>0</v>
      </c>
      <c r="BJ419" s="20">
        <f t="shared" si="36"/>
        <v>11466827</v>
      </c>
      <c r="BL419" s="20">
        <f>'Gov Fd Rv'!AO419-'Gov Fnd Exp'!BJ419</f>
        <v>82040</v>
      </c>
      <c r="BN419" s="1">
        <v>3161241</v>
      </c>
      <c r="BP419" s="1">
        <v>0</v>
      </c>
      <c r="BR419" s="1">
        <v>0</v>
      </c>
      <c r="BT419" s="20">
        <f t="shared" si="32"/>
        <v>3243281</v>
      </c>
      <c r="BU419" s="20"/>
      <c r="BV419" s="20">
        <f>BT419-'Gov Fd BS'!AA419</f>
        <v>0</v>
      </c>
    </row>
    <row r="420" spans="1:74">
      <c r="A420" s="12" t="s">
        <v>593</v>
      </c>
      <c r="B420" s="12"/>
      <c r="C420" s="12" t="s">
        <v>63</v>
      </c>
      <c r="D420" s="12"/>
      <c r="E420" s="13">
        <v>44552</v>
      </c>
      <c r="G420" s="1">
        <v>10568682</v>
      </c>
      <c r="I420" s="1">
        <v>2087751</v>
      </c>
      <c r="K420" s="1">
        <v>783303</v>
      </c>
      <c r="M420" s="1">
        <f>1692+278036</f>
        <v>279728</v>
      </c>
      <c r="O420" s="1">
        <v>807771</v>
      </c>
      <c r="Q420" s="1">
        <v>1131474</v>
      </c>
      <c r="S420" s="1">
        <v>28440</v>
      </c>
      <c r="U420" s="1">
        <v>1644993</v>
      </c>
      <c r="W420" s="1">
        <v>571479</v>
      </c>
      <c r="Y420" s="1">
        <v>273206</v>
      </c>
      <c r="AA420" s="1">
        <v>1839378</v>
      </c>
      <c r="AC420" s="1">
        <v>1511716</v>
      </c>
      <c r="AE420" s="1">
        <v>78274</v>
      </c>
      <c r="AG420" s="1">
        <v>857433</v>
      </c>
      <c r="AI420" s="1">
        <v>1977</v>
      </c>
      <c r="AJ420" s="12" t="s">
        <v>593</v>
      </c>
      <c r="AK420" s="12"/>
      <c r="AL420" s="12" t="s">
        <v>63</v>
      </c>
      <c r="AN420" s="1">
        <v>523497</v>
      </c>
      <c r="AP420" s="1">
        <v>92090</v>
      </c>
      <c r="AR420" s="1">
        <v>0</v>
      </c>
      <c r="AT420" s="1">
        <v>34841</v>
      </c>
      <c r="AV420" s="1">
        <v>5706</v>
      </c>
      <c r="AX420" s="1">
        <v>0</v>
      </c>
      <c r="AZ420" s="20">
        <f t="shared" si="33"/>
        <v>23121739</v>
      </c>
      <c r="BB420" s="1">
        <v>4703</v>
      </c>
      <c r="BH420" s="1">
        <v>0</v>
      </c>
      <c r="BJ420" s="20">
        <f>AZ420+BB420+BH420</f>
        <v>23126442</v>
      </c>
      <c r="BL420" s="20">
        <f>'Gov Fd Rv'!AO420-'Gov Fnd Exp'!BJ420</f>
        <v>420035</v>
      </c>
      <c r="BN420" s="1">
        <v>6207381</v>
      </c>
      <c r="BP420" s="1">
        <v>975</v>
      </c>
      <c r="BR420" s="1">
        <v>0</v>
      </c>
      <c r="BT420" s="20">
        <f>BL420+BN420+BP420+BR420</f>
        <v>6628391</v>
      </c>
      <c r="BU420" s="20"/>
      <c r="BV420" s="20">
        <f>BT420-'Gov Fd BS'!AA420</f>
        <v>0</v>
      </c>
    </row>
    <row r="421" spans="1:74">
      <c r="A421" s="12" t="s">
        <v>406</v>
      </c>
      <c r="B421" s="12"/>
      <c r="C421" s="12" t="s">
        <v>37</v>
      </c>
      <c r="D421" s="12"/>
      <c r="E421" s="13">
        <v>44560</v>
      </c>
      <c r="G421" s="1">
        <v>10600734</v>
      </c>
      <c r="I421" s="1">
        <v>3791790</v>
      </c>
      <c r="K421" s="1">
        <v>186867</v>
      </c>
      <c r="M421" s="1">
        <f>60898+2298+1327276</f>
        <v>1390472</v>
      </c>
      <c r="O421" s="1">
        <v>997895</v>
      </c>
      <c r="Q421" s="1">
        <v>2283915</v>
      </c>
      <c r="S421" s="1">
        <v>200927</v>
      </c>
      <c r="U421" s="1">
        <v>2218729</v>
      </c>
      <c r="W421" s="1">
        <v>514290</v>
      </c>
      <c r="Y421" s="1">
        <v>77536</v>
      </c>
      <c r="AA421" s="1">
        <v>2406756</v>
      </c>
      <c r="AC421" s="1">
        <v>737687</v>
      </c>
      <c r="AE421" s="1">
        <v>134301</v>
      </c>
      <c r="AG421" s="1">
        <v>1144329</v>
      </c>
      <c r="AI421" s="1">
        <v>570703</v>
      </c>
      <c r="AJ421" s="12" t="s">
        <v>406</v>
      </c>
      <c r="AK421" s="12"/>
      <c r="AL421" s="12" t="s">
        <v>37</v>
      </c>
      <c r="AN421" s="1">
        <v>642611</v>
      </c>
      <c r="AP421" s="1">
        <v>284096</v>
      </c>
      <c r="AR421" s="1">
        <v>0</v>
      </c>
      <c r="AT421" s="1">
        <v>545000</v>
      </c>
      <c r="AV421" s="1">
        <v>490118</v>
      </c>
      <c r="AX421" s="1">
        <v>0</v>
      </c>
      <c r="AZ421" s="20">
        <f t="shared" si="33"/>
        <v>29218756</v>
      </c>
      <c r="BB421" s="1">
        <v>0</v>
      </c>
      <c r="BH421" s="1">
        <v>0</v>
      </c>
      <c r="BJ421" s="20">
        <f t="shared" si="36"/>
        <v>29218756</v>
      </c>
      <c r="BL421" s="20">
        <f>'Gov Fd Rv'!AO421-'Gov Fnd Exp'!BJ421</f>
        <v>-1744776</v>
      </c>
      <c r="BN421" s="1">
        <v>14247091</v>
      </c>
      <c r="BP421" s="1">
        <v>0</v>
      </c>
      <c r="BR421" s="1">
        <v>0</v>
      </c>
      <c r="BT421" s="20">
        <f t="shared" si="32"/>
        <v>12502315</v>
      </c>
      <c r="BU421" s="20"/>
      <c r="BV421" s="20">
        <f>BT421-'Gov Fd BS'!AA421</f>
        <v>0</v>
      </c>
    </row>
    <row r="422" spans="1:74">
      <c r="A422" s="12" t="s">
        <v>764</v>
      </c>
      <c r="B422" s="12"/>
      <c r="C422" s="12" t="s">
        <v>32</v>
      </c>
      <c r="D422" s="12"/>
      <c r="E422" s="13">
        <v>44578</v>
      </c>
      <c r="G422" s="1">
        <v>14024354</v>
      </c>
      <c r="I422" s="1">
        <v>3467050</v>
      </c>
      <c r="K422" s="1">
        <v>3117</v>
      </c>
      <c r="M422" s="1">
        <v>728260</v>
      </c>
      <c r="O422" s="1">
        <v>1962313</v>
      </c>
      <c r="Q422" s="1">
        <v>1498170</v>
      </c>
      <c r="S422" s="1">
        <v>35644</v>
      </c>
      <c r="U422" s="1">
        <v>1900426</v>
      </c>
      <c r="W422" s="1">
        <v>549412</v>
      </c>
      <c r="Y422" s="1">
        <v>0</v>
      </c>
      <c r="AA422" s="1">
        <v>2516591</v>
      </c>
      <c r="AC422" s="1">
        <v>749877</v>
      </c>
      <c r="AE422" s="1">
        <v>566988</v>
      </c>
      <c r="AG422" s="1">
        <v>0</v>
      </c>
      <c r="AI422" s="1">
        <v>1576152</v>
      </c>
      <c r="AJ422" s="12" t="s">
        <v>764</v>
      </c>
      <c r="AK422" s="12"/>
      <c r="AL422" s="12" t="s">
        <v>32</v>
      </c>
      <c r="AN422" s="1">
        <v>533299</v>
      </c>
      <c r="AP422" s="1">
        <v>138775</v>
      </c>
      <c r="AR422" s="1">
        <v>0</v>
      </c>
      <c r="AT422" s="1">
        <v>141675</v>
      </c>
      <c r="AV422" s="1">
        <v>252215</v>
      </c>
      <c r="AX422" s="1">
        <v>0</v>
      </c>
      <c r="AZ422" s="20">
        <f t="shared" si="33"/>
        <v>30644318</v>
      </c>
      <c r="BB422" s="1">
        <v>377097</v>
      </c>
      <c r="BH422" s="1">
        <v>0</v>
      </c>
      <c r="BJ422" s="20">
        <f t="shared" si="36"/>
        <v>31021415</v>
      </c>
      <c r="BL422" s="20">
        <f>'Gov Fd Rv'!AO422-'Gov Fnd Exp'!BJ422</f>
        <v>-2016244</v>
      </c>
      <c r="BN422" s="1">
        <v>6494135</v>
      </c>
      <c r="BP422" s="1">
        <v>0</v>
      </c>
      <c r="BR422" s="1">
        <v>0</v>
      </c>
      <c r="BT422" s="20">
        <f t="shared" si="32"/>
        <v>4477891</v>
      </c>
      <c r="BU422" s="20"/>
      <c r="BV422" s="20">
        <f>BT422-'Gov Fd BS'!AA422</f>
        <v>0</v>
      </c>
    </row>
    <row r="423" spans="1:74" hidden="1">
      <c r="A423" s="17" t="s">
        <v>948</v>
      </c>
      <c r="B423" s="17"/>
      <c r="C423" s="17" t="s">
        <v>38</v>
      </c>
      <c r="D423" s="17"/>
      <c r="E423" s="13"/>
      <c r="AJ423" s="17" t="s">
        <v>948</v>
      </c>
      <c r="AK423" s="17"/>
      <c r="AL423" s="17" t="s">
        <v>38</v>
      </c>
      <c r="AZ423" s="20">
        <f t="shared" si="33"/>
        <v>0</v>
      </c>
      <c r="BJ423" s="20">
        <f t="shared" ref="BJ423" si="40">AZ423+BB423+BH423</f>
        <v>0</v>
      </c>
      <c r="BL423" s="20">
        <f>'Gov Fd Rv'!AO423-'Gov Fnd Exp'!BJ423</f>
        <v>0</v>
      </c>
      <c r="BT423" s="20">
        <f t="shared" ref="BT423" si="41">BL423+BN423+BP423+BR423</f>
        <v>0</v>
      </c>
      <c r="BU423" s="20"/>
      <c r="BV423" s="20">
        <f>BT423-'Gov Fd BS'!AA423</f>
        <v>0</v>
      </c>
    </row>
    <row r="424" spans="1:74">
      <c r="A424" s="12" t="s">
        <v>371</v>
      </c>
      <c r="B424" s="12"/>
      <c r="C424" s="12" t="s">
        <v>32</v>
      </c>
      <c r="D424" s="12"/>
      <c r="E424" s="13">
        <v>47373</v>
      </c>
      <c r="G424" s="1">
        <v>34100823</v>
      </c>
      <c r="I424" s="1">
        <v>8301525</v>
      </c>
      <c r="K424" s="1">
        <v>101</v>
      </c>
      <c r="M424" s="1">
        <v>319185</v>
      </c>
      <c r="O424" s="1">
        <v>5004577</v>
      </c>
      <c r="Q424" s="1">
        <v>7167145</v>
      </c>
      <c r="S424" s="1">
        <v>163458</v>
      </c>
      <c r="U424" s="1">
        <v>5294124</v>
      </c>
      <c r="W424" s="1">
        <v>1284025</v>
      </c>
      <c r="Y424" s="1">
        <v>283795</v>
      </c>
      <c r="AA424" s="1">
        <v>6941682</v>
      </c>
      <c r="AC424" s="1">
        <v>2807110</v>
      </c>
      <c r="AE424" s="1">
        <v>524294</v>
      </c>
      <c r="AG424" s="1">
        <v>0</v>
      </c>
      <c r="AI424" s="1">
        <v>4367128</v>
      </c>
      <c r="AJ424" s="12" t="s">
        <v>371</v>
      </c>
      <c r="AK424" s="12"/>
      <c r="AL424" s="12" t="s">
        <v>32</v>
      </c>
      <c r="AN424" s="1">
        <v>2089668</v>
      </c>
      <c r="AP424" s="1">
        <v>1169126</v>
      </c>
      <c r="AR424" s="1">
        <v>0</v>
      </c>
      <c r="AT424" s="1">
        <v>1375000</v>
      </c>
      <c r="AV424" s="1">
        <v>1921496</v>
      </c>
      <c r="AX424" s="1">
        <v>0</v>
      </c>
      <c r="AZ424" s="20">
        <f t="shared" ref="AZ424:AZ430" si="42">SUM(G424:AX424)</f>
        <v>83114262</v>
      </c>
      <c r="BB424" s="1">
        <v>374879</v>
      </c>
      <c r="BH424" s="1">
        <v>0</v>
      </c>
      <c r="BJ424" s="20">
        <f t="shared" si="36"/>
        <v>83489141</v>
      </c>
      <c r="BL424" s="20">
        <f>'Gov Fd Rv'!AO424-'Gov Fnd Exp'!BJ424</f>
        <v>-603855</v>
      </c>
      <c r="BN424" s="1">
        <v>33159119</v>
      </c>
      <c r="BP424" s="1">
        <v>0</v>
      </c>
      <c r="BR424" s="1">
        <v>0</v>
      </c>
      <c r="BT424" s="20">
        <f t="shared" si="32"/>
        <v>32555264</v>
      </c>
      <c r="BU424" s="20"/>
      <c r="BV424" s="20">
        <f>BT424-'Gov Fd BS'!AA424</f>
        <v>0</v>
      </c>
    </row>
    <row r="425" spans="1:74">
      <c r="A425" s="12" t="s">
        <v>504</v>
      </c>
      <c r="B425" s="12"/>
      <c r="C425" s="12" t="s">
        <v>50</v>
      </c>
      <c r="D425" s="12"/>
      <c r="E425" s="13">
        <v>44586</v>
      </c>
      <c r="G425" s="1">
        <v>11810613</v>
      </c>
      <c r="I425" s="1">
        <v>2710064</v>
      </c>
      <c r="K425" s="1">
        <v>0</v>
      </c>
      <c r="M425" s="1">
        <v>223929</v>
      </c>
      <c r="O425" s="1">
        <v>1489009</v>
      </c>
      <c r="Q425" s="1">
        <v>310883</v>
      </c>
      <c r="S425" s="1">
        <v>20540</v>
      </c>
      <c r="U425" s="1">
        <v>1838411</v>
      </c>
      <c r="W425" s="1">
        <v>672101</v>
      </c>
      <c r="Y425" s="1">
        <v>9694</v>
      </c>
      <c r="AA425" s="1">
        <v>2173254</v>
      </c>
      <c r="AC425" s="1">
        <v>198336</v>
      </c>
      <c r="AE425" s="1">
        <v>609025</v>
      </c>
      <c r="AG425" s="1">
        <v>0</v>
      </c>
      <c r="AI425" s="1">
        <v>654444</v>
      </c>
      <c r="AJ425" s="12" t="s">
        <v>504</v>
      </c>
      <c r="AK425" s="12"/>
      <c r="AL425" s="12" t="s">
        <v>50</v>
      </c>
      <c r="AN425" s="1">
        <v>1020455</v>
      </c>
      <c r="AP425" s="1">
        <v>382744</v>
      </c>
      <c r="AR425" s="1">
        <v>0</v>
      </c>
      <c r="AT425" s="1">
        <v>499126</v>
      </c>
      <c r="AV425" s="1">
        <v>807694</v>
      </c>
      <c r="AX425" s="1">
        <v>0</v>
      </c>
      <c r="AZ425" s="20">
        <f t="shared" si="42"/>
        <v>25430322</v>
      </c>
      <c r="BB425" s="1">
        <v>1174385</v>
      </c>
      <c r="BH425" s="1">
        <v>0</v>
      </c>
      <c r="BJ425" s="20">
        <f t="shared" si="36"/>
        <v>26604707</v>
      </c>
      <c r="BL425" s="20">
        <f>'Gov Fd Rv'!AO425-'Gov Fnd Exp'!BJ425</f>
        <v>-944878</v>
      </c>
      <c r="BN425" s="1">
        <v>1129680</v>
      </c>
      <c r="BP425" s="1">
        <v>0</v>
      </c>
      <c r="BR425" s="1">
        <v>0</v>
      </c>
      <c r="BT425" s="20">
        <f t="shared" si="32"/>
        <v>184802</v>
      </c>
      <c r="BU425" s="20"/>
      <c r="BV425" s="20">
        <f>BT425-'Gov Fd BS'!AA425</f>
        <v>0</v>
      </c>
    </row>
    <row r="426" spans="1:74">
      <c r="A426" s="12"/>
      <c r="B426" s="12"/>
      <c r="C426" s="12"/>
      <c r="D426" s="12"/>
      <c r="E426" s="13"/>
      <c r="AJ426" s="12"/>
      <c r="AK426" s="12"/>
      <c r="AL426" s="12"/>
      <c r="AZ426" s="20"/>
      <c r="BJ426" s="20"/>
      <c r="BL426" s="20"/>
      <c r="BT426" s="20"/>
      <c r="BU426" s="20"/>
      <c r="BV426" s="20"/>
    </row>
    <row r="427" spans="1:74">
      <c r="A427" s="12"/>
      <c r="B427" s="12"/>
      <c r="C427" s="12"/>
      <c r="D427" s="12"/>
      <c r="E427" s="13"/>
      <c r="AI427" s="20" t="s">
        <v>709</v>
      </c>
      <c r="AJ427" s="12"/>
      <c r="AK427" s="12"/>
      <c r="AL427" s="12"/>
      <c r="AZ427" s="20"/>
      <c r="BJ427" s="20"/>
      <c r="BL427" s="20"/>
      <c r="BT427" s="20" t="s">
        <v>709</v>
      </c>
      <c r="BU427" s="20"/>
      <c r="BV427" s="20"/>
    </row>
    <row r="428" spans="1:74">
      <c r="A428" s="12"/>
      <c r="B428" s="12"/>
      <c r="C428" s="12"/>
      <c r="D428" s="12"/>
      <c r="E428" s="13"/>
      <c r="AJ428" s="12"/>
      <c r="AK428" s="12"/>
      <c r="AL428" s="12"/>
      <c r="AZ428" s="20"/>
      <c r="BJ428" s="20"/>
      <c r="BL428" s="20"/>
      <c r="BT428" s="20"/>
      <c r="BU428" s="20"/>
      <c r="BV428" s="20"/>
    </row>
    <row r="429" spans="1:74">
      <c r="A429" s="12" t="s">
        <v>446</v>
      </c>
      <c r="B429" s="12"/>
      <c r="C429" s="12" t="s">
        <v>44</v>
      </c>
      <c r="D429" s="12"/>
      <c r="E429" s="13">
        <v>44594</v>
      </c>
      <c r="G429" s="16">
        <v>7083169</v>
      </c>
      <c r="H429" s="16"/>
      <c r="I429" s="16">
        <v>1200326</v>
      </c>
      <c r="J429" s="16"/>
      <c r="K429" s="16">
        <v>98860</v>
      </c>
      <c r="L429" s="16"/>
      <c r="M429" s="16">
        <v>213206</v>
      </c>
      <c r="N429" s="16"/>
      <c r="O429" s="16">
        <v>1062685</v>
      </c>
      <c r="P429" s="16"/>
      <c r="Q429" s="16">
        <v>439848</v>
      </c>
      <c r="R429" s="16"/>
      <c r="S429" s="16">
        <v>56095</v>
      </c>
      <c r="T429" s="16"/>
      <c r="U429" s="16">
        <v>1430673</v>
      </c>
      <c r="V429" s="16"/>
      <c r="W429" s="16">
        <v>378058</v>
      </c>
      <c r="X429" s="16"/>
      <c r="Y429" s="16">
        <v>194370</v>
      </c>
      <c r="Z429" s="16"/>
      <c r="AA429" s="16">
        <v>1419850</v>
      </c>
      <c r="AB429" s="16"/>
      <c r="AC429" s="16">
        <v>458357</v>
      </c>
      <c r="AD429" s="16"/>
      <c r="AE429" s="16">
        <v>46481</v>
      </c>
      <c r="AF429" s="16"/>
      <c r="AG429" s="16">
        <v>383257</v>
      </c>
      <c r="AH429" s="16"/>
      <c r="AI429" s="16">
        <v>2183</v>
      </c>
      <c r="AJ429" s="12" t="s">
        <v>446</v>
      </c>
      <c r="AK429" s="12"/>
      <c r="AL429" s="12" t="s">
        <v>44</v>
      </c>
      <c r="AN429" s="16">
        <v>323754</v>
      </c>
      <c r="AO429" s="16"/>
      <c r="AP429" s="16">
        <v>0</v>
      </c>
      <c r="AQ429" s="16"/>
      <c r="AR429" s="16">
        <v>0</v>
      </c>
      <c r="AS429" s="16"/>
      <c r="AT429" s="16">
        <v>53860</v>
      </c>
      <c r="AU429" s="16"/>
      <c r="AV429" s="16">
        <v>23737</v>
      </c>
      <c r="AW429" s="16"/>
      <c r="AX429" s="16">
        <v>0</v>
      </c>
      <c r="AY429" s="16"/>
      <c r="AZ429" s="72">
        <f t="shared" si="42"/>
        <v>14868769</v>
      </c>
      <c r="BA429" s="16"/>
      <c r="BB429" s="16">
        <v>53467</v>
      </c>
      <c r="BC429" s="16"/>
      <c r="BD429" s="16"/>
      <c r="BE429" s="16"/>
      <c r="BF429" s="16"/>
      <c r="BG429" s="16"/>
      <c r="BH429" s="16">
        <v>0</v>
      </c>
      <c r="BI429" s="16"/>
      <c r="BJ429" s="72">
        <f t="shared" si="36"/>
        <v>14922236</v>
      </c>
      <c r="BK429" s="16"/>
      <c r="BL429" s="72">
        <f>'Gov Fd Rv'!AO429-'Gov Fnd Exp'!BJ429</f>
        <v>-155223</v>
      </c>
      <c r="BM429" s="16"/>
      <c r="BN429" s="16">
        <v>488137</v>
      </c>
      <c r="BO429" s="16"/>
      <c r="BP429" s="16">
        <v>0</v>
      </c>
      <c r="BQ429" s="16"/>
      <c r="BR429" s="16">
        <v>0</v>
      </c>
      <c r="BS429" s="16"/>
      <c r="BT429" s="72">
        <f t="shared" si="32"/>
        <v>332914</v>
      </c>
      <c r="BU429" s="20"/>
      <c r="BV429" s="20">
        <f>BT429-'Gov Fd BS'!AA429</f>
        <v>0</v>
      </c>
    </row>
    <row r="430" spans="1:74" hidden="1">
      <c r="A430" s="12" t="s">
        <v>735</v>
      </c>
      <c r="B430" s="12"/>
      <c r="C430" s="12" t="s">
        <v>60</v>
      </c>
      <c r="D430" s="12"/>
      <c r="E430" s="13">
        <v>49726</v>
      </c>
      <c r="AJ430" s="12" t="s">
        <v>735</v>
      </c>
      <c r="AK430" s="12"/>
      <c r="AL430" s="12" t="s">
        <v>60</v>
      </c>
      <c r="AZ430" s="20">
        <f t="shared" si="42"/>
        <v>0</v>
      </c>
      <c r="BJ430" s="20">
        <f t="shared" si="36"/>
        <v>0</v>
      </c>
      <c r="BL430" s="20">
        <f>'Gov Fd Rv'!AO430-'Gov Fnd Exp'!BJ430</f>
        <v>0</v>
      </c>
      <c r="BT430" s="20">
        <f t="shared" si="32"/>
        <v>0</v>
      </c>
      <c r="BU430" s="20"/>
      <c r="BV430" s="20">
        <f>BT430-'Gov Fd BS'!AA430</f>
        <v>0</v>
      </c>
    </row>
    <row r="431" spans="1:74">
      <c r="A431" s="12" t="s">
        <v>313</v>
      </c>
      <c r="B431" s="12"/>
      <c r="C431" s="12" t="s">
        <v>23</v>
      </c>
      <c r="D431" s="12"/>
      <c r="E431" s="13">
        <v>46763</v>
      </c>
      <c r="G431" s="20">
        <v>69317025</v>
      </c>
      <c r="H431" s="20"/>
      <c r="I431" s="20">
        <v>16818543</v>
      </c>
      <c r="J431" s="20"/>
      <c r="K431" s="20">
        <v>941756</v>
      </c>
      <c r="L431" s="20"/>
      <c r="M431" s="20">
        <v>0</v>
      </c>
      <c r="N431" s="20"/>
      <c r="O431" s="20">
        <v>6373339</v>
      </c>
      <c r="P431" s="20"/>
      <c r="Q431" s="20">
        <v>8392172</v>
      </c>
      <c r="R431" s="20"/>
      <c r="S431" s="20">
        <v>394642</v>
      </c>
      <c r="T431" s="20"/>
      <c r="U431" s="20">
        <v>8124900</v>
      </c>
      <c r="V431" s="20"/>
      <c r="W431" s="20">
        <v>0</v>
      </c>
      <c r="X431" s="20"/>
      <c r="Y431" s="20">
        <v>3757654</v>
      </c>
      <c r="Z431" s="20"/>
      <c r="AA431" s="20">
        <v>14655066</v>
      </c>
      <c r="AB431" s="20"/>
      <c r="AC431" s="20">
        <v>8207437</v>
      </c>
      <c r="AD431" s="20"/>
      <c r="AE431" s="20">
        <v>2652203</v>
      </c>
      <c r="AF431" s="20"/>
      <c r="AG431" s="20">
        <v>6419953</v>
      </c>
      <c r="AH431" s="20"/>
      <c r="AI431" s="20">
        <v>553538</v>
      </c>
      <c r="AJ431" s="12" t="s">
        <v>313</v>
      </c>
      <c r="AK431" s="12"/>
      <c r="AL431" s="12" t="s">
        <v>23</v>
      </c>
      <c r="AM431" s="72"/>
      <c r="AN431" s="20">
        <v>4492964</v>
      </c>
      <c r="AO431" s="20"/>
      <c r="AP431" s="20">
        <v>22141945</v>
      </c>
      <c r="AQ431" s="20"/>
      <c r="AR431" s="20">
        <v>0</v>
      </c>
      <c r="AS431" s="20"/>
      <c r="AT431" s="20">
        <v>10833270</v>
      </c>
      <c r="AU431" s="20"/>
      <c r="AV431" s="20">
        <v>18447581</v>
      </c>
      <c r="AW431" s="20"/>
      <c r="AX431" s="20">
        <v>438581</v>
      </c>
      <c r="AY431" s="20"/>
      <c r="AZ431" s="20">
        <f t="shared" ref="AZ431:AZ439" si="43">SUM(G431:AX431)</f>
        <v>202962569</v>
      </c>
      <c r="BA431" s="20"/>
      <c r="BB431" s="20">
        <v>12200000</v>
      </c>
      <c r="BC431" s="20"/>
      <c r="BD431" s="20"/>
      <c r="BE431" s="20"/>
      <c r="BF431" s="20"/>
      <c r="BG431" s="20"/>
      <c r="BH431" s="20">
        <f>13349999+11900000</f>
        <v>25249999</v>
      </c>
      <c r="BI431" s="20"/>
      <c r="BJ431" s="20">
        <f t="shared" ref="BJ431:BJ496" si="44">AZ431+BB431+BH431</f>
        <v>240412568</v>
      </c>
      <c r="BK431" s="20"/>
      <c r="BL431" s="20">
        <f>'Gov Fd Rv'!AO431-'Gov Fnd Exp'!BJ431</f>
        <v>21892864</v>
      </c>
      <c r="BM431" s="20"/>
      <c r="BN431" s="20">
        <v>89119936</v>
      </c>
      <c r="BO431" s="20"/>
      <c r="BP431" s="20">
        <v>0</v>
      </c>
      <c r="BQ431" s="20"/>
      <c r="BR431" s="20">
        <v>0</v>
      </c>
      <c r="BS431" s="20"/>
      <c r="BT431" s="20">
        <f t="shared" ref="BT431:BT496" si="45">BL431+BN431+BP431+BR431</f>
        <v>111012800</v>
      </c>
      <c r="BU431" s="72"/>
      <c r="BV431" s="72">
        <f>BT431-'Gov Fd BS'!AA431</f>
        <v>0</v>
      </c>
    </row>
    <row r="432" spans="1:74">
      <c r="A432" s="12" t="s">
        <v>298</v>
      </c>
      <c r="B432" s="12"/>
      <c r="C432" s="12" t="s">
        <v>20</v>
      </c>
      <c r="D432" s="12"/>
      <c r="E432" s="13">
        <v>46573</v>
      </c>
      <c r="G432" s="1">
        <v>16247839</v>
      </c>
      <c r="I432" s="1">
        <v>4913108</v>
      </c>
      <c r="K432" s="1">
        <v>302772</v>
      </c>
      <c r="M432" s="1">
        <v>59157</v>
      </c>
      <c r="O432" s="1">
        <v>1749992</v>
      </c>
      <c r="Q432" s="1">
        <v>1792007</v>
      </c>
      <c r="S432" s="1">
        <v>166398</v>
      </c>
      <c r="U432" s="1">
        <v>2695766</v>
      </c>
      <c r="W432" s="1">
        <v>933831</v>
      </c>
      <c r="Y432" s="1">
        <v>0</v>
      </c>
      <c r="AA432" s="1">
        <v>3197597</v>
      </c>
      <c r="AC432" s="1">
        <v>1534183</v>
      </c>
      <c r="AE432" s="1">
        <v>440944</v>
      </c>
      <c r="AG432" s="1">
        <v>0</v>
      </c>
      <c r="AI432" s="1">
        <v>1267209</v>
      </c>
      <c r="AJ432" s="12" t="s">
        <v>298</v>
      </c>
      <c r="AK432" s="12"/>
      <c r="AL432" s="12" t="s">
        <v>20</v>
      </c>
      <c r="AN432" s="1">
        <v>1514420</v>
      </c>
      <c r="AP432" s="1">
        <v>9953709</v>
      </c>
      <c r="AR432" s="1">
        <v>0</v>
      </c>
      <c r="AT432" s="1">
        <v>4135422</v>
      </c>
      <c r="AV432" s="1">
        <v>1667683</v>
      </c>
      <c r="AX432" s="1">
        <v>0</v>
      </c>
      <c r="AZ432" s="20">
        <f t="shared" si="43"/>
        <v>52572037</v>
      </c>
      <c r="BB432" s="1">
        <v>0</v>
      </c>
      <c r="BH432" s="1">
        <v>0</v>
      </c>
      <c r="BJ432" s="20">
        <f>AZ432+BB432+BH432</f>
        <v>52572037</v>
      </c>
      <c r="BL432" s="20">
        <f>'Gov Fd Rv'!AO432-'Gov Fnd Exp'!BJ432</f>
        <v>-11816686</v>
      </c>
      <c r="BN432" s="1">
        <v>20647796</v>
      </c>
      <c r="BP432" s="1">
        <v>0</v>
      </c>
      <c r="BR432" s="1">
        <v>0</v>
      </c>
      <c r="BT432" s="20">
        <f t="shared" si="45"/>
        <v>8831110</v>
      </c>
      <c r="BU432" s="20"/>
      <c r="BV432" s="20">
        <f>BT432-'Gov Fd BS'!AA432</f>
        <v>0</v>
      </c>
    </row>
    <row r="433" spans="1:74">
      <c r="A433" s="12" t="s">
        <v>546</v>
      </c>
      <c r="B433" s="12"/>
      <c r="C433" s="12" t="s">
        <v>112</v>
      </c>
      <c r="D433" s="12"/>
      <c r="E433" s="13">
        <v>49478</v>
      </c>
      <c r="G433" s="1">
        <v>6779521</v>
      </c>
      <c r="I433" s="1">
        <v>1346807</v>
      </c>
      <c r="K433" s="1">
        <v>224573</v>
      </c>
      <c r="M433" s="1">
        <v>452470</v>
      </c>
      <c r="O433" s="1">
        <v>935752</v>
      </c>
      <c r="Q433" s="1">
        <v>903729</v>
      </c>
      <c r="S433" s="1">
        <v>39548</v>
      </c>
      <c r="U433" s="1">
        <v>1381657</v>
      </c>
      <c r="W433" s="1">
        <v>570311</v>
      </c>
      <c r="Y433" s="1">
        <v>0</v>
      </c>
      <c r="AA433" s="1">
        <v>1799279</v>
      </c>
      <c r="AC433" s="1">
        <v>810840</v>
      </c>
      <c r="AE433" s="1">
        <v>40956</v>
      </c>
      <c r="AG433" s="1">
        <v>686377</v>
      </c>
      <c r="AI433" s="1">
        <f>7502</f>
        <v>7502</v>
      </c>
      <c r="AJ433" s="12" t="s">
        <v>546</v>
      </c>
      <c r="AK433" s="12"/>
      <c r="AL433" s="12" t="s">
        <v>112</v>
      </c>
      <c r="AN433" s="1">
        <v>695412</v>
      </c>
      <c r="AP433" s="1">
        <v>152328</v>
      </c>
      <c r="AR433" s="1">
        <v>0</v>
      </c>
      <c r="AT433" s="1">
        <v>1020000</v>
      </c>
      <c r="AV433" s="1">
        <v>625019</v>
      </c>
      <c r="AX433" s="1">
        <v>0</v>
      </c>
      <c r="AZ433" s="20">
        <f t="shared" si="43"/>
        <v>18472081</v>
      </c>
      <c r="BB433" s="1">
        <v>45328</v>
      </c>
      <c r="BH433" s="1">
        <v>0</v>
      </c>
      <c r="BJ433" s="20">
        <f t="shared" si="44"/>
        <v>18517409</v>
      </c>
      <c r="BL433" s="20">
        <f>'Gov Fd Rv'!AO433-'Gov Fnd Exp'!BJ433</f>
        <v>-818278</v>
      </c>
      <c r="BN433" s="1">
        <v>8541064</v>
      </c>
      <c r="BP433" s="1">
        <v>-36747</v>
      </c>
      <c r="BR433" s="1">
        <v>0</v>
      </c>
      <c r="BT433" s="20">
        <f t="shared" si="45"/>
        <v>7686039</v>
      </c>
      <c r="BU433" s="20"/>
      <c r="BV433" s="20">
        <f>BT433-'Gov Fd BS'!AA433</f>
        <v>0</v>
      </c>
    </row>
    <row r="434" spans="1:74">
      <c r="A434" s="12" t="s">
        <v>299</v>
      </c>
      <c r="B434" s="12"/>
      <c r="C434" s="12" t="s">
        <v>20</v>
      </c>
      <c r="D434" s="12"/>
      <c r="E434" s="13">
        <v>46581</v>
      </c>
      <c r="G434" s="1">
        <v>18440370</v>
      </c>
      <c r="I434" s="1">
        <v>6402902</v>
      </c>
      <c r="K434" s="1">
        <v>262377</v>
      </c>
      <c r="M434" s="1">
        <v>0</v>
      </c>
      <c r="O434" s="1">
        <v>3691059</v>
      </c>
      <c r="Q434" s="1">
        <v>4194566</v>
      </c>
      <c r="S434" s="1">
        <v>82545</v>
      </c>
      <c r="U434" s="1">
        <v>2992936</v>
      </c>
      <c r="W434" s="1">
        <v>1232620</v>
      </c>
      <c r="Y434" s="1">
        <v>547326</v>
      </c>
      <c r="AA434" s="1">
        <v>4755829</v>
      </c>
      <c r="AC434" s="1">
        <v>3897232</v>
      </c>
      <c r="AE434" s="1">
        <v>1317455</v>
      </c>
      <c r="AG434" s="1">
        <v>638399</v>
      </c>
      <c r="AI434" s="1">
        <v>528768</v>
      </c>
      <c r="AJ434" s="12" t="s">
        <v>299</v>
      </c>
      <c r="AK434" s="12"/>
      <c r="AL434" s="12" t="s">
        <v>20</v>
      </c>
      <c r="AN434" s="1">
        <v>1734254</v>
      </c>
      <c r="AP434" s="1">
        <f>2321136+30255</f>
        <v>2351391</v>
      </c>
      <c r="AR434" s="1">
        <v>0</v>
      </c>
      <c r="AT434" s="1">
        <v>1331956</v>
      </c>
      <c r="AV434" s="1">
        <v>931582</v>
      </c>
      <c r="AX434" s="1">
        <v>0</v>
      </c>
      <c r="AZ434" s="20">
        <f t="shared" si="43"/>
        <v>55333567</v>
      </c>
      <c r="BB434" s="1">
        <v>2115000</v>
      </c>
      <c r="BH434" s="1">
        <v>0</v>
      </c>
      <c r="BJ434" s="20">
        <f t="shared" si="44"/>
        <v>57448567</v>
      </c>
      <c r="BL434" s="20">
        <f>'Gov Fd Rv'!AO434-'Gov Fnd Exp'!BJ434</f>
        <v>-2300377</v>
      </c>
      <c r="BN434" s="1">
        <v>39516492</v>
      </c>
      <c r="BP434" s="1">
        <v>0</v>
      </c>
      <c r="BR434" s="1">
        <v>0</v>
      </c>
      <c r="BT434" s="20">
        <f t="shared" si="45"/>
        <v>37216115</v>
      </c>
      <c r="BU434" s="20"/>
      <c r="BV434" s="20">
        <f>BT434-'Gov Fd BS'!AA434</f>
        <v>0</v>
      </c>
    </row>
    <row r="435" spans="1:74">
      <c r="A435" s="12" t="s">
        <v>451</v>
      </c>
      <c r="B435" s="12"/>
      <c r="C435" s="12" t="s">
        <v>117</v>
      </c>
      <c r="D435" s="12"/>
      <c r="E435" s="13">
        <v>44602</v>
      </c>
      <c r="G435" s="1">
        <v>16545105</v>
      </c>
      <c r="I435" s="1">
        <v>4626885</v>
      </c>
      <c r="K435" s="1">
        <v>2643753</v>
      </c>
      <c r="M435" s="1">
        <f>825360+244941</f>
        <v>1070301</v>
      </c>
      <c r="O435" s="1">
        <v>1632848</v>
      </c>
      <c r="Q435" s="1">
        <v>2688150</v>
      </c>
      <c r="S435" s="1">
        <v>41947</v>
      </c>
      <c r="U435" s="1">
        <v>2778341</v>
      </c>
      <c r="W435" s="1">
        <v>954205</v>
      </c>
      <c r="Y435" s="1">
        <v>436305</v>
      </c>
      <c r="AA435" s="1">
        <v>4527092</v>
      </c>
      <c r="AC435" s="1">
        <v>1494260</v>
      </c>
      <c r="AE435" s="1">
        <v>0</v>
      </c>
      <c r="AG435" s="1">
        <v>1613117</v>
      </c>
      <c r="AI435" s="1">
        <v>216482</v>
      </c>
      <c r="AJ435" s="12" t="s">
        <v>451</v>
      </c>
      <c r="AK435" s="12"/>
      <c r="AL435" s="12" t="s">
        <v>117</v>
      </c>
      <c r="AN435" s="1">
        <v>974209</v>
      </c>
      <c r="AP435" s="1">
        <v>2234226</v>
      </c>
      <c r="AR435" s="1">
        <v>0</v>
      </c>
      <c r="AT435" s="1">
        <v>1269540</v>
      </c>
      <c r="AV435" s="1">
        <v>1893478</v>
      </c>
      <c r="AX435" s="1">
        <v>0</v>
      </c>
      <c r="AZ435" s="20">
        <f t="shared" si="43"/>
        <v>47640244</v>
      </c>
      <c r="BB435" s="1">
        <v>99086</v>
      </c>
      <c r="BH435" s="1">
        <v>0</v>
      </c>
      <c r="BJ435" s="20">
        <f t="shared" si="44"/>
        <v>47739330</v>
      </c>
      <c r="BL435" s="20">
        <f>'Gov Fd Rv'!AO435-'Gov Fnd Exp'!BJ435</f>
        <v>1337701</v>
      </c>
      <c r="BN435" s="1">
        <v>6973241</v>
      </c>
      <c r="BP435" s="1">
        <v>-2540</v>
      </c>
      <c r="BR435" s="1">
        <v>0</v>
      </c>
      <c r="BT435" s="20">
        <f t="shared" si="45"/>
        <v>8308402</v>
      </c>
      <c r="BU435" s="20"/>
      <c r="BV435" s="20">
        <f>BT435-'Gov Fd BS'!AA435</f>
        <v>0</v>
      </c>
    </row>
    <row r="436" spans="1:74">
      <c r="A436" s="12" t="s">
        <v>641</v>
      </c>
      <c r="B436" s="12"/>
      <c r="C436" s="12" t="s">
        <v>71</v>
      </c>
      <c r="D436" s="12"/>
      <c r="E436" s="13">
        <v>44610</v>
      </c>
      <c r="G436" s="1">
        <v>7426220</v>
      </c>
      <c r="I436" s="1">
        <v>1250794</v>
      </c>
      <c r="K436" s="1">
        <v>245677</v>
      </c>
      <c r="M436" s="1">
        <f>55878+1232399</f>
        <v>1288277</v>
      </c>
      <c r="O436" s="1">
        <v>806819</v>
      </c>
      <c r="Q436" s="1">
        <v>898187</v>
      </c>
      <c r="S436" s="1">
        <v>91696</v>
      </c>
      <c r="U436" s="1">
        <v>1448785</v>
      </c>
      <c r="W436" s="1">
        <v>450580</v>
      </c>
      <c r="Y436" s="1">
        <v>29187</v>
      </c>
      <c r="AA436" s="1">
        <v>1321763</v>
      </c>
      <c r="AC436" s="1">
        <v>506484</v>
      </c>
      <c r="AE436" s="1">
        <v>38907</v>
      </c>
      <c r="AG436" s="1">
        <v>674819</v>
      </c>
      <c r="AI436" s="1">
        <v>26</v>
      </c>
      <c r="AJ436" s="12" t="s">
        <v>641</v>
      </c>
      <c r="AK436" s="12"/>
      <c r="AL436" s="12" t="s">
        <v>71</v>
      </c>
      <c r="AN436" s="1">
        <v>434082</v>
      </c>
      <c r="AP436" s="1">
        <v>7847930</v>
      </c>
      <c r="AR436" s="1">
        <v>0</v>
      </c>
      <c r="AT436" s="1">
        <v>333844</v>
      </c>
      <c r="AV436" s="1">
        <v>1035930</v>
      </c>
      <c r="AX436" s="1">
        <v>0</v>
      </c>
      <c r="AZ436" s="20">
        <f t="shared" si="43"/>
        <v>26130007</v>
      </c>
      <c r="BB436" s="1">
        <v>0</v>
      </c>
      <c r="BH436" s="1">
        <v>0</v>
      </c>
      <c r="BJ436" s="20">
        <f t="shared" si="44"/>
        <v>26130007</v>
      </c>
      <c r="BL436" s="20">
        <f>'Gov Fd Rv'!AO436-'Gov Fnd Exp'!BJ436</f>
        <v>-6720155</v>
      </c>
      <c r="BN436" s="1">
        <v>11610670</v>
      </c>
      <c r="BP436" s="1">
        <v>0</v>
      </c>
      <c r="BR436" s="1">
        <v>0</v>
      </c>
      <c r="BT436" s="20">
        <f t="shared" si="45"/>
        <v>4890515</v>
      </c>
      <c r="BU436" s="20"/>
      <c r="BV436" s="20">
        <f>BT436-'Gov Fd BS'!AA436</f>
        <v>0</v>
      </c>
    </row>
    <row r="437" spans="1:74">
      <c r="A437" s="12" t="s">
        <v>583</v>
      </c>
      <c r="B437" s="12"/>
      <c r="C437" s="12" t="s">
        <v>62</v>
      </c>
      <c r="D437" s="12"/>
      <c r="E437" s="13">
        <v>49916</v>
      </c>
      <c r="G437" s="1">
        <v>3672585</v>
      </c>
      <c r="I437" s="1">
        <v>778973</v>
      </c>
      <c r="K437" s="1">
        <v>143012</v>
      </c>
      <c r="M437" s="1">
        <v>900382</v>
      </c>
      <c r="O437" s="1">
        <v>372308</v>
      </c>
      <c r="Q437" s="1">
        <v>212919</v>
      </c>
      <c r="S437" s="1">
        <v>23074</v>
      </c>
      <c r="U437" s="1">
        <v>732797</v>
      </c>
      <c r="W437" s="1">
        <v>273023</v>
      </c>
      <c r="Y437" s="1">
        <v>11981</v>
      </c>
      <c r="AA437" s="1">
        <v>777197</v>
      </c>
      <c r="AC437" s="1">
        <v>556722</v>
      </c>
      <c r="AE437" s="1">
        <v>34503</v>
      </c>
      <c r="AG437" s="1">
        <v>370983</v>
      </c>
      <c r="AI437" s="1">
        <v>22112</v>
      </c>
      <c r="AJ437" s="12" t="s">
        <v>583</v>
      </c>
      <c r="AK437" s="12"/>
      <c r="AL437" s="12" t="s">
        <v>62</v>
      </c>
      <c r="AN437" s="1">
        <v>432286</v>
      </c>
      <c r="AP437" s="1">
        <v>9899755</v>
      </c>
      <c r="AR437" s="1">
        <v>0</v>
      </c>
      <c r="AT437" s="1">
        <v>215000</v>
      </c>
      <c r="AV437" s="1">
        <v>339156</v>
      </c>
      <c r="AX437" s="1">
        <v>0</v>
      </c>
      <c r="AZ437" s="20">
        <f t="shared" si="43"/>
        <v>19768768</v>
      </c>
      <c r="BB437" s="1">
        <v>0</v>
      </c>
      <c r="BH437" s="1">
        <v>0</v>
      </c>
      <c r="BJ437" s="20">
        <f t="shared" si="44"/>
        <v>19768768</v>
      </c>
      <c r="BL437" s="20">
        <f>'Gov Fd Rv'!AO437-'Gov Fnd Exp'!BJ437</f>
        <v>-9805470</v>
      </c>
      <c r="BN437" s="1">
        <v>15404811</v>
      </c>
      <c r="BP437" s="1">
        <v>0</v>
      </c>
      <c r="BR437" s="1">
        <v>0</v>
      </c>
      <c r="BT437" s="20">
        <f t="shared" si="45"/>
        <v>5599341</v>
      </c>
      <c r="BU437" s="20"/>
      <c r="BV437" s="20">
        <f>BT437-'Gov Fd BS'!AA437</f>
        <v>0</v>
      </c>
    </row>
    <row r="438" spans="1:74">
      <c r="A438" s="12" t="s">
        <v>650</v>
      </c>
      <c r="B438" s="12"/>
      <c r="C438" s="12" t="s">
        <v>72</v>
      </c>
      <c r="D438" s="12"/>
      <c r="E438" s="13">
        <v>50724</v>
      </c>
      <c r="G438" s="1">
        <v>7112562</v>
      </c>
      <c r="I438" s="1">
        <v>2499104</v>
      </c>
      <c r="K438" s="1">
        <v>10530</v>
      </c>
      <c r="M438" s="1">
        <v>0</v>
      </c>
      <c r="O438" s="1">
        <v>621269</v>
      </c>
      <c r="Q438" s="1">
        <v>332403</v>
      </c>
      <c r="S438" s="1">
        <v>52553</v>
      </c>
      <c r="U438" s="1">
        <v>969862</v>
      </c>
      <c r="W438" s="1">
        <v>392030</v>
      </c>
      <c r="Y438" s="1">
        <v>4709</v>
      </c>
      <c r="AA438" s="1">
        <v>952477</v>
      </c>
      <c r="AC438" s="1">
        <v>904523</v>
      </c>
      <c r="AE438" s="1">
        <v>0</v>
      </c>
      <c r="AG438" s="1">
        <v>0</v>
      </c>
      <c r="AI438" s="1">
        <v>636469</v>
      </c>
      <c r="AJ438" s="12" t="s">
        <v>650</v>
      </c>
      <c r="AK438" s="12"/>
      <c r="AL438" s="12" t="s">
        <v>72</v>
      </c>
      <c r="AN438" s="1">
        <v>367083</v>
      </c>
      <c r="AP438" s="1">
        <v>386434</v>
      </c>
      <c r="AR438" s="1">
        <v>0</v>
      </c>
      <c r="AT438" s="1">
        <v>535000</v>
      </c>
      <c r="AV438" s="1">
        <v>664524</v>
      </c>
      <c r="AX438" s="1">
        <v>80000</v>
      </c>
      <c r="AZ438" s="20">
        <f t="shared" si="43"/>
        <v>16521532</v>
      </c>
      <c r="BB438" s="1">
        <v>60000</v>
      </c>
      <c r="BH438" s="1">
        <v>0</v>
      </c>
      <c r="BJ438" s="20">
        <f t="shared" si="44"/>
        <v>16581532</v>
      </c>
      <c r="BL438" s="20">
        <f>'Gov Fd Rv'!AO438-'Gov Fnd Exp'!BJ438</f>
        <v>5698137</v>
      </c>
      <c r="BN438" s="1">
        <v>2195735</v>
      </c>
      <c r="BP438" s="1">
        <v>0</v>
      </c>
      <c r="BR438" s="1">
        <v>0</v>
      </c>
      <c r="BT438" s="20">
        <f t="shared" si="45"/>
        <v>7893872</v>
      </c>
      <c r="BU438" s="20"/>
      <c r="BV438" s="20">
        <f>BT438-'Gov Fd BS'!AA438</f>
        <v>0</v>
      </c>
    </row>
    <row r="439" spans="1:74">
      <c r="A439" s="12" t="s">
        <v>452</v>
      </c>
      <c r="B439" s="12"/>
      <c r="C439" s="12" t="s">
        <v>117</v>
      </c>
      <c r="D439" s="12"/>
      <c r="E439" s="13">
        <v>48215</v>
      </c>
      <c r="G439" s="1">
        <v>9501336</v>
      </c>
      <c r="I439" s="1">
        <v>0</v>
      </c>
      <c r="K439" s="1">
        <v>0</v>
      </c>
      <c r="M439" s="1">
        <v>0</v>
      </c>
      <c r="O439" s="1">
        <v>756319</v>
      </c>
      <c r="Q439" s="1">
        <v>589379</v>
      </c>
      <c r="S439" s="1">
        <v>26009</v>
      </c>
      <c r="U439" s="1">
        <v>957682</v>
      </c>
      <c r="W439" s="1">
        <v>494592</v>
      </c>
      <c r="Y439" s="1">
        <v>0</v>
      </c>
      <c r="AA439" s="1">
        <v>1396605</v>
      </c>
      <c r="AC439" s="1">
        <v>39978</v>
      </c>
      <c r="AE439" s="1">
        <v>47250</v>
      </c>
      <c r="AG439" s="1">
        <v>0</v>
      </c>
      <c r="AI439" s="1">
        <v>312994</v>
      </c>
      <c r="AJ439" s="12" t="s">
        <v>452</v>
      </c>
      <c r="AK439" s="12"/>
      <c r="AL439" s="12" t="s">
        <v>117</v>
      </c>
      <c r="AN439" s="1">
        <v>748495</v>
      </c>
      <c r="AP439" s="1">
        <v>159590</v>
      </c>
      <c r="AR439" s="1">
        <v>0</v>
      </c>
      <c r="AT439" s="1">
        <v>972000</v>
      </c>
      <c r="AV439" s="1">
        <v>185386</v>
      </c>
      <c r="AX439" s="1">
        <v>0</v>
      </c>
      <c r="AZ439" s="20">
        <f t="shared" si="43"/>
        <v>16187615</v>
      </c>
      <c r="BB439" s="1">
        <v>207500</v>
      </c>
      <c r="BH439" s="1">
        <v>2915316</v>
      </c>
      <c r="BJ439" s="20">
        <f t="shared" si="44"/>
        <v>19310431</v>
      </c>
      <c r="BL439" s="20">
        <f>'Gov Fd Rv'!AO439-'Gov Fnd Exp'!BJ439</f>
        <v>-1948848</v>
      </c>
      <c r="BN439" s="1">
        <v>6367577</v>
      </c>
      <c r="BP439" s="1">
        <v>0</v>
      </c>
      <c r="BR439" s="1">
        <v>0</v>
      </c>
      <c r="BT439" s="20">
        <f t="shared" si="45"/>
        <v>4418729</v>
      </c>
      <c r="BU439" s="20"/>
      <c r="BV439" s="20">
        <f>BT439-'Gov Fd BS'!AA439</f>
        <v>0</v>
      </c>
    </row>
    <row r="440" spans="1:74" hidden="1">
      <c r="A440" s="12" t="s">
        <v>885</v>
      </c>
      <c r="B440" s="12"/>
      <c r="C440" s="12" t="s">
        <v>542</v>
      </c>
      <c r="D440" s="12"/>
      <c r="E440" s="13">
        <v>49379</v>
      </c>
      <c r="AJ440" s="12" t="s">
        <v>885</v>
      </c>
      <c r="AK440" s="12"/>
      <c r="AL440" s="12" t="s">
        <v>542</v>
      </c>
      <c r="AZ440" s="20">
        <f t="shared" ref="AZ440:AZ490" si="46">SUM(G440:AX440)</f>
        <v>0</v>
      </c>
      <c r="BJ440" s="20">
        <f t="shared" si="44"/>
        <v>0</v>
      </c>
      <c r="BL440" s="20">
        <f>'Gov Fd Rv'!AO440-'Gov Fnd Exp'!BJ440</f>
        <v>0</v>
      </c>
      <c r="BT440" s="20">
        <f t="shared" si="45"/>
        <v>0</v>
      </c>
      <c r="BU440" s="20"/>
      <c r="BV440" s="20">
        <f>BT440-'Gov Fd BS'!AA440</f>
        <v>0</v>
      </c>
    </row>
    <row r="441" spans="1:74" hidden="1">
      <c r="A441" s="12" t="s">
        <v>884</v>
      </c>
      <c r="B441" s="12"/>
      <c r="C441" s="12" t="s">
        <v>542</v>
      </c>
      <c r="D441" s="12"/>
      <c r="E441" s="13">
        <v>49387</v>
      </c>
      <c r="AJ441" s="12" t="s">
        <v>884</v>
      </c>
      <c r="AK441" s="12"/>
      <c r="AL441" s="12" t="s">
        <v>542</v>
      </c>
      <c r="AZ441" s="20">
        <f t="shared" si="46"/>
        <v>0</v>
      </c>
      <c r="BJ441" s="20">
        <f t="shared" si="44"/>
        <v>0</v>
      </c>
      <c r="BL441" s="20">
        <f>'Gov Fd Rv'!AO441-'Gov Fnd Exp'!BJ441</f>
        <v>0</v>
      </c>
      <c r="BT441" s="20">
        <f t="shared" si="45"/>
        <v>0</v>
      </c>
      <c r="BU441" s="20"/>
      <c r="BV441" s="20">
        <f>BT441-'Gov Fd BS'!AA441</f>
        <v>0</v>
      </c>
    </row>
    <row r="442" spans="1:74">
      <c r="A442" s="12" t="s">
        <v>417</v>
      </c>
      <c r="B442" s="12"/>
      <c r="C442" s="12" t="s">
        <v>41</v>
      </c>
      <c r="D442" s="12"/>
      <c r="E442" s="13">
        <v>44628</v>
      </c>
      <c r="G442" s="1">
        <v>13081893</v>
      </c>
      <c r="I442" s="1">
        <v>5113784</v>
      </c>
      <c r="K442" s="1">
        <v>465027</v>
      </c>
      <c r="M442" s="1">
        <v>3073849</v>
      </c>
      <c r="O442" s="1">
        <v>2100984</v>
      </c>
      <c r="Q442" s="1">
        <v>3100049</v>
      </c>
      <c r="S442" s="1">
        <v>113431</v>
      </c>
      <c r="U442" s="1">
        <v>3574697</v>
      </c>
      <c r="W442" s="1">
        <v>669170</v>
      </c>
      <c r="Y442" s="1">
        <v>59988</v>
      </c>
      <c r="AA442" s="1">
        <v>4658305</v>
      </c>
      <c r="AC442" s="1">
        <v>1298840</v>
      </c>
      <c r="AE442" s="1">
        <v>367757</v>
      </c>
      <c r="AG442" s="1">
        <v>0</v>
      </c>
      <c r="AI442" s="1">
        <v>1638015</v>
      </c>
      <c r="AJ442" s="12" t="s">
        <v>417</v>
      </c>
      <c r="AK442" s="12"/>
      <c r="AL442" s="12" t="s">
        <v>41</v>
      </c>
      <c r="AN442" s="1">
        <v>536826</v>
      </c>
      <c r="AP442" s="1">
        <v>7031393</v>
      </c>
      <c r="AR442" s="1">
        <v>0</v>
      </c>
      <c r="AT442" s="1">
        <v>618284</v>
      </c>
      <c r="AV442" s="1">
        <v>1359914</v>
      </c>
      <c r="AX442" s="1">
        <v>0</v>
      </c>
      <c r="AZ442" s="20">
        <f t="shared" si="46"/>
        <v>48862206</v>
      </c>
      <c r="BB442" s="1">
        <v>230576</v>
      </c>
      <c r="BH442" s="1">
        <v>0</v>
      </c>
      <c r="BJ442" s="20">
        <f t="shared" si="44"/>
        <v>49092782</v>
      </c>
      <c r="BL442" s="20">
        <f>'Gov Fd Rv'!AO442-'Gov Fnd Exp'!BJ442</f>
        <v>-6951979</v>
      </c>
      <c r="BN442" s="1">
        <v>11066376</v>
      </c>
      <c r="BP442" s="1">
        <v>0</v>
      </c>
      <c r="BR442" s="1">
        <v>0</v>
      </c>
      <c r="BT442" s="20">
        <f t="shared" si="45"/>
        <v>4114397</v>
      </c>
      <c r="BU442" s="20"/>
      <c r="BV442" s="20">
        <f>BT442-'Gov Fd BS'!AA442</f>
        <v>0</v>
      </c>
    </row>
    <row r="443" spans="1:74" hidden="1">
      <c r="A443" s="17" t="s">
        <v>852</v>
      </c>
      <c r="B443" s="12"/>
      <c r="C443" s="12" t="s">
        <v>41</v>
      </c>
      <c r="D443" s="12"/>
      <c r="E443" s="13">
        <v>47894</v>
      </c>
      <c r="AJ443" s="17" t="s">
        <v>852</v>
      </c>
      <c r="AK443" s="12"/>
      <c r="AL443" s="12" t="s">
        <v>41</v>
      </c>
      <c r="AZ443" s="20">
        <f t="shared" si="46"/>
        <v>0</v>
      </c>
      <c r="BJ443" s="20">
        <f t="shared" si="44"/>
        <v>0</v>
      </c>
      <c r="BL443" s="20">
        <f>'Gov Fd Rv'!AO443-'Gov Fnd Exp'!BJ443</f>
        <v>0</v>
      </c>
      <c r="BT443" s="20">
        <f t="shared" si="45"/>
        <v>0</v>
      </c>
      <c r="BU443" s="20"/>
      <c r="BV443" s="20">
        <f>BT443-'Gov Fd BS'!AA443</f>
        <v>0</v>
      </c>
    </row>
    <row r="444" spans="1:74">
      <c r="A444" s="12" t="s">
        <v>552</v>
      </c>
      <c r="B444" s="12"/>
      <c r="C444" s="12" t="s">
        <v>58</v>
      </c>
      <c r="D444" s="12"/>
      <c r="E444" s="13">
        <v>49510</v>
      </c>
      <c r="G444" s="1">
        <v>4293008</v>
      </c>
      <c r="I444" s="1">
        <v>1515086</v>
      </c>
      <c r="K444" s="1">
        <v>2666</v>
      </c>
      <c r="M444" s="1">
        <v>831203</v>
      </c>
      <c r="O444" s="1">
        <v>338611</v>
      </c>
      <c r="Q444" s="1">
        <v>252047</v>
      </c>
      <c r="S444" s="1">
        <v>90367</v>
      </c>
      <c r="U444" s="1">
        <v>616930</v>
      </c>
      <c r="W444" s="1">
        <v>276346</v>
      </c>
      <c r="Y444" s="1">
        <v>0</v>
      </c>
      <c r="AA444" s="1">
        <v>948202</v>
      </c>
      <c r="AC444" s="1">
        <v>618699</v>
      </c>
      <c r="AE444" s="1">
        <v>0</v>
      </c>
      <c r="AG444" s="1">
        <v>0</v>
      </c>
      <c r="AI444" s="1">
        <v>318541</v>
      </c>
      <c r="AJ444" s="12" t="s">
        <v>552</v>
      </c>
      <c r="AK444" s="12"/>
      <c r="AL444" s="12" t="s">
        <v>58</v>
      </c>
      <c r="AN444" s="1">
        <v>277973</v>
      </c>
      <c r="AP444" s="1">
        <v>1469915</v>
      </c>
      <c r="AR444" s="1">
        <v>0</v>
      </c>
      <c r="AT444" s="1">
        <v>109002</v>
      </c>
      <c r="AV444" s="1">
        <v>75244</v>
      </c>
      <c r="AX444" s="1">
        <v>0</v>
      </c>
      <c r="AZ444" s="20">
        <f t="shared" si="46"/>
        <v>12033840</v>
      </c>
      <c r="BB444" s="1">
        <v>552873</v>
      </c>
      <c r="BH444" s="1">
        <v>0</v>
      </c>
      <c r="BJ444" s="20">
        <f t="shared" si="44"/>
        <v>12586713</v>
      </c>
      <c r="BL444" s="20">
        <f>'Gov Fd Rv'!AO444-'Gov Fnd Exp'!BJ444</f>
        <v>-174711</v>
      </c>
      <c r="BN444" s="1">
        <v>4121524</v>
      </c>
      <c r="BP444" s="1">
        <v>0</v>
      </c>
      <c r="BR444" s="1">
        <v>0</v>
      </c>
      <c r="BT444" s="20">
        <f t="shared" si="45"/>
        <v>3946813</v>
      </c>
      <c r="BU444" s="20"/>
      <c r="BV444" s="20">
        <f>BT444-'Gov Fd BS'!AA444</f>
        <v>0</v>
      </c>
    </row>
    <row r="445" spans="1:74" hidden="1">
      <c r="A445" s="17" t="s">
        <v>853</v>
      </c>
      <c r="B445" s="12"/>
      <c r="C445" s="12" t="s">
        <v>542</v>
      </c>
      <c r="D445" s="12"/>
      <c r="E445" s="13">
        <v>49395</v>
      </c>
      <c r="AJ445" s="17" t="s">
        <v>853</v>
      </c>
      <c r="AK445" s="12"/>
      <c r="AL445" s="12" t="s">
        <v>542</v>
      </c>
      <c r="AZ445" s="20">
        <f t="shared" si="46"/>
        <v>0</v>
      </c>
      <c r="BJ445" s="20">
        <f t="shared" si="44"/>
        <v>0</v>
      </c>
      <c r="BL445" s="20">
        <f>'Gov Fd Rv'!AO445-'Gov Fnd Exp'!BJ445</f>
        <v>0</v>
      </c>
      <c r="BT445" s="20">
        <f t="shared" si="45"/>
        <v>0</v>
      </c>
      <c r="BU445" s="20"/>
      <c r="BV445" s="20">
        <f>BT445-'Gov Fd BS'!AA445</f>
        <v>0</v>
      </c>
    </row>
    <row r="446" spans="1:74" hidden="1">
      <c r="A446" s="17" t="s">
        <v>854</v>
      </c>
      <c r="B446" s="12"/>
      <c r="C446" s="12" t="s">
        <v>486</v>
      </c>
      <c r="D446" s="12"/>
      <c r="E446" s="13">
        <v>48579</v>
      </c>
      <c r="AJ446" s="17" t="s">
        <v>854</v>
      </c>
      <c r="AK446" s="12"/>
      <c r="AL446" s="12" t="s">
        <v>486</v>
      </c>
      <c r="AZ446" s="20">
        <f t="shared" si="46"/>
        <v>0</v>
      </c>
      <c r="BJ446" s="20">
        <f t="shared" si="44"/>
        <v>0</v>
      </c>
      <c r="BL446" s="20">
        <f>'Gov Fd Rv'!AO446-'Gov Fnd Exp'!BJ446</f>
        <v>0</v>
      </c>
      <c r="BT446" s="20">
        <f t="shared" si="45"/>
        <v>0</v>
      </c>
      <c r="BU446" s="20"/>
      <c r="BV446" s="20">
        <f>BT446-'Gov Fd BS'!AA446</f>
        <v>0</v>
      </c>
    </row>
    <row r="447" spans="1:74">
      <c r="A447" s="12" t="s">
        <v>300</v>
      </c>
      <c r="B447" s="12"/>
      <c r="C447" s="12" t="s">
        <v>20</v>
      </c>
      <c r="D447" s="12"/>
      <c r="E447" s="13">
        <v>44636</v>
      </c>
      <c r="G447" s="1">
        <v>60625199</v>
      </c>
      <c r="I447" s="1">
        <v>19908588</v>
      </c>
      <c r="K447" s="1">
        <v>3953703</v>
      </c>
      <c r="M447" s="1">
        <f>326589+261513</f>
        <v>588102</v>
      </c>
      <c r="O447" s="1">
        <v>10202279</v>
      </c>
      <c r="Q447" s="1">
        <v>8110317</v>
      </c>
      <c r="S447" s="1">
        <v>711398</v>
      </c>
      <c r="U447" s="1">
        <v>11778944</v>
      </c>
      <c r="W447" s="1">
        <v>3132118</v>
      </c>
      <c r="Y447" s="1">
        <v>1055079</v>
      </c>
      <c r="AA447" s="1">
        <v>11025349</v>
      </c>
      <c r="AC447" s="1">
        <v>6352579</v>
      </c>
      <c r="AE447" s="1">
        <v>2456960</v>
      </c>
      <c r="AG447" s="1">
        <v>0</v>
      </c>
      <c r="AI447" s="1">
        <v>3448585</v>
      </c>
      <c r="AJ447" s="12" t="s">
        <v>300</v>
      </c>
      <c r="AK447" s="12"/>
      <c r="AL447" s="12" t="s">
        <v>20</v>
      </c>
      <c r="AN447" s="1">
        <v>2748439</v>
      </c>
      <c r="AP447" s="1">
        <v>537146</v>
      </c>
      <c r="AR447" s="1">
        <v>0</v>
      </c>
      <c r="AT447" s="1">
        <v>5126284</v>
      </c>
      <c r="AV447" s="1">
        <v>1946000</v>
      </c>
      <c r="AX447" s="1">
        <v>0</v>
      </c>
      <c r="AZ447" s="20">
        <f t="shared" si="46"/>
        <v>153707069</v>
      </c>
      <c r="BB447" s="1">
        <v>267821</v>
      </c>
      <c r="BH447" s="1">
        <v>0</v>
      </c>
      <c r="BJ447" s="20">
        <f t="shared" si="44"/>
        <v>153974890</v>
      </c>
      <c r="BL447" s="20">
        <f>'Gov Fd Rv'!AO447-'Gov Fnd Exp'!BJ447</f>
        <v>-3601911</v>
      </c>
      <c r="BN447" s="1">
        <v>13085845</v>
      </c>
      <c r="BP447" s="1">
        <v>0</v>
      </c>
      <c r="BR447" s="1">
        <v>0</v>
      </c>
      <c r="BT447" s="20">
        <f t="shared" si="45"/>
        <v>9483934</v>
      </c>
      <c r="BU447" s="20"/>
      <c r="BV447" s="20">
        <f>BT447-'Gov Fd BS'!AA447</f>
        <v>0</v>
      </c>
    </row>
    <row r="448" spans="1:74">
      <c r="A448" s="17" t="s">
        <v>393</v>
      </c>
      <c r="B448" s="12"/>
      <c r="C448" s="12" t="s">
        <v>34</v>
      </c>
      <c r="D448" s="12"/>
      <c r="E448" s="13">
        <v>47597</v>
      </c>
      <c r="G448" s="1">
        <v>4791677</v>
      </c>
      <c r="I448" s="1">
        <v>1371344</v>
      </c>
      <c r="K448" s="1">
        <v>66946</v>
      </c>
      <c r="M448" s="1">
        <f>771+382925</f>
        <v>383696</v>
      </c>
      <c r="O448" s="1">
        <v>511288</v>
      </c>
      <c r="Q448" s="1">
        <v>649485</v>
      </c>
      <c r="S448" s="1">
        <v>31837</v>
      </c>
      <c r="U448" s="1">
        <v>1019642</v>
      </c>
      <c r="W448" s="1">
        <v>365085</v>
      </c>
      <c r="Y448" s="1">
        <v>135686</v>
      </c>
      <c r="AA448" s="1">
        <v>972085</v>
      </c>
      <c r="AC448" s="1">
        <v>517980</v>
      </c>
      <c r="AE448" s="1">
        <v>238649</v>
      </c>
      <c r="AG448" s="1">
        <v>0</v>
      </c>
      <c r="AI448" s="1">
        <v>457430</v>
      </c>
      <c r="AJ448" s="12" t="s">
        <v>393</v>
      </c>
      <c r="AK448" s="12"/>
      <c r="AL448" s="12" t="s">
        <v>34</v>
      </c>
      <c r="AN448" s="1">
        <v>452425</v>
      </c>
      <c r="AP448" s="1">
        <v>1000</v>
      </c>
      <c r="AR448" s="1">
        <v>0</v>
      </c>
      <c r="AT448" s="1">
        <v>318150</v>
      </c>
      <c r="AV448" s="1">
        <v>140134</v>
      </c>
      <c r="AX448" s="1">
        <v>0</v>
      </c>
      <c r="AZ448" s="20">
        <f t="shared" si="46"/>
        <v>12424539</v>
      </c>
      <c r="BB448" s="1">
        <v>71264</v>
      </c>
      <c r="BH448" s="1">
        <v>0</v>
      </c>
      <c r="BJ448" s="20">
        <f>AZ448+BB448+BH448</f>
        <v>12495803</v>
      </c>
      <c r="BL448" s="20">
        <f>'Gov Fd Rv'!AO448-'Gov Fnd Exp'!BJ448</f>
        <v>-468619</v>
      </c>
      <c r="BN448" s="1">
        <v>2442392</v>
      </c>
      <c r="BP448" s="1">
        <v>0</v>
      </c>
      <c r="BR448" s="1">
        <v>0</v>
      </c>
      <c r="BT448" s="20">
        <f t="shared" si="45"/>
        <v>1973773</v>
      </c>
      <c r="BU448" s="20"/>
      <c r="BV448" s="20">
        <f>BT448-'Gov Fd BS'!AA448</f>
        <v>0</v>
      </c>
    </row>
    <row r="449" spans="1:74" hidden="1">
      <c r="A449" s="17" t="s">
        <v>855</v>
      </c>
      <c r="B449" s="12"/>
      <c r="C449" s="12" t="s">
        <v>523</v>
      </c>
      <c r="D449" s="12"/>
      <c r="E449" s="13">
        <v>45575</v>
      </c>
      <c r="AJ449" s="17" t="s">
        <v>855</v>
      </c>
      <c r="AK449" s="12"/>
      <c r="AL449" s="12" t="s">
        <v>523</v>
      </c>
      <c r="AZ449" s="20">
        <f t="shared" si="46"/>
        <v>0</v>
      </c>
      <c r="BJ449" s="20">
        <f t="shared" si="44"/>
        <v>0</v>
      </c>
      <c r="BL449" s="20">
        <f>'Gov Fd Rv'!AO449-'Gov Fnd Exp'!BJ449</f>
        <v>0</v>
      </c>
      <c r="BT449" s="20">
        <f t="shared" si="45"/>
        <v>0</v>
      </c>
      <c r="BU449" s="20"/>
      <c r="BV449" s="20">
        <f>BT449-'Gov Fd BS'!AA449</f>
        <v>0</v>
      </c>
    </row>
    <row r="450" spans="1:74">
      <c r="A450" s="12" t="s">
        <v>318</v>
      </c>
      <c r="B450" s="12"/>
      <c r="C450" s="12" t="s">
        <v>24</v>
      </c>
      <c r="D450" s="12"/>
      <c r="E450" s="13">
        <v>46813</v>
      </c>
      <c r="G450" s="1">
        <v>10618854</v>
      </c>
      <c r="I450" s="1">
        <v>3856844</v>
      </c>
      <c r="K450" s="1">
        <v>126205</v>
      </c>
      <c r="M450" s="1">
        <v>477440</v>
      </c>
      <c r="O450" s="1">
        <v>1660478</v>
      </c>
      <c r="Q450" s="1">
        <v>972337</v>
      </c>
      <c r="S450" s="1">
        <v>35669</v>
      </c>
      <c r="U450" s="1">
        <v>1613883</v>
      </c>
      <c r="W450" s="1">
        <v>528986</v>
      </c>
      <c r="Y450" s="1">
        <v>1843</v>
      </c>
      <c r="AA450" s="1">
        <v>2054611</v>
      </c>
      <c r="AC450" s="1">
        <v>945650</v>
      </c>
      <c r="AE450" s="1">
        <v>132167</v>
      </c>
      <c r="AG450" s="1">
        <v>896226</v>
      </c>
      <c r="AI450" s="1">
        <v>55389</v>
      </c>
      <c r="AJ450" s="12" t="s">
        <v>318</v>
      </c>
      <c r="AK450" s="12"/>
      <c r="AL450" s="12" t="s">
        <v>24</v>
      </c>
      <c r="AN450" s="1">
        <v>679271</v>
      </c>
      <c r="AP450" s="1">
        <v>340207</v>
      </c>
      <c r="AR450" s="1">
        <v>0</v>
      </c>
      <c r="AT450" s="1">
        <v>733845</v>
      </c>
      <c r="AV450" s="1">
        <v>165551</v>
      </c>
      <c r="AX450" s="1">
        <v>0</v>
      </c>
      <c r="AZ450" s="20">
        <f t="shared" si="46"/>
        <v>25895456</v>
      </c>
      <c r="BB450" s="1">
        <v>950883</v>
      </c>
      <c r="BH450" s="1">
        <v>0</v>
      </c>
      <c r="BJ450" s="20">
        <f t="shared" si="44"/>
        <v>26846339</v>
      </c>
      <c r="BL450" s="20">
        <f>'Gov Fd Rv'!AO450-'Gov Fnd Exp'!BJ450</f>
        <v>279188</v>
      </c>
      <c r="BN450" s="1">
        <v>6111781</v>
      </c>
      <c r="BP450" s="1">
        <v>24595</v>
      </c>
      <c r="BR450" s="1">
        <v>0</v>
      </c>
      <c r="BT450" s="20">
        <f t="shared" si="45"/>
        <v>6415564</v>
      </c>
      <c r="BU450" s="20"/>
      <c r="BV450" s="20">
        <f>BT450-'Gov Fd BS'!AA450</f>
        <v>0</v>
      </c>
    </row>
    <row r="451" spans="1:74" hidden="1">
      <c r="A451" s="17" t="s">
        <v>856</v>
      </c>
      <c r="B451" s="17"/>
      <c r="C451" s="17" t="s">
        <v>10</v>
      </c>
      <c r="D451" s="12"/>
      <c r="E451" s="13"/>
      <c r="AJ451" s="17" t="s">
        <v>856</v>
      </c>
      <c r="AK451" s="17"/>
      <c r="AL451" s="17" t="s">
        <v>10</v>
      </c>
      <c r="AZ451" s="20">
        <f t="shared" si="46"/>
        <v>0</v>
      </c>
      <c r="BJ451" s="20">
        <f t="shared" si="44"/>
        <v>0</v>
      </c>
      <c r="BL451" s="20">
        <f>'Gov Fd Rv'!AO451-'Gov Fnd Exp'!BJ451</f>
        <v>0</v>
      </c>
      <c r="BT451" s="20">
        <f t="shared" si="45"/>
        <v>0</v>
      </c>
      <c r="BU451" s="20"/>
      <c r="BV451" s="20">
        <f>BT451-'Gov Fd BS'!AA451</f>
        <v>0</v>
      </c>
    </row>
    <row r="452" spans="1:74">
      <c r="A452" s="12" t="s">
        <v>205</v>
      </c>
      <c r="B452" s="12"/>
      <c r="C452" s="12" t="s">
        <v>41</v>
      </c>
      <c r="D452" s="12"/>
      <c r="E452" s="13">
        <v>47902</v>
      </c>
      <c r="G452" s="1">
        <v>10550274</v>
      </c>
      <c r="I452" s="1">
        <v>568813</v>
      </c>
      <c r="K452" s="1">
        <v>145425</v>
      </c>
      <c r="M452" s="1">
        <v>1372927</v>
      </c>
      <c r="O452" s="1">
        <v>1352200</v>
      </c>
      <c r="Q452" s="1">
        <v>1391934</v>
      </c>
      <c r="S452" s="1">
        <v>93238</v>
      </c>
      <c r="U452" s="1">
        <v>1718939</v>
      </c>
      <c r="W452" s="1">
        <v>813867</v>
      </c>
      <c r="Y452" s="1">
        <v>199467</v>
      </c>
      <c r="AA452" s="1">
        <v>3973674</v>
      </c>
      <c r="AC452" s="1">
        <v>1294510</v>
      </c>
      <c r="AE452" s="1">
        <v>24042</v>
      </c>
      <c r="AG452" s="1">
        <v>893521</v>
      </c>
      <c r="AI452" s="1">
        <f>198389+183728</f>
        <v>382117</v>
      </c>
      <c r="AJ452" s="12" t="s">
        <v>205</v>
      </c>
      <c r="AK452" s="12"/>
      <c r="AL452" s="12" t="s">
        <v>41</v>
      </c>
      <c r="AN452" s="1">
        <v>1192674</v>
      </c>
      <c r="AP452" s="1">
        <v>544374</v>
      </c>
      <c r="AR452" s="1">
        <v>0</v>
      </c>
      <c r="AT452" s="1">
        <v>265136</v>
      </c>
      <c r="AV452" s="1">
        <v>64188</v>
      </c>
      <c r="AX452" s="1">
        <v>0</v>
      </c>
      <c r="AZ452" s="20">
        <f t="shared" si="46"/>
        <v>26841320</v>
      </c>
      <c r="BB452" s="1">
        <v>2180479</v>
      </c>
      <c r="BH452" s="1">
        <v>0</v>
      </c>
      <c r="BJ452" s="20">
        <f t="shared" si="44"/>
        <v>29021799</v>
      </c>
      <c r="BL452" s="20">
        <f>'Gov Fd Rv'!AO452-'Gov Fnd Exp'!BJ452</f>
        <v>2562080</v>
      </c>
      <c r="BN452" s="1">
        <v>30278417</v>
      </c>
      <c r="BP452" s="1">
        <v>0</v>
      </c>
      <c r="BR452" s="1">
        <v>0</v>
      </c>
      <c r="BT452" s="20">
        <f t="shared" si="45"/>
        <v>32840497</v>
      </c>
      <c r="BU452" s="20"/>
      <c r="BV452" s="20">
        <f>BT452-'Gov Fd BS'!AA452</f>
        <v>0</v>
      </c>
    </row>
    <row r="453" spans="1:74">
      <c r="A453" s="12" t="s">
        <v>205</v>
      </c>
      <c r="B453" s="12"/>
      <c r="C453" s="12" t="s">
        <v>62</v>
      </c>
      <c r="D453" s="12"/>
      <c r="E453" s="13">
        <v>49924</v>
      </c>
      <c r="G453" s="1">
        <v>19652640</v>
      </c>
      <c r="I453" s="1">
        <v>4773309</v>
      </c>
      <c r="K453" s="1">
        <v>2612842</v>
      </c>
      <c r="M453" s="1">
        <f>11746+238285+34813</f>
        <v>284844</v>
      </c>
      <c r="O453" s="1">
        <v>3167827</v>
      </c>
      <c r="Q453" s="1">
        <v>1828274</v>
      </c>
      <c r="S453" s="1">
        <v>126917</v>
      </c>
      <c r="U453" s="1">
        <v>3155310</v>
      </c>
      <c r="W453" s="1">
        <v>962656</v>
      </c>
      <c r="Y453" s="1">
        <v>201896</v>
      </c>
      <c r="AA453" s="1">
        <v>4190442</v>
      </c>
      <c r="AC453" s="1">
        <v>2295634</v>
      </c>
      <c r="AE453" s="1">
        <v>561515</v>
      </c>
      <c r="AG453" s="1">
        <v>1568573</v>
      </c>
      <c r="AI453" s="1">
        <v>383694</v>
      </c>
      <c r="AJ453" s="12" t="s">
        <v>205</v>
      </c>
      <c r="AK453" s="12"/>
      <c r="AL453" s="12" t="s">
        <v>62</v>
      </c>
      <c r="AN453" s="1">
        <v>1115134</v>
      </c>
      <c r="AP453" s="1">
        <v>757152</v>
      </c>
      <c r="AR453" s="1">
        <v>0</v>
      </c>
      <c r="AT453" s="1">
        <v>200000</v>
      </c>
      <c r="AV453" s="1">
        <v>5746</v>
      </c>
      <c r="AX453" s="1">
        <v>0</v>
      </c>
      <c r="AZ453" s="20">
        <f t="shared" si="46"/>
        <v>47844405</v>
      </c>
      <c r="BB453" s="1">
        <v>0</v>
      </c>
      <c r="BH453" s="1">
        <v>0</v>
      </c>
      <c r="BJ453" s="20">
        <f t="shared" si="44"/>
        <v>47844405</v>
      </c>
      <c r="BL453" s="20">
        <f>'Gov Fd Rv'!AO453-'Gov Fnd Exp'!BJ453</f>
        <v>-998316</v>
      </c>
      <c r="BN453" s="1">
        <v>26940348</v>
      </c>
      <c r="BP453" s="1">
        <v>0</v>
      </c>
      <c r="BR453" s="1">
        <v>0</v>
      </c>
      <c r="BT453" s="20">
        <f t="shared" si="45"/>
        <v>25942032</v>
      </c>
      <c r="BU453" s="20"/>
      <c r="BV453" s="20">
        <f>BT453-'Gov Fd BS'!AA453</f>
        <v>0</v>
      </c>
    </row>
    <row r="454" spans="1:74">
      <c r="A454" s="12" t="s">
        <v>651</v>
      </c>
      <c r="B454" s="12"/>
      <c r="C454" s="12" t="s">
        <v>72</v>
      </c>
      <c r="D454" s="12"/>
      <c r="E454" s="13">
        <v>45583</v>
      </c>
      <c r="G454" s="1">
        <v>23499036</v>
      </c>
      <c r="I454" s="1">
        <v>5036272</v>
      </c>
      <c r="K454" s="1">
        <v>124329</v>
      </c>
      <c r="M454" s="1">
        <v>0</v>
      </c>
      <c r="O454" s="1">
        <v>2761183</v>
      </c>
      <c r="Q454" s="1">
        <v>934333</v>
      </c>
      <c r="S454" s="1">
        <v>31225</v>
      </c>
      <c r="U454" s="1">
        <v>2942219</v>
      </c>
      <c r="W454" s="1">
        <v>992685</v>
      </c>
      <c r="Y454" s="1">
        <v>202098</v>
      </c>
      <c r="AA454" s="1">
        <v>5232097</v>
      </c>
      <c r="AC454" s="1">
        <v>1735244</v>
      </c>
      <c r="AE454" s="1">
        <v>852833</v>
      </c>
      <c r="AG454" s="1">
        <v>1649013</v>
      </c>
      <c r="AI454" s="1">
        <v>327299</v>
      </c>
      <c r="AJ454" s="12" t="s">
        <v>651</v>
      </c>
      <c r="AK454" s="12"/>
      <c r="AL454" s="12" t="s">
        <v>72</v>
      </c>
      <c r="AN454" s="1">
        <v>1581213</v>
      </c>
      <c r="AP454" s="1">
        <v>1685508</v>
      </c>
      <c r="AR454" s="1">
        <v>0</v>
      </c>
      <c r="AT454" s="1">
        <v>1860115</v>
      </c>
      <c r="AV454" s="1">
        <v>1354513</v>
      </c>
      <c r="AX454" s="1">
        <v>0</v>
      </c>
      <c r="AZ454" s="20">
        <f t="shared" si="46"/>
        <v>52801215</v>
      </c>
      <c r="BB454" s="1">
        <v>0</v>
      </c>
      <c r="BH454" s="1">
        <v>0</v>
      </c>
      <c r="BJ454" s="20">
        <f t="shared" si="44"/>
        <v>52801215</v>
      </c>
      <c r="BL454" s="20">
        <f>'Gov Fd Rv'!AO454-'Gov Fnd Exp'!BJ454</f>
        <v>-2930768</v>
      </c>
      <c r="BN454" s="1">
        <v>4757251</v>
      </c>
      <c r="BP454" s="1">
        <v>0</v>
      </c>
      <c r="BR454" s="1">
        <v>0</v>
      </c>
      <c r="BT454" s="20">
        <f t="shared" si="45"/>
        <v>1826483</v>
      </c>
      <c r="BU454" s="20"/>
      <c r="BV454" s="20">
        <f>BT454-'Gov Fd BS'!AA454</f>
        <v>0</v>
      </c>
    </row>
    <row r="455" spans="1:74">
      <c r="A455" s="12" t="s">
        <v>345</v>
      </c>
      <c r="B455" s="12"/>
      <c r="C455" s="12" t="s">
        <v>28</v>
      </c>
      <c r="D455" s="12"/>
      <c r="E455" s="13">
        <v>47076</v>
      </c>
      <c r="G455" s="1">
        <v>2356340</v>
      </c>
      <c r="I455" s="1">
        <v>274064</v>
      </c>
      <c r="K455" s="1">
        <v>218698</v>
      </c>
      <c r="M455" s="1">
        <v>23976</v>
      </c>
      <c r="O455" s="1">
        <v>175332</v>
      </c>
      <c r="Q455" s="1">
        <v>128772</v>
      </c>
      <c r="S455" s="1">
        <v>19500</v>
      </c>
      <c r="U455" s="1">
        <v>494841</v>
      </c>
      <c r="W455" s="1">
        <v>198160</v>
      </c>
      <c r="Y455" s="1">
        <v>1227</v>
      </c>
      <c r="AA455" s="1">
        <v>423608</v>
      </c>
      <c r="AC455" s="1">
        <v>228371</v>
      </c>
      <c r="AE455" s="1">
        <v>80446</v>
      </c>
      <c r="AG455" s="1">
        <v>0</v>
      </c>
      <c r="AI455" s="1">
        <v>251286</v>
      </c>
      <c r="AJ455" s="12" t="s">
        <v>345</v>
      </c>
      <c r="AK455" s="12"/>
      <c r="AL455" s="12" t="s">
        <v>28</v>
      </c>
      <c r="AN455" s="1">
        <v>349671</v>
      </c>
      <c r="AP455" s="1">
        <v>1255217</v>
      </c>
      <c r="AR455" s="1">
        <v>0</v>
      </c>
      <c r="AT455" s="1">
        <v>20000</v>
      </c>
      <c r="AV455" s="1">
        <v>213184</v>
      </c>
      <c r="AX455" s="1">
        <v>0</v>
      </c>
      <c r="AZ455" s="20">
        <f t="shared" si="46"/>
        <v>6712693</v>
      </c>
      <c r="BB455" s="1">
        <v>0</v>
      </c>
      <c r="BH455" s="1">
        <v>0</v>
      </c>
      <c r="BJ455" s="20">
        <f t="shared" si="44"/>
        <v>6712693</v>
      </c>
      <c r="BL455" s="20">
        <f>'Gov Fd Rv'!AO455-'Gov Fnd Exp'!BJ455</f>
        <v>8375635</v>
      </c>
      <c r="BN455" s="1">
        <v>7564644</v>
      </c>
      <c r="BP455" s="1">
        <v>0</v>
      </c>
      <c r="BR455" s="1">
        <v>0</v>
      </c>
      <c r="BT455" s="20">
        <f t="shared" si="45"/>
        <v>15940279</v>
      </c>
      <c r="BU455" s="20"/>
      <c r="BV455" s="20">
        <f>BT455-'Gov Fd BS'!AA455</f>
        <v>0</v>
      </c>
    </row>
    <row r="456" spans="1:74">
      <c r="A456" s="12" t="s">
        <v>326</v>
      </c>
      <c r="B456" s="12"/>
      <c r="C456" s="12" t="s">
        <v>25</v>
      </c>
      <c r="D456" s="12"/>
      <c r="E456" s="13">
        <v>46896</v>
      </c>
      <c r="G456" s="1">
        <v>46539027</v>
      </c>
      <c r="I456" s="1">
        <v>8774522</v>
      </c>
      <c r="K456" s="1">
        <v>1080428</v>
      </c>
      <c r="M456" s="1">
        <v>3049232</v>
      </c>
      <c r="O456" s="1">
        <v>4976200</v>
      </c>
      <c r="Q456" s="1">
        <v>7416364</v>
      </c>
      <c r="S456" s="1">
        <v>569839</v>
      </c>
      <c r="U456" s="1">
        <v>8668252</v>
      </c>
      <c r="W456" s="1">
        <v>1736225</v>
      </c>
      <c r="Y456" s="1">
        <v>572732</v>
      </c>
      <c r="AA456" s="1">
        <v>9340562</v>
      </c>
      <c r="AC456" s="1">
        <v>6247484</v>
      </c>
      <c r="AE456" s="1">
        <v>165243</v>
      </c>
      <c r="AG456" s="1">
        <v>3989268</v>
      </c>
      <c r="AI456" s="1">
        <v>73232</v>
      </c>
      <c r="AJ456" s="12" t="s">
        <v>326</v>
      </c>
      <c r="AK456" s="12"/>
      <c r="AL456" s="12" t="s">
        <v>25</v>
      </c>
      <c r="AN456" s="1">
        <v>2975439</v>
      </c>
      <c r="AP456" s="1">
        <v>6838942</v>
      </c>
      <c r="AR456" s="1">
        <v>0</v>
      </c>
      <c r="AT456" s="1">
        <v>8532187</v>
      </c>
      <c r="AV456" s="1">
        <v>5742451</v>
      </c>
      <c r="AX456" s="1">
        <v>0</v>
      </c>
      <c r="AZ456" s="20">
        <f t="shared" si="46"/>
        <v>127287629</v>
      </c>
      <c r="BB456" s="1">
        <v>2000000</v>
      </c>
      <c r="BH456" s="1">
        <v>0</v>
      </c>
      <c r="BJ456" s="20">
        <f t="shared" si="44"/>
        <v>129287629</v>
      </c>
      <c r="BL456" s="20">
        <f>'Gov Fd Rv'!AO456-'Gov Fnd Exp'!BJ456</f>
        <v>-552892</v>
      </c>
      <c r="BN456" s="1">
        <v>45082222</v>
      </c>
      <c r="BP456" s="1">
        <v>-42877</v>
      </c>
      <c r="BR456" s="1">
        <v>0</v>
      </c>
      <c r="BT456" s="20">
        <f t="shared" si="45"/>
        <v>44486453</v>
      </c>
      <c r="BU456" s="20"/>
      <c r="BV456" s="20">
        <f>BT456-'Gov Fd BS'!AA456</f>
        <v>0</v>
      </c>
    </row>
    <row r="457" spans="1:74">
      <c r="A457" s="12" t="s">
        <v>346</v>
      </c>
      <c r="B457" s="12"/>
      <c r="C457" s="12" t="s">
        <v>28</v>
      </c>
      <c r="D457" s="12"/>
      <c r="E457" s="13">
        <v>47084</v>
      </c>
      <c r="G457" s="1">
        <v>6625697</v>
      </c>
      <c r="I457" s="1">
        <v>1584531</v>
      </c>
      <c r="K457" s="1">
        <v>132541</v>
      </c>
      <c r="M457" s="1">
        <v>0</v>
      </c>
      <c r="O457" s="1">
        <v>715014</v>
      </c>
      <c r="Q457" s="1">
        <v>685368</v>
      </c>
      <c r="S457" s="1">
        <v>41225</v>
      </c>
      <c r="U457" s="1">
        <v>940385</v>
      </c>
      <c r="W457" s="1">
        <v>340264</v>
      </c>
      <c r="Y457" s="1">
        <v>44389</v>
      </c>
      <c r="AA457" s="1">
        <v>1377449</v>
      </c>
      <c r="AC457" s="1">
        <v>835018</v>
      </c>
      <c r="AE457" s="1">
        <v>115167</v>
      </c>
      <c r="AG457" s="1">
        <v>0</v>
      </c>
      <c r="AI457" s="1">
        <v>562128</v>
      </c>
      <c r="AJ457" s="12" t="s">
        <v>346</v>
      </c>
      <c r="AK457" s="12"/>
      <c r="AL457" s="12" t="s">
        <v>28</v>
      </c>
      <c r="AN457" s="1">
        <v>609162</v>
      </c>
      <c r="AP457" s="1">
        <v>6040870</v>
      </c>
      <c r="AR457" s="1">
        <v>0</v>
      </c>
      <c r="AT457" s="1">
        <v>765000</v>
      </c>
      <c r="AV457" s="1">
        <v>637815</v>
      </c>
      <c r="AX457" s="1">
        <v>0</v>
      </c>
      <c r="AZ457" s="20">
        <f t="shared" si="46"/>
        <v>22052023</v>
      </c>
      <c r="BB457" s="1">
        <v>11000</v>
      </c>
      <c r="BH457" s="1">
        <v>0</v>
      </c>
      <c r="BJ457" s="20">
        <f t="shared" si="44"/>
        <v>22063023</v>
      </c>
      <c r="BL457" s="20">
        <f>'Gov Fd Rv'!AO457-'Gov Fnd Exp'!BJ457</f>
        <v>800251</v>
      </c>
      <c r="BN457" s="1">
        <v>17375177</v>
      </c>
      <c r="BP457" s="1">
        <v>0</v>
      </c>
      <c r="BR457" s="1">
        <v>0</v>
      </c>
      <c r="BT457" s="20">
        <f t="shared" si="45"/>
        <v>18175428</v>
      </c>
      <c r="BU457" s="20"/>
      <c r="BV457" s="20">
        <f>BT457-'Gov Fd BS'!AA457</f>
        <v>0</v>
      </c>
    </row>
    <row r="458" spans="1:74">
      <c r="A458" s="12" t="s">
        <v>490</v>
      </c>
      <c r="B458" s="12"/>
      <c r="C458" s="12" t="s">
        <v>48</v>
      </c>
      <c r="D458" s="12"/>
      <c r="E458" s="13">
        <v>44644</v>
      </c>
      <c r="G458" s="1">
        <v>19869739</v>
      </c>
      <c r="I458" s="1">
        <v>0</v>
      </c>
      <c r="K458" s="1">
        <v>0</v>
      </c>
      <c r="M458" s="1">
        <v>0</v>
      </c>
      <c r="O458" s="1">
        <v>1474825</v>
      </c>
      <c r="Q458" s="1">
        <v>1999864</v>
      </c>
      <c r="S458" s="1">
        <v>29714</v>
      </c>
      <c r="U458" s="1">
        <v>2258046</v>
      </c>
      <c r="W458" s="1">
        <v>393654</v>
      </c>
      <c r="Y458" s="1">
        <v>30502</v>
      </c>
      <c r="AA458" s="1">
        <v>2873207</v>
      </c>
      <c r="AC458" s="1">
        <v>1638063</v>
      </c>
      <c r="AE458" s="1">
        <v>313907</v>
      </c>
      <c r="AG458" s="1">
        <v>0</v>
      </c>
      <c r="AI458" s="1">
        <v>165805</v>
      </c>
      <c r="AJ458" s="12" t="s">
        <v>490</v>
      </c>
      <c r="AK458" s="12"/>
      <c r="AL458" s="12" t="s">
        <v>48</v>
      </c>
      <c r="AN458" s="1">
        <v>792759</v>
      </c>
      <c r="AP458" s="1">
        <v>437616</v>
      </c>
      <c r="AR458" s="1">
        <v>0</v>
      </c>
      <c r="AT458" s="1">
        <v>753801</v>
      </c>
      <c r="AV458" s="1">
        <v>313420</v>
      </c>
      <c r="AX458" s="1">
        <v>0</v>
      </c>
      <c r="AZ458" s="20">
        <f t="shared" si="46"/>
        <v>33344922</v>
      </c>
      <c r="BB458" s="1">
        <v>0</v>
      </c>
      <c r="BH458" s="1">
        <v>0</v>
      </c>
      <c r="BJ458" s="20">
        <f t="shared" si="44"/>
        <v>33344922</v>
      </c>
      <c r="BL458" s="20">
        <f>'Gov Fd Rv'!AO458-'Gov Fnd Exp'!BJ458</f>
        <v>806520</v>
      </c>
      <c r="BN458" s="1">
        <v>8260597</v>
      </c>
      <c r="BP458" s="1">
        <v>-6837</v>
      </c>
      <c r="BR458" s="1">
        <v>0</v>
      </c>
      <c r="BT458" s="20">
        <f t="shared" si="45"/>
        <v>9060280</v>
      </c>
      <c r="BU458" s="20"/>
      <c r="BV458" s="20">
        <f>BT458-'Gov Fd BS'!AA458</f>
        <v>0</v>
      </c>
    </row>
    <row r="459" spans="1:74" hidden="1">
      <c r="A459" s="17" t="s">
        <v>857</v>
      </c>
      <c r="B459" s="12"/>
      <c r="C459" s="12" t="s">
        <v>27</v>
      </c>
      <c r="D459" s="12"/>
      <c r="E459" s="13">
        <v>46995</v>
      </c>
      <c r="AJ459" s="73" t="s">
        <v>857</v>
      </c>
      <c r="AK459" s="12"/>
      <c r="AL459" s="12" t="s">
        <v>27</v>
      </c>
      <c r="AZ459" s="20">
        <f t="shared" si="46"/>
        <v>0</v>
      </c>
      <c r="BJ459" s="20">
        <f t="shared" si="44"/>
        <v>0</v>
      </c>
      <c r="BL459" s="20">
        <f>'Gov Fd Rv'!AO459-'Gov Fnd Exp'!BJ459</f>
        <v>0</v>
      </c>
      <c r="BT459" s="20">
        <f t="shared" si="45"/>
        <v>0</v>
      </c>
      <c r="BU459" s="20"/>
      <c r="BV459" s="20">
        <f>BT459-'Gov Fd BS'!AA459</f>
        <v>0</v>
      </c>
    </row>
    <row r="460" spans="1:74">
      <c r="A460" s="12" t="s">
        <v>338</v>
      </c>
      <c r="B460" s="12"/>
      <c r="C460" s="12" t="s">
        <v>62</v>
      </c>
      <c r="D460" s="12"/>
      <c r="E460" s="13">
        <v>49932</v>
      </c>
      <c r="G460" s="1">
        <v>25309510</v>
      </c>
      <c r="I460" s="1">
        <v>5921216</v>
      </c>
      <c r="K460" s="1">
        <v>1698374</v>
      </c>
      <c r="M460" s="1">
        <f>2641+276645</f>
        <v>279286</v>
      </c>
      <c r="O460" s="1">
        <v>3321609</v>
      </c>
      <c r="Q460" s="1">
        <v>3843254</v>
      </c>
      <c r="S460" s="1">
        <v>64225</v>
      </c>
      <c r="U460" s="1">
        <v>3992185</v>
      </c>
      <c r="W460" s="1">
        <v>945373</v>
      </c>
      <c r="Y460" s="1">
        <v>148536</v>
      </c>
      <c r="AA460" s="1">
        <v>5411927</v>
      </c>
      <c r="AC460" s="1">
        <v>2521961</v>
      </c>
      <c r="AE460" s="1">
        <v>213098</v>
      </c>
      <c r="AG460" s="1">
        <v>2570845</v>
      </c>
      <c r="AI460" s="1">
        <v>435803</v>
      </c>
      <c r="AJ460" s="12" t="s">
        <v>338</v>
      </c>
      <c r="AK460" s="12"/>
      <c r="AL460" s="12" t="s">
        <v>62</v>
      </c>
      <c r="AN460" s="1">
        <v>1199031</v>
      </c>
      <c r="AP460" s="1">
        <v>72028</v>
      </c>
      <c r="AR460" s="1">
        <v>0</v>
      </c>
      <c r="AT460" s="1">
        <v>1645000</v>
      </c>
      <c r="AV460" s="1">
        <v>2491283</v>
      </c>
      <c r="AX460" s="1">
        <v>0</v>
      </c>
      <c r="AZ460" s="20">
        <f t="shared" si="46"/>
        <v>62084544</v>
      </c>
      <c r="BB460" s="1">
        <v>53038</v>
      </c>
      <c r="BH460" s="1">
        <v>0</v>
      </c>
      <c r="BJ460" s="20">
        <f t="shared" si="44"/>
        <v>62137582</v>
      </c>
      <c r="BL460" s="20">
        <f>'Gov Fd Rv'!AO460-'Gov Fnd Exp'!BJ460</f>
        <v>-3574585</v>
      </c>
      <c r="BN460" s="1">
        <v>8963357</v>
      </c>
      <c r="BP460" s="1">
        <v>-11431</v>
      </c>
      <c r="BR460" s="1">
        <v>0</v>
      </c>
      <c r="BT460" s="20">
        <f t="shared" si="45"/>
        <v>5377341</v>
      </c>
      <c r="BU460" s="20"/>
      <c r="BV460" s="20">
        <f>BT460-'Gov Fd BS'!AA460</f>
        <v>0</v>
      </c>
    </row>
    <row r="461" spans="1:74">
      <c r="A461" s="12" t="s">
        <v>475</v>
      </c>
      <c r="B461" s="12"/>
      <c r="C461" s="12" t="s">
        <v>46</v>
      </c>
      <c r="D461" s="12"/>
      <c r="E461" s="13">
        <v>48421</v>
      </c>
      <c r="G461" s="1">
        <v>7179619</v>
      </c>
      <c r="I461" s="1">
        <v>1044797</v>
      </c>
      <c r="K461" s="1">
        <v>170757</v>
      </c>
      <c r="M461" s="1">
        <v>27677</v>
      </c>
      <c r="O461" s="1">
        <v>461512</v>
      </c>
      <c r="Q461" s="1">
        <v>309716</v>
      </c>
      <c r="S461" s="1">
        <v>103252</v>
      </c>
      <c r="U461" s="1">
        <v>1142039</v>
      </c>
      <c r="W461" s="1">
        <v>311230</v>
      </c>
      <c r="Y461" s="1">
        <v>0</v>
      </c>
      <c r="AA461" s="1">
        <v>904785</v>
      </c>
      <c r="AC461" s="1">
        <v>465152</v>
      </c>
      <c r="AE461" s="1">
        <v>0</v>
      </c>
      <c r="AG461" s="1">
        <v>0</v>
      </c>
      <c r="AI461" s="1">
        <v>556848</v>
      </c>
      <c r="AJ461" s="12" t="s">
        <v>475</v>
      </c>
      <c r="AK461" s="12"/>
      <c r="AL461" s="12" t="s">
        <v>46</v>
      </c>
      <c r="AN461" s="1">
        <v>441806</v>
      </c>
      <c r="AP461" s="1">
        <v>98</v>
      </c>
      <c r="AR461" s="1">
        <v>0</v>
      </c>
      <c r="AT461" s="1">
        <v>258148</v>
      </c>
      <c r="AV461" s="1">
        <v>105289</v>
      </c>
      <c r="AX461" s="1">
        <v>0</v>
      </c>
      <c r="AZ461" s="20">
        <f t="shared" si="46"/>
        <v>13482725</v>
      </c>
      <c r="BB461" s="1">
        <v>18362</v>
      </c>
      <c r="BH461" s="1">
        <v>0</v>
      </c>
      <c r="BJ461" s="20">
        <f t="shared" si="44"/>
        <v>13501087</v>
      </c>
      <c r="BL461" s="20">
        <f>'Gov Fd Rv'!AO461-'Gov Fnd Exp'!BJ461</f>
        <v>185351</v>
      </c>
      <c r="BN461" s="1">
        <v>5047935</v>
      </c>
      <c r="BP461" s="1">
        <v>0</v>
      </c>
      <c r="BR461" s="1">
        <v>0</v>
      </c>
      <c r="BT461" s="20">
        <f t="shared" si="45"/>
        <v>5233286</v>
      </c>
      <c r="BU461" s="20"/>
      <c r="BV461" s="20">
        <f>BT461-'Gov Fd BS'!AA461</f>
        <v>0</v>
      </c>
    </row>
    <row r="462" spans="1:74">
      <c r="A462" s="12" t="s">
        <v>547</v>
      </c>
      <c r="B462" s="12"/>
      <c r="C462" s="12" t="s">
        <v>112</v>
      </c>
      <c r="D462" s="12"/>
      <c r="E462" s="13">
        <v>49460</v>
      </c>
      <c r="G462" s="1">
        <v>3403174</v>
      </c>
      <c r="I462" s="1">
        <v>970991</v>
      </c>
      <c r="K462" s="1">
        <v>217277</v>
      </c>
      <c r="M462" s="1">
        <v>530984</v>
      </c>
      <c r="O462" s="1">
        <v>452908</v>
      </c>
      <c r="Q462" s="1">
        <v>547553</v>
      </c>
      <c r="S462" s="1">
        <v>21174</v>
      </c>
      <c r="U462" s="1">
        <v>776414</v>
      </c>
      <c r="W462" s="1">
        <v>240746</v>
      </c>
      <c r="Y462" s="1">
        <v>9507</v>
      </c>
      <c r="AA462" s="1">
        <v>1033207</v>
      </c>
      <c r="AC462" s="1">
        <v>491612</v>
      </c>
      <c r="AE462" s="1">
        <v>62985</v>
      </c>
      <c r="AG462" s="1">
        <v>442490</v>
      </c>
      <c r="AI462" s="1">
        <v>0</v>
      </c>
      <c r="AJ462" s="12" t="s">
        <v>547</v>
      </c>
      <c r="AK462" s="12"/>
      <c r="AL462" s="12" t="s">
        <v>112</v>
      </c>
      <c r="AN462" s="1">
        <v>347557</v>
      </c>
      <c r="AP462" s="1">
        <v>261475</v>
      </c>
      <c r="AR462" s="1">
        <v>0</v>
      </c>
      <c r="AT462" s="1">
        <v>108509</v>
      </c>
      <c r="AV462" s="1">
        <v>100723</v>
      </c>
      <c r="AX462" s="1">
        <v>0</v>
      </c>
      <c r="AZ462" s="20">
        <f t="shared" si="46"/>
        <v>10019286</v>
      </c>
      <c r="BB462" s="1">
        <v>98000</v>
      </c>
      <c r="BH462" s="1">
        <v>0</v>
      </c>
      <c r="BJ462" s="20">
        <f t="shared" si="44"/>
        <v>10117286</v>
      </c>
      <c r="BL462" s="20">
        <f>'Gov Fd Rv'!AO462-'Gov Fnd Exp'!BJ462</f>
        <v>387215</v>
      </c>
      <c r="BN462" s="1">
        <v>3019202</v>
      </c>
      <c r="BP462" s="1">
        <v>0</v>
      </c>
      <c r="BR462" s="1">
        <v>0</v>
      </c>
      <c r="BT462" s="20">
        <f t="shared" si="45"/>
        <v>3406417</v>
      </c>
      <c r="BU462" s="20"/>
      <c r="BV462" s="20">
        <f>BT462-'Gov Fd BS'!AA462</f>
        <v>0</v>
      </c>
    </row>
    <row r="463" spans="1:74">
      <c r="A463" s="17" t="s">
        <v>467</v>
      </c>
      <c r="B463" s="12"/>
      <c r="C463" s="12" t="s">
        <v>45</v>
      </c>
      <c r="D463" s="12"/>
      <c r="E463" s="13">
        <v>48348</v>
      </c>
      <c r="G463" s="1">
        <v>10957888</v>
      </c>
      <c r="I463" s="1">
        <v>1665468</v>
      </c>
      <c r="K463" s="1">
        <v>195662</v>
      </c>
      <c r="M463" s="1">
        <f>106579+11473</f>
        <v>118052</v>
      </c>
      <c r="O463" s="1">
        <v>1521781</v>
      </c>
      <c r="Q463" s="1">
        <v>511429</v>
      </c>
      <c r="S463" s="1">
        <v>30476</v>
      </c>
      <c r="U463" s="1">
        <v>1622919</v>
      </c>
      <c r="W463" s="1">
        <v>555974</v>
      </c>
      <c r="Y463" s="1">
        <v>374</v>
      </c>
      <c r="AA463" s="1">
        <v>2009524</v>
      </c>
      <c r="AC463" s="1">
        <v>879923</v>
      </c>
      <c r="AE463" s="1">
        <v>0</v>
      </c>
      <c r="AG463" s="1">
        <v>830418</v>
      </c>
      <c r="AI463" s="1">
        <v>266549</v>
      </c>
      <c r="AJ463" s="12" t="s">
        <v>467</v>
      </c>
      <c r="AK463" s="12"/>
      <c r="AL463" s="12" t="s">
        <v>45</v>
      </c>
      <c r="AN463" s="1">
        <v>770169</v>
      </c>
      <c r="AP463" s="1">
        <v>2866901</v>
      </c>
      <c r="AR463" s="1">
        <v>0</v>
      </c>
      <c r="AT463" s="1">
        <v>883376</v>
      </c>
      <c r="AV463" s="1">
        <v>113225</v>
      </c>
      <c r="AX463" s="1">
        <v>0</v>
      </c>
      <c r="AZ463" s="20">
        <f t="shared" si="46"/>
        <v>25800108</v>
      </c>
      <c r="BB463" s="1">
        <v>0</v>
      </c>
      <c r="BH463" s="1">
        <v>0</v>
      </c>
      <c r="BJ463" s="20">
        <f t="shared" si="44"/>
        <v>25800108</v>
      </c>
      <c r="BL463" s="20">
        <f>'Gov Fd Rv'!AO463-'Gov Fnd Exp'!BJ463</f>
        <v>-1306229</v>
      </c>
      <c r="BN463" s="1">
        <v>3836823</v>
      </c>
      <c r="BP463" s="1">
        <v>0</v>
      </c>
      <c r="BR463" s="1">
        <v>0</v>
      </c>
      <c r="BT463" s="20">
        <f t="shared" si="45"/>
        <v>2530594</v>
      </c>
      <c r="BU463" s="20"/>
      <c r="BV463" s="20">
        <f>BT463-'Gov Fd BS'!AA463</f>
        <v>0</v>
      </c>
    </row>
    <row r="464" spans="1:74">
      <c r="A464" s="12" t="s">
        <v>522</v>
      </c>
      <c r="B464" s="12"/>
      <c r="C464" s="12" t="s">
        <v>53</v>
      </c>
      <c r="D464" s="12"/>
      <c r="E464" s="13">
        <v>44651</v>
      </c>
      <c r="G464" s="1">
        <v>8935024</v>
      </c>
      <c r="I464" s="1">
        <v>2159867</v>
      </c>
      <c r="K464" s="1">
        <v>165387</v>
      </c>
      <c r="M464" s="1">
        <v>872589</v>
      </c>
      <c r="O464" s="1">
        <v>2006184</v>
      </c>
      <c r="Q464" s="1">
        <v>446141</v>
      </c>
      <c r="S464" s="1">
        <v>19185</v>
      </c>
      <c r="U464" s="1">
        <v>1373880</v>
      </c>
      <c r="W464" s="1">
        <v>699589</v>
      </c>
      <c r="Y464" s="1">
        <v>0</v>
      </c>
      <c r="AA464" s="1">
        <v>2233225</v>
      </c>
      <c r="AC464" s="1">
        <v>1289663</v>
      </c>
      <c r="AE464" s="1">
        <v>150098</v>
      </c>
      <c r="AG464" s="1">
        <v>724267</v>
      </c>
      <c r="AI464" s="1">
        <v>164253</v>
      </c>
      <c r="AJ464" s="12" t="s">
        <v>522</v>
      </c>
      <c r="AK464" s="12"/>
      <c r="AL464" s="12" t="s">
        <v>53</v>
      </c>
      <c r="AN464" s="1">
        <v>617987</v>
      </c>
      <c r="AP464" s="1">
        <v>1048491</v>
      </c>
      <c r="AR464" s="1">
        <v>0</v>
      </c>
      <c r="AT464" s="1">
        <v>679000</v>
      </c>
      <c r="AV464" s="1">
        <v>547367</v>
      </c>
      <c r="AX464" s="1">
        <v>480377</v>
      </c>
      <c r="AZ464" s="20">
        <f t="shared" si="46"/>
        <v>24612574</v>
      </c>
      <c r="BB464" s="1">
        <v>361169</v>
      </c>
      <c r="BH464" s="1">
        <v>0</v>
      </c>
      <c r="BJ464" s="20">
        <f t="shared" si="44"/>
        <v>24973743</v>
      </c>
      <c r="BL464" s="20">
        <f>'Gov Fd Rv'!AO464-'Gov Fnd Exp'!BJ464</f>
        <v>43035293</v>
      </c>
      <c r="BN464" s="1">
        <v>10773809</v>
      </c>
      <c r="BP464" s="1">
        <v>0</v>
      </c>
      <c r="BR464" s="1">
        <v>0</v>
      </c>
      <c r="BT464" s="20">
        <f t="shared" si="45"/>
        <v>53809102</v>
      </c>
      <c r="BU464" s="20"/>
      <c r="BV464" s="20">
        <f>BT464-'Gov Fd BS'!AA464</f>
        <v>0</v>
      </c>
    </row>
    <row r="465" spans="1:74">
      <c r="A465" s="12" t="s">
        <v>564</v>
      </c>
      <c r="B465" s="12"/>
      <c r="C465" s="12" t="s">
        <v>59</v>
      </c>
      <c r="D465" s="12"/>
      <c r="E465" s="13">
        <v>44669</v>
      </c>
      <c r="G465" s="1">
        <v>12888840</v>
      </c>
      <c r="I465" s="1">
        <v>5599597</v>
      </c>
      <c r="K465" s="1">
        <v>442357</v>
      </c>
      <c r="M465" s="1">
        <f>1223490+29000</f>
        <v>1252490</v>
      </c>
      <c r="O465" s="1">
        <v>1313347</v>
      </c>
      <c r="Q465" s="1">
        <v>2276496</v>
      </c>
      <c r="S465" s="1">
        <v>30589</v>
      </c>
      <c r="U465" s="1">
        <v>1549841</v>
      </c>
      <c r="W465" s="1">
        <v>646529</v>
      </c>
      <c r="Y465" s="1">
        <v>67125</v>
      </c>
      <c r="AA465" s="1">
        <v>2957556</v>
      </c>
      <c r="AC465" s="1">
        <v>488643</v>
      </c>
      <c r="AE465" s="1">
        <v>62866</v>
      </c>
      <c r="AG465" s="1">
        <v>1083109</v>
      </c>
      <c r="AI465" s="1">
        <v>224720</v>
      </c>
      <c r="AJ465" s="12" t="s">
        <v>564</v>
      </c>
      <c r="AK465" s="12"/>
      <c r="AL465" s="12" t="s">
        <v>59</v>
      </c>
      <c r="AN465" s="1">
        <v>478267</v>
      </c>
      <c r="AP465" s="1">
        <v>412407</v>
      </c>
      <c r="AR465" s="1">
        <v>0</v>
      </c>
      <c r="AT465" s="1">
        <v>596429</v>
      </c>
      <c r="AV465" s="1">
        <v>603516</v>
      </c>
      <c r="AX465" s="1">
        <v>0</v>
      </c>
      <c r="AZ465" s="20">
        <f t="shared" si="46"/>
        <v>32974724</v>
      </c>
      <c r="BB465" s="1">
        <v>2233098</v>
      </c>
      <c r="BH465" s="1">
        <v>0</v>
      </c>
      <c r="BJ465" s="20">
        <f t="shared" si="44"/>
        <v>35207822</v>
      </c>
      <c r="BL465" s="20">
        <f>'Gov Fd Rv'!AO465-'Gov Fnd Exp'!BJ465</f>
        <v>793655</v>
      </c>
      <c r="BN465" s="1">
        <v>6373037</v>
      </c>
      <c r="BP465" s="1">
        <v>0</v>
      </c>
      <c r="BR465" s="1">
        <v>0</v>
      </c>
      <c r="BT465" s="20">
        <f t="shared" si="45"/>
        <v>7166692</v>
      </c>
      <c r="BU465" s="20"/>
      <c r="BV465" s="20">
        <f>BT465-'Gov Fd BS'!AA465</f>
        <v>0</v>
      </c>
    </row>
    <row r="466" spans="1:74" hidden="1">
      <c r="A466" s="17" t="s">
        <v>858</v>
      </c>
      <c r="B466" s="12"/>
      <c r="C466" s="12" t="s">
        <v>57</v>
      </c>
      <c r="D466" s="12"/>
      <c r="E466" s="13">
        <v>49288</v>
      </c>
      <c r="AJ466" s="17" t="s">
        <v>858</v>
      </c>
      <c r="AK466" s="12"/>
      <c r="AL466" s="12" t="s">
        <v>57</v>
      </c>
      <c r="AZ466" s="20">
        <f t="shared" si="46"/>
        <v>0</v>
      </c>
      <c r="BJ466" s="20">
        <f t="shared" si="44"/>
        <v>0</v>
      </c>
      <c r="BL466" s="20">
        <f>'Gov Fd Rv'!AO466-'Gov Fnd Exp'!BJ466</f>
        <v>0</v>
      </c>
      <c r="BT466" s="20">
        <f t="shared" si="45"/>
        <v>0</v>
      </c>
      <c r="BU466" s="20"/>
      <c r="BV466" s="20">
        <f>BT466-'Gov Fd BS'!AA466</f>
        <v>0</v>
      </c>
    </row>
    <row r="467" spans="1:74">
      <c r="A467" s="12" t="s">
        <v>372</v>
      </c>
      <c r="B467" s="12"/>
      <c r="C467" s="12" t="s">
        <v>32</v>
      </c>
      <c r="D467" s="12"/>
      <c r="E467" s="13">
        <v>44677</v>
      </c>
      <c r="G467" s="1">
        <v>30445410</v>
      </c>
      <c r="I467" s="1">
        <v>8843121</v>
      </c>
      <c r="K467" s="1">
        <v>0</v>
      </c>
      <c r="M467" s="1">
        <v>3927719</v>
      </c>
      <c r="O467" s="1">
        <v>5146093</v>
      </c>
      <c r="Q467" s="1">
        <v>7200116</v>
      </c>
      <c r="S467" s="1">
        <v>417868</v>
      </c>
      <c r="U467" s="1">
        <v>6669776</v>
      </c>
      <c r="W467" s="1">
        <v>2436579</v>
      </c>
      <c r="Y467" s="1">
        <v>381051</v>
      </c>
      <c r="AA467" s="1">
        <v>8552724</v>
      </c>
      <c r="AC467" s="1">
        <v>5829450</v>
      </c>
      <c r="AE467" s="1">
        <v>907802</v>
      </c>
      <c r="AG467" s="1">
        <v>2584851</v>
      </c>
      <c r="AI467" s="1">
        <v>2792201</v>
      </c>
      <c r="AJ467" s="12" t="s">
        <v>372</v>
      </c>
      <c r="AK467" s="12"/>
      <c r="AL467" s="12" t="s">
        <v>32</v>
      </c>
      <c r="AN467" s="1">
        <v>1596892</v>
      </c>
      <c r="AP467" s="1">
        <v>151663</v>
      </c>
      <c r="AR467" s="1">
        <v>0</v>
      </c>
      <c r="AT467" s="1">
        <v>1285000</v>
      </c>
      <c r="AV467" s="1">
        <v>3681776</v>
      </c>
      <c r="AX467" s="1">
        <v>0</v>
      </c>
      <c r="AZ467" s="20">
        <f t="shared" si="46"/>
        <v>92850092</v>
      </c>
      <c r="BB467" s="1">
        <v>4339536</v>
      </c>
      <c r="BH467" s="1">
        <v>0</v>
      </c>
      <c r="BJ467" s="20">
        <f t="shared" si="44"/>
        <v>97189628</v>
      </c>
      <c r="BL467" s="20">
        <f>'Gov Fd Rv'!AO467-'Gov Fnd Exp'!BJ467</f>
        <v>-9005880</v>
      </c>
      <c r="BN467" s="1">
        <v>37282969</v>
      </c>
      <c r="BP467" s="1">
        <v>0</v>
      </c>
      <c r="BR467" s="1">
        <v>0</v>
      </c>
      <c r="BT467" s="20">
        <f t="shared" si="45"/>
        <v>28277089</v>
      </c>
      <c r="BU467" s="20"/>
      <c r="BV467" s="20">
        <f>BT467-'Gov Fd BS'!AA467</f>
        <v>0</v>
      </c>
    </row>
    <row r="468" spans="1:74">
      <c r="A468" s="12" t="s">
        <v>213</v>
      </c>
      <c r="B468" s="12"/>
      <c r="C468" s="12" t="s">
        <v>12</v>
      </c>
      <c r="D468" s="12"/>
      <c r="E468" s="13">
        <v>45880</v>
      </c>
      <c r="G468" s="1">
        <v>4674498</v>
      </c>
      <c r="I468" s="1">
        <v>1362621</v>
      </c>
      <c r="K468" s="1">
        <v>216290</v>
      </c>
      <c r="M468" s="1">
        <v>607588</v>
      </c>
      <c r="O468" s="1">
        <v>706597</v>
      </c>
      <c r="Q468" s="1">
        <v>194121</v>
      </c>
      <c r="S468" s="1">
        <v>24021</v>
      </c>
      <c r="U468" s="1">
        <v>1037953</v>
      </c>
      <c r="W468" s="1">
        <v>291392</v>
      </c>
      <c r="Y468" s="1">
        <v>64799</v>
      </c>
      <c r="AA468" s="1">
        <v>1200105</v>
      </c>
      <c r="AC468" s="1">
        <v>946554</v>
      </c>
      <c r="AE468" s="1">
        <v>75201</v>
      </c>
      <c r="AG468" s="1">
        <v>637952</v>
      </c>
      <c r="AI468" s="1">
        <v>25396</v>
      </c>
      <c r="AJ468" s="12" t="s">
        <v>213</v>
      </c>
      <c r="AK468" s="12"/>
      <c r="AL468" s="12" t="s">
        <v>12</v>
      </c>
      <c r="AN468" s="1">
        <v>409747</v>
      </c>
      <c r="AP468" s="1">
        <v>232545</v>
      </c>
      <c r="AR468" s="1">
        <v>0</v>
      </c>
      <c r="AT468" s="1">
        <v>372687</v>
      </c>
      <c r="AV468" s="1">
        <v>307157</v>
      </c>
      <c r="AX468" s="1">
        <v>0</v>
      </c>
      <c r="AZ468" s="20">
        <f t="shared" si="46"/>
        <v>13387224</v>
      </c>
      <c r="BB468" s="1">
        <v>178576</v>
      </c>
      <c r="BH468" s="1">
        <v>0</v>
      </c>
      <c r="BJ468" s="20">
        <f t="shared" si="44"/>
        <v>13565800</v>
      </c>
      <c r="BL468" s="20">
        <f>'Gov Fd Rv'!AO468-'Gov Fnd Exp'!BJ468</f>
        <v>1028064</v>
      </c>
      <c r="BN468" s="1">
        <v>2707411</v>
      </c>
      <c r="BP468" s="1">
        <v>0</v>
      </c>
      <c r="BR468" s="1">
        <v>0</v>
      </c>
      <c r="BT468" s="20">
        <f t="shared" si="45"/>
        <v>3735475</v>
      </c>
      <c r="BU468" s="20"/>
      <c r="BV468" s="20">
        <f>BT468-'Gov Fd BS'!AA468</f>
        <v>0</v>
      </c>
    </row>
    <row r="469" spans="1:74">
      <c r="A469" s="17" t="s">
        <v>765</v>
      </c>
      <c r="B469" s="17"/>
      <c r="C469" s="17" t="s">
        <v>56</v>
      </c>
      <c r="D469" s="17"/>
      <c r="E469" s="13"/>
      <c r="G469" s="1">
        <v>12131981</v>
      </c>
      <c r="I469" s="1">
        <v>4579800</v>
      </c>
      <c r="K469" s="1">
        <v>364130</v>
      </c>
      <c r="M469" s="1">
        <f>78754+1374783</f>
        <v>1453537</v>
      </c>
      <c r="O469" s="1">
        <v>1545986</v>
      </c>
      <c r="Q469" s="1">
        <v>956103</v>
      </c>
      <c r="S469" s="1">
        <v>48040</v>
      </c>
      <c r="U469" s="1">
        <v>2407239</v>
      </c>
      <c r="W469" s="1">
        <v>687190</v>
      </c>
      <c r="Y469" s="1">
        <v>257984</v>
      </c>
      <c r="AA469" s="1">
        <v>2691986</v>
      </c>
      <c r="AC469" s="1">
        <v>1367828</v>
      </c>
      <c r="AE469" s="1">
        <v>1066929</v>
      </c>
      <c r="AG469" s="1">
        <v>1521079</v>
      </c>
      <c r="AI469" s="1">
        <v>79816</v>
      </c>
      <c r="AJ469" s="17" t="s">
        <v>765</v>
      </c>
      <c r="AK469" s="12"/>
      <c r="AL469" s="12" t="s">
        <v>56</v>
      </c>
      <c r="AN469" s="1">
        <v>829289</v>
      </c>
      <c r="AP469" s="1">
        <v>14936857</v>
      </c>
      <c r="AR469" s="1">
        <v>0</v>
      </c>
      <c r="AT469" s="1">
        <v>470996</v>
      </c>
      <c r="AV469" s="1">
        <v>966897</v>
      </c>
      <c r="AX469" s="1">
        <v>0</v>
      </c>
      <c r="AZ469" s="20">
        <f t="shared" si="46"/>
        <v>48363667</v>
      </c>
      <c r="BB469" s="1">
        <v>313274</v>
      </c>
      <c r="BH469" s="1">
        <v>0</v>
      </c>
      <c r="BJ469" s="20">
        <f t="shared" si="44"/>
        <v>48676941</v>
      </c>
      <c r="BL469" s="20">
        <f>'Gov Fd Rv'!AO469-'Gov Fnd Exp'!BJ469</f>
        <v>-13488897</v>
      </c>
      <c r="BN469" s="1">
        <v>20111287</v>
      </c>
      <c r="BP469" s="1">
        <v>0</v>
      </c>
      <c r="BR469" s="1">
        <v>0</v>
      </c>
      <c r="BT469" s="20">
        <f t="shared" si="45"/>
        <v>6622390</v>
      </c>
      <c r="BU469" s="20"/>
      <c r="BV469" s="20">
        <f>BT469-'Gov Fd BS'!AA469</f>
        <v>0</v>
      </c>
    </row>
    <row r="470" spans="1:74">
      <c r="A470" s="17" t="s">
        <v>373</v>
      </c>
      <c r="B470" s="17"/>
      <c r="C470" s="17" t="s">
        <v>32</v>
      </c>
      <c r="D470" s="17"/>
      <c r="E470" s="13">
        <v>44693</v>
      </c>
      <c r="G470" s="1">
        <v>6379291</v>
      </c>
      <c r="I470" s="1">
        <v>1869851</v>
      </c>
      <c r="K470" s="1">
        <v>93119</v>
      </c>
      <c r="M470" s="1">
        <v>450853</v>
      </c>
      <c r="O470" s="1">
        <v>894807</v>
      </c>
      <c r="Q470" s="1">
        <v>762087</v>
      </c>
      <c r="S470" s="1">
        <v>49120</v>
      </c>
      <c r="U470" s="1">
        <v>1217539</v>
      </c>
      <c r="W470" s="1">
        <v>351592</v>
      </c>
      <c r="Y470" s="1">
        <v>21745</v>
      </c>
      <c r="AA470" s="1">
        <v>1158850</v>
      </c>
      <c r="AC470" s="1">
        <v>231153</v>
      </c>
      <c r="AE470" s="1">
        <v>292494</v>
      </c>
      <c r="AG470" s="1">
        <v>0</v>
      </c>
      <c r="AI470" s="1">
        <v>1408641</v>
      </c>
      <c r="AJ470" s="17" t="s">
        <v>373</v>
      </c>
      <c r="AK470" s="17"/>
      <c r="AL470" s="17" t="s">
        <v>32</v>
      </c>
      <c r="AN470" s="1">
        <v>595462</v>
      </c>
      <c r="AP470" s="1">
        <v>0</v>
      </c>
      <c r="AR470" s="1">
        <v>0</v>
      </c>
      <c r="AT470" s="1">
        <v>81695</v>
      </c>
      <c r="AV470" s="1">
        <v>18116</v>
      </c>
      <c r="AX470" s="1">
        <v>0</v>
      </c>
      <c r="AZ470" s="20">
        <f t="shared" si="46"/>
        <v>15876415</v>
      </c>
      <c r="BB470" s="1">
        <v>51550</v>
      </c>
      <c r="BH470" s="1">
        <v>0</v>
      </c>
      <c r="BJ470" s="20">
        <f t="shared" si="44"/>
        <v>15927965</v>
      </c>
      <c r="BL470" s="20">
        <f>'Gov Fd Rv'!AO470-'Gov Fnd Exp'!BJ470</f>
        <v>267573</v>
      </c>
      <c r="BN470" s="1">
        <v>2594302</v>
      </c>
      <c r="BP470" s="1">
        <v>0</v>
      </c>
      <c r="BR470" s="1">
        <v>0</v>
      </c>
      <c r="BT470" s="20">
        <f t="shared" si="45"/>
        <v>2861875</v>
      </c>
      <c r="BU470" s="20"/>
      <c r="BV470" s="20">
        <f>BT470-'Gov Fd BS'!AA470</f>
        <v>0</v>
      </c>
    </row>
    <row r="471" spans="1:74">
      <c r="A471" s="12" t="s">
        <v>594</v>
      </c>
      <c r="B471" s="12"/>
      <c r="C471" s="12" t="s">
        <v>63</v>
      </c>
      <c r="D471" s="12"/>
      <c r="E471" s="13">
        <v>50054</v>
      </c>
      <c r="G471" s="1">
        <v>14597479</v>
      </c>
      <c r="I471" s="1">
        <v>1595975</v>
      </c>
      <c r="K471" s="1">
        <v>467968</v>
      </c>
      <c r="M471" s="1">
        <f>1357828+961433</f>
        <v>2319261</v>
      </c>
      <c r="O471" s="1">
        <v>1563720</v>
      </c>
      <c r="Q471" s="1">
        <v>1462189</v>
      </c>
      <c r="S471" s="1">
        <v>367650</v>
      </c>
      <c r="U471" s="1">
        <v>2352209</v>
      </c>
      <c r="W471" s="1">
        <v>1017560</v>
      </c>
      <c r="Y471" s="1">
        <v>62303</v>
      </c>
      <c r="AA471" s="1">
        <v>5025957</v>
      </c>
      <c r="AC471" s="1">
        <v>2389307</v>
      </c>
      <c r="AE471" s="1">
        <v>270049</v>
      </c>
      <c r="AG471" s="1">
        <v>879787</v>
      </c>
      <c r="AI471" s="1">
        <v>281501</v>
      </c>
      <c r="AJ471" s="12" t="s">
        <v>594</v>
      </c>
      <c r="AK471" s="12"/>
      <c r="AL471" s="12" t="s">
        <v>63</v>
      </c>
      <c r="AN471" s="1">
        <v>1112479</v>
      </c>
      <c r="AP471" s="1">
        <v>8600</v>
      </c>
      <c r="AR471" s="1">
        <v>0</v>
      </c>
      <c r="AT471" s="1">
        <v>1042459</v>
      </c>
      <c r="AV471" s="1">
        <v>362358</v>
      </c>
      <c r="AX471" s="1">
        <v>0</v>
      </c>
      <c r="AZ471" s="20">
        <f t="shared" si="46"/>
        <v>37178811</v>
      </c>
      <c r="BB471" s="1">
        <v>102000</v>
      </c>
      <c r="BH471" s="1">
        <v>0</v>
      </c>
      <c r="BJ471" s="20">
        <f t="shared" si="44"/>
        <v>37280811</v>
      </c>
      <c r="BL471" s="20">
        <f>'Gov Fd Rv'!AO471-'Gov Fnd Exp'!BJ471</f>
        <v>-1406096</v>
      </c>
      <c r="BN471" s="1">
        <v>16705777</v>
      </c>
      <c r="BP471" s="1">
        <v>0</v>
      </c>
      <c r="BR471" s="1">
        <v>0</v>
      </c>
      <c r="BT471" s="20">
        <f t="shared" si="45"/>
        <v>15299681</v>
      </c>
      <c r="BU471" s="20"/>
      <c r="BV471" s="20">
        <f>BT471-'Gov Fd BS'!AA471</f>
        <v>0</v>
      </c>
    </row>
    <row r="472" spans="1:74">
      <c r="A472" s="12" t="s">
        <v>339</v>
      </c>
      <c r="B472" s="12"/>
      <c r="C472" s="12" t="s">
        <v>27</v>
      </c>
      <c r="D472" s="12"/>
      <c r="E472" s="13">
        <v>47001</v>
      </c>
      <c r="G472" s="1">
        <v>27680194</v>
      </c>
      <c r="I472" s="1">
        <v>6317366</v>
      </c>
      <c r="K472" s="1">
        <v>115335</v>
      </c>
      <c r="M472" s="1">
        <f>500+1340271</f>
        <v>1340771</v>
      </c>
      <c r="O472" s="1">
        <v>3427870</v>
      </c>
      <c r="Q472" s="1">
        <v>3020740</v>
      </c>
      <c r="S472" s="1">
        <v>56366</v>
      </c>
      <c r="U472" s="1">
        <v>5505522</v>
      </c>
      <c r="W472" s="1">
        <v>908305</v>
      </c>
      <c r="Y472" s="1">
        <v>544231</v>
      </c>
      <c r="AA472" s="1">
        <v>5880720</v>
      </c>
      <c r="AC472" s="1">
        <v>2016562</v>
      </c>
      <c r="AE472" s="1">
        <v>984585</v>
      </c>
      <c r="AG472" s="1">
        <v>2253236</v>
      </c>
      <c r="AI472" s="1">
        <v>350620</v>
      </c>
      <c r="AJ472" s="12" t="s">
        <v>339</v>
      </c>
      <c r="AK472" s="12"/>
      <c r="AL472" s="12" t="s">
        <v>27</v>
      </c>
      <c r="AN472" s="1">
        <v>1002057</v>
      </c>
      <c r="AP472" s="1">
        <v>25538695</v>
      </c>
      <c r="AR472" s="1">
        <v>0</v>
      </c>
      <c r="AT472" s="1">
        <v>3700448</v>
      </c>
      <c r="AV472" s="1">
        <v>5287057</v>
      </c>
      <c r="AX472" s="1">
        <v>0</v>
      </c>
      <c r="AZ472" s="20">
        <f t="shared" si="46"/>
        <v>95930680</v>
      </c>
      <c r="BB472" s="1">
        <v>0</v>
      </c>
      <c r="BH472" s="1">
        <v>0</v>
      </c>
      <c r="BJ472" s="20">
        <f t="shared" si="44"/>
        <v>95930680</v>
      </c>
      <c r="BL472" s="20">
        <f>'Gov Fd Rv'!AO472-'Gov Fnd Exp'!BJ472</f>
        <v>15232836</v>
      </c>
      <c r="BN472" s="1">
        <v>66926866</v>
      </c>
      <c r="BP472" s="1">
        <v>-173642</v>
      </c>
      <c r="BR472" s="1">
        <v>0</v>
      </c>
      <c r="BT472" s="20">
        <f t="shared" si="45"/>
        <v>81986060</v>
      </c>
      <c r="BU472" s="20"/>
      <c r="BV472" s="20">
        <f>BT472-'Gov Fd BS'!AA472</f>
        <v>0</v>
      </c>
    </row>
    <row r="473" spans="1:74">
      <c r="A473" s="12" t="s">
        <v>301</v>
      </c>
      <c r="B473" s="12"/>
      <c r="C473" s="12" t="s">
        <v>20</v>
      </c>
      <c r="D473" s="12"/>
      <c r="E473" s="13">
        <v>46599</v>
      </c>
      <c r="G473" s="1">
        <v>4946382</v>
      </c>
      <c r="I473" s="1">
        <v>2222963</v>
      </c>
      <c r="K473" s="1">
        <v>46874</v>
      </c>
      <c r="M473" s="1">
        <v>0</v>
      </c>
      <c r="O473" s="1">
        <v>745886</v>
      </c>
      <c r="Q473" s="1">
        <v>304709</v>
      </c>
      <c r="S473" s="1">
        <v>269308</v>
      </c>
      <c r="U473" s="1">
        <v>1002174</v>
      </c>
      <c r="W473" s="1">
        <v>445503</v>
      </c>
      <c r="Y473" s="1">
        <v>103370</v>
      </c>
      <c r="AA473" s="1">
        <v>1040255</v>
      </c>
      <c r="AC473" s="1">
        <v>932902</v>
      </c>
      <c r="AE473" s="1">
        <v>261395</v>
      </c>
      <c r="AG473" s="1">
        <v>0</v>
      </c>
      <c r="AI473" s="1">
        <v>17445</v>
      </c>
      <c r="AJ473" s="12" t="s">
        <v>301</v>
      </c>
      <c r="AK473" s="12"/>
      <c r="AL473" s="12" t="s">
        <v>20</v>
      </c>
      <c r="AN473" s="1">
        <v>204488</v>
      </c>
      <c r="AP473" s="1">
        <v>155394</v>
      </c>
      <c r="AR473" s="1">
        <v>0</v>
      </c>
      <c r="AT473" s="1">
        <v>114581</v>
      </c>
      <c r="AV473" s="1">
        <v>61295</v>
      </c>
      <c r="AX473" s="1">
        <v>0</v>
      </c>
      <c r="AZ473" s="20">
        <f t="shared" si="46"/>
        <v>12874924</v>
      </c>
      <c r="BB473" s="1">
        <v>104430</v>
      </c>
      <c r="BH473" s="1">
        <v>0</v>
      </c>
      <c r="BJ473" s="20">
        <f t="shared" si="44"/>
        <v>12979354</v>
      </c>
      <c r="BL473" s="20">
        <f>'Gov Fd Rv'!AO473-'Gov Fnd Exp'!BJ473</f>
        <v>-78385</v>
      </c>
      <c r="BN473" s="1">
        <v>618518</v>
      </c>
      <c r="BP473" s="1">
        <v>0</v>
      </c>
      <c r="BR473" s="1">
        <v>0</v>
      </c>
      <c r="BT473" s="20">
        <f t="shared" si="45"/>
        <v>540133</v>
      </c>
      <c r="BU473" s="20"/>
      <c r="BV473" s="20">
        <f>BT473-'Gov Fd BS'!AA473</f>
        <v>0</v>
      </c>
    </row>
    <row r="474" spans="1:74">
      <c r="A474" s="12" t="s">
        <v>476</v>
      </c>
      <c r="B474" s="12"/>
      <c r="C474" s="12" t="s">
        <v>46</v>
      </c>
      <c r="D474" s="12"/>
      <c r="E474" s="13">
        <v>48439</v>
      </c>
      <c r="G474" s="1">
        <v>3254291</v>
      </c>
      <c r="I474" s="1">
        <v>681111</v>
      </c>
      <c r="K474" s="1">
        <v>196097</v>
      </c>
      <c r="M474" s="1">
        <f>39240+1376837</f>
        <v>1416077</v>
      </c>
      <c r="O474" s="1">
        <v>350111</v>
      </c>
      <c r="Q474" s="1">
        <v>288828</v>
      </c>
      <c r="S474" s="1">
        <v>37331</v>
      </c>
      <c r="U474" s="1">
        <v>800090</v>
      </c>
      <c r="W474" s="1">
        <v>228445</v>
      </c>
      <c r="Y474" s="1">
        <v>8309</v>
      </c>
      <c r="AA474" s="1">
        <v>626171</v>
      </c>
      <c r="AC474" s="1">
        <v>387653</v>
      </c>
      <c r="AE474" s="1">
        <v>35148</v>
      </c>
      <c r="AG474" s="1">
        <v>278438</v>
      </c>
      <c r="AI474" s="1">
        <v>0</v>
      </c>
      <c r="AJ474" s="12" t="s">
        <v>476</v>
      </c>
      <c r="AK474" s="12"/>
      <c r="AL474" s="12" t="s">
        <v>46</v>
      </c>
      <c r="AN474" s="1">
        <v>278251</v>
      </c>
      <c r="AP474" s="1">
        <v>0</v>
      </c>
      <c r="AR474" s="1">
        <v>0</v>
      </c>
      <c r="AT474" s="1">
        <v>122207</v>
      </c>
      <c r="AV474" s="1">
        <v>17400</v>
      </c>
      <c r="AX474" s="1">
        <v>0</v>
      </c>
      <c r="AZ474" s="20">
        <f t="shared" si="46"/>
        <v>9005958</v>
      </c>
      <c r="BB474" s="1">
        <v>0</v>
      </c>
      <c r="BH474" s="1">
        <v>0</v>
      </c>
      <c r="BJ474" s="20">
        <f t="shared" si="44"/>
        <v>9005958</v>
      </c>
      <c r="BL474" s="20">
        <f>'Gov Fd Rv'!AO474-'Gov Fnd Exp'!BJ474</f>
        <v>-366545</v>
      </c>
      <c r="BN474" s="1">
        <v>2725319</v>
      </c>
      <c r="BP474" s="1">
        <v>0</v>
      </c>
      <c r="BR474" s="1">
        <v>0</v>
      </c>
      <c r="BT474" s="20">
        <f t="shared" si="45"/>
        <v>2358774</v>
      </c>
      <c r="BU474" s="20"/>
      <c r="BV474" s="20">
        <f>BT474-'Gov Fd BS'!AA474</f>
        <v>0</v>
      </c>
    </row>
    <row r="475" spans="1:74">
      <c r="A475" s="12" t="s">
        <v>386</v>
      </c>
      <c r="B475" s="12"/>
      <c r="C475" s="12" t="s">
        <v>383</v>
      </c>
      <c r="D475" s="12"/>
      <c r="E475" s="13">
        <v>47506</v>
      </c>
      <c r="G475" s="1">
        <v>2509890</v>
      </c>
      <c r="I475" s="1">
        <v>379924</v>
      </c>
      <c r="K475" s="1">
        <v>161028</v>
      </c>
      <c r="M475" s="1">
        <v>46117</v>
      </c>
      <c r="O475" s="1">
        <v>230233</v>
      </c>
      <c r="Q475" s="1">
        <v>220391</v>
      </c>
      <c r="S475" s="1">
        <v>23206</v>
      </c>
      <c r="U475" s="1">
        <v>581866</v>
      </c>
      <c r="W475" s="1">
        <v>220963</v>
      </c>
      <c r="Y475" s="1">
        <v>0</v>
      </c>
      <c r="AA475" s="1">
        <v>502612</v>
      </c>
      <c r="AC475" s="1">
        <v>386251</v>
      </c>
      <c r="AE475" s="1">
        <v>59693</v>
      </c>
      <c r="AG475" s="1">
        <v>0</v>
      </c>
      <c r="AI475" s="1">
        <v>1292</v>
      </c>
      <c r="AJ475" s="12" t="s">
        <v>386</v>
      </c>
      <c r="AK475" s="12"/>
      <c r="AL475" s="12" t="s">
        <v>383</v>
      </c>
      <c r="AN475" s="1">
        <v>199773</v>
      </c>
      <c r="AP475" s="1">
        <v>251</v>
      </c>
      <c r="AR475" s="1">
        <v>0</v>
      </c>
      <c r="AT475" s="1">
        <v>70378</v>
      </c>
      <c r="AV475" s="1">
        <v>114622</v>
      </c>
      <c r="AX475" s="1">
        <v>0</v>
      </c>
      <c r="AZ475" s="20">
        <f t="shared" si="46"/>
        <v>5708490</v>
      </c>
      <c r="BB475" s="1">
        <v>90438</v>
      </c>
      <c r="BH475" s="1">
        <v>0</v>
      </c>
      <c r="BJ475" s="20">
        <f t="shared" si="44"/>
        <v>5798928</v>
      </c>
      <c r="BL475" s="20">
        <f>'Gov Fd Rv'!AO475-'Gov Fnd Exp'!BJ475</f>
        <v>-93421</v>
      </c>
      <c r="BN475" s="1">
        <v>982486</v>
      </c>
      <c r="BP475" s="1">
        <v>0</v>
      </c>
      <c r="BR475" s="1">
        <v>0</v>
      </c>
      <c r="BT475" s="20">
        <f t="shared" si="45"/>
        <v>889065</v>
      </c>
      <c r="BU475" s="20"/>
      <c r="BV475" s="20">
        <f>BT475-'Gov Fd BS'!AA475</f>
        <v>0</v>
      </c>
    </row>
    <row r="476" spans="1:74">
      <c r="A476" s="12" t="s">
        <v>273</v>
      </c>
      <c r="B476" s="12"/>
      <c r="C476" s="12" t="s">
        <v>19</v>
      </c>
      <c r="D476" s="12"/>
      <c r="E476" s="13">
        <v>46474</v>
      </c>
      <c r="G476" s="1">
        <v>5888678</v>
      </c>
      <c r="I476" s="1">
        <v>1195791</v>
      </c>
      <c r="K476" s="1">
        <v>254056</v>
      </c>
      <c r="M476" s="1">
        <v>68823</v>
      </c>
      <c r="O476" s="1">
        <v>541710</v>
      </c>
      <c r="Q476" s="1">
        <v>622760</v>
      </c>
      <c r="S476" s="1">
        <v>44496</v>
      </c>
      <c r="U476" s="1">
        <v>819106</v>
      </c>
      <c r="W476" s="1">
        <v>323479</v>
      </c>
      <c r="Y476" s="1">
        <v>10675</v>
      </c>
      <c r="AA476" s="1">
        <v>1393274</v>
      </c>
      <c r="AC476" s="1">
        <v>782260</v>
      </c>
      <c r="AE476" s="1">
        <v>2689</v>
      </c>
      <c r="AG476" s="1">
        <v>530612</v>
      </c>
      <c r="AI476" s="1">
        <v>215</v>
      </c>
      <c r="AJ476" s="12" t="s">
        <v>273</v>
      </c>
      <c r="AK476" s="12"/>
      <c r="AL476" s="12" t="s">
        <v>19</v>
      </c>
      <c r="AN476" s="1">
        <v>436594</v>
      </c>
      <c r="AP476" s="1">
        <v>3215</v>
      </c>
      <c r="AR476" s="1">
        <v>0</v>
      </c>
      <c r="AT476" s="1">
        <v>203720</v>
      </c>
      <c r="AV476" s="1">
        <v>128565</v>
      </c>
      <c r="AX476" s="1">
        <v>0</v>
      </c>
      <c r="AZ476" s="20">
        <f t="shared" si="46"/>
        <v>13250718</v>
      </c>
      <c r="BB476" s="1">
        <v>8398</v>
      </c>
      <c r="BH476" s="1">
        <v>0</v>
      </c>
      <c r="BJ476" s="20">
        <f t="shared" si="44"/>
        <v>13259116</v>
      </c>
      <c r="BL476" s="20">
        <f>'Gov Fd Rv'!AO476-'Gov Fnd Exp'!BJ476</f>
        <v>-198348</v>
      </c>
      <c r="BN476" s="1">
        <v>4449033</v>
      </c>
      <c r="BP476" s="1">
        <v>0</v>
      </c>
      <c r="BR476" s="1">
        <v>0</v>
      </c>
      <c r="BT476" s="20">
        <f t="shared" si="45"/>
        <v>4250685</v>
      </c>
      <c r="BU476" s="20"/>
      <c r="BV476" s="20">
        <f>BT476-'Gov Fd BS'!AA476</f>
        <v>0</v>
      </c>
    </row>
    <row r="477" spans="1:74">
      <c r="A477" s="12" t="s">
        <v>766</v>
      </c>
      <c r="B477" s="12"/>
      <c r="C477" s="12" t="s">
        <v>77</v>
      </c>
      <c r="D477" s="12"/>
      <c r="E477" s="13">
        <v>46078</v>
      </c>
      <c r="G477" s="1">
        <v>4663816</v>
      </c>
      <c r="I477" s="1">
        <v>1243573</v>
      </c>
      <c r="K477" s="1">
        <v>445276</v>
      </c>
      <c r="M477" s="1">
        <v>156509</v>
      </c>
      <c r="O477" s="1">
        <v>429254</v>
      </c>
      <c r="Q477" s="1">
        <v>898344</v>
      </c>
      <c r="S477" s="1">
        <v>128238</v>
      </c>
      <c r="U477" s="1">
        <v>799224</v>
      </c>
      <c r="W477" s="1">
        <v>317977</v>
      </c>
      <c r="Y477" s="1">
        <v>0</v>
      </c>
      <c r="AA477" s="1">
        <v>1107127</v>
      </c>
      <c r="AC477" s="1">
        <v>609604</v>
      </c>
      <c r="AE477" s="1">
        <v>85217</v>
      </c>
      <c r="AG477" s="1">
        <v>528208</v>
      </c>
      <c r="AI477" s="1">
        <v>39853</v>
      </c>
      <c r="AJ477" s="12" t="s">
        <v>766</v>
      </c>
      <c r="AK477" s="12"/>
      <c r="AL477" s="12" t="s">
        <v>77</v>
      </c>
      <c r="AN477" s="1">
        <v>160559</v>
      </c>
      <c r="AP477" s="1">
        <v>24643</v>
      </c>
      <c r="AR477" s="1">
        <v>30339</v>
      </c>
      <c r="AT477" s="1">
        <v>316870</v>
      </c>
      <c r="AV477" s="1">
        <v>218687</v>
      </c>
      <c r="AX477" s="1">
        <v>0</v>
      </c>
      <c r="AZ477" s="20">
        <f t="shared" si="46"/>
        <v>12203318</v>
      </c>
      <c r="BB477" s="1">
        <v>0</v>
      </c>
      <c r="BH477" s="1">
        <v>0</v>
      </c>
      <c r="BJ477" s="20">
        <f t="shared" si="44"/>
        <v>12203318</v>
      </c>
      <c r="BL477" s="20">
        <f>'Gov Fd Rv'!AO477-'Gov Fnd Exp'!BJ477</f>
        <v>255380</v>
      </c>
      <c r="BN477" s="1">
        <v>3782647</v>
      </c>
      <c r="BP477" s="1">
        <v>0</v>
      </c>
      <c r="BR477" s="1">
        <v>0</v>
      </c>
      <c r="BT477" s="20">
        <f t="shared" si="45"/>
        <v>4038027</v>
      </c>
      <c r="BU477" s="20"/>
      <c r="BV477" s="20">
        <f>BT477-'Gov Fd BS'!AA477</f>
        <v>0</v>
      </c>
    </row>
    <row r="478" spans="1:74">
      <c r="A478" s="12" t="s">
        <v>642</v>
      </c>
      <c r="B478" s="12"/>
      <c r="C478" s="12" t="s">
        <v>71</v>
      </c>
      <c r="D478" s="12"/>
      <c r="E478" s="13">
        <v>45591</v>
      </c>
      <c r="G478" s="1">
        <v>4818566</v>
      </c>
      <c r="I478" s="1">
        <v>1036952</v>
      </c>
      <c r="K478" s="1">
        <v>77257</v>
      </c>
      <c r="M478" s="1">
        <v>7041</v>
      </c>
      <c r="O478" s="1">
        <v>474358</v>
      </c>
      <c r="Q478" s="1">
        <v>638535</v>
      </c>
      <c r="S478" s="1">
        <v>34174</v>
      </c>
      <c r="U478" s="1">
        <v>774050</v>
      </c>
      <c r="W478" s="1">
        <v>319939</v>
      </c>
      <c r="Y478" s="1">
        <v>0</v>
      </c>
      <c r="AA478" s="1">
        <v>936612</v>
      </c>
      <c r="AC478" s="1">
        <v>326001</v>
      </c>
      <c r="AE478" s="1">
        <v>0</v>
      </c>
      <c r="AG478" s="1">
        <v>486259</v>
      </c>
      <c r="AI478" s="1">
        <v>0</v>
      </c>
      <c r="AJ478" s="12" t="s">
        <v>642</v>
      </c>
      <c r="AK478" s="12"/>
      <c r="AL478" s="12" t="s">
        <v>71</v>
      </c>
      <c r="AN478" s="1">
        <v>186993</v>
      </c>
      <c r="AP478" s="1">
        <v>4609614</v>
      </c>
      <c r="AR478" s="1">
        <v>0</v>
      </c>
      <c r="AT478" s="1">
        <v>209404</v>
      </c>
      <c r="AV478" s="1">
        <v>426581</v>
      </c>
      <c r="AX478" s="1">
        <v>0</v>
      </c>
      <c r="AZ478" s="20">
        <f t="shared" si="46"/>
        <v>15362336</v>
      </c>
      <c r="BB478" s="1">
        <v>0</v>
      </c>
      <c r="BH478" s="1">
        <v>0</v>
      </c>
      <c r="BJ478" s="20">
        <f t="shared" si="44"/>
        <v>15362336</v>
      </c>
      <c r="BL478" s="20">
        <f>'Gov Fd Rv'!AO478-'Gov Fnd Exp'!BJ478</f>
        <v>4943222</v>
      </c>
      <c r="BN478" s="1">
        <v>7459699</v>
      </c>
      <c r="BP478" s="1">
        <v>0</v>
      </c>
      <c r="BR478" s="1">
        <v>0</v>
      </c>
      <c r="BT478" s="20">
        <f t="shared" si="45"/>
        <v>12402921</v>
      </c>
      <c r="BU478" s="20"/>
      <c r="BV478" s="20">
        <f>BT478-'Gov Fd BS'!AA478</f>
        <v>0</v>
      </c>
    </row>
    <row r="479" spans="1:74">
      <c r="A479" s="12" t="s">
        <v>477</v>
      </c>
      <c r="B479" s="12"/>
      <c r="C479" s="12" t="s">
        <v>46</v>
      </c>
      <c r="D479" s="12"/>
      <c r="E479" s="13">
        <v>48447</v>
      </c>
      <c r="G479" s="1">
        <v>9568426</v>
      </c>
      <c r="I479" s="1">
        <v>1575384</v>
      </c>
      <c r="K479" s="1">
        <v>196365</v>
      </c>
      <c r="M479" s="1">
        <v>0</v>
      </c>
      <c r="O479" s="1">
        <v>473749</v>
      </c>
      <c r="Q479" s="1">
        <v>916856</v>
      </c>
      <c r="S479" s="1">
        <v>15855</v>
      </c>
      <c r="U479" s="1">
        <v>1504991</v>
      </c>
      <c r="W479" s="1">
        <v>474791</v>
      </c>
      <c r="Y479" s="1">
        <v>34189</v>
      </c>
      <c r="AA479" s="1">
        <v>1278859</v>
      </c>
      <c r="AC479" s="1">
        <v>973340</v>
      </c>
      <c r="AE479" s="1">
        <v>81337</v>
      </c>
      <c r="AG479" s="1">
        <v>0</v>
      </c>
      <c r="AI479" s="1">
        <v>885127</v>
      </c>
      <c r="AJ479" s="12" t="s">
        <v>477</v>
      </c>
      <c r="AK479" s="12"/>
      <c r="AL479" s="12" t="s">
        <v>46</v>
      </c>
      <c r="AN479" s="1">
        <v>376818</v>
      </c>
      <c r="AP479" s="1">
        <v>539627</v>
      </c>
      <c r="AR479" s="1">
        <v>0</v>
      </c>
      <c r="AT479" s="1">
        <v>754880</v>
      </c>
      <c r="AV479" s="1">
        <v>618189</v>
      </c>
      <c r="AX479" s="1">
        <v>0</v>
      </c>
      <c r="AZ479" s="20">
        <f t="shared" si="46"/>
        <v>20268783</v>
      </c>
      <c r="BB479" s="1">
        <v>96218</v>
      </c>
      <c r="BH479" s="1">
        <v>0</v>
      </c>
      <c r="BJ479" s="20">
        <f t="shared" si="44"/>
        <v>20365001</v>
      </c>
      <c r="BL479" s="20">
        <f>'Gov Fd Rv'!AO479-'Gov Fnd Exp'!BJ479</f>
        <v>-968723</v>
      </c>
      <c r="BN479" s="1">
        <v>5792929</v>
      </c>
      <c r="BP479" s="1">
        <v>0</v>
      </c>
      <c r="BR479" s="1">
        <v>0</v>
      </c>
      <c r="BT479" s="20">
        <f t="shared" si="45"/>
        <v>4824206</v>
      </c>
      <c r="BU479" s="20"/>
      <c r="BV479" s="20">
        <f>BT479-'Gov Fd BS'!AA479</f>
        <v>0</v>
      </c>
    </row>
    <row r="480" spans="1:74">
      <c r="A480" s="12" t="s">
        <v>274</v>
      </c>
      <c r="B480" s="12"/>
      <c r="C480" s="12" t="s">
        <v>19</v>
      </c>
      <c r="D480" s="12"/>
      <c r="E480" s="13">
        <v>46482</v>
      </c>
      <c r="G480" s="1">
        <v>9411405</v>
      </c>
      <c r="I480" s="1">
        <v>2651274</v>
      </c>
      <c r="K480" s="1">
        <v>380743</v>
      </c>
      <c r="M480" s="1">
        <v>100</v>
      </c>
      <c r="O480" s="1">
        <v>753762</v>
      </c>
      <c r="Q480" s="1">
        <v>1183297</v>
      </c>
      <c r="S480" s="1">
        <v>81846</v>
      </c>
      <c r="U480" s="1">
        <v>1589128</v>
      </c>
      <c r="W480" s="1">
        <v>568251</v>
      </c>
      <c r="Y480" s="1">
        <v>0</v>
      </c>
      <c r="AA480" s="1">
        <v>2224688</v>
      </c>
      <c r="AC480" s="1">
        <v>1592527</v>
      </c>
      <c r="AE480" s="1">
        <v>548923</v>
      </c>
      <c r="AG480" s="1">
        <v>1000022</v>
      </c>
      <c r="AI480" s="1">
        <v>20811</v>
      </c>
      <c r="AJ480" s="12" t="s">
        <v>274</v>
      </c>
      <c r="AK480" s="12"/>
      <c r="AL480" s="12" t="s">
        <v>19</v>
      </c>
      <c r="AN480" s="1">
        <v>425111</v>
      </c>
      <c r="AP480" s="1">
        <v>156134</v>
      </c>
      <c r="AR480" s="1">
        <v>0</v>
      </c>
      <c r="AT480" s="1">
        <v>164987</v>
      </c>
      <c r="AV480" s="1">
        <v>72235</v>
      </c>
      <c r="AX480" s="1">
        <v>0</v>
      </c>
      <c r="AZ480" s="20">
        <f t="shared" si="46"/>
        <v>22825244</v>
      </c>
      <c r="BB480" s="1">
        <v>109947</v>
      </c>
      <c r="BH480" s="1">
        <v>0</v>
      </c>
      <c r="BJ480" s="20">
        <f t="shared" si="44"/>
        <v>22935191</v>
      </c>
      <c r="BL480" s="20">
        <f>'Gov Fd Rv'!AO480-'Gov Fnd Exp'!BJ480</f>
        <v>817281</v>
      </c>
      <c r="BN480" s="1">
        <v>5422039</v>
      </c>
      <c r="BP480" s="1">
        <v>0</v>
      </c>
      <c r="BR480" s="1">
        <v>0</v>
      </c>
      <c r="BT480" s="20">
        <f t="shared" si="45"/>
        <v>6239320</v>
      </c>
      <c r="BU480" s="20"/>
      <c r="BV480" s="20">
        <f>BT480-'Gov Fd BS'!AA480</f>
        <v>0</v>
      </c>
    </row>
    <row r="481" spans="1:74" hidden="1">
      <c r="A481" s="12" t="s">
        <v>932</v>
      </c>
      <c r="B481" s="12"/>
      <c r="C481" s="12" t="s">
        <v>383</v>
      </c>
      <c r="D481" s="12"/>
      <c r="E481" s="13">
        <v>47514</v>
      </c>
      <c r="AJ481" s="12" t="s">
        <v>932</v>
      </c>
      <c r="AK481" s="12"/>
      <c r="AL481" s="12" t="s">
        <v>383</v>
      </c>
      <c r="AZ481" s="20">
        <f t="shared" si="46"/>
        <v>0</v>
      </c>
      <c r="BJ481" s="20">
        <f t="shared" si="44"/>
        <v>0</v>
      </c>
      <c r="BL481" s="20">
        <f>'Gov Fd Rv'!AO481-'Gov Fnd Exp'!BJ481</f>
        <v>0</v>
      </c>
      <c r="BT481" s="20">
        <f t="shared" si="45"/>
        <v>0</v>
      </c>
      <c r="BU481" s="20"/>
      <c r="BV481" s="20">
        <f>BT481-'Gov Fd BS'!AA481</f>
        <v>0</v>
      </c>
    </row>
    <row r="482" spans="1:74">
      <c r="A482" s="12" t="s">
        <v>435</v>
      </c>
      <c r="B482" s="12"/>
      <c r="C482" s="12" t="s">
        <v>41</v>
      </c>
      <c r="D482" s="12"/>
      <c r="E482" s="13"/>
      <c r="G482" s="1">
        <v>20650722</v>
      </c>
      <c r="I482" s="1">
        <v>3672771</v>
      </c>
      <c r="K482" s="1">
        <v>0</v>
      </c>
      <c r="M482" s="1">
        <v>724546</v>
      </c>
      <c r="O482" s="1">
        <v>2230819</v>
      </c>
      <c r="Q482" s="1">
        <v>1918049</v>
      </c>
      <c r="S482" s="1">
        <v>22304</v>
      </c>
      <c r="U482" s="1">
        <v>4461233</v>
      </c>
      <c r="W482" s="1">
        <v>867316</v>
      </c>
      <c r="Y482" s="1">
        <v>119733</v>
      </c>
      <c r="AA482" s="1">
        <v>5628984</v>
      </c>
      <c r="AC482" s="1">
        <v>5103351</v>
      </c>
      <c r="AE482" s="1">
        <v>51090</v>
      </c>
      <c r="AG482" s="1">
        <v>32432</v>
      </c>
      <c r="AI482" s="1">
        <v>55485</v>
      </c>
      <c r="AJ482" s="12" t="s">
        <v>435</v>
      </c>
      <c r="AK482" s="12"/>
      <c r="AL482" s="12" t="s">
        <v>41</v>
      </c>
      <c r="AN482" s="1">
        <v>749093</v>
      </c>
      <c r="AP482" s="1">
        <v>62425</v>
      </c>
      <c r="AR482" s="1">
        <v>0</v>
      </c>
      <c r="AT482" s="1">
        <v>701043</v>
      </c>
      <c r="AV482" s="1">
        <v>173882</v>
      </c>
      <c r="AX482" s="1">
        <v>0</v>
      </c>
      <c r="AZ482" s="20">
        <f t="shared" si="46"/>
        <v>47225278</v>
      </c>
      <c r="BB482" s="1">
        <v>296859</v>
      </c>
      <c r="BH482" s="1">
        <v>0</v>
      </c>
      <c r="BJ482" s="20">
        <f t="shared" si="44"/>
        <v>47522137</v>
      </c>
      <c r="BL482" s="20">
        <f>'Gov Fd Rv'!AO482-'Gov Fnd Exp'!BJ482</f>
        <v>-1091450</v>
      </c>
      <c r="BN482" s="1">
        <v>5564104</v>
      </c>
      <c r="BP482" s="1">
        <v>14963</v>
      </c>
      <c r="BR482" s="1">
        <v>0</v>
      </c>
      <c r="BT482" s="20">
        <f t="shared" si="45"/>
        <v>4487617</v>
      </c>
      <c r="BU482" s="20"/>
      <c r="BV482" s="20">
        <f>BT482-'Gov Fd BS'!AA482</f>
        <v>0</v>
      </c>
    </row>
    <row r="483" spans="1:74">
      <c r="A483" s="12" t="s">
        <v>435</v>
      </c>
      <c r="B483" s="12"/>
      <c r="C483" s="12" t="s">
        <v>43</v>
      </c>
      <c r="D483" s="12"/>
      <c r="E483" s="13">
        <v>48090</v>
      </c>
      <c r="G483" s="1">
        <v>3467617</v>
      </c>
      <c r="I483" s="1">
        <v>1028892</v>
      </c>
      <c r="K483" s="1">
        <v>110567</v>
      </c>
      <c r="M483" s="1">
        <v>0</v>
      </c>
      <c r="O483" s="1">
        <v>156890</v>
      </c>
      <c r="Q483" s="1">
        <v>300141</v>
      </c>
      <c r="S483" s="1">
        <v>17985</v>
      </c>
      <c r="U483" s="1">
        <v>418549</v>
      </c>
      <c r="W483" s="1">
        <v>254635</v>
      </c>
      <c r="Y483" s="1">
        <v>15865</v>
      </c>
      <c r="AA483" s="1">
        <v>796947</v>
      </c>
      <c r="AC483" s="1">
        <v>461716</v>
      </c>
      <c r="AE483" s="1">
        <v>115619</v>
      </c>
      <c r="AG483" s="1">
        <v>338089</v>
      </c>
      <c r="AI483" s="1">
        <v>2962</v>
      </c>
      <c r="AJ483" s="12" t="s">
        <v>435</v>
      </c>
      <c r="AK483" s="12"/>
      <c r="AL483" s="12" t="s">
        <v>43</v>
      </c>
      <c r="AN483" s="1">
        <v>178079</v>
      </c>
      <c r="AP483" s="1">
        <v>12281</v>
      </c>
      <c r="AR483" s="1">
        <v>0</v>
      </c>
      <c r="AT483" s="1">
        <v>165000</v>
      </c>
      <c r="AV483" s="1">
        <v>72459</v>
      </c>
      <c r="AX483" s="1">
        <v>0</v>
      </c>
      <c r="AZ483" s="20">
        <f t="shared" si="46"/>
        <v>7914293</v>
      </c>
      <c r="BB483" s="1">
        <v>8561</v>
      </c>
      <c r="BH483" s="1">
        <v>0</v>
      </c>
      <c r="BJ483" s="20">
        <f t="shared" si="44"/>
        <v>7922854</v>
      </c>
      <c r="BL483" s="20">
        <f>'Gov Fd Rv'!AO483-'Gov Fnd Exp'!BJ483</f>
        <v>-4797</v>
      </c>
      <c r="BN483" s="1">
        <v>221143</v>
      </c>
      <c r="BP483" s="1">
        <v>0</v>
      </c>
      <c r="BR483" s="1">
        <v>0</v>
      </c>
      <c r="BT483" s="20">
        <f t="shared" si="45"/>
        <v>216346</v>
      </c>
      <c r="BU483" s="20"/>
      <c r="BV483" s="20">
        <f>BT483-'Gov Fd BS'!AA483</f>
        <v>0</v>
      </c>
    </row>
    <row r="484" spans="1:74">
      <c r="A484" s="12" t="s">
        <v>424</v>
      </c>
      <c r="B484" s="12"/>
      <c r="C484" s="12" t="s">
        <v>420</v>
      </c>
      <c r="D484" s="12"/>
      <c r="E484" s="13">
        <v>47944</v>
      </c>
      <c r="G484" s="1">
        <v>10188685</v>
      </c>
      <c r="I484" s="1">
        <v>2795328</v>
      </c>
      <c r="K484" s="1">
        <v>332192</v>
      </c>
      <c r="M484" s="1">
        <v>0</v>
      </c>
      <c r="O484" s="1">
        <v>671582</v>
      </c>
      <c r="Q484" s="1">
        <v>537998</v>
      </c>
      <c r="S484" s="1">
        <v>235854</v>
      </c>
      <c r="U484" s="1">
        <v>1395850</v>
      </c>
      <c r="W484" s="1">
        <v>341531</v>
      </c>
      <c r="Y484" s="1">
        <v>0</v>
      </c>
      <c r="AA484" s="1">
        <v>2911317</v>
      </c>
      <c r="AC484" s="1">
        <v>1311138</v>
      </c>
      <c r="AE484" s="1">
        <v>111045</v>
      </c>
      <c r="AG484" s="1">
        <v>1311064</v>
      </c>
      <c r="AI484" s="1">
        <v>16405</v>
      </c>
      <c r="AJ484" s="12" t="s">
        <v>424</v>
      </c>
      <c r="AK484" s="12"/>
      <c r="AL484" s="12" t="s">
        <v>420</v>
      </c>
      <c r="AN484" s="1">
        <v>301845</v>
      </c>
      <c r="AP484" s="1">
        <v>0</v>
      </c>
      <c r="AR484" s="1">
        <v>0</v>
      </c>
      <c r="AT484" s="1">
        <v>0</v>
      </c>
      <c r="AV484" s="1">
        <v>0</v>
      </c>
      <c r="AX484" s="1">
        <v>0</v>
      </c>
      <c r="AZ484" s="20">
        <f t="shared" si="46"/>
        <v>22461834</v>
      </c>
      <c r="BB484" s="1">
        <v>494451</v>
      </c>
      <c r="BH484" s="1">
        <v>0</v>
      </c>
      <c r="BJ484" s="20">
        <f t="shared" si="44"/>
        <v>22956285</v>
      </c>
      <c r="BL484" s="20">
        <f>'Gov Fd Rv'!AO484-'Gov Fnd Exp'!BJ484</f>
        <v>-1820689</v>
      </c>
      <c r="BN484" s="1">
        <v>6388671</v>
      </c>
      <c r="BP484" s="1">
        <v>0</v>
      </c>
      <c r="BR484" s="1">
        <v>0</v>
      </c>
      <c r="BT484" s="20">
        <f t="shared" si="45"/>
        <v>4567982</v>
      </c>
      <c r="BU484" s="20"/>
      <c r="BV484" s="20">
        <f>BT484-'Gov Fd BS'!AA484</f>
        <v>0</v>
      </c>
    </row>
    <row r="485" spans="1:74">
      <c r="A485" s="12" t="s">
        <v>302</v>
      </c>
      <c r="B485" s="12"/>
      <c r="C485" s="12" t="s">
        <v>20</v>
      </c>
      <c r="D485" s="12"/>
      <c r="E485" s="13">
        <v>44701</v>
      </c>
      <c r="G485" s="1">
        <v>14410989</v>
      </c>
      <c r="I485" s="1">
        <v>4586956</v>
      </c>
      <c r="K485" s="1">
        <v>445609</v>
      </c>
      <c r="M485" s="1">
        <v>51038</v>
      </c>
      <c r="O485" s="1">
        <v>1951138</v>
      </c>
      <c r="Q485" s="1">
        <v>1009683</v>
      </c>
      <c r="S485" s="1">
        <v>32757</v>
      </c>
      <c r="U485" s="1">
        <v>1932072</v>
      </c>
      <c r="W485" s="1">
        <v>824275</v>
      </c>
      <c r="Y485" s="1">
        <v>447419</v>
      </c>
      <c r="AA485" s="1">
        <v>3643025</v>
      </c>
      <c r="AC485" s="1">
        <v>1441001</v>
      </c>
      <c r="AE485" s="1">
        <v>740188</v>
      </c>
      <c r="AG485" s="1">
        <v>442056</v>
      </c>
      <c r="AI485" s="1">
        <v>1320582</v>
      </c>
      <c r="AJ485" s="12" t="s">
        <v>302</v>
      </c>
      <c r="AK485" s="12"/>
      <c r="AL485" s="12" t="s">
        <v>20</v>
      </c>
      <c r="AN485" s="1">
        <v>1097727</v>
      </c>
      <c r="AP485" s="1">
        <v>331290</v>
      </c>
      <c r="AR485" s="1">
        <v>0</v>
      </c>
      <c r="AT485" s="1">
        <v>2442268</v>
      </c>
      <c r="AV485" s="1">
        <v>721758</v>
      </c>
      <c r="AX485" s="1">
        <v>0</v>
      </c>
      <c r="AZ485" s="20">
        <f t="shared" si="46"/>
        <v>37871831</v>
      </c>
      <c r="BB485" s="1">
        <v>210926</v>
      </c>
      <c r="BH485" s="1">
        <v>0</v>
      </c>
      <c r="BJ485" s="20">
        <f t="shared" si="44"/>
        <v>38082757</v>
      </c>
      <c r="BL485" s="20">
        <f>'Gov Fd Rv'!AO485-'Gov Fnd Exp'!BJ485</f>
        <v>894350</v>
      </c>
      <c r="BN485" s="1">
        <v>3954797</v>
      </c>
      <c r="BP485" s="1">
        <v>0</v>
      </c>
      <c r="BR485" s="1">
        <v>0</v>
      </c>
      <c r="BT485" s="20">
        <f t="shared" si="45"/>
        <v>4849147</v>
      </c>
      <c r="BU485" s="20"/>
      <c r="BV485" s="20">
        <f>BT485-'Gov Fd BS'!AA485</f>
        <v>0</v>
      </c>
    </row>
    <row r="486" spans="1:74">
      <c r="A486" s="12" t="s">
        <v>362</v>
      </c>
      <c r="B486" s="12"/>
      <c r="C486" s="12" t="s">
        <v>31</v>
      </c>
      <c r="D486" s="12"/>
      <c r="E486" s="13">
        <v>47308</v>
      </c>
      <c r="G486" s="1">
        <v>8604711</v>
      </c>
      <c r="I486" s="1">
        <v>2229900</v>
      </c>
      <c r="K486" s="1">
        <v>335804</v>
      </c>
      <c r="M486" s="1">
        <v>28648</v>
      </c>
      <c r="O486" s="1">
        <v>636008</v>
      </c>
      <c r="Q486" s="1">
        <v>1248127</v>
      </c>
      <c r="S486" s="1">
        <v>29395</v>
      </c>
      <c r="U486" s="1">
        <v>1286813</v>
      </c>
      <c r="W486" s="1">
        <v>599015</v>
      </c>
      <c r="Y486" s="1">
        <v>0</v>
      </c>
      <c r="AA486" s="1">
        <v>1617061</v>
      </c>
      <c r="AC486" s="1">
        <v>851495</v>
      </c>
      <c r="AE486" s="1">
        <v>6148</v>
      </c>
      <c r="AG486" s="1">
        <v>1047063</v>
      </c>
      <c r="AI486" s="1">
        <v>7351</v>
      </c>
      <c r="AJ486" s="12" t="s">
        <v>362</v>
      </c>
      <c r="AK486" s="12"/>
      <c r="AL486" s="12" t="s">
        <v>31</v>
      </c>
      <c r="AN486" s="1">
        <v>270324</v>
      </c>
      <c r="AP486" s="1">
        <v>1405800</v>
      </c>
      <c r="AR486" s="1">
        <v>0</v>
      </c>
      <c r="AT486" s="1">
        <v>0</v>
      </c>
      <c r="AV486" s="1">
        <v>4600</v>
      </c>
      <c r="AX486" s="1">
        <v>35597</v>
      </c>
      <c r="AZ486" s="20">
        <f t="shared" si="46"/>
        <v>20243860</v>
      </c>
      <c r="BB486" s="1">
        <v>212387</v>
      </c>
      <c r="BH486" s="1">
        <v>0</v>
      </c>
      <c r="BJ486" s="20">
        <f t="shared" si="44"/>
        <v>20456247</v>
      </c>
      <c r="BL486" s="20">
        <f>'Gov Fd Rv'!AO486-'Gov Fnd Exp'!BJ486</f>
        <v>-1318483</v>
      </c>
      <c r="BN486" s="1">
        <v>1977471</v>
      </c>
      <c r="BP486" s="1">
        <v>0</v>
      </c>
      <c r="BR486" s="1">
        <v>0</v>
      </c>
      <c r="BT486" s="20">
        <f t="shared" si="45"/>
        <v>658988</v>
      </c>
      <c r="BU486" s="20"/>
      <c r="BV486" s="20">
        <f>BT486-'Gov Fd BS'!AA486</f>
        <v>0</v>
      </c>
    </row>
    <row r="487" spans="1:74">
      <c r="A487" s="12" t="s">
        <v>536</v>
      </c>
      <c r="B487" s="12"/>
      <c r="C487" s="12" t="s">
        <v>56</v>
      </c>
      <c r="D487" s="12"/>
      <c r="E487" s="13">
        <v>49213</v>
      </c>
      <c r="G487" s="1">
        <v>5101613</v>
      </c>
      <c r="I487" s="1">
        <v>1184025</v>
      </c>
      <c r="K487" s="1">
        <v>274596</v>
      </c>
      <c r="M487" s="1">
        <f>4603+514924</f>
        <v>519527</v>
      </c>
      <c r="O487" s="1">
        <v>543143</v>
      </c>
      <c r="Q487" s="1">
        <v>382224</v>
      </c>
      <c r="S487" s="1">
        <v>70332</v>
      </c>
      <c r="U487" s="1">
        <v>787202</v>
      </c>
      <c r="W487" s="1">
        <v>329027</v>
      </c>
      <c r="Y487" s="1">
        <v>11990</v>
      </c>
      <c r="AA487" s="1">
        <v>863765</v>
      </c>
      <c r="AC487" s="1">
        <v>696482</v>
      </c>
      <c r="AE487" s="1">
        <v>0</v>
      </c>
      <c r="AG487" s="1">
        <v>349819</v>
      </c>
      <c r="AI487" s="1">
        <v>18497</v>
      </c>
      <c r="AJ487" s="12" t="s">
        <v>536</v>
      </c>
      <c r="AK487" s="12"/>
      <c r="AL487" s="12" t="s">
        <v>56</v>
      </c>
      <c r="AN487" s="1">
        <v>372576</v>
      </c>
      <c r="AP487" s="1">
        <v>120868</v>
      </c>
      <c r="AR487" s="1">
        <v>0</v>
      </c>
      <c r="AT487" s="1">
        <v>0</v>
      </c>
      <c r="AV487" s="1">
        <v>14121</v>
      </c>
      <c r="AX487" s="1">
        <v>0</v>
      </c>
      <c r="AZ487" s="20">
        <f t="shared" si="46"/>
        <v>11639807</v>
      </c>
      <c r="BB487" s="1">
        <v>0</v>
      </c>
      <c r="BH487" s="1">
        <v>0</v>
      </c>
      <c r="BJ487" s="20">
        <f t="shared" si="44"/>
        <v>11639807</v>
      </c>
      <c r="BL487" s="20">
        <f>'Gov Fd Rv'!AO487-'Gov Fnd Exp'!BJ487</f>
        <v>657106</v>
      </c>
      <c r="BN487" s="1">
        <v>-151963</v>
      </c>
      <c r="BP487" s="1">
        <v>0</v>
      </c>
      <c r="BR487" s="1">
        <v>0</v>
      </c>
      <c r="BT487" s="20">
        <f t="shared" si="45"/>
        <v>505143</v>
      </c>
      <c r="BU487" s="20"/>
      <c r="BV487" s="20">
        <f>BT487-'Gov Fd BS'!AA487</f>
        <v>0</v>
      </c>
    </row>
    <row r="488" spans="1:74">
      <c r="A488" s="17" t="s">
        <v>235</v>
      </c>
      <c r="B488" s="12"/>
      <c r="C488" s="12" t="s">
        <v>227</v>
      </c>
      <c r="D488" s="12"/>
      <c r="E488" s="13">
        <v>46144</v>
      </c>
      <c r="G488" s="1">
        <v>11371731</v>
      </c>
      <c r="I488" s="1">
        <v>2000992</v>
      </c>
      <c r="K488" s="1">
        <v>0</v>
      </c>
      <c r="M488" s="1">
        <v>613747</v>
      </c>
      <c r="O488" s="1">
        <v>1070762</v>
      </c>
      <c r="Q488" s="1">
        <v>1561106</v>
      </c>
      <c r="S488" s="1">
        <v>22390</v>
      </c>
      <c r="U488" s="1">
        <v>1954414</v>
      </c>
      <c r="W488" s="1">
        <v>715941</v>
      </c>
      <c r="Y488" s="1">
        <v>0</v>
      </c>
      <c r="AA488" s="1">
        <v>1873019</v>
      </c>
      <c r="AC488" s="1">
        <v>2123796</v>
      </c>
      <c r="AE488" s="1">
        <v>12157</v>
      </c>
      <c r="AG488" s="1">
        <v>1069149</v>
      </c>
      <c r="AI488" s="1">
        <v>634922</v>
      </c>
      <c r="AJ488" s="12" t="s">
        <v>235</v>
      </c>
      <c r="AK488" s="12"/>
      <c r="AL488" s="12" t="s">
        <v>227</v>
      </c>
      <c r="AN488" s="1">
        <v>335198</v>
      </c>
      <c r="AP488" s="1">
        <v>2150955</v>
      </c>
      <c r="AR488" s="1">
        <v>0</v>
      </c>
      <c r="AT488" s="1">
        <v>823767</v>
      </c>
      <c r="AV488" s="1">
        <v>862863</v>
      </c>
      <c r="AX488" s="1">
        <v>0</v>
      </c>
      <c r="AZ488" s="20">
        <f t="shared" si="46"/>
        <v>29196909</v>
      </c>
      <c r="BB488" s="1">
        <v>0</v>
      </c>
      <c r="BH488" s="1">
        <v>0</v>
      </c>
      <c r="BJ488" s="20">
        <f t="shared" si="44"/>
        <v>29196909</v>
      </c>
      <c r="BL488" s="20">
        <f>'Gov Fd Rv'!AO488-'Gov Fnd Exp'!BJ488</f>
        <v>7026161</v>
      </c>
      <c r="BN488" s="1">
        <v>7020296</v>
      </c>
      <c r="BP488" s="1">
        <v>0</v>
      </c>
      <c r="BR488" s="1">
        <v>0</v>
      </c>
      <c r="BT488" s="20">
        <f t="shared" si="45"/>
        <v>14046457</v>
      </c>
      <c r="BU488" s="20"/>
      <c r="BV488" s="20">
        <f>BT488-'Gov Fd BS'!AA488</f>
        <v>0</v>
      </c>
    </row>
    <row r="489" spans="1:74" ht="12" customHeight="1">
      <c r="A489" s="12" t="s">
        <v>652</v>
      </c>
      <c r="B489" s="12"/>
      <c r="C489" s="12" t="s">
        <v>72</v>
      </c>
      <c r="D489" s="12"/>
      <c r="E489" s="13">
        <v>45609</v>
      </c>
      <c r="G489" s="1">
        <v>10898885</v>
      </c>
      <c r="I489" s="1">
        <v>2368628</v>
      </c>
      <c r="K489" s="1">
        <v>279095</v>
      </c>
      <c r="M489" s="1">
        <v>28992</v>
      </c>
      <c r="O489" s="1">
        <v>2100396</v>
      </c>
      <c r="Q489" s="1">
        <v>1259367</v>
      </c>
      <c r="S489" s="1">
        <v>46075</v>
      </c>
      <c r="U489" s="1">
        <v>2026683</v>
      </c>
      <c r="W489" s="1">
        <v>425256</v>
      </c>
      <c r="Y489" s="1">
        <v>106262</v>
      </c>
      <c r="AA489" s="1">
        <v>4421892</v>
      </c>
      <c r="AC489" s="1">
        <v>933928</v>
      </c>
      <c r="AE489" s="1">
        <v>471180</v>
      </c>
      <c r="AG489" s="1">
        <v>0</v>
      </c>
      <c r="AI489" s="1">
        <v>948416</v>
      </c>
      <c r="AJ489" s="14" t="s">
        <v>652</v>
      </c>
      <c r="AK489" s="14"/>
      <c r="AL489" s="14" t="s">
        <v>72</v>
      </c>
      <c r="AM489" s="16"/>
      <c r="AN489" s="1">
        <v>701263</v>
      </c>
      <c r="AP489" s="1">
        <v>11132</v>
      </c>
      <c r="AR489" s="1">
        <v>0</v>
      </c>
      <c r="AT489" s="1">
        <v>0</v>
      </c>
      <c r="AV489" s="1">
        <v>0</v>
      </c>
      <c r="AX489" s="1">
        <v>0</v>
      </c>
      <c r="AZ489" s="20">
        <f t="shared" si="46"/>
        <v>27027450</v>
      </c>
      <c r="BB489" s="1">
        <v>44000</v>
      </c>
      <c r="BH489" s="1">
        <v>0</v>
      </c>
      <c r="BJ489" s="20">
        <f t="shared" si="44"/>
        <v>27071450</v>
      </c>
      <c r="BL489" s="20">
        <f>'Gov Fd Rv'!AO489-'Gov Fnd Exp'!BJ489</f>
        <v>-1222177</v>
      </c>
      <c r="BN489" s="1">
        <v>11891753</v>
      </c>
      <c r="BP489" s="1">
        <v>0</v>
      </c>
      <c r="BR489" s="1">
        <v>0</v>
      </c>
      <c r="BT489" s="20">
        <f t="shared" si="45"/>
        <v>10669576</v>
      </c>
      <c r="BU489" s="20"/>
      <c r="BV489" s="20">
        <f>BT489-'Gov Fd BS'!AA489</f>
        <v>0</v>
      </c>
    </row>
    <row r="490" spans="1:74">
      <c r="A490" s="12" t="s">
        <v>570</v>
      </c>
      <c r="B490" s="12"/>
      <c r="C490" s="12" t="s">
        <v>61</v>
      </c>
      <c r="D490" s="12"/>
      <c r="E490" s="12">
        <v>49817</v>
      </c>
      <c r="G490" s="1">
        <v>2067561</v>
      </c>
      <c r="I490" s="1">
        <v>541469</v>
      </c>
      <c r="K490" s="1">
        <v>0</v>
      </c>
      <c r="M490" s="1">
        <v>8440</v>
      </c>
      <c r="O490" s="1">
        <v>91330</v>
      </c>
      <c r="Q490" s="1">
        <v>116616</v>
      </c>
      <c r="S490" s="1">
        <v>7733</v>
      </c>
      <c r="U490" s="1">
        <v>362683</v>
      </c>
      <c r="W490" s="1">
        <v>198863</v>
      </c>
      <c r="Y490" s="1">
        <v>496</v>
      </c>
      <c r="AA490" s="1">
        <v>364371</v>
      </c>
      <c r="AC490" s="1">
        <v>150470</v>
      </c>
      <c r="AE490" s="1">
        <v>132815</v>
      </c>
      <c r="AG490" s="1">
        <v>0</v>
      </c>
      <c r="AI490" s="1">
        <v>157226</v>
      </c>
      <c r="AJ490" s="12" t="s">
        <v>570</v>
      </c>
      <c r="AK490" s="12"/>
      <c r="AL490" s="12" t="s">
        <v>61</v>
      </c>
      <c r="AN490" s="1">
        <v>183960</v>
      </c>
      <c r="AP490" s="1">
        <v>655857</v>
      </c>
      <c r="AR490" s="1">
        <v>0</v>
      </c>
      <c r="AT490" s="1">
        <v>140000</v>
      </c>
      <c r="AV490" s="1">
        <v>197495</v>
      </c>
      <c r="AX490" s="1">
        <v>0</v>
      </c>
      <c r="AZ490" s="20">
        <f t="shared" si="46"/>
        <v>5377385</v>
      </c>
      <c r="BB490" s="1">
        <v>5000</v>
      </c>
      <c r="BH490" s="1">
        <v>0</v>
      </c>
      <c r="BJ490" s="20">
        <f t="shared" si="44"/>
        <v>5382385</v>
      </c>
      <c r="BL490" s="20">
        <f>'Gov Fd Rv'!AO490-'Gov Fnd Exp'!BJ490</f>
        <v>4538380</v>
      </c>
      <c r="BN490" s="1">
        <v>1618830</v>
      </c>
      <c r="BP490" s="1">
        <v>0</v>
      </c>
      <c r="BR490" s="1">
        <v>0</v>
      </c>
      <c r="BT490" s="20">
        <f t="shared" si="45"/>
        <v>6157210</v>
      </c>
      <c r="BU490" s="20"/>
      <c r="BV490" s="20">
        <f>BT490-'Gov Fd BS'!AA490</f>
        <v>0</v>
      </c>
    </row>
    <row r="491" spans="1:74">
      <c r="A491" s="17" t="s">
        <v>725</v>
      </c>
      <c r="B491" s="17"/>
      <c r="C491" s="17" t="s">
        <v>114</v>
      </c>
      <c r="D491" s="17"/>
      <c r="E491" s="13"/>
      <c r="G491" s="1">
        <v>7905709</v>
      </c>
      <c r="I491" s="1">
        <v>3053951</v>
      </c>
      <c r="K491" s="1">
        <v>321943</v>
      </c>
      <c r="M491" s="1">
        <f>418139+1938126</f>
        <v>2356265</v>
      </c>
      <c r="O491" s="1">
        <v>840854</v>
      </c>
      <c r="Q491" s="1">
        <v>805064</v>
      </c>
      <c r="S491" s="1">
        <v>31531</v>
      </c>
      <c r="U491" s="1">
        <v>1565234</v>
      </c>
      <c r="W491" s="1">
        <v>564213</v>
      </c>
      <c r="Y491" s="1">
        <v>17351</v>
      </c>
      <c r="AA491" s="1">
        <v>1754650</v>
      </c>
      <c r="AC491" s="1">
        <v>879332</v>
      </c>
      <c r="AE491" s="1">
        <v>114949</v>
      </c>
      <c r="AG491" s="1">
        <v>625714</v>
      </c>
      <c r="AI491" s="1">
        <v>107722</v>
      </c>
      <c r="AJ491" s="17" t="s">
        <v>725</v>
      </c>
      <c r="AK491" s="12"/>
      <c r="AL491" s="12" t="s">
        <v>114</v>
      </c>
      <c r="AN491" s="1">
        <v>667026</v>
      </c>
      <c r="AP491" s="1">
        <v>741691</v>
      </c>
      <c r="AR491" s="1">
        <v>0</v>
      </c>
      <c r="AT491" s="1">
        <v>0</v>
      </c>
      <c r="AV491" s="1">
        <v>2436</v>
      </c>
      <c r="AX491" s="1">
        <v>0</v>
      </c>
      <c r="AZ491" s="20">
        <f t="shared" ref="AZ491:AZ531" si="47">SUM(G491:AX491)</f>
        <v>22355635</v>
      </c>
      <c r="BB491" s="1">
        <v>0</v>
      </c>
      <c r="BH491" s="1">
        <v>0</v>
      </c>
      <c r="BJ491" s="20">
        <f t="shared" si="44"/>
        <v>22355635</v>
      </c>
      <c r="BL491" s="20">
        <f>'Gov Fd Rv'!AO491-'Gov Fnd Exp'!BJ491</f>
        <v>1422710</v>
      </c>
      <c r="BN491" s="1">
        <v>1266284</v>
      </c>
      <c r="BP491" s="1">
        <v>1151</v>
      </c>
      <c r="BR491" s="1">
        <v>0</v>
      </c>
      <c r="BT491" s="20">
        <f t="shared" si="45"/>
        <v>2690145</v>
      </c>
      <c r="BU491" s="20"/>
      <c r="BV491" s="20">
        <f>BT491-'Gov Fd BS'!AA491</f>
        <v>0</v>
      </c>
    </row>
    <row r="492" spans="1:74">
      <c r="A492" s="12" t="s">
        <v>319</v>
      </c>
      <c r="B492" s="12"/>
      <c r="C492" s="12" t="s">
        <v>24</v>
      </c>
      <c r="D492" s="12"/>
      <c r="E492" s="12">
        <v>44743</v>
      </c>
      <c r="G492" s="1">
        <v>20581073</v>
      </c>
      <c r="I492" s="1">
        <v>7911346</v>
      </c>
      <c r="K492" s="1">
        <v>1742190</v>
      </c>
      <c r="M492" s="1">
        <f>1288619+510534</f>
        <v>1799153</v>
      </c>
      <c r="O492" s="1">
        <v>1829347</v>
      </c>
      <c r="Q492" s="1">
        <v>2309095</v>
      </c>
      <c r="S492" s="1">
        <v>274123</v>
      </c>
      <c r="U492" s="1">
        <v>2975257</v>
      </c>
      <c r="W492" s="1">
        <v>714646</v>
      </c>
      <c r="Y492" s="1">
        <v>198493</v>
      </c>
      <c r="AA492" s="1">
        <v>3363834</v>
      </c>
      <c r="AC492" s="1">
        <v>1444449</v>
      </c>
      <c r="AE492" s="1">
        <v>1162619</v>
      </c>
      <c r="AG492" s="1">
        <v>0</v>
      </c>
      <c r="AI492" s="1">
        <v>2925210</v>
      </c>
      <c r="AJ492" s="12" t="s">
        <v>319</v>
      </c>
      <c r="AK492" s="12"/>
      <c r="AL492" s="12" t="s">
        <v>24</v>
      </c>
      <c r="AN492" s="1">
        <v>978170</v>
      </c>
      <c r="AP492" s="1">
        <v>773940</v>
      </c>
      <c r="AR492" s="1">
        <v>0</v>
      </c>
      <c r="AT492" s="1">
        <v>211285</v>
      </c>
      <c r="AV492" s="1">
        <v>56430</v>
      </c>
      <c r="AX492" s="1">
        <v>0</v>
      </c>
      <c r="AZ492" s="20">
        <f t="shared" si="47"/>
        <v>51250660</v>
      </c>
      <c r="BB492" s="1">
        <v>56952</v>
      </c>
      <c r="BH492" s="1">
        <v>0</v>
      </c>
      <c r="BJ492" s="20">
        <f t="shared" si="44"/>
        <v>51307612</v>
      </c>
      <c r="BL492" s="20">
        <f>'Gov Fd Rv'!AO492-'Gov Fnd Exp'!BJ492</f>
        <v>108432</v>
      </c>
      <c r="BN492" s="1">
        <v>2982353</v>
      </c>
      <c r="BP492" s="1">
        <v>0</v>
      </c>
      <c r="BR492" s="1">
        <v>0</v>
      </c>
      <c r="BT492" s="20">
        <f t="shared" si="45"/>
        <v>3090785</v>
      </c>
      <c r="BU492" s="20"/>
      <c r="BV492" s="20">
        <f>BT492-'Gov Fd BS'!AA492</f>
        <v>0</v>
      </c>
    </row>
    <row r="493" spans="1:74">
      <c r="A493" s="12" t="s">
        <v>584</v>
      </c>
      <c r="B493" s="12"/>
      <c r="C493" s="12" t="s">
        <v>62</v>
      </c>
      <c r="D493" s="12"/>
      <c r="E493" s="13">
        <v>49940</v>
      </c>
      <c r="G493" s="1">
        <v>5770885</v>
      </c>
      <c r="I493" s="1">
        <v>2206844</v>
      </c>
      <c r="K493" s="1">
        <v>349507</v>
      </c>
      <c r="M493" s="1">
        <f>6210+445303</f>
        <v>451513</v>
      </c>
      <c r="O493" s="1">
        <v>1311832</v>
      </c>
      <c r="Q493" s="1">
        <v>165028</v>
      </c>
      <c r="S493" s="1">
        <v>12378</v>
      </c>
      <c r="U493" s="1">
        <v>1315266</v>
      </c>
      <c r="W493" s="1">
        <v>379964</v>
      </c>
      <c r="Y493" s="1">
        <v>79456</v>
      </c>
      <c r="AA493" s="1">
        <v>987950</v>
      </c>
      <c r="AC493" s="1">
        <v>1089409</v>
      </c>
      <c r="AE493" s="1">
        <v>40874</v>
      </c>
      <c r="AG493" s="1">
        <v>592632</v>
      </c>
      <c r="AI493" s="1">
        <v>70850</v>
      </c>
      <c r="AJ493" s="12" t="s">
        <v>584</v>
      </c>
      <c r="AK493" s="12"/>
      <c r="AL493" s="12" t="s">
        <v>62</v>
      </c>
      <c r="AN493" s="1">
        <v>459538</v>
      </c>
      <c r="AP493" s="1">
        <v>1939905</v>
      </c>
      <c r="AR493" s="1">
        <v>0</v>
      </c>
      <c r="AT493" s="1">
        <v>343140</v>
      </c>
      <c r="AV493" s="1">
        <v>499396</v>
      </c>
      <c r="AX493" s="1">
        <v>0</v>
      </c>
      <c r="AZ493" s="20">
        <f t="shared" si="47"/>
        <v>18066367</v>
      </c>
      <c r="BB493" s="1">
        <v>584398</v>
      </c>
      <c r="BH493" s="1">
        <v>0</v>
      </c>
      <c r="BJ493" s="20">
        <f t="shared" si="44"/>
        <v>18650765</v>
      </c>
      <c r="BL493" s="20">
        <f>'Gov Fd Rv'!AO493-'Gov Fnd Exp'!BJ493</f>
        <v>-2224994</v>
      </c>
      <c r="BN493" s="1">
        <v>4363841</v>
      </c>
      <c r="BP493" s="1">
        <v>12248</v>
      </c>
      <c r="BR493" s="1">
        <v>0</v>
      </c>
      <c r="BT493" s="20">
        <f t="shared" si="45"/>
        <v>2151095</v>
      </c>
      <c r="BU493" s="20"/>
      <c r="BV493" s="20">
        <f>BT493-'Gov Fd BS'!AA493</f>
        <v>0</v>
      </c>
    </row>
    <row r="494" spans="1:74">
      <c r="A494" s="12" t="s">
        <v>529</v>
      </c>
      <c r="B494" s="12"/>
      <c r="C494" s="12" t="s">
        <v>55</v>
      </c>
      <c r="D494" s="12"/>
      <c r="E494" s="13">
        <v>49130</v>
      </c>
      <c r="G494" s="1">
        <v>6464623</v>
      </c>
      <c r="I494" s="1">
        <v>2424368</v>
      </c>
      <c r="K494" s="1">
        <v>0</v>
      </c>
      <c r="M494" s="1">
        <v>71885</v>
      </c>
      <c r="O494" s="1">
        <v>742923</v>
      </c>
      <c r="Q494" s="1">
        <v>998972</v>
      </c>
      <c r="S494" s="1">
        <v>15688</v>
      </c>
      <c r="U494" s="1">
        <v>1816130</v>
      </c>
      <c r="W494" s="1">
        <v>324499</v>
      </c>
      <c r="Y494" s="1">
        <v>0</v>
      </c>
      <c r="AA494" s="1">
        <v>1862615</v>
      </c>
      <c r="AC494" s="1">
        <v>1121864</v>
      </c>
      <c r="AE494" s="1">
        <v>112752</v>
      </c>
      <c r="AG494" s="1">
        <v>0</v>
      </c>
      <c r="AI494" s="1">
        <v>627173</v>
      </c>
      <c r="AJ494" s="12" t="s">
        <v>529</v>
      </c>
      <c r="AK494" s="12"/>
      <c r="AL494" s="12" t="s">
        <v>55</v>
      </c>
      <c r="AN494" s="1">
        <v>352377</v>
      </c>
      <c r="AP494" s="1">
        <v>1095840</v>
      </c>
      <c r="AR494" s="1">
        <v>43200</v>
      </c>
      <c r="AT494" s="1">
        <v>50000</v>
      </c>
      <c r="AV494" s="1">
        <v>33150</v>
      </c>
      <c r="AX494" s="1">
        <v>0</v>
      </c>
      <c r="AZ494" s="20">
        <f t="shared" si="47"/>
        <v>18158059</v>
      </c>
      <c r="BB494" s="1">
        <v>51796</v>
      </c>
      <c r="BH494" s="1">
        <v>0</v>
      </c>
      <c r="BJ494" s="20">
        <f t="shared" si="44"/>
        <v>18209855</v>
      </c>
      <c r="BL494" s="20">
        <f>'Gov Fd Rv'!AO494-'Gov Fnd Exp'!BJ494</f>
        <v>-143336</v>
      </c>
      <c r="BN494" s="1">
        <v>7309385</v>
      </c>
      <c r="BP494" s="1">
        <v>0</v>
      </c>
      <c r="BR494" s="1">
        <v>0</v>
      </c>
      <c r="BT494" s="20">
        <f t="shared" si="45"/>
        <v>7166049</v>
      </c>
      <c r="BU494" s="20"/>
      <c r="BV494" s="20">
        <f>BT494-'Gov Fd BS'!AA494</f>
        <v>0</v>
      </c>
    </row>
    <row r="495" spans="1:74">
      <c r="A495" s="12" t="s">
        <v>468</v>
      </c>
      <c r="B495" s="12"/>
      <c r="C495" s="12" t="s">
        <v>45</v>
      </c>
      <c r="D495" s="12"/>
      <c r="E495" s="13">
        <v>48355</v>
      </c>
      <c r="G495" s="1">
        <v>2576473</v>
      </c>
      <c r="I495" s="1">
        <v>2057183</v>
      </c>
      <c r="K495" s="1">
        <v>0</v>
      </c>
      <c r="M495" s="1">
        <v>0</v>
      </c>
      <c r="O495" s="1">
        <v>190398</v>
      </c>
      <c r="Q495" s="1">
        <v>125088</v>
      </c>
      <c r="S495" s="1">
        <v>18002</v>
      </c>
      <c r="U495" s="1">
        <v>684799</v>
      </c>
      <c r="W495" s="1">
        <v>264590</v>
      </c>
      <c r="Y495" s="1">
        <v>0</v>
      </c>
      <c r="AA495" s="1">
        <v>717149</v>
      </c>
      <c r="AC495" s="1">
        <v>139139</v>
      </c>
      <c r="AE495" s="1">
        <v>4200</v>
      </c>
      <c r="AG495" s="1">
        <v>274371</v>
      </c>
      <c r="AI495" s="1">
        <v>0</v>
      </c>
      <c r="AJ495" s="12" t="s">
        <v>468</v>
      </c>
      <c r="AK495" s="12"/>
      <c r="AL495" s="12" t="s">
        <v>45</v>
      </c>
      <c r="AN495" s="1">
        <v>264939</v>
      </c>
      <c r="AP495" s="1">
        <v>8499</v>
      </c>
      <c r="AR495" s="1">
        <v>0</v>
      </c>
      <c r="AT495" s="1">
        <v>70000</v>
      </c>
      <c r="AV495" s="1">
        <v>41106</v>
      </c>
      <c r="AX495" s="1">
        <f>33985+150000</f>
        <v>183985</v>
      </c>
      <c r="AZ495" s="20">
        <f t="shared" si="47"/>
        <v>7619921</v>
      </c>
      <c r="BB495" s="1">
        <v>5575</v>
      </c>
      <c r="BH495" s="1">
        <v>1079579</v>
      </c>
      <c r="BJ495" s="20">
        <f t="shared" si="44"/>
        <v>8705075</v>
      </c>
      <c r="BL495" s="20">
        <f>'Gov Fd Rv'!AO495-'Gov Fnd Exp'!BJ495</f>
        <v>62848</v>
      </c>
      <c r="BN495" s="1">
        <v>824394</v>
      </c>
      <c r="BP495" s="1">
        <v>0</v>
      </c>
      <c r="BR495" s="1">
        <v>0</v>
      </c>
      <c r="BT495" s="20">
        <f t="shared" si="45"/>
        <v>887242</v>
      </c>
      <c r="BU495" s="20"/>
      <c r="BV495" s="20">
        <f>BT495-'Gov Fd BS'!AA495</f>
        <v>0</v>
      </c>
    </row>
    <row r="496" spans="1:74">
      <c r="A496" s="12" t="s">
        <v>567</v>
      </c>
      <c r="B496" s="12"/>
      <c r="C496" s="12" t="s">
        <v>60</v>
      </c>
      <c r="D496" s="12"/>
      <c r="E496" s="13">
        <v>49684</v>
      </c>
      <c r="G496" s="1">
        <v>4412633</v>
      </c>
      <c r="I496" s="1">
        <v>1230839</v>
      </c>
      <c r="K496" s="1">
        <v>200887</v>
      </c>
      <c r="M496" s="1">
        <v>0</v>
      </c>
      <c r="O496" s="1">
        <v>129039</v>
      </c>
      <c r="Q496" s="1">
        <v>277592</v>
      </c>
      <c r="S496" s="1">
        <v>62569</v>
      </c>
      <c r="U496" s="1">
        <v>585102</v>
      </c>
      <c r="W496" s="1">
        <v>240217</v>
      </c>
      <c r="Y496" s="1">
        <v>0</v>
      </c>
      <c r="AA496" s="1">
        <v>600046</v>
      </c>
      <c r="AC496" s="1">
        <v>524819</v>
      </c>
      <c r="AE496" s="1">
        <v>29</v>
      </c>
      <c r="AG496" s="1">
        <v>447672</v>
      </c>
      <c r="AI496" s="1">
        <v>2254</v>
      </c>
      <c r="AJ496" s="12" t="s">
        <v>567</v>
      </c>
      <c r="AK496" s="12"/>
      <c r="AL496" s="12" t="s">
        <v>60</v>
      </c>
      <c r="AN496" s="1">
        <v>322701</v>
      </c>
      <c r="AP496" s="1">
        <f>67696+222624</f>
        <v>290320</v>
      </c>
      <c r="AR496" s="1">
        <v>0</v>
      </c>
      <c r="AT496" s="1">
        <v>320350</v>
      </c>
      <c r="AV496" s="1">
        <v>472348</v>
      </c>
      <c r="AX496" s="1">
        <v>0</v>
      </c>
      <c r="AZ496" s="20">
        <f t="shared" si="47"/>
        <v>10119417</v>
      </c>
      <c r="BB496" s="1">
        <v>214891</v>
      </c>
      <c r="BH496" s="1">
        <v>0</v>
      </c>
      <c r="BJ496" s="20">
        <f t="shared" si="44"/>
        <v>10334308</v>
      </c>
      <c r="BL496" s="20">
        <f>'Gov Fd Rv'!AO496-'Gov Fnd Exp'!BJ496</f>
        <v>1493443</v>
      </c>
      <c r="BN496" s="1">
        <v>1906601</v>
      </c>
      <c r="BP496" s="1">
        <v>0</v>
      </c>
      <c r="BR496" s="1">
        <v>0</v>
      </c>
      <c r="BT496" s="20">
        <f t="shared" si="45"/>
        <v>3400044</v>
      </c>
      <c r="BU496" s="20"/>
      <c r="BV496" s="20">
        <f>BT496-'Gov Fd BS'!AA496</f>
        <v>0</v>
      </c>
    </row>
    <row r="497" spans="1:74">
      <c r="A497" s="12" t="s">
        <v>222</v>
      </c>
      <c r="B497" s="12"/>
      <c r="C497" s="12" t="s">
        <v>15</v>
      </c>
      <c r="D497" s="12"/>
      <c r="E497" s="13">
        <v>46003</v>
      </c>
      <c r="G497" s="20">
        <v>4015383</v>
      </c>
      <c r="H497" s="20"/>
      <c r="I497" s="20">
        <v>729811</v>
      </c>
      <c r="J497" s="20"/>
      <c r="K497" s="20">
        <v>25532</v>
      </c>
      <c r="L497" s="20"/>
      <c r="M497" s="20">
        <v>15062</v>
      </c>
      <c r="N497" s="20"/>
      <c r="O497" s="20">
        <v>258572</v>
      </c>
      <c r="P497" s="20"/>
      <c r="Q497" s="20">
        <v>165680</v>
      </c>
      <c r="R497" s="20"/>
      <c r="S497" s="20">
        <v>37331</v>
      </c>
      <c r="T497" s="20"/>
      <c r="U497" s="20">
        <v>637686</v>
      </c>
      <c r="V497" s="20"/>
      <c r="W497" s="20">
        <v>301593</v>
      </c>
      <c r="X497" s="20"/>
      <c r="Y497" s="20">
        <v>0</v>
      </c>
      <c r="Z497" s="20"/>
      <c r="AA497" s="20">
        <v>690178</v>
      </c>
      <c r="AB497" s="20"/>
      <c r="AC497" s="20">
        <v>235666</v>
      </c>
      <c r="AD497" s="20"/>
      <c r="AE497" s="20">
        <v>0</v>
      </c>
      <c r="AF497" s="20"/>
      <c r="AG497" s="20">
        <v>149947</v>
      </c>
      <c r="AH497" s="20"/>
      <c r="AI497" s="20">
        <v>0</v>
      </c>
      <c r="AJ497" s="12" t="s">
        <v>222</v>
      </c>
      <c r="AK497" s="12"/>
      <c r="AL497" s="12" t="s">
        <v>15</v>
      </c>
      <c r="AM497" s="72"/>
      <c r="AN497" s="20">
        <v>218332</v>
      </c>
      <c r="AO497" s="20"/>
      <c r="AP497" s="20">
        <v>0</v>
      </c>
      <c r="AQ497" s="20"/>
      <c r="AR497" s="20">
        <v>0</v>
      </c>
      <c r="AS497" s="20"/>
      <c r="AT497" s="20">
        <v>10219</v>
      </c>
      <c r="AU497" s="20"/>
      <c r="AV497" s="20">
        <v>2963</v>
      </c>
      <c r="AW497" s="20"/>
      <c r="AX497" s="20">
        <v>0</v>
      </c>
      <c r="AY497" s="20"/>
      <c r="AZ497" s="20">
        <f t="shared" si="47"/>
        <v>7493955</v>
      </c>
      <c r="BA497" s="20"/>
      <c r="BB497" s="20">
        <v>28817</v>
      </c>
      <c r="BC497" s="20"/>
      <c r="BD497" s="20"/>
      <c r="BE497" s="20"/>
      <c r="BF497" s="20"/>
      <c r="BG497" s="20"/>
      <c r="BH497" s="20">
        <v>0</v>
      </c>
      <c r="BI497" s="20"/>
      <c r="BJ497" s="20">
        <f t="shared" ref="BJ497:BJ562" si="48">AZ497+BB497+BH497</f>
        <v>7522772</v>
      </c>
      <c r="BK497" s="20"/>
      <c r="BL497" s="20">
        <f>'Gov Fd Rv'!AO497-'Gov Fnd Exp'!BJ497</f>
        <v>556825</v>
      </c>
      <c r="BM497" s="20"/>
      <c r="BN497" s="20">
        <v>1587103</v>
      </c>
      <c r="BO497" s="20"/>
      <c r="BP497" s="20">
        <v>0</v>
      </c>
      <c r="BQ497" s="20"/>
      <c r="BR497" s="20">
        <v>0</v>
      </c>
      <c r="BS497" s="20"/>
      <c r="BT497" s="20">
        <f t="shared" ref="BT497:BT562" si="49">BL497+BN497+BP497+BR497</f>
        <v>2143928</v>
      </c>
      <c r="BU497" s="72"/>
      <c r="BV497" s="72">
        <f>BT497-'Gov Fd BS'!AA497</f>
        <v>0</v>
      </c>
    </row>
    <row r="498" spans="1:74">
      <c r="A498" s="17" t="s">
        <v>303</v>
      </c>
      <c r="B498" s="12"/>
      <c r="C498" s="12" t="s">
        <v>20</v>
      </c>
      <c r="D498" s="12"/>
      <c r="E498" s="13">
        <v>44750</v>
      </c>
      <c r="G498" s="1">
        <v>36986263</v>
      </c>
      <c r="I498" s="1">
        <v>13431681</v>
      </c>
      <c r="K498" s="1">
        <v>148774</v>
      </c>
      <c r="M498" s="1">
        <v>27498</v>
      </c>
      <c r="O498" s="1">
        <v>6022897</v>
      </c>
      <c r="Q498" s="1">
        <v>7658963</v>
      </c>
      <c r="S498" s="1">
        <v>22044</v>
      </c>
      <c r="U498" s="1">
        <v>6176169</v>
      </c>
      <c r="W498" s="1">
        <v>1798079</v>
      </c>
      <c r="Y498" s="1">
        <v>866581</v>
      </c>
      <c r="AA498" s="1">
        <v>13334421</v>
      </c>
      <c r="AC498" s="1">
        <v>4405761</v>
      </c>
      <c r="AE498" s="1">
        <v>1975604</v>
      </c>
      <c r="AG498" s="1">
        <v>1952226</v>
      </c>
      <c r="AI498" s="1">
        <v>1422655</v>
      </c>
      <c r="AJ498" s="12" t="s">
        <v>303</v>
      </c>
      <c r="AK498" s="12"/>
      <c r="AL498" s="12" t="s">
        <v>20</v>
      </c>
      <c r="AN498" s="1">
        <v>1294898</v>
      </c>
      <c r="AP498" s="1">
        <v>1455100</v>
      </c>
      <c r="AR498" s="1">
        <v>0</v>
      </c>
      <c r="AT498" s="1">
        <v>3080000</v>
      </c>
      <c r="AV498" s="1">
        <v>1114476</v>
      </c>
      <c r="AX498" s="1">
        <v>0</v>
      </c>
      <c r="AZ498" s="20">
        <f t="shared" si="47"/>
        <v>103174090</v>
      </c>
      <c r="BB498" s="1">
        <v>475000</v>
      </c>
      <c r="BH498" s="1">
        <v>0</v>
      </c>
      <c r="BJ498" s="20">
        <f t="shared" si="48"/>
        <v>103649090</v>
      </c>
      <c r="BL498" s="20">
        <f>'Gov Fd Rv'!AO498-'Gov Fnd Exp'!BJ498</f>
        <v>-8158401</v>
      </c>
      <c r="BN498" s="1">
        <v>35874781</v>
      </c>
      <c r="BP498" s="1">
        <v>0</v>
      </c>
      <c r="BR498" s="1">
        <v>0</v>
      </c>
      <c r="BT498" s="20">
        <f t="shared" si="49"/>
        <v>27716380</v>
      </c>
      <c r="BU498" s="20"/>
      <c r="BV498" s="20">
        <f>BT498-'Gov Fd BS'!AA498</f>
        <v>0</v>
      </c>
    </row>
    <row r="499" spans="1:74" hidden="1">
      <c r="A499" s="17" t="s">
        <v>872</v>
      </c>
      <c r="B499" s="17"/>
      <c r="C499" s="17" t="s">
        <v>10</v>
      </c>
      <c r="D499" s="12"/>
      <c r="E499" s="13"/>
      <c r="AJ499" s="17" t="s">
        <v>872</v>
      </c>
      <c r="AK499" s="17"/>
      <c r="AL499" s="17" t="s">
        <v>10</v>
      </c>
      <c r="AZ499" s="20">
        <f t="shared" si="47"/>
        <v>0</v>
      </c>
      <c r="BJ499" s="20">
        <f t="shared" si="48"/>
        <v>0</v>
      </c>
      <c r="BL499" s="20">
        <f>'Gov Fd Rv'!AO499-'Gov Fnd Exp'!BJ499</f>
        <v>0</v>
      </c>
      <c r="BT499" s="20">
        <f t="shared" si="49"/>
        <v>0</v>
      </c>
      <c r="BU499" s="20"/>
      <c r="BV499" s="20">
        <f>BT499-'Gov Fd BS'!AA499</f>
        <v>0</v>
      </c>
    </row>
    <row r="500" spans="1:74">
      <c r="A500" s="12" t="s">
        <v>447</v>
      </c>
      <c r="B500" s="12"/>
      <c r="C500" s="12" t="s">
        <v>44</v>
      </c>
      <c r="D500" s="12"/>
      <c r="E500" s="13">
        <v>44768</v>
      </c>
      <c r="G500" s="1">
        <v>8046594</v>
      </c>
      <c r="I500" s="1">
        <v>2699831</v>
      </c>
      <c r="K500" s="1">
        <v>110535</v>
      </c>
      <c r="M500" s="1">
        <v>9812</v>
      </c>
      <c r="O500" s="1">
        <v>1084373</v>
      </c>
      <c r="Q500" s="1">
        <v>763013</v>
      </c>
      <c r="S500" s="1">
        <v>34016</v>
      </c>
      <c r="U500" s="1">
        <v>1561146</v>
      </c>
      <c r="W500" s="1">
        <v>579509</v>
      </c>
      <c r="Y500" s="1">
        <v>195896</v>
      </c>
      <c r="AA500" s="1">
        <v>1553103</v>
      </c>
      <c r="AC500" s="1">
        <v>1114508</v>
      </c>
      <c r="AE500" s="1">
        <v>712496</v>
      </c>
      <c r="AG500" s="1">
        <v>618933</v>
      </c>
      <c r="AI500" s="1">
        <v>20368</v>
      </c>
      <c r="AJ500" s="12" t="s">
        <v>447</v>
      </c>
      <c r="AK500" s="12"/>
      <c r="AL500" s="12" t="s">
        <v>44</v>
      </c>
      <c r="AN500" s="1">
        <v>499998</v>
      </c>
      <c r="AP500" s="1">
        <v>547391</v>
      </c>
      <c r="AR500" s="1">
        <v>0</v>
      </c>
      <c r="AT500" s="1">
        <v>0</v>
      </c>
      <c r="AV500" s="1">
        <v>0</v>
      </c>
      <c r="AX500" s="1">
        <v>0</v>
      </c>
      <c r="AZ500" s="20">
        <f t="shared" si="47"/>
        <v>20151522</v>
      </c>
      <c r="BB500" s="1">
        <v>62708</v>
      </c>
      <c r="BH500" s="1">
        <v>0</v>
      </c>
      <c r="BJ500" s="20">
        <f t="shared" si="48"/>
        <v>20214230</v>
      </c>
      <c r="BL500" s="20">
        <f>'Gov Fd Rv'!AO500-'Gov Fnd Exp'!BJ500</f>
        <v>1563610</v>
      </c>
      <c r="BN500" s="1">
        <v>9369080</v>
      </c>
      <c r="BP500" s="1">
        <v>0</v>
      </c>
      <c r="BR500" s="1">
        <v>0</v>
      </c>
      <c r="BT500" s="20">
        <f t="shared" si="49"/>
        <v>10932690</v>
      </c>
      <c r="BU500" s="20"/>
      <c r="BV500" s="20">
        <f>BT500-'Gov Fd BS'!AA500</f>
        <v>0</v>
      </c>
    </row>
    <row r="501" spans="1:74">
      <c r="A501" s="12" t="s">
        <v>548</v>
      </c>
      <c r="B501" s="12"/>
      <c r="C501" s="12" t="s">
        <v>112</v>
      </c>
      <c r="D501" s="12"/>
      <c r="E501" s="13">
        <v>44776</v>
      </c>
      <c r="G501" s="1">
        <v>8726651</v>
      </c>
      <c r="I501" s="1">
        <v>2422220</v>
      </c>
      <c r="K501" s="1">
        <v>199600</v>
      </c>
      <c r="M501" s="1">
        <v>17352</v>
      </c>
      <c r="O501" s="1">
        <v>832970</v>
      </c>
      <c r="Q501" s="1">
        <v>1635732</v>
      </c>
      <c r="S501" s="1">
        <v>42287</v>
      </c>
      <c r="U501" s="1">
        <v>1360424</v>
      </c>
      <c r="W501" s="1">
        <v>683927</v>
      </c>
      <c r="Y501" s="1">
        <v>0</v>
      </c>
      <c r="AA501" s="1">
        <v>1912689</v>
      </c>
      <c r="AC501" s="1">
        <v>832639</v>
      </c>
      <c r="AE501" s="1">
        <v>104634</v>
      </c>
      <c r="AG501" s="1">
        <v>1028588</v>
      </c>
      <c r="AI501" s="1">
        <v>144338</v>
      </c>
      <c r="AJ501" s="12" t="s">
        <v>548</v>
      </c>
      <c r="AK501" s="12"/>
      <c r="AL501" s="12" t="s">
        <v>112</v>
      </c>
      <c r="AN501" s="1">
        <v>573998</v>
      </c>
      <c r="AP501" s="1">
        <v>120613</v>
      </c>
      <c r="AR501" s="1">
        <v>0</v>
      </c>
      <c r="AT501" s="1">
        <v>145890</v>
      </c>
      <c r="AV501" s="1">
        <v>48966</v>
      </c>
      <c r="AX501" s="1">
        <v>0</v>
      </c>
      <c r="AZ501" s="20">
        <f t="shared" si="47"/>
        <v>20833518</v>
      </c>
      <c r="BB501" s="1">
        <v>0</v>
      </c>
      <c r="BH501" s="1">
        <v>0</v>
      </c>
      <c r="BJ501" s="20">
        <f t="shared" si="48"/>
        <v>20833518</v>
      </c>
      <c r="BL501" s="20">
        <f>'Gov Fd Rv'!AO501-'Gov Fnd Exp'!BJ501</f>
        <v>1125686</v>
      </c>
      <c r="BN501" s="1">
        <v>3981795</v>
      </c>
      <c r="BP501" s="1">
        <v>0</v>
      </c>
      <c r="BR501" s="1">
        <v>0</v>
      </c>
      <c r="BT501" s="20">
        <f t="shared" si="49"/>
        <v>5107481</v>
      </c>
      <c r="BU501" s="20"/>
      <c r="BV501" s="20">
        <f>BT501-'Gov Fd BS'!AA501</f>
        <v>0</v>
      </c>
    </row>
    <row r="502" spans="1:74">
      <c r="A502" s="17" t="s">
        <v>571</v>
      </c>
      <c r="B502" s="12"/>
      <c r="C502" s="12" t="s">
        <v>61</v>
      </c>
      <c r="D502" s="12"/>
      <c r="E502" s="13">
        <v>44784</v>
      </c>
      <c r="G502" s="1">
        <v>16911401</v>
      </c>
      <c r="I502" s="1">
        <v>4547227</v>
      </c>
      <c r="K502" s="1">
        <v>101606</v>
      </c>
      <c r="M502" s="1">
        <v>0</v>
      </c>
      <c r="O502" s="1">
        <v>1954452</v>
      </c>
      <c r="Q502" s="1">
        <v>1974684</v>
      </c>
      <c r="S502" s="1">
        <v>14471</v>
      </c>
      <c r="U502" s="1">
        <v>2788671</v>
      </c>
      <c r="W502" s="1">
        <v>783060</v>
      </c>
      <c r="Y502" s="1">
        <v>72222</v>
      </c>
      <c r="AA502" s="1">
        <v>2879306</v>
      </c>
      <c r="AC502" s="1">
        <v>915301</v>
      </c>
      <c r="AE502" s="1">
        <v>838886</v>
      </c>
      <c r="AG502" s="1">
        <v>0</v>
      </c>
      <c r="AI502" s="1">
        <v>2068842</v>
      </c>
      <c r="AJ502" s="12" t="s">
        <v>571</v>
      </c>
      <c r="AK502" s="12"/>
      <c r="AL502" s="12" t="s">
        <v>61</v>
      </c>
      <c r="AN502" s="1">
        <v>588247</v>
      </c>
      <c r="AP502" s="1">
        <v>92255</v>
      </c>
      <c r="AR502" s="1">
        <v>0</v>
      </c>
      <c r="AT502" s="1">
        <f>603690+2183000</f>
        <v>2786690</v>
      </c>
      <c r="AV502" s="1">
        <v>1010677</v>
      </c>
      <c r="AX502" s="1">
        <v>0</v>
      </c>
      <c r="AZ502" s="20">
        <f t="shared" si="47"/>
        <v>40327998</v>
      </c>
      <c r="BB502" s="1">
        <v>598274</v>
      </c>
      <c r="BH502" s="1">
        <v>0</v>
      </c>
      <c r="BJ502" s="20">
        <f t="shared" si="48"/>
        <v>40926272</v>
      </c>
      <c r="BL502" s="20">
        <f>'Gov Fd Rv'!AO502-'Gov Fnd Exp'!BJ502</f>
        <v>2669304</v>
      </c>
      <c r="BN502" s="1">
        <v>801556</v>
      </c>
      <c r="BP502" s="1">
        <v>0</v>
      </c>
      <c r="BR502" s="1">
        <v>0</v>
      </c>
      <c r="BT502" s="20">
        <f t="shared" si="49"/>
        <v>3470860</v>
      </c>
      <c r="BU502" s="20"/>
      <c r="BV502" s="20">
        <f>BT502-'Gov Fd BS'!AA502</f>
        <v>0</v>
      </c>
    </row>
    <row r="503" spans="1:74">
      <c r="A503" s="12" t="s">
        <v>304</v>
      </c>
      <c r="B503" s="12"/>
      <c r="C503" s="12" t="s">
        <v>20</v>
      </c>
      <c r="D503" s="12"/>
      <c r="E503" s="13">
        <v>46607</v>
      </c>
      <c r="G503" s="1">
        <v>33438684</v>
      </c>
      <c r="I503" s="1">
        <v>7690473</v>
      </c>
      <c r="K503" s="1">
        <v>568269</v>
      </c>
      <c r="M503" s="1">
        <v>599515</v>
      </c>
      <c r="O503" s="1">
        <v>4346037</v>
      </c>
      <c r="Q503" s="1">
        <v>1727495</v>
      </c>
      <c r="S503" s="1">
        <v>49986</v>
      </c>
      <c r="U503" s="1">
        <v>3606576</v>
      </c>
      <c r="W503" s="1">
        <v>1690979</v>
      </c>
      <c r="Y503" s="1">
        <v>1183297</v>
      </c>
      <c r="AA503" s="1">
        <v>6880918</v>
      </c>
      <c r="AC503" s="1">
        <v>3053913</v>
      </c>
      <c r="AE503" s="1">
        <v>1131553</v>
      </c>
      <c r="AG503" s="1">
        <v>0</v>
      </c>
      <c r="AI503" s="1">
        <v>354089</v>
      </c>
      <c r="AJ503" s="12" t="s">
        <v>304</v>
      </c>
      <c r="AK503" s="12"/>
      <c r="AL503" s="12" t="s">
        <v>20</v>
      </c>
      <c r="AN503" s="1">
        <v>1615016</v>
      </c>
      <c r="AP503" s="1">
        <v>1527763</v>
      </c>
      <c r="AR503" s="1">
        <v>0</v>
      </c>
      <c r="AT503" s="1">
        <v>2360000</v>
      </c>
      <c r="AV503" s="1">
        <v>870104</v>
      </c>
      <c r="AX503" s="1">
        <v>106013</v>
      </c>
      <c r="AZ503" s="20">
        <f t="shared" si="47"/>
        <v>72800680</v>
      </c>
      <c r="BB503" s="1">
        <v>22000</v>
      </c>
      <c r="BH503" s="1">
        <v>4394045</v>
      </c>
      <c r="BJ503" s="20">
        <f t="shared" si="48"/>
        <v>77216725</v>
      </c>
      <c r="BL503" s="20">
        <f>'Gov Fd Rv'!AO503-'Gov Fnd Exp'!BJ503</f>
        <v>-2071555</v>
      </c>
      <c r="BN503" s="1">
        <v>21250051</v>
      </c>
      <c r="BP503" s="1">
        <v>0</v>
      </c>
      <c r="BR503" s="1">
        <v>0</v>
      </c>
      <c r="BT503" s="20">
        <f t="shared" si="49"/>
        <v>19178496</v>
      </c>
      <c r="BU503" s="20"/>
      <c r="BV503" s="20">
        <f>BT503-'Gov Fd BS'!AA503</f>
        <v>0</v>
      </c>
    </row>
    <row r="504" spans="1:74">
      <c r="A504" s="12" t="s">
        <v>767</v>
      </c>
      <c r="B504" s="12"/>
      <c r="C504" s="12" t="s">
        <v>37</v>
      </c>
      <c r="D504" s="12"/>
      <c r="E504" s="12"/>
      <c r="G504" s="1">
        <v>3760157</v>
      </c>
      <c r="I504" s="1">
        <v>584768</v>
      </c>
      <c r="K504" s="1">
        <v>173716</v>
      </c>
      <c r="M504" s="1">
        <v>617410</v>
      </c>
      <c r="O504" s="1">
        <v>231059</v>
      </c>
      <c r="Q504" s="1">
        <v>370944</v>
      </c>
      <c r="S504" s="1">
        <v>34467</v>
      </c>
      <c r="U504" s="1">
        <v>966244</v>
      </c>
      <c r="W504" s="1">
        <v>258261</v>
      </c>
      <c r="Y504" s="1">
        <v>0</v>
      </c>
      <c r="AA504" s="1">
        <v>1017647</v>
      </c>
      <c r="AC504" s="1">
        <v>623597</v>
      </c>
      <c r="AE504" s="1">
        <v>0</v>
      </c>
      <c r="AG504" s="1">
        <v>390248</v>
      </c>
      <c r="AI504" s="1">
        <v>10000</v>
      </c>
      <c r="AJ504" s="12" t="s">
        <v>767</v>
      </c>
      <c r="AK504" s="12"/>
      <c r="AL504" s="12" t="s">
        <v>37</v>
      </c>
      <c r="AN504" s="1">
        <v>294133</v>
      </c>
      <c r="AP504" s="1">
        <v>18267</v>
      </c>
      <c r="AR504" s="1">
        <v>0</v>
      </c>
      <c r="AT504" s="1">
        <v>145938</v>
      </c>
      <c r="AV504" s="1">
        <v>27239</v>
      </c>
      <c r="AX504" s="1">
        <v>0</v>
      </c>
      <c r="AZ504" s="20">
        <f t="shared" si="47"/>
        <v>9524095</v>
      </c>
      <c r="BB504" s="1">
        <v>1140</v>
      </c>
      <c r="BH504" s="1">
        <v>0</v>
      </c>
      <c r="BJ504" s="20">
        <f t="shared" si="48"/>
        <v>9525235</v>
      </c>
      <c r="BL504" s="20">
        <f>'Gov Fd Rv'!AO504-'Gov Fnd Exp'!BJ504</f>
        <v>-590302</v>
      </c>
      <c r="BN504" s="1">
        <v>3790045</v>
      </c>
      <c r="BP504" s="1">
        <v>0</v>
      </c>
      <c r="BR504" s="1">
        <v>0</v>
      </c>
      <c r="BT504" s="20">
        <f t="shared" si="49"/>
        <v>3199743</v>
      </c>
      <c r="BU504" s="20"/>
      <c r="BV504" s="20">
        <f>BT504-'Gov Fd BS'!AA504</f>
        <v>0</v>
      </c>
    </row>
    <row r="505" spans="1:74">
      <c r="A505" s="12" t="s">
        <v>305</v>
      </c>
      <c r="B505" s="12"/>
      <c r="C505" s="12" t="s">
        <v>20</v>
      </c>
      <c r="D505" s="12"/>
      <c r="E505" s="13">
        <v>44792</v>
      </c>
      <c r="G505" s="1">
        <v>24026384</v>
      </c>
      <c r="I505" s="1">
        <v>8969916</v>
      </c>
      <c r="K505" s="1">
        <v>2077415</v>
      </c>
      <c r="M505" s="1">
        <v>0</v>
      </c>
      <c r="O505" s="1">
        <v>3801289</v>
      </c>
      <c r="Q505" s="1">
        <v>1437710</v>
      </c>
      <c r="S505" s="1">
        <v>211177</v>
      </c>
      <c r="U505" s="1">
        <v>3645107</v>
      </c>
      <c r="W505" s="1">
        <v>1760143</v>
      </c>
      <c r="Y505" s="1">
        <v>311723</v>
      </c>
      <c r="AA505" s="1">
        <v>6733067</v>
      </c>
      <c r="AC505" s="1">
        <v>3172160</v>
      </c>
      <c r="AE505" s="1">
        <v>1133235</v>
      </c>
      <c r="AG505" s="1">
        <v>1866830</v>
      </c>
      <c r="AI505" s="1">
        <v>1163631</v>
      </c>
      <c r="AJ505" s="12" t="s">
        <v>305</v>
      </c>
      <c r="AK505" s="12"/>
      <c r="AL505" s="12" t="s">
        <v>20</v>
      </c>
      <c r="AN505" s="1">
        <v>1207986</v>
      </c>
      <c r="AP505" s="1">
        <v>1059755</v>
      </c>
      <c r="AR505" s="1">
        <v>0</v>
      </c>
      <c r="AT505" s="1">
        <f>620000+250000</f>
        <v>870000</v>
      </c>
      <c r="AV505" s="1">
        <v>674844</v>
      </c>
      <c r="AX505" s="1">
        <v>75000</v>
      </c>
      <c r="AZ505" s="20">
        <f t="shared" si="47"/>
        <v>64197372</v>
      </c>
      <c r="BB505" s="1">
        <v>705206</v>
      </c>
      <c r="BH505" s="1">
        <v>250000</v>
      </c>
      <c r="BJ505" s="20">
        <f t="shared" si="48"/>
        <v>65152578</v>
      </c>
      <c r="BL505" s="20">
        <f>'Gov Fd Rv'!AO505-'Gov Fnd Exp'!BJ505</f>
        <v>2062503</v>
      </c>
      <c r="BN505" s="1">
        <v>3162302</v>
      </c>
      <c r="BP505" s="1">
        <v>0</v>
      </c>
      <c r="BR505" s="1">
        <v>0</v>
      </c>
      <c r="BT505" s="20">
        <f t="shared" si="49"/>
        <v>5224805</v>
      </c>
      <c r="BU505" s="20"/>
      <c r="BV505" s="20">
        <f>BT505-'Gov Fd BS'!AA505</f>
        <v>0</v>
      </c>
    </row>
    <row r="506" spans="1:74">
      <c r="A506" s="12" t="s">
        <v>425</v>
      </c>
      <c r="B506" s="12"/>
      <c r="C506" s="12" t="s">
        <v>420</v>
      </c>
      <c r="D506" s="12"/>
      <c r="E506" s="13">
        <v>47951</v>
      </c>
      <c r="G506" s="1">
        <v>8484512</v>
      </c>
      <c r="I506" s="1">
        <v>2275418</v>
      </c>
      <c r="K506" s="1">
        <v>249379</v>
      </c>
      <c r="M506" s="1">
        <f>119046+11331</f>
        <v>130377</v>
      </c>
      <c r="O506" s="1">
        <v>694893</v>
      </c>
      <c r="Q506" s="1">
        <v>1082159</v>
      </c>
      <c r="S506" s="1">
        <v>111941</v>
      </c>
      <c r="U506" s="1">
        <v>1340196</v>
      </c>
      <c r="W506" s="1">
        <v>398310</v>
      </c>
      <c r="Y506" s="1">
        <v>0</v>
      </c>
      <c r="AA506" s="1">
        <v>1706854</v>
      </c>
      <c r="AC506" s="1">
        <v>893948</v>
      </c>
      <c r="AE506" s="1">
        <v>71415</v>
      </c>
      <c r="AG506" s="1">
        <v>858984</v>
      </c>
      <c r="AI506" s="1">
        <v>0</v>
      </c>
      <c r="AJ506" s="12" t="s">
        <v>425</v>
      </c>
      <c r="AK506" s="12"/>
      <c r="AL506" s="12" t="s">
        <v>420</v>
      </c>
      <c r="AN506" s="1">
        <v>316419</v>
      </c>
      <c r="AP506" s="1">
        <v>3585433</v>
      </c>
      <c r="AR506" s="1">
        <v>0</v>
      </c>
      <c r="AT506" s="1">
        <v>583342</v>
      </c>
      <c r="AV506" s="1">
        <v>470444</v>
      </c>
      <c r="AX506" s="1">
        <v>0</v>
      </c>
      <c r="AZ506" s="20">
        <f t="shared" si="47"/>
        <v>23254024</v>
      </c>
      <c r="BB506" s="1">
        <v>535999</v>
      </c>
      <c r="BH506" s="1">
        <v>0</v>
      </c>
      <c r="BJ506" s="20">
        <f t="shared" si="48"/>
        <v>23790023</v>
      </c>
      <c r="BL506" s="20">
        <f>'Gov Fd Rv'!AO506-'Gov Fnd Exp'!BJ506</f>
        <v>-2254718</v>
      </c>
      <c r="BN506" s="1">
        <v>9388407</v>
      </c>
      <c r="BP506" s="1">
        <v>0</v>
      </c>
      <c r="BR506" s="1">
        <v>0</v>
      </c>
      <c r="BT506" s="20">
        <f t="shared" si="49"/>
        <v>7133689</v>
      </c>
      <c r="BU506" s="20"/>
      <c r="BV506" s="20">
        <f>BT506-'Gov Fd BS'!AA506</f>
        <v>0</v>
      </c>
    </row>
    <row r="507" spans="1:74">
      <c r="A507" s="12"/>
      <c r="B507" s="12"/>
      <c r="C507" s="12"/>
      <c r="D507" s="12"/>
      <c r="E507" s="13"/>
      <c r="AJ507" s="12"/>
      <c r="AK507" s="12"/>
      <c r="AL507" s="12"/>
      <c r="AZ507" s="20"/>
      <c r="BJ507" s="20"/>
      <c r="BL507" s="20"/>
      <c r="BT507" s="20"/>
      <c r="BU507" s="20"/>
      <c r="BV507" s="20"/>
    </row>
    <row r="508" spans="1:74">
      <c r="A508" s="12"/>
      <c r="B508" s="12"/>
      <c r="C508" s="12"/>
      <c r="D508" s="12"/>
      <c r="E508" s="13"/>
      <c r="AI508" s="20" t="s">
        <v>709</v>
      </c>
      <c r="AJ508" s="12"/>
      <c r="AK508" s="12"/>
      <c r="AL508" s="12"/>
      <c r="AZ508" s="20"/>
      <c r="BJ508" s="20"/>
      <c r="BL508" s="20"/>
      <c r="BT508" s="20" t="s">
        <v>709</v>
      </c>
      <c r="BU508" s="20"/>
      <c r="BV508" s="20"/>
    </row>
    <row r="509" spans="1:74">
      <c r="A509" s="12"/>
      <c r="B509" s="12"/>
      <c r="C509" s="12"/>
      <c r="D509" s="12"/>
      <c r="E509" s="13"/>
      <c r="AJ509" s="12"/>
      <c r="AK509" s="12"/>
      <c r="AL509" s="12"/>
      <c r="AZ509" s="20"/>
      <c r="BJ509" s="20"/>
      <c r="BL509" s="20"/>
      <c r="BT509" s="20"/>
      <c r="BU509" s="20"/>
      <c r="BV509" s="20"/>
    </row>
    <row r="510" spans="1:74">
      <c r="A510" s="12" t="s">
        <v>469</v>
      </c>
      <c r="B510" s="12"/>
      <c r="C510" s="12" t="s">
        <v>45</v>
      </c>
      <c r="D510" s="12"/>
      <c r="E510" s="13">
        <v>48363</v>
      </c>
      <c r="G510" s="16">
        <v>5612256</v>
      </c>
      <c r="H510" s="16"/>
      <c r="I510" s="16">
        <v>1111845</v>
      </c>
      <c r="J510" s="16"/>
      <c r="K510" s="16">
        <v>174971</v>
      </c>
      <c r="L510" s="16"/>
      <c r="M510" s="16">
        <v>226149</v>
      </c>
      <c r="N510" s="16"/>
      <c r="O510" s="16">
        <v>336152</v>
      </c>
      <c r="P510" s="16"/>
      <c r="Q510" s="16">
        <v>665777</v>
      </c>
      <c r="R510" s="16"/>
      <c r="S510" s="16">
        <v>63718</v>
      </c>
      <c r="T510" s="16"/>
      <c r="U510" s="16">
        <v>946259</v>
      </c>
      <c r="V510" s="16"/>
      <c r="W510" s="16">
        <v>424414</v>
      </c>
      <c r="X510" s="16"/>
      <c r="Y510" s="16">
        <v>0</v>
      </c>
      <c r="Z510" s="16"/>
      <c r="AA510" s="16">
        <v>956947</v>
      </c>
      <c r="AB510" s="16"/>
      <c r="AC510" s="16">
        <v>923412</v>
      </c>
      <c r="AD510" s="16"/>
      <c r="AE510" s="16">
        <v>77437</v>
      </c>
      <c r="AF510" s="16"/>
      <c r="AG510" s="16">
        <v>367435</v>
      </c>
      <c r="AH510" s="16"/>
      <c r="AI510" s="16">
        <v>1516</v>
      </c>
      <c r="AJ510" s="12" t="s">
        <v>469</v>
      </c>
      <c r="AK510" s="12"/>
      <c r="AL510" s="12" t="s">
        <v>45</v>
      </c>
      <c r="AN510" s="16">
        <v>458356</v>
      </c>
      <c r="AO510" s="16"/>
      <c r="AP510" s="16">
        <v>21245380</v>
      </c>
      <c r="AQ510" s="16"/>
      <c r="AR510" s="16">
        <v>0</v>
      </c>
      <c r="AS510" s="16"/>
      <c r="AT510" s="16">
        <v>470000</v>
      </c>
      <c r="AU510" s="16"/>
      <c r="AV510" s="16">
        <v>831074</v>
      </c>
      <c r="AW510" s="16"/>
      <c r="AX510" s="16">
        <v>0</v>
      </c>
      <c r="AY510" s="16"/>
      <c r="AZ510" s="72">
        <f t="shared" si="47"/>
        <v>34893098</v>
      </c>
      <c r="BA510" s="16"/>
      <c r="BB510" s="16">
        <v>504395</v>
      </c>
      <c r="BC510" s="16"/>
      <c r="BD510" s="16"/>
      <c r="BE510" s="16"/>
      <c r="BF510" s="16"/>
      <c r="BG510" s="16"/>
      <c r="BH510" s="16">
        <v>0</v>
      </c>
      <c r="BI510" s="16"/>
      <c r="BJ510" s="72">
        <f t="shared" si="48"/>
        <v>35397493</v>
      </c>
      <c r="BK510" s="16"/>
      <c r="BL510" s="72">
        <f>'Gov Fd Rv'!AO510-'Gov Fnd Exp'!BJ510</f>
        <v>-18534621</v>
      </c>
      <c r="BM510" s="16"/>
      <c r="BN510" s="16">
        <v>33454953</v>
      </c>
      <c r="BO510" s="16"/>
      <c r="BP510" s="16">
        <v>0</v>
      </c>
      <c r="BQ510" s="16"/>
      <c r="BR510" s="16">
        <v>0</v>
      </c>
      <c r="BS510" s="16"/>
      <c r="BT510" s="72">
        <f t="shared" si="49"/>
        <v>14920332</v>
      </c>
      <c r="BU510" s="20"/>
      <c r="BV510" s="20">
        <f>BT510-'Gov Fd BS'!AA510</f>
        <v>0</v>
      </c>
    </row>
    <row r="511" spans="1:74">
      <c r="A511" s="12" t="s">
        <v>537</v>
      </c>
      <c r="B511" s="12"/>
      <c r="C511" s="12" t="s">
        <v>56</v>
      </c>
      <c r="D511" s="12"/>
      <c r="E511" s="13">
        <v>49221</v>
      </c>
      <c r="G511" s="1">
        <v>7360499</v>
      </c>
      <c r="I511" s="1">
        <v>2181293</v>
      </c>
      <c r="K511" s="1">
        <v>102120</v>
      </c>
      <c r="M511" s="1">
        <f>35230+975207</f>
        <v>1010437</v>
      </c>
      <c r="O511" s="1">
        <v>1516514</v>
      </c>
      <c r="Q511" s="1">
        <v>511304</v>
      </c>
      <c r="S511" s="1">
        <v>32832</v>
      </c>
      <c r="U511" s="1">
        <v>1381856</v>
      </c>
      <c r="W511" s="1">
        <v>419559</v>
      </c>
      <c r="Y511" s="1">
        <v>162408</v>
      </c>
      <c r="AA511" s="1">
        <v>1306904</v>
      </c>
      <c r="AC511" s="1">
        <v>1521054</v>
      </c>
      <c r="AE511" s="1">
        <v>94207</v>
      </c>
      <c r="AG511" s="1">
        <v>675974</v>
      </c>
      <c r="AI511" s="1">
        <v>0</v>
      </c>
      <c r="AJ511" s="12" t="s">
        <v>537</v>
      </c>
      <c r="AK511" s="12"/>
      <c r="AL511" s="12" t="s">
        <v>56</v>
      </c>
      <c r="AN511" s="1">
        <v>522304</v>
      </c>
      <c r="AP511" s="1">
        <v>0</v>
      </c>
      <c r="AR511" s="1">
        <v>0</v>
      </c>
      <c r="AT511" s="1">
        <v>148663</v>
      </c>
      <c r="AV511" s="1">
        <v>414832</v>
      </c>
      <c r="AX511" s="1">
        <v>0</v>
      </c>
      <c r="AZ511" s="20">
        <f t="shared" si="47"/>
        <v>19362760</v>
      </c>
      <c r="BB511" s="1">
        <v>0</v>
      </c>
      <c r="BH511" s="1">
        <v>0</v>
      </c>
      <c r="BJ511" s="20">
        <f t="shared" si="48"/>
        <v>19362760</v>
      </c>
      <c r="BL511" s="20">
        <f>'Gov Fd Rv'!AO511-'Gov Fnd Exp'!BJ511</f>
        <v>2593083</v>
      </c>
      <c r="BN511" s="1">
        <v>4903210</v>
      </c>
      <c r="BP511" s="1">
        <v>0</v>
      </c>
      <c r="BR511" s="1">
        <v>0</v>
      </c>
      <c r="BT511" s="20">
        <f t="shared" si="49"/>
        <v>7496293</v>
      </c>
      <c r="BU511" s="20"/>
      <c r="BV511" s="20">
        <f>BT511-'Gov Fd BS'!AA511</f>
        <v>0</v>
      </c>
    </row>
    <row r="512" spans="1:74" s="16" customFormat="1">
      <c r="A512" s="14" t="s">
        <v>537</v>
      </c>
      <c r="B512" s="14"/>
      <c r="C512" s="14" t="s">
        <v>71</v>
      </c>
      <c r="D512" s="14"/>
      <c r="E512" s="14">
        <v>50583</v>
      </c>
      <c r="G512" s="1">
        <v>6815466</v>
      </c>
      <c r="H512" s="1"/>
      <c r="I512" s="1">
        <v>2892681</v>
      </c>
      <c r="J512" s="1"/>
      <c r="K512" s="1">
        <v>333608</v>
      </c>
      <c r="L512" s="1"/>
      <c r="M512" s="1">
        <f>12199+431040</f>
        <v>443239</v>
      </c>
      <c r="N512" s="1"/>
      <c r="O512" s="1">
        <v>807704</v>
      </c>
      <c r="P512" s="1"/>
      <c r="Q512" s="1">
        <v>445869</v>
      </c>
      <c r="R512" s="1"/>
      <c r="S512" s="1">
        <v>33245</v>
      </c>
      <c r="T512" s="1"/>
      <c r="U512" s="1">
        <v>1766040</v>
      </c>
      <c r="V512" s="1"/>
      <c r="W512" s="1">
        <v>333775</v>
      </c>
      <c r="X512" s="1"/>
      <c r="Y512" s="1">
        <v>0</v>
      </c>
      <c r="Z512" s="1"/>
      <c r="AA512" s="1">
        <v>1166295</v>
      </c>
      <c r="AB512" s="1"/>
      <c r="AC512" s="1">
        <v>1058174</v>
      </c>
      <c r="AD512" s="1"/>
      <c r="AE512" s="1">
        <v>254886</v>
      </c>
      <c r="AF512" s="1"/>
      <c r="AG512" s="1">
        <v>0</v>
      </c>
      <c r="AH512" s="1"/>
      <c r="AI512" s="1">
        <v>756987</v>
      </c>
      <c r="AJ512" s="14" t="s">
        <v>537</v>
      </c>
      <c r="AK512" s="14"/>
      <c r="AL512" s="14" t="s">
        <v>71</v>
      </c>
      <c r="AN512" s="1">
        <v>476017</v>
      </c>
      <c r="AO512" s="1"/>
      <c r="AP512" s="1">
        <v>132053</v>
      </c>
      <c r="AQ512" s="1"/>
      <c r="AR512" s="1">
        <v>0</v>
      </c>
      <c r="AS512" s="1"/>
      <c r="AT512" s="1">
        <v>51692</v>
      </c>
      <c r="AU512" s="1"/>
      <c r="AV512" s="1">
        <v>9322</v>
      </c>
      <c r="AW512" s="1"/>
      <c r="AX512" s="1">
        <v>0</v>
      </c>
      <c r="AY512" s="1"/>
      <c r="AZ512" s="20">
        <f t="shared" si="47"/>
        <v>17777053</v>
      </c>
      <c r="BA512" s="1"/>
      <c r="BB512" s="1">
        <v>0</v>
      </c>
      <c r="BC512" s="1"/>
      <c r="BD512" s="1"/>
      <c r="BE512" s="1"/>
      <c r="BF512" s="1"/>
      <c r="BG512" s="1"/>
      <c r="BH512" s="1">
        <v>0</v>
      </c>
      <c r="BI512" s="1"/>
      <c r="BJ512" s="20">
        <f t="shared" si="48"/>
        <v>17777053</v>
      </c>
      <c r="BK512" s="1"/>
      <c r="BL512" s="20">
        <f>'Gov Fd Rv'!AO512-'Gov Fnd Exp'!BJ512</f>
        <v>-468050</v>
      </c>
      <c r="BM512" s="1"/>
      <c r="BN512" s="1">
        <v>915318</v>
      </c>
      <c r="BO512" s="1"/>
      <c r="BP512" s="1">
        <v>0</v>
      </c>
      <c r="BQ512" s="1"/>
      <c r="BR512" s="1">
        <v>0</v>
      </c>
      <c r="BS512" s="1"/>
      <c r="BT512" s="20">
        <f t="shared" si="49"/>
        <v>447268</v>
      </c>
      <c r="BU512" s="20"/>
      <c r="BV512" s="20">
        <f>BT512-'Gov Fd BS'!AA512</f>
        <v>0</v>
      </c>
    </row>
    <row r="513" spans="1:74">
      <c r="A513" s="12" t="s">
        <v>249</v>
      </c>
      <c r="B513" s="12"/>
      <c r="C513" s="12" t="s">
        <v>17</v>
      </c>
      <c r="D513" s="12"/>
      <c r="E513" s="13">
        <v>46276</v>
      </c>
      <c r="G513" s="1">
        <v>3574162</v>
      </c>
      <c r="I513" s="1">
        <v>1001350</v>
      </c>
      <c r="K513" s="1">
        <v>216603</v>
      </c>
      <c r="M513" s="1">
        <v>19583</v>
      </c>
      <c r="O513" s="1">
        <v>373632</v>
      </c>
      <c r="Q513" s="1">
        <v>301097</v>
      </c>
      <c r="S513" s="1">
        <v>46015</v>
      </c>
      <c r="U513" s="1">
        <v>611029</v>
      </c>
      <c r="W513" s="1">
        <v>291473</v>
      </c>
      <c r="Y513" s="1">
        <v>0</v>
      </c>
      <c r="AA513" s="1">
        <v>540781</v>
      </c>
      <c r="AC513" s="1">
        <v>1068593</v>
      </c>
      <c r="AE513" s="1">
        <v>515247</v>
      </c>
      <c r="AG513" s="1">
        <v>0</v>
      </c>
      <c r="AI513" s="1">
        <v>232551</v>
      </c>
      <c r="AJ513" s="12" t="s">
        <v>249</v>
      </c>
      <c r="AK513" s="12"/>
      <c r="AL513" s="12" t="s">
        <v>17</v>
      </c>
      <c r="AN513" s="1">
        <v>324425</v>
      </c>
      <c r="AP513" s="1">
        <v>3000</v>
      </c>
      <c r="AR513" s="1">
        <v>0</v>
      </c>
      <c r="AT513" s="1">
        <v>93475</v>
      </c>
      <c r="AV513" s="1">
        <v>26076</v>
      </c>
      <c r="AX513" s="1">
        <v>0</v>
      </c>
      <c r="AZ513" s="20">
        <f t="shared" si="47"/>
        <v>9239092</v>
      </c>
      <c r="BB513" s="1">
        <v>0</v>
      </c>
      <c r="BH513" s="1">
        <v>0</v>
      </c>
      <c r="BJ513" s="20">
        <f t="shared" si="48"/>
        <v>9239092</v>
      </c>
      <c r="BL513" s="20">
        <f>'Gov Fd Rv'!AO513-'Gov Fnd Exp'!BJ513</f>
        <v>343355</v>
      </c>
      <c r="BN513" s="1">
        <v>6232570</v>
      </c>
      <c r="BP513" s="1">
        <v>0</v>
      </c>
      <c r="BR513" s="1">
        <v>0</v>
      </c>
      <c r="BT513" s="20">
        <f t="shared" si="49"/>
        <v>6575925</v>
      </c>
      <c r="BU513" s="20"/>
      <c r="BV513" s="20">
        <f>BT513-'Gov Fd BS'!AA513</f>
        <v>0</v>
      </c>
    </row>
    <row r="514" spans="1:74">
      <c r="A514" s="12" t="s">
        <v>249</v>
      </c>
      <c r="B514" s="12"/>
      <c r="C514" s="12" t="s">
        <v>58</v>
      </c>
      <c r="D514" s="12"/>
      <c r="E514" s="13">
        <v>49528</v>
      </c>
      <c r="G514" s="1">
        <v>5098281</v>
      </c>
      <c r="I514" s="1">
        <v>1679001</v>
      </c>
      <c r="K514" s="1">
        <v>0</v>
      </c>
      <c r="M514" s="1">
        <v>1521</v>
      </c>
      <c r="O514" s="1">
        <v>495034</v>
      </c>
      <c r="Q514" s="1">
        <v>351431</v>
      </c>
      <c r="S514" s="1">
        <v>11854</v>
      </c>
      <c r="U514" s="1">
        <v>585002</v>
      </c>
      <c r="W514" s="1">
        <v>219468</v>
      </c>
      <c r="Y514" s="1">
        <v>158593</v>
      </c>
      <c r="AA514" s="1">
        <v>1071579</v>
      </c>
      <c r="AC514" s="1">
        <v>905355</v>
      </c>
      <c r="AE514" s="1">
        <v>67553</v>
      </c>
      <c r="AG514" s="1">
        <v>0</v>
      </c>
      <c r="AI514" s="1">
        <v>438891</v>
      </c>
      <c r="AJ514" s="12" t="s">
        <v>249</v>
      </c>
      <c r="AK514" s="12"/>
      <c r="AL514" s="12" t="s">
        <v>58</v>
      </c>
      <c r="AN514" s="1">
        <v>333374</v>
      </c>
      <c r="AP514" s="1">
        <v>159919</v>
      </c>
      <c r="AR514" s="1">
        <v>0</v>
      </c>
      <c r="AT514" s="1">
        <v>239000</v>
      </c>
      <c r="AV514" s="1">
        <v>182632</v>
      </c>
      <c r="AX514" s="1">
        <v>0</v>
      </c>
      <c r="AZ514" s="20">
        <f t="shared" si="47"/>
        <v>11998488</v>
      </c>
      <c r="BB514" s="1">
        <v>691051</v>
      </c>
      <c r="BH514" s="1">
        <v>0</v>
      </c>
      <c r="BJ514" s="20">
        <f t="shared" si="48"/>
        <v>12689539</v>
      </c>
      <c r="BL514" s="20">
        <f>'Gov Fd Rv'!AO514-'Gov Fnd Exp'!BJ514</f>
        <v>911622</v>
      </c>
      <c r="BN514" s="1">
        <v>5985250</v>
      </c>
      <c r="BP514" s="1">
        <v>0</v>
      </c>
      <c r="BR514" s="1">
        <v>0</v>
      </c>
      <c r="BT514" s="20">
        <f t="shared" si="49"/>
        <v>6896872</v>
      </c>
      <c r="BU514" s="20"/>
      <c r="BV514" s="20">
        <f>BT514-'Gov Fd BS'!AA514</f>
        <v>0</v>
      </c>
    </row>
    <row r="515" spans="1:74">
      <c r="A515" s="12" t="s">
        <v>269</v>
      </c>
      <c r="B515" s="12"/>
      <c r="C515" s="12" t="s">
        <v>114</v>
      </c>
      <c r="D515" s="12"/>
      <c r="E515" s="13">
        <v>46441</v>
      </c>
      <c r="G515" s="1">
        <v>3445722</v>
      </c>
      <c r="I515" s="1">
        <v>1026330</v>
      </c>
      <c r="K515" s="1">
        <v>263291</v>
      </c>
      <c r="M515" s="1">
        <v>4880</v>
      </c>
      <c r="O515" s="1">
        <v>395753</v>
      </c>
      <c r="Q515" s="1">
        <v>360457</v>
      </c>
      <c r="S515" s="1">
        <v>1279583</v>
      </c>
      <c r="U515" s="1">
        <v>725355</v>
      </c>
      <c r="W515" s="1">
        <v>236659</v>
      </c>
      <c r="Y515" s="1">
        <v>55845</v>
      </c>
      <c r="AA515" s="1">
        <v>857550</v>
      </c>
      <c r="AC515" s="1">
        <v>738358</v>
      </c>
      <c r="AE515" s="1">
        <v>0</v>
      </c>
      <c r="AG515" s="1">
        <v>386030</v>
      </c>
      <c r="AI515" s="1">
        <v>45720</v>
      </c>
      <c r="AJ515" s="12" t="s">
        <v>269</v>
      </c>
      <c r="AK515" s="12"/>
      <c r="AL515" s="12" t="s">
        <v>114</v>
      </c>
      <c r="AN515" s="1">
        <v>231275</v>
      </c>
      <c r="AP515" s="1">
        <v>43707</v>
      </c>
      <c r="AR515" s="1">
        <v>0</v>
      </c>
      <c r="AT515" s="1">
        <v>183038</v>
      </c>
      <c r="AV515" s="1">
        <v>110321</v>
      </c>
      <c r="AX515" s="1">
        <v>0</v>
      </c>
      <c r="AZ515" s="20">
        <f>SUM(G515:AX515)</f>
        <v>10389874</v>
      </c>
      <c r="BB515" s="1">
        <v>60000</v>
      </c>
      <c r="BH515" s="1">
        <v>0</v>
      </c>
      <c r="BJ515" s="20">
        <f>AZ515+BB515+BH515</f>
        <v>10449874</v>
      </c>
      <c r="BL515" s="20">
        <f>'Gov Fd Rv'!AO515-'Gov Fnd Exp'!BJ515</f>
        <v>-233025</v>
      </c>
      <c r="BN515" s="1">
        <v>970097</v>
      </c>
      <c r="BP515" s="1">
        <v>0</v>
      </c>
      <c r="BR515" s="1">
        <v>0</v>
      </c>
      <c r="BT515" s="20">
        <f t="shared" si="49"/>
        <v>737072</v>
      </c>
      <c r="BU515" s="20"/>
      <c r="BV515" s="20">
        <f>BT515-'Gov Fd BS'!AA515</f>
        <v>0</v>
      </c>
    </row>
    <row r="516" spans="1:74">
      <c r="A516" s="12" t="s">
        <v>269</v>
      </c>
      <c r="B516" s="12"/>
      <c r="C516" s="12" t="s">
        <v>484</v>
      </c>
      <c r="D516" s="12"/>
      <c r="E516" s="13">
        <v>46441</v>
      </c>
      <c r="G516" s="1">
        <v>2829462</v>
      </c>
      <c r="I516" s="1">
        <v>903061</v>
      </c>
      <c r="K516" s="1">
        <v>189268</v>
      </c>
      <c r="M516" s="1">
        <v>226069</v>
      </c>
      <c r="O516" s="1">
        <v>534998</v>
      </c>
      <c r="Q516" s="1">
        <v>429224</v>
      </c>
      <c r="S516" s="1">
        <v>61447</v>
      </c>
      <c r="U516" s="1">
        <v>1120802</v>
      </c>
      <c r="W516" s="1">
        <v>303355</v>
      </c>
      <c r="Y516" s="1">
        <v>0</v>
      </c>
      <c r="AA516" s="1">
        <v>608750</v>
      </c>
      <c r="AC516" s="1">
        <v>974645</v>
      </c>
      <c r="AE516" s="1">
        <v>114110</v>
      </c>
      <c r="AG516" s="1">
        <v>0</v>
      </c>
      <c r="AI516" s="1">
        <v>404345</v>
      </c>
      <c r="AJ516" s="12" t="s">
        <v>269</v>
      </c>
      <c r="AK516" s="12"/>
      <c r="AL516" s="12" t="s">
        <v>484</v>
      </c>
      <c r="AN516" s="1">
        <v>149914</v>
      </c>
      <c r="AP516" s="1">
        <v>0</v>
      </c>
      <c r="AR516" s="1">
        <v>0</v>
      </c>
      <c r="AT516" s="1">
        <v>212577</v>
      </c>
      <c r="AV516" s="1">
        <v>73241</v>
      </c>
      <c r="AX516" s="1">
        <v>27347</v>
      </c>
      <c r="AZ516" s="20">
        <f t="shared" si="47"/>
        <v>9162615</v>
      </c>
      <c r="BB516" s="1">
        <v>66878</v>
      </c>
      <c r="BH516" s="1">
        <f>26700+2751938</f>
        <v>2778638</v>
      </c>
      <c r="BJ516" s="20">
        <f t="shared" si="48"/>
        <v>12008131</v>
      </c>
      <c r="BL516" s="20">
        <f>'Gov Fd Rv'!AO516-'Gov Fnd Exp'!BJ516</f>
        <v>230073</v>
      </c>
      <c r="BN516" s="1">
        <v>1594577</v>
      </c>
      <c r="BP516" s="1">
        <v>0</v>
      </c>
      <c r="BR516" s="1">
        <v>0</v>
      </c>
      <c r="BT516" s="20">
        <f t="shared" si="49"/>
        <v>1824650</v>
      </c>
      <c r="BU516" s="20"/>
      <c r="BV516" s="20">
        <f>BT516-'Gov Fd BS'!AA516</f>
        <v>0</v>
      </c>
    </row>
    <row r="517" spans="1:74" hidden="1">
      <c r="A517" s="12" t="s">
        <v>873</v>
      </c>
      <c r="B517" s="12"/>
      <c r="C517" s="12" t="s">
        <v>524</v>
      </c>
      <c r="D517" s="12"/>
      <c r="E517" s="13"/>
      <c r="AJ517" s="12" t="s">
        <v>873</v>
      </c>
      <c r="AK517" s="12"/>
      <c r="AL517" s="12" t="s">
        <v>524</v>
      </c>
      <c r="AZ517" s="20">
        <f t="shared" si="47"/>
        <v>0</v>
      </c>
      <c r="BJ517" s="20">
        <f t="shared" si="48"/>
        <v>0</v>
      </c>
      <c r="BL517" s="20">
        <f>'Gov Fd Rv'!AO517-'Gov Fnd Exp'!BJ517</f>
        <v>0</v>
      </c>
      <c r="BT517" s="20">
        <f t="shared" si="49"/>
        <v>0</v>
      </c>
      <c r="BU517" s="20"/>
      <c r="BV517" s="20">
        <f>BT517-'Gov Fd BS'!AA517</f>
        <v>0</v>
      </c>
    </row>
    <row r="518" spans="1:74">
      <c r="A518" s="12" t="s">
        <v>615</v>
      </c>
      <c r="B518" s="12"/>
      <c r="C518" s="12" t="s">
        <v>64</v>
      </c>
      <c r="D518" s="12"/>
      <c r="E518" s="13">
        <v>50237</v>
      </c>
      <c r="G518" s="1">
        <v>2696284</v>
      </c>
      <c r="I518" s="1">
        <v>299918</v>
      </c>
      <c r="K518" s="1">
        <v>0</v>
      </c>
      <c r="M518" s="1">
        <v>0</v>
      </c>
      <c r="O518" s="1">
        <v>556688</v>
      </c>
      <c r="Q518" s="1">
        <v>138870</v>
      </c>
      <c r="S518" s="1">
        <v>74749</v>
      </c>
      <c r="U518" s="1">
        <v>458771</v>
      </c>
      <c r="W518" s="1">
        <v>263915</v>
      </c>
      <c r="Y518" s="1">
        <v>19915</v>
      </c>
      <c r="AA518" s="1">
        <v>347481</v>
      </c>
      <c r="AC518" s="1">
        <v>301758</v>
      </c>
      <c r="AE518" s="1">
        <v>6859</v>
      </c>
      <c r="AG518" s="1">
        <v>199859</v>
      </c>
      <c r="AI518" s="1">
        <v>100</v>
      </c>
      <c r="AJ518" s="12" t="s">
        <v>615</v>
      </c>
      <c r="AK518" s="12"/>
      <c r="AL518" s="12" t="s">
        <v>64</v>
      </c>
      <c r="AN518" s="1">
        <v>141300</v>
      </c>
      <c r="AP518" s="1">
        <v>6929020</v>
      </c>
      <c r="AR518" s="1">
        <v>0</v>
      </c>
      <c r="AT518" s="1">
        <v>100000</v>
      </c>
      <c r="AV518" s="1">
        <v>333600</v>
      </c>
      <c r="AX518" s="1">
        <v>0</v>
      </c>
      <c r="AZ518" s="20">
        <f t="shared" si="47"/>
        <v>12869087</v>
      </c>
      <c r="BB518" s="1">
        <v>0</v>
      </c>
      <c r="BH518" s="1">
        <v>0</v>
      </c>
      <c r="BJ518" s="20">
        <f t="shared" si="48"/>
        <v>12869087</v>
      </c>
      <c r="BL518" s="20">
        <f>'Gov Fd Rv'!AO518-'Gov Fnd Exp'!BJ518</f>
        <v>-2558934</v>
      </c>
      <c r="BN518" s="1">
        <v>19066690</v>
      </c>
      <c r="BP518" s="1">
        <v>0</v>
      </c>
      <c r="BR518" s="1">
        <v>0</v>
      </c>
      <c r="BT518" s="20">
        <f t="shared" si="49"/>
        <v>16507756</v>
      </c>
      <c r="BU518" s="20"/>
      <c r="BV518" s="20">
        <f>BT518-'Gov Fd BS'!AA518</f>
        <v>0</v>
      </c>
    </row>
    <row r="519" spans="1:74">
      <c r="A519" s="12" t="s">
        <v>434</v>
      </c>
      <c r="B519" s="12"/>
      <c r="C519" s="12" t="s">
        <v>42</v>
      </c>
      <c r="D519" s="12"/>
      <c r="E519" s="13">
        <v>48041</v>
      </c>
      <c r="G519" s="1">
        <v>14779661</v>
      </c>
      <c r="I519" s="1">
        <v>3646638</v>
      </c>
      <c r="K519" s="1">
        <v>479805</v>
      </c>
      <c r="M519" s="1">
        <v>2172316</v>
      </c>
      <c r="O519" s="1">
        <v>2258181</v>
      </c>
      <c r="Q519" s="1">
        <v>1812833</v>
      </c>
      <c r="S519" s="1">
        <v>52388</v>
      </c>
      <c r="U519" s="1">
        <v>3017486</v>
      </c>
      <c r="W519" s="1">
        <v>871186</v>
      </c>
      <c r="Y519" s="1">
        <v>124821</v>
      </c>
      <c r="AA519" s="1">
        <v>2634768</v>
      </c>
      <c r="AC519" s="1">
        <v>2735794</v>
      </c>
      <c r="AE519" s="1">
        <v>997925</v>
      </c>
      <c r="AG519" s="1">
        <v>0</v>
      </c>
      <c r="AI519" s="1">
        <v>1473776</v>
      </c>
      <c r="AJ519" s="12" t="s">
        <v>434</v>
      </c>
      <c r="AK519" s="12"/>
      <c r="AL519" s="12" t="s">
        <v>42</v>
      </c>
      <c r="AN519" s="1">
        <v>851205</v>
      </c>
      <c r="AP519" s="1">
        <v>3597283</v>
      </c>
      <c r="AR519" s="1">
        <v>0</v>
      </c>
      <c r="AT519" s="1">
        <v>1382652</v>
      </c>
      <c r="AV519" s="1">
        <v>733668</v>
      </c>
      <c r="AX519" s="1">
        <v>90466</v>
      </c>
      <c r="AZ519" s="20">
        <f t="shared" si="47"/>
        <v>43712852</v>
      </c>
      <c r="BB519" s="1">
        <v>0</v>
      </c>
      <c r="BH519" s="1">
        <v>0</v>
      </c>
      <c r="BJ519" s="20">
        <f t="shared" si="48"/>
        <v>43712852</v>
      </c>
      <c r="BL519" s="20">
        <f>'Gov Fd Rv'!AO519-'Gov Fnd Exp'!BJ519</f>
        <v>-2503295</v>
      </c>
      <c r="BN519" s="1">
        <v>8756288</v>
      </c>
      <c r="BP519" s="1">
        <v>0</v>
      </c>
      <c r="BR519" s="1">
        <v>0</v>
      </c>
      <c r="BT519" s="20">
        <f t="shared" si="49"/>
        <v>6252993</v>
      </c>
      <c r="BU519" s="20"/>
      <c r="BV519" s="20">
        <f>BT519-'Gov Fd BS'!AA519</f>
        <v>0</v>
      </c>
    </row>
    <row r="520" spans="1:74">
      <c r="A520" s="12" t="s">
        <v>374</v>
      </c>
      <c r="B520" s="12"/>
      <c r="C520" s="12" t="s">
        <v>32</v>
      </c>
      <c r="D520" s="12"/>
      <c r="E520" s="13">
        <v>47381</v>
      </c>
      <c r="G520" s="1">
        <v>14886636</v>
      </c>
      <c r="I520" s="1">
        <v>4142959</v>
      </c>
      <c r="K520" s="1">
        <v>5015</v>
      </c>
      <c r="M520" s="1">
        <v>507104</v>
      </c>
      <c r="O520" s="1">
        <v>1498127</v>
      </c>
      <c r="Q520" s="1">
        <v>1313439</v>
      </c>
      <c r="S520" s="1">
        <v>68406</v>
      </c>
      <c r="U520" s="1">
        <v>2514552</v>
      </c>
      <c r="W520" s="1">
        <v>983951</v>
      </c>
      <c r="Y520" s="1">
        <v>0</v>
      </c>
      <c r="AA520" s="1">
        <v>3999136</v>
      </c>
      <c r="AC520" s="1">
        <v>1715272</v>
      </c>
      <c r="AE520" s="1">
        <v>49821</v>
      </c>
      <c r="AG520" s="1">
        <v>0</v>
      </c>
      <c r="AI520" s="1">
        <v>1831044</v>
      </c>
      <c r="AJ520" s="12" t="s">
        <v>374</v>
      </c>
      <c r="AK520" s="12"/>
      <c r="AL520" s="12" t="s">
        <v>32</v>
      </c>
      <c r="AN520" s="1">
        <v>813047</v>
      </c>
      <c r="AP520" s="1">
        <v>16336</v>
      </c>
      <c r="AR520" s="1">
        <v>0</v>
      </c>
      <c r="AT520" s="1">
        <v>1920000</v>
      </c>
      <c r="AV520" s="1">
        <v>789846</v>
      </c>
      <c r="AX520" s="1">
        <v>0</v>
      </c>
      <c r="AZ520" s="20">
        <f t="shared" si="47"/>
        <v>37054691</v>
      </c>
      <c r="BB520" s="1">
        <v>486</v>
      </c>
      <c r="BH520" s="1">
        <v>0</v>
      </c>
      <c r="BJ520" s="20">
        <f t="shared" si="48"/>
        <v>37055177</v>
      </c>
      <c r="BL520" s="20">
        <f>'Gov Fd Rv'!AO520-'Gov Fnd Exp'!BJ520</f>
        <v>30996</v>
      </c>
      <c r="BN520" s="1">
        <v>2994031</v>
      </c>
      <c r="BP520" s="1">
        <v>0</v>
      </c>
      <c r="BR520" s="1">
        <v>0</v>
      </c>
      <c r="BT520" s="20">
        <f t="shared" si="49"/>
        <v>3025027</v>
      </c>
      <c r="BU520" s="20"/>
      <c r="BV520" s="20">
        <f>BT520-'Gov Fd BS'!AA520</f>
        <v>0</v>
      </c>
    </row>
    <row r="521" spans="1:74">
      <c r="A521" s="12" t="s">
        <v>340</v>
      </c>
      <c r="B521" s="12"/>
      <c r="C521" s="12" t="s">
        <v>27</v>
      </c>
      <c r="D521" s="12"/>
      <c r="E521" s="13">
        <v>44800</v>
      </c>
      <c r="G521" s="1">
        <v>95456496</v>
      </c>
      <c r="I521" s="1">
        <v>28489938</v>
      </c>
      <c r="K521" s="1">
        <v>5562747</v>
      </c>
      <c r="M521" s="1">
        <v>955483</v>
      </c>
      <c r="O521" s="1">
        <v>10108635</v>
      </c>
      <c r="Q521" s="1">
        <v>17492815</v>
      </c>
      <c r="S521" s="1">
        <v>43974</v>
      </c>
      <c r="U521" s="1">
        <v>15632272</v>
      </c>
      <c r="W521" s="1">
        <v>3385646</v>
      </c>
      <c r="Y521" s="1">
        <v>860177</v>
      </c>
      <c r="AA521" s="1">
        <v>16239398</v>
      </c>
      <c r="AC521" s="1">
        <v>10690064</v>
      </c>
      <c r="AE521" s="1">
        <v>3048648</v>
      </c>
      <c r="AG521" s="1">
        <v>8161209</v>
      </c>
      <c r="AI521" s="1">
        <v>1247088</v>
      </c>
      <c r="AJ521" s="12" t="s">
        <v>340</v>
      </c>
      <c r="AK521" s="12"/>
      <c r="AL521" s="12" t="s">
        <v>27</v>
      </c>
      <c r="AN521" s="1">
        <v>2362556</v>
      </c>
      <c r="AP521" s="1">
        <v>2195183</v>
      </c>
      <c r="AR521" s="1">
        <v>0</v>
      </c>
      <c r="AT521" s="1">
        <v>9811667</v>
      </c>
      <c r="AV521" s="1">
        <v>3971678</v>
      </c>
      <c r="AX521" s="1">
        <v>0</v>
      </c>
      <c r="AZ521" s="20">
        <f t="shared" si="47"/>
        <v>235715674</v>
      </c>
      <c r="BB521" s="1">
        <v>1069376</v>
      </c>
      <c r="BH521" s="1">
        <v>0</v>
      </c>
      <c r="BJ521" s="20">
        <f t="shared" si="48"/>
        <v>236785050</v>
      </c>
      <c r="BL521" s="20">
        <f>'Gov Fd Rv'!AO521-'Gov Fnd Exp'!BJ521</f>
        <v>27219766</v>
      </c>
      <c r="BN521" s="1">
        <v>53099669</v>
      </c>
      <c r="BP521" s="1">
        <v>0</v>
      </c>
      <c r="BR521" s="1">
        <v>0</v>
      </c>
      <c r="BT521" s="20">
        <f t="shared" si="49"/>
        <v>80319435</v>
      </c>
      <c r="BU521" s="20"/>
      <c r="BV521" s="20">
        <f>BT521-'Gov Fd BS'!AA521</f>
        <v>0</v>
      </c>
    </row>
    <row r="522" spans="1:74" hidden="1">
      <c r="A522" s="17" t="s">
        <v>875</v>
      </c>
      <c r="B522" s="12"/>
      <c r="C522" s="12" t="s">
        <v>10</v>
      </c>
      <c r="D522" s="12"/>
      <c r="E522" s="13">
        <v>45807</v>
      </c>
      <c r="AJ522" s="17" t="s">
        <v>875</v>
      </c>
      <c r="AK522" s="12"/>
      <c r="AL522" s="12" t="s">
        <v>10</v>
      </c>
      <c r="AZ522" s="20">
        <f t="shared" si="47"/>
        <v>0</v>
      </c>
      <c r="BJ522" s="20">
        <f t="shared" si="48"/>
        <v>0</v>
      </c>
      <c r="BL522" s="20">
        <f>'Gov Fd Rv'!AO522-'Gov Fnd Exp'!BJ522</f>
        <v>0</v>
      </c>
      <c r="BT522" s="20">
        <f t="shared" si="49"/>
        <v>0</v>
      </c>
      <c r="BU522" s="20"/>
      <c r="BV522" s="20">
        <f>BT522-'Gov Fd BS'!AA522</f>
        <v>0</v>
      </c>
    </row>
    <row r="523" spans="1:74" hidden="1">
      <c r="A523" s="17" t="s">
        <v>874</v>
      </c>
      <c r="B523" s="12"/>
      <c r="C523" s="12" t="s">
        <v>69</v>
      </c>
      <c r="D523" s="12"/>
      <c r="E523" s="13">
        <v>50427</v>
      </c>
      <c r="AJ523" s="17" t="s">
        <v>874</v>
      </c>
      <c r="AK523" s="12"/>
      <c r="AL523" s="12" t="s">
        <v>69</v>
      </c>
      <c r="AZ523" s="20">
        <f t="shared" si="47"/>
        <v>0</v>
      </c>
      <c r="BJ523" s="20">
        <f t="shared" si="48"/>
        <v>0</v>
      </c>
      <c r="BL523" s="20">
        <f>'Gov Fd Rv'!AO523-'Gov Fnd Exp'!BJ523</f>
        <v>0</v>
      </c>
      <c r="BT523" s="20">
        <f t="shared" si="49"/>
        <v>0</v>
      </c>
      <c r="BU523" s="20"/>
      <c r="BV523" s="20">
        <f>BT523-'Gov Fd BS'!AA523</f>
        <v>0</v>
      </c>
    </row>
    <row r="524" spans="1:74">
      <c r="A524" s="17" t="s">
        <v>761</v>
      </c>
      <c r="B524" s="17"/>
      <c r="C524" s="17" t="s">
        <v>17</v>
      </c>
      <c r="D524" s="17"/>
      <c r="E524" s="13"/>
      <c r="G524" s="1">
        <v>39452176</v>
      </c>
      <c r="I524" s="1">
        <v>11787128</v>
      </c>
      <c r="K524" s="1">
        <v>198329</v>
      </c>
      <c r="M524" s="1">
        <f>119716+1490488</f>
        <v>1610204</v>
      </c>
      <c r="O524" s="1">
        <v>6514307</v>
      </c>
      <c r="Q524" s="1">
        <v>7478741</v>
      </c>
      <c r="S524" s="1">
        <v>329567</v>
      </c>
      <c r="U524" s="1">
        <v>6380678</v>
      </c>
      <c r="W524" s="1">
        <v>1553080</v>
      </c>
      <c r="Y524" s="1">
        <v>576928</v>
      </c>
      <c r="AA524" s="1">
        <v>7513983</v>
      </c>
      <c r="AC524" s="1">
        <v>2133109</v>
      </c>
      <c r="AE524" s="1">
        <v>688599</v>
      </c>
      <c r="AG524" s="1">
        <v>0</v>
      </c>
      <c r="AI524" s="1">
        <v>5284008</v>
      </c>
      <c r="AJ524" s="17" t="s">
        <v>761</v>
      </c>
      <c r="AK524" s="12"/>
      <c r="AL524" s="12" t="s">
        <v>17</v>
      </c>
      <c r="AN524" s="1">
        <v>751944</v>
      </c>
      <c r="AP524" s="1">
        <v>1596306</v>
      </c>
      <c r="AR524" s="1">
        <v>0</v>
      </c>
      <c r="AT524" s="1">
        <v>2473778</v>
      </c>
      <c r="AV524" s="1">
        <v>1481789</v>
      </c>
      <c r="AX524" s="1">
        <v>1262206</v>
      </c>
      <c r="AZ524" s="20">
        <f t="shared" si="47"/>
        <v>99066860</v>
      </c>
      <c r="BB524" s="1">
        <v>6600</v>
      </c>
      <c r="BH524" s="1">
        <v>0</v>
      </c>
      <c r="BJ524" s="20">
        <f t="shared" si="48"/>
        <v>99073460</v>
      </c>
      <c r="BL524" s="20">
        <f>'Gov Fd Rv'!AO524-'Gov Fnd Exp'!BJ524</f>
        <v>8066572</v>
      </c>
      <c r="BN524" s="1">
        <v>24820510</v>
      </c>
      <c r="BP524" s="1">
        <v>0</v>
      </c>
      <c r="BR524" s="1">
        <v>0</v>
      </c>
      <c r="BT524" s="20">
        <f t="shared" si="49"/>
        <v>32887082</v>
      </c>
      <c r="BU524" s="20"/>
      <c r="BV524" s="20">
        <f>BT524-'Gov Fd BS'!AA524</f>
        <v>0</v>
      </c>
    </row>
    <row r="525" spans="1:74">
      <c r="A525" s="17" t="s">
        <v>899</v>
      </c>
      <c r="B525" s="12"/>
      <c r="C525" s="12" t="s">
        <v>117</v>
      </c>
      <c r="D525" s="12"/>
      <c r="E525" s="13">
        <v>48223</v>
      </c>
      <c r="G525" s="1">
        <v>18151141</v>
      </c>
      <c r="I525" s="1">
        <v>4741290</v>
      </c>
      <c r="K525" s="1">
        <v>299716</v>
      </c>
      <c r="M525" s="1">
        <f>2379461+784746</f>
        <v>3164207</v>
      </c>
      <c r="O525" s="1">
        <v>1863798</v>
      </c>
      <c r="Q525" s="1">
        <v>660489</v>
      </c>
      <c r="S525" s="1">
        <v>29758</v>
      </c>
      <c r="U525" s="1">
        <v>3163960</v>
      </c>
      <c r="W525" s="1">
        <v>806403</v>
      </c>
      <c r="Y525" s="1">
        <v>0</v>
      </c>
      <c r="AA525" s="1">
        <v>3333665</v>
      </c>
      <c r="AC525" s="1">
        <v>1957932</v>
      </c>
      <c r="AE525" s="1">
        <v>157537</v>
      </c>
      <c r="AG525" s="1">
        <v>0</v>
      </c>
      <c r="AI525" s="1">
        <v>2667960</v>
      </c>
      <c r="AJ525" s="17" t="s">
        <v>899</v>
      </c>
      <c r="AK525" s="12"/>
      <c r="AL525" s="12" t="s">
        <v>117</v>
      </c>
      <c r="AN525" s="1">
        <v>1227041</v>
      </c>
      <c r="AP525" s="1">
        <v>1609404</v>
      </c>
      <c r="AR525" s="1">
        <v>0</v>
      </c>
      <c r="AT525" s="1">
        <v>1725000</v>
      </c>
      <c r="AV525" s="1">
        <v>647133</v>
      </c>
      <c r="AX525" s="1">
        <v>0</v>
      </c>
      <c r="AZ525" s="20">
        <f t="shared" si="47"/>
        <v>46206434</v>
      </c>
      <c r="BB525" s="45">
        <v>1006895</v>
      </c>
      <c r="BH525" s="1">
        <v>0</v>
      </c>
      <c r="BJ525" s="20">
        <f t="shared" si="48"/>
        <v>47213329</v>
      </c>
      <c r="BL525" s="20">
        <f>'Gov Fd Rv'!AO525-'Gov Fnd Exp'!BJ525</f>
        <v>-3003796</v>
      </c>
      <c r="BN525" s="1">
        <v>-34225</v>
      </c>
      <c r="BP525" s="1">
        <v>0</v>
      </c>
      <c r="BR525" s="1">
        <v>0</v>
      </c>
      <c r="BT525" s="20">
        <f t="shared" si="49"/>
        <v>-3038021</v>
      </c>
      <c r="BU525" s="20"/>
      <c r="BV525" s="20">
        <f>BT525-'Gov Fd BS'!AA525</f>
        <v>0</v>
      </c>
    </row>
    <row r="526" spans="1:74">
      <c r="A526" s="12" t="s">
        <v>453</v>
      </c>
      <c r="B526" s="12"/>
      <c r="C526" s="12" t="s">
        <v>45</v>
      </c>
      <c r="D526" s="12"/>
      <c r="E526" s="13">
        <v>48371</v>
      </c>
      <c r="G526" s="1">
        <v>4609416</v>
      </c>
      <c r="I526" s="1">
        <v>925974</v>
      </c>
      <c r="K526" s="1">
        <v>187891</v>
      </c>
      <c r="M526" s="1">
        <v>136617</v>
      </c>
      <c r="O526" s="1">
        <v>549865</v>
      </c>
      <c r="Q526" s="1">
        <v>520515</v>
      </c>
      <c r="S526" s="1">
        <v>18541</v>
      </c>
      <c r="U526" s="1">
        <v>1207691</v>
      </c>
      <c r="W526" s="1">
        <v>314052</v>
      </c>
      <c r="Y526" s="1">
        <v>3310</v>
      </c>
      <c r="AA526" s="1">
        <v>934716</v>
      </c>
      <c r="AC526" s="1">
        <v>631808</v>
      </c>
      <c r="AE526" s="1">
        <v>39862</v>
      </c>
      <c r="AG526" s="1">
        <v>529975</v>
      </c>
      <c r="AI526" s="1">
        <v>14644</v>
      </c>
      <c r="AJ526" s="12" t="s">
        <v>453</v>
      </c>
      <c r="AK526" s="12"/>
      <c r="AL526" s="12" t="s">
        <v>45</v>
      </c>
      <c r="AN526" s="1">
        <v>436310</v>
      </c>
      <c r="AP526" s="1">
        <v>703633</v>
      </c>
      <c r="AR526" s="1">
        <v>0</v>
      </c>
      <c r="AT526" s="1">
        <v>395980</v>
      </c>
      <c r="AV526" s="1">
        <v>60718</v>
      </c>
      <c r="AX526" s="1">
        <v>0</v>
      </c>
      <c r="AZ526" s="20">
        <f t="shared" si="47"/>
        <v>12221518</v>
      </c>
      <c r="BB526" s="1">
        <v>60000</v>
      </c>
      <c r="BH526" s="1">
        <v>0</v>
      </c>
      <c r="BJ526" s="20">
        <f t="shared" si="48"/>
        <v>12281518</v>
      </c>
      <c r="BL526" s="20">
        <f>'Gov Fd Rv'!AO526-'Gov Fnd Exp'!BJ526</f>
        <v>-417747</v>
      </c>
      <c r="BN526" s="1">
        <v>2816662</v>
      </c>
      <c r="BP526" s="1">
        <v>0</v>
      </c>
      <c r="BR526" s="1">
        <v>0</v>
      </c>
      <c r="BT526" s="20">
        <f t="shared" si="49"/>
        <v>2398915</v>
      </c>
      <c r="BU526" s="20"/>
      <c r="BV526" s="20">
        <f>BT526-'Gov Fd BS'!AA526</f>
        <v>0</v>
      </c>
    </row>
    <row r="527" spans="1:74">
      <c r="A527" s="12" t="s">
        <v>453</v>
      </c>
      <c r="B527" s="12"/>
      <c r="C527" s="12" t="s">
        <v>63</v>
      </c>
      <c r="D527" s="12"/>
      <c r="E527" s="13">
        <v>50062</v>
      </c>
      <c r="G527" s="1">
        <v>11081453</v>
      </c>
      <c r="I527" s="1">
        <v>3574015</v>
      </c>
      <c r="K527" s="1">
        <v>284771</v>
      </c>
      <c r="M527" s="1">
        <v>2784522</v>
      </c>
      <c r="O527" s="1">
        <v>1248873</v>
      </c>
      <c r="Q527" s="1">
        <v>950175</v>
      </c>
      <c r="S527" s="1">
        <v>33173</v>
      </c>
      <c r="U527" s="1">
        <v>1599205</v>
      </c>
      <c r="W527" s="1">
        <v>630515</v>
      </c>
      <c r="Y527" s="1">
        <v>133713</v>
      </c>
      <c r="AA527" s="1">
        <v>2239106</v>
      </c>
      <c r="AC527" s="1">
        <v>1397197</v>
      </c>
      <c r="AE527" s="1">
        <v>62879</v>
      </c>
      <c r="AG527" s="1">
        <v>913434</v>
      </c>
      <c r="AI527" s="1">
        <f>2406+41224</f>
        <v>43630</v>
      </c>
      <c r="AJ527" s="12" t="s">
        <v>453</v>
      </c>
      <c r="AK527" s="12"/>
      <c r="AL527" s="12" t="s">
        <v>63</v>
      </c>
      <c r="AN527" s="1">
        <v>635293</v>
      </c>
      <c r="AP527" s="1">
        <v>271845</v>
      </c>
      <c r="AR527" s="1">
        <v>0</v>
      </c>
      <c r="AT527" s="1">
        <v>72951</v>
      </c>
      <c r="AV527" s="1">
        <v>81193</v>
      </c>
      <c r="AX527" s="1">
        <v>0</v>
      </c>
      <c r="AZ527" s="20">
        <f t="shared" si="47"/>
        <v>28037943</v>
      </c>
      <c r="BB527" s="1">
        <v>0</v>
      </c>
      <c r="BH527" s="1">
        <v>0</v>
      </c>
      <c r="BJ527" s="20">
        <f t="shared" si="48"/>
        <v>28037943</v>
      </c>
      <c r="BL527" s="20">
        <f>'Gov Fd Rv'!AO527-'Gov Fnd Exp'!BJ527</f>
        <v>1482831</v>
      </c>
      <c r="BN527" s="1">
        <v>-1644522</v>
      </c>
      <c r="BP527" s="1">
        <v>0</v>
      </c>
      <c r="BR527" s="1">
        <v>0</v>
      </c>
      <c r="BT527" s="20">
        <f t="shared" si="49"/>
        <v>-161691</v>
      </c>
      <c r="BU527" s="20"/>
      <c r="BV527" s="20">
        <f>BT527-'Gov Fd BS'!AA527</f>
        <v>0</v>
      </c>
    </row>
    <row r="528" spans="1:74">
      <c r="A528" s="12" t="s">
        <v>770</v>
      </c>
      <c r="B528" s="12"/>
      <c r="C528" s="12" t="s">
        <v>32</v>
      </c>
      <c r="D528" s="12"/>
      <c r="E528" s="13">
        <v>44719</v>
      </c>
      <c r="G528" s="1">
        <v>5433146</v>
      </c>
      <c r="I528" s="1">
        <v>1419631</v>
      </c>
      <c r="K528" s="1">
        <v>0</v>
      </c>
      <c r="M528" s="1">
        <v>20834</v>
      </c>
      <c r="O528" s="1">
        <v>842483</v>
      </c>
      <c r="Q528" s="1">
        <v>867806</v>
      </c>
      <c r="S528" s="1">
        <v>12912</v>
      </c>
      <c r="U528" s="1">
        <v>844626</v>
      </c>
      <c r="W528" s="1">
        <v>463847</v>
      </c>
      <c r="Y528" s="1">
        <v>0</v>
      </c>
      <c r="AA528" s="1">
        <v>1277989</v>
      </c>
      <c r="AC528" s="1">
        <v>358925</v>
      </c>
      <c r="AE528" s="1">
        <v>138035</v>
      </c>
      <c r="AG528" s="1">
        <v>0</v>
      </c>
      <c r="AI528" s="1">
        <v>964470</v>
      </c>
      <c r="AJ528" s="12" t="s">
        <v>770</v>
      </c>
      <c r="AK528" s="12"/>
      <c r="AL528" s="12" t="s">
        <v>32</v>
      </c>
      <c r="AN528" s="1">
        <v>187527</v>
      </c>
      <c r="AP528" s="1">
        <v>0</v>
      </c>
      <c r="AR528" s="1">
        <v>0</v>
      </c>
      <c r="AT528" s="1">
        <v>108000</v>
      </c>
      <c r="AV528" s="1">
        <v>81280</v>
      </c>
      <c r="AX528" s="1">
        <v>0</v>
      </c>
      <c r="AZ528" s="20">
        <f t="shared" si="47"/>
        <v>13021511</v>
      </c>
      <c r="BB528" s="1">
        <v>1457297</v>
      </c>
      <c r="BH528" s="1">
        <v>0</v>
      </c>
      <c r="BJ528" s="20">
        <f t="shared" si="48"/>
        <v>14478808</v>
      </c>
      <c r="BL528" s="20">
        <f>'Gov Fd Rv'!AO528-'Gov Fnd Exp'!BJ528</f>
        <v>1675307</v>
      </c>
      <c r="BN528" s="1">
        <v>4308789</v>
      </c>
      <c r="BP528" s="1">
        <v>0</v>
      </c>
      <c r="BR528" s="1">
        <v>0</v>
      </c>
      <c r="BT528" s="20">
        <f t="shared" si="49"/>
        <v>5984096</v>
      </c>
      <c r="BU528" s="20"/>
      <c r="BV528" s="20">
        <f>BT528-'Gov Fd BS'!AA528</f>
        <v>0</v>
      </c>
    </row>
    <row r="529" spans="1:74">
      <c r="A529" s="12" t="s">
        <v>769</v>
      </c>
      <c r="B529" s="12"/>
      <c r="C529" s="12" t="s">
        <v>15</v>
      </c>
      <c r="D529" s="12"/>
      <c r="E529" s="13">
        <v>45997</v>
      </c>
      <c r="G529" s="1">
        <v>6943920</v>
      </c>
      <c r="I529" s="1">
        <v>1607834</v>
      </c>
      <c r="K529" s="1">
        <v>12252</v>
      </c>
      <c r="M529" s="1">
        <v>0</v>
      </c>
      <c r="O529" s="1">
        <v>900923</v>
      </c>
      <c r="Q529" s="1">
        <v>597295</v>
      </c>
      <c r="S529" s="1">
        <v>23367</v>
      </c>
      <c r="U529" s="1">
        <v>1091891</v>
      </c>
      <c r="W529" s="1">
        <v>482290</v>
      </c>
      <c r="Y529" s="1">
        <v>0</v>
      </c>
      <c r="AA529" s="1">
        <v>1474083</v>
      </c>
      <c r="AC529" s="1">
        <v>704328</v>
      </c>
      <c r="AE529" s="1">
        <v>271566</v>
      </c>
      <c r="AG529" s="1">
        <v>457666</v>
      </c>
      <c r="AI529" s="1">
        <v>193193</v>
      </c>
      <c r="AJ529" s="12" t="s">
        <v>769</v>
      </c>
      <c r="AK529" s="12"/>
      <c r="AL529" s="12" t="s">
        <v>15</v>
      </c>
      <c r="AN529" s="1">
        <v>613578</v>
      </c>
      <c r="AP529" s="1">
        <v>23131</v>
      </c>
      <c r="AR529" s="1">
        <v>0</v>
      </c>
      <c r="AT529" s="1">
        <v>811467</v>
      </c>
      <c r="AV529" s="1">
        <v>140861</v>
      </c>
      <c r="AX529" s="1">
        <v>0</v>
      </c>
      <c r="AZ529" s="20">
        <f t="shared" si="47"/>
        <v>16349645</v>
      </c>
      <c r="BB529" s="1">
        <v>583</v>
      </c>
      <c r="BH529" s="1">
        <v>0</v>
      </c>
      <c r="BJ529" s="20">
        <f t="shared" si="48"/>
        <v>16350228</v>
      </c>
      <c r="BL529" s="20">
        <f>'Gov Fd Rv'!AO529-'Gov Fnd Exp'!BJ529</f>
        <v>-976070</v>
      </c>
      <c r="BN529" s="1">
        <v>3759791</v>
      </c>
      <c r="BP529" s="1">
        <v>0</v>
      </c>
      <c r="BR529" s="1">
        <v>0</v>
      </c>
      <c r="BT529" s="20">
        <f t="shared" si="49"/>
        <v>2783721</v>
      </c>
      <c r="BU529" s="20"/>
      <c r="BV529" s="20">
        <f>BT529-'Gov Fd BS'!AA529</f>
        <v>0</v>
      </c>
    </row>
    <row r="530" spans="1:74" hidden="1">
      <c r="A530" s="17" t="s">
        <v>876</v>
      </c>
      <c r="B530" s="12"/>
      <c r="C530" s="12" t="s">
        <v>486</v>
      </c>
      <c r="D530" s="12"/>
      <c r="E530" s="13">
        <v>48587</v>
      </c>
      <c r="AJ530" s="17" t="s">
        <v>876</v>
      </c>
      <c r="AK530" s="12"/>
      <c r="AL530" s="12" t="s">
        <v>486</v>
      </c>
      <c r="AZ530" s="20">
        <f t="shared" si="47"/>
        <v>0</v>
      </c>
      <c r="BJ530" s="20">
        <f t="shared" si="48"/>
        <v>0</v>
      </c>
      <c r="BL530" s="20">
        <f>'Gov Fd Rv'!AO530-'Gov Fnd Exp'!BJ530</f>
        <v>0</v>
      </c>
      <c r="BT530" s="20">
        <f t="shared" si="49"/>
        <v>0</v>
      </c>
      <c r="BU530" s="20"/>
      <c r="BV530" s="20">
        <f>BT530-'Gov Fd BS'!AA530</f>
        <v>0</v>
      </c>
    </row>
    <row r="531" spans="1:74" hidden="1">
      <c r="A531" s="17" t="s">
        <v>877</v>
      </c>
      <c r="B531" s="12"/>
      <c r="C531" s="12" t="s">
        <v>14</v>
      </c>
      <c r="D531" s="12"/>
      <c r="E531" s="13">
        <v>44727</v>
      </c>
      <c r="AJ531" s="17" t="s">
        <v>877</v>
      </c>
      <c r="AK531" s="12"/>
      <c r="AL531" s="12" t="s">
        <v>14</v>
      </c>
      <c r="AZ531" s="20">
        <f t="shared" si="47"/>
        <v>0</v>
      </c>
      <c r="BJ531" s="20">
        <f t="shared" si="48"/>
        <v>0</v>
      </c>
      <c r="BL531" s="20">
        <f>'Gov Fd Rv'!AO531-'Gov Fnd Exp'!BJ531</f>
        <v>0</v>
      </c>
      <c r="BT531" s="20">
        <f t="shared" si="49"/>
        <v>0</v>
      </c>
      <c r="BU531" s="20"/>
      <c r="BV531" s="20">
        <f>BT531-'Gov Fd BS'!AA531</f>
        <v>0</v>
      </c>
    </row>
    <row r="532" spans="1:74">
      <c r="A532" s="12" t="s">
        <v>412</v>
      </c>
      <c r="B532" s="12"/>
      <c r="C532" s="12" t="s">
        <v>39</v>
      </c>
      <c r="D532" s="12"/>
      <c r="E532" s="13">
        <v>44826</v>
      </c>
      <c r="G532" s="1">
        <v>9020559</v>
      </c>
      <c r="I532" s="1">
        <v>4214240</v>
      </c>
      <c r="K532" s="1">
        <v>896944</v>
      </c>
      <c r="M532" s="1">
        <v>173691</v>
      </c>
      <c r="O532" s="1">
        <v>1047193</v>
      </c>
      <c r="Q532" s="1">
        <v>657565</v>
      </c>
      <c r="S532" s="1">
        <v>46747</v>
      </c>
      <c r="U532" s="1">
        <v>2039879</v>
      </c>
      <c r="W532" s="1">
        <v>390104</v>
      </c>
      <c r="Y532" s="1">
        <v>229973</v>
      </c>
      <c r="AA532" s="1">
        <v>2110134</v>
      </c>
      <c r="AC532" s="1">
        <v>610739</v>
      </c>
      <c r="AE532" s="1">
        <v>69549</v>
      </c>
      <c r="AG532" s="1">
        <v>883356</v>
      </c>
      <c r="AI532" s="1">
        <v>417313</v>
      </c>
      <c r="AJ532" s="12" t="s">
        <v>412</v>
      </c>
      <c r="AK532" s="12"/>
      <c r="AL532" s="12" t="s">
        <v>39</v>
      </c>
      <c r="AN532" s="1">
        <v>703169</v>
      </c>
      <c r="AP532" s="1">
        <v>1260506</v>
      </c>
      <c r="AR532" s="1">
        <v>0</v>
      </c>
      <c r="AT532" s="1">
        <v>335428</v>
      </c>
      <c r="AV532" s="1">
        <v>305523</v>
      </c>
      <c r="AX532" s="1">
        <v>459572</v>
      </c>
      <c r="AZ532" s="20">
        <f t="shared" ref="AZ532:AZ564" si="50">SUM(G532:AX532)</f>
        <v>25872184</v>
      </c>
      <c r="BB532" s="1">
        <v>464674</v>
      </c>
      <c r="BH532" s="1">
        <v>0</v>
      </c>
      <c r="BJ532" s="20">
        <f t="shared" si="48"/>
        <v>26336858</v>
      </c>
      <c r="BL532" s="20">
        <f>'Gov Fd Rv'!AO532-'Gov Fnd Exp'!BJ532</f>
        <v>22208</v>
      </c>
      <c r="BN532" s="1">
        <v>11847600</v>
      </c>
      <c r="BP532" s="1">
        <v>0</v>
      </c>
      <c r="BR532" s="1">
        <v>0</v>
      </c>
      <c r="BT532" s="20">
        <f t="shared" si="49"/>
        <v>11869808</v>
      </c>
      <c r="BU532" s="20"/>
      <c r="BV532" s="20">
        <f>BT532-'Gov Fd BS'!AA532</f>
        <v>0</v>
      </c>
    </row>
    <row r="533" spans="1:74">
      <c r="A533" s="12" t="s">
        <v>595</v>
      </c>
      <c r="B533" s="12"/>
      <c r="C533" s="12" t="s">
        <v>63</v>
      </c>
      <c r="D533" s="12"/>
      <c r="E533" s="13">
        <v>44834</v>
      </c>
      <c r="G533" s="1">
        <v>25165939</v>
      </c>
      <c r="I533" s="1">
        <v>5057266</v>
      </c>
      <c r="K533" s="1">
        <v>1624270</v>
      </c>
      <c r="M533" s="1">
        <v>332204</v>
      </c>
      <c r="O533" s="1">
        <v>3053140</v>
      </c>
      <c r="Q533" s="1">
        <v>2423157</v>
      </c>
      <c r="S533" s="1">
        <v>232490</v>
      </c>
      <c r="U533" s="1">
        <v>3148750</v>
      </c>
      <c r="W533" s="1">
        <v>1178996</v>
      </c>
      <c r="Y533" s="1">
        <v>162635</v>
      </c>
      <c r="AA533" s="1">
        <v>4873243</v>
      </c>
      <c r="AC533" s="1">
        <v>3070792</v>
      </c>
      <c r="AE533" s="1">
        <v>658618</v>
      </c>
      <c r="AG533" s="1">
        <v>1237292</v>
      </c>
      <c r="AI533" s="1">
        <v>500254</v>
      </c>
      <c r="AJ533" s="12" t="s">
        <v>595</v>
      </c>
      <c r="AK533" s="12"/>
      <c r="AL533" s="12" t="s">
        <v>63</v>
      </c>
      <c r="AN533" s="1">
        <v>1101773</v>
      </c>
      <c r="AP533" s="1">
        <v>488886</v>
      </c>
      <c r="AR533" s="1">
        <v>0</v>
      </c>
      <c r="AT533" s="1">
        <v>235000</v>
      </c>
      <c r="AV533" s="1">
        <v>141500</v>
      </c>
      <c r="AX533" s="1">
        <v>0</v>
      </c>
      <c r="AZ533" s="20">
        <f t="shared" si="50"/>
        <v>54686205</v>
      </c>
      <c r="BB533" s="1">
        <v>0</v>
      </c>
      <c r="BH533" s="1">
        <v>0</v>
      </c>
      <c r="BJ533" s="20">
        <f t="shared" si="48"/>
        <v>54686205</v>
      </c>
      <c r="BL533" s="20">
        <f>'Gov Fd Rv'!AO533-'Gov Fnd Exp'!BJ533</f>
        <v>2155645</v>
      </c>
      <c r="BN533" s="1">
        <v>9810801</v>
      </c>
      <c r="BP533" s="1">
        <v>0</v>
      </c>
      <c r="BR533" s="1">
        <v>0</v>
      </c>
      <c r="BT533" s="20">
        <f t="shared" si="49"/>
        <v>11966446</v>
      </c>
      <c r="BU533" s="20"/>
      <c r="BV533" s="20">
        <f>BT533-'Gov Fd BS'!AA533</f>
        <v>0</v>
      </c>
    </row>
    <row r="534" spans="1:74" hidden="1">
      <c r="A534" s="12" t="s">
        <v>878</v>
      </c>
      <c r="B534" s="12"/>
      <c r="C534" s="12" t="s">
        <v>65</v>
      </c>
      <c r="D534" s="12"/>
      <c r="E534" s="13">
        <v>50294</v>
      </c>
      <c r="AJ534" s="12" t="s">
        <v>878</v>
      </c>
      <c r="AK534" s="12"/>
      <c r="AL534" s="12" t="s">
        <v>65</v>
      </c>
      <c r="AZ534" s="20">
        <f t="shared" si="50"/>
        <v>0</v>
      </c>
      <c r="BJ534" s="20">
        <f t="shared" si="48"/>
        <v>0</v>
      </c>
      <c r="BL534" s="20">
        <f>'Gov Fd Rv'!AO534-'Gov Fnd Exp'!BJ534</f>
        <v>0</v>
      </c>
      <c r="BT534" s="20">
        <f t="shared" si="49"/>
        <v>0</v>
      </c>
      <c r="BU534" s="20"/>
      <c r="BV534" s="20">
        <f>BT534-'Gov Fd BS'!AA534</f>
        <v>0</v>
      </c>
    </row>
    <row r="535" spans="1:74">
      <c r="A535" s="12" t="s">
        <v>538</v>
      </c>
      <c r="B535" s="12"/>
      <c r="C535" s="12" t="s">
        <v>56</v>
      </c>
      <c r="D535" s="12"/>
      <c r="E535" s="13">
        <v>49239</v>
      </c>
      <c r="G535" s="1">
        <v>10595140</v>
      </c>
      <c r="I535" s="1">
        <v>1636143</v>
      </c>
      <c r="K535" s="1">
        <v>92213</v>
      </c>
      <c r="M535" s="1">
        <f>189093+881680</f>
        <v>1070773</v>
      </c>
      <c r="O535" s="1">
        <v>1375369</v>
      </c>
      <c r="Q535" s="1">
        <v>1308126</v>
      </c>
      <c r="S535" s="1">
        <v>220247</v>
      </c>
      <c r="U535" s="1">
        <v>1632332</v>
      </c>
      <c r="W535" s="1">
        <v>653702</v>
      </c>
      <c r="Y535" s="1">
        <v>98033</v>
      </c>
      <c r="AA535" s="1">
        <v>1658844</v>
      </c>
      <c r="AC535" s="1">
        <v>1046290</v>
      </c>
      <c r="AE535" s="1">
        <v>99472</v>
      </c>
      <c r="AG535" s="1">
        <v>737922</v>
      </c>
      <c r="AI535" s="1">
        <v>165088</v>
      </c>
      <c r="AJ535" s="12" t="s">
        <v>538</v>
      </c>
      <c r="AK535" s="12"/>
      <c r="AL535" s="12" t="s">
        <v>56</v>
      </c>
      <c r="AN535" s="1">
        <v>604354</v>
      </c>
      <c r="AP535" s="1">
        <v>385332</v>
      </c>
      <c r="AR535" s="1">
        <v>0</v>
      </c>
      <c r="AT535" s="1">
        <v>580000</v>
      </c>
      <c r="AV535" s="1">
        <v>898653</v>
      </c>
      <c r="AX535" s="1">
        <v>0</v>
      </c>
      <c r="AZ535" s="20">
        <f t="shared" si="50"/>
        <v>24858033</v>
      </c>
      <c r="BB535" s="1">
        <v>0</v>
      </c>
      <c r="BH535" s="1">
        <v>0</v>
      </c>
      <c r="BJ535" s="20">
        <f t="shared" si="48"/>
        <v>24858033</v>
      </c>
      <c r="BL535" s="20">
        <f>'Gov Fd Rv'!AO535-'Gov Fnd Exp'!BJ535</f>
        <v>1038536</v>
      </c>
      <c r="BN535" s="1">
        <v>536173</v>
      </c>
      <c r="BP535" s="1">
        <v>0</v>
      </c>
      <c r="BR535" s="1">
        <v>0</v>
      </c>
      <c r="BT535" s="20">
        <f t="shared" si="49"/>
        <v>1574709</v>
      </c>
      <c r="BU535" s="20"/>
      <c r="BV535" s="20">
        <f>BT535-'Gov Fd BS'!AA535</f>
        <v>0</v>
      </c>
    </row>
    <row r="536" spans="1:74">
      <c r="A536" s="12" t="s">
        <v>306</v>
      </c>
      <c r="B536" s="12"/>
      <c r="C536" s="12" t="s">
        <v>20</v>
      </c>
      <c r="D536" s="12"/>
      <c r="E536" s="13">
        <v>44842</v>
      </c>
      <c r="G536" s="1">
        <v>44139925</v>
      </c>
      <c r="I536" s="1">
        <v>5562572</v>
      </c>
      <c r="K536" s="1">
        <v>303900</v>
      </c>
      <c r="M536" s="1">
        <f>33336+66627</f>
        <v>99963</v>
      </c>
      <c r="O536" s="1">
        <v>3254349</v>
      </c>
      <c r="Q536" s="1">
        <v>3269749</v>
      </c>
      <c r="S536" s="1">
        <v>41274</v>
      </c>
      <c r="U536" s="1">
        <v>3359972</v>
      </c>
      <c r="W536" s="1">
        <v>6310848</v>
      </c>
      <c r="Y536" s="1">
        <v>446409</v>
      </c>
      <c r="AA536" s="1">
        <v>8129006</v>
      </c>
      <c r="AC536" s="1">
        <v>3729585</v>
      </c>
      <c r="AE536" s="1">
        <v>785736</v>
      </c>
      <c r="AG536" s="1">
        <v>2096893</v>
      </c>
      <c r="AI536" s="1">
        <v>547261</v>
      </c>
      <c r="AJ536" s="12" t="s">
        <v>306</v>
      </c>
      <c r="AK536" s="12"/>
      <c r="AL536" s="12" t="s">
        <v>20</v>
      </c>
      <c r="AN536" s="1">
        <v>554001</v>
      </c>
      <c r="AP536" s="1">
        <v>0</v>
      </c>
      <c r="AR536" s="1">
        <v>0</v>
      </c>
      <c r="AT536" s="1">
        <v>3448037</v>
      </c>
      <c r="AV536" s="1">
        <v>1081025</v>
      </c>
      <c r="AX536" s="1">
        <v>0</v>
      </c>
      <c r="AZ536" s="20">
        <f t="shared" si="50"/>
        <v>87160505</v>
      </c>
      <c r="BB536" s="1">
        <v>259917</v>
      </c>
      <c r="BH536" s="1">
        <v>0</v>
      </c>
      <c r="BJ536" s="20">
        <f t="shared" si="48"/>
        <v>87420422</v>
      </c>
      <c r="BL536" s="20">
        <f>'Gov Fd Rv'!AO536-'Gov Fnd Exp'!BJ536</f>
        <v>-3075453</v>
      </c>
      <c r="BN536" s="1">
        <v>2521815</v>
      </c>
      <c r="BP536" s="1">
        <v>0</v>
      </c>
      <c r="BR536" s="1">
        <v>0</v>
      </c>
      <c r="BT536" s="20">
        <f t="shared" si="49"/>
        <v>-553638</v>
      </c>
      <c r="BU536" s="20"/>
      <c r="BV536" s="20">
        <f>BT536-'Gov Fd BS'!AA536</f>
        <v>0</v>
      </c>
    </row>
    <row r="537" spans="1:74">
      <c r="A537" s="12" t="s">
        <v>470</v>
      </c>
      <c r="B537" s="12"/>
      <c r="C537" s="12" t="s">
        <v>45</v>
      </c>
      <c r="D537" s="12"/>
      <c r="E537" s="13">
        <v>44859</v>
      </c>
      <c r="G537" s="1">
        <v>7747297</v>
      </c>
      <c r="I537" s="1">
        <v>3007611</v>
      </c>
      <c r="K537" s="1">
        <v>444549</v>
      </c>
      <c r="M537" s="1">
        <v>993969</v>
      </c>
      <c r="O537" s="1">
        <v>575768</v>
      </c>
      <c r="Q537" s="1">
        <v>216608</v>
      </c>
      <c r="S537" s="1">
        <v>50846</v>
      </c>
      <c r="U537" s="1">
        <v>1041277</v>
      </c>
      <c r="W537" s="1">
        <v>447602</v>
      </c>
      <c r="Y537" s="1">
        <v>50379</v>
      </c>
      <c r="AA537" s="1">
        <v>2101702</v>
      </c>
      <c r="AC537" s="1">
        <v>453802</v>
      </c>
      <c r="AE537" s="1">
        <v>39054</v>
      </c>
      <c r="AG537" s="1">
        <v>741102</v>
      </c>
      <c r="AI537" s="1">
        <v>155876</v>
      </c>
      <c r="AJ537" s="12" t="s">
        <v>470</v>
      </c>
      <c r="AK537" s="12"/>
      <c r="AL537" s="12" t="s">
        <v>45</v>
      </c>
      <c r="AN537" s="1">
        <v>489180</v>
      </c>
      <c r="AP537" s="1">
        <v>1238775</v>
      </c>
      <c r="AR537" s="1">
        <v>0</v>
      </c>
      <c r="AT537" s="1">
        <v>439100</v>
      </c>
      <c r="AV537" s="1">
        <v>179448</v>
      </c>
      <c r="AX537" s="1">
        <v>0</v>
      </c>
      <c r="AZ537" s="20">
        <f t="shared" si="50"/>
        <v>20413945</v>
      </c>
      <c r="BB537" s="1">
        <v>100145</v>
      </c>
      <c r="BH537" s="1">
        <v>0</v>
      </c>
      <c r="BJ537" s="20">
        <f t="shared" si="48"/>
        <v>20514090</v>
      </c>
      <c r="BL537" s="20">
        <f>'Gov Fd Rv'!AO537-'Gov Fnd Exp'!BJ537</f>
        <v>1248780</v>
      </c>
      <c r="BN537" s="1">
        <v>5139220</v>
      </c>
      <c r="BP537" s="1">
        <v>0</v>
      </c>
      <c r="BR537" s="1">
        <v>0</v>
      </c>
      <c r="BT537" s="20">
        <f t="shared" si="49"/>
        <v>6388000</v>
      </c>
      <c r="BU537" s="20"/>
      <c r="BV537" s="20">
        <f>BT537-'Gov Fd BS'!AA537</f>
        <v>0</v>
      </c>
    </row>
    <row r="538" spans="1:74">
      <c r="A538" s="12" t="s">
        <v>645</v>
      </c>
      <c r="B538" s="12"/>
      <c r="C538" s="12" t="s">
        <v>643</v>
      </c>
      <c r="D538" s="12"/>
      <c r="E538" s="13">
        <v>50658</v>
      </c>
      <c r="G538" s="1">
        <v>2176645</v>
      </c>
      <c r="I538" s="1">
        <v>452716</v>
      </c>
      <c r="K538" s="1">
        <v>14528</v>
      </c>
      <c r="M538" s="1">
        <f>13450+391863+10</f>
        <v>405323</v>
      </c>
      <c r="O538" s="1">
        <v>182944</v>
      </c>
      <c r="Q538" s="1">
        <v>219286</v>
      </c>
      <c r="S538" s="1">
        <v>59758</v>
      </c>
      <c r="U538" s="1">
        <v>329076</v>
      </c>
      <c r="W538" s="1">
        <v>170820</v>
      </c>
      <c r="Y538" s="1">
        <v>7664</v>
      </c>
      <c r="AA538" s="1">
        <v>326764</v>
      </c>
      <c r="AC538" s="1">
        <v>143935</v>
      </c>
      <c r="AE538" s="1">
        <v>29982</v>
      </c>
      <c r="AG538" s="1">
        <v>0</v>
      </c>
      <c r="AI538" s="1">
        <v>192350</v>
      </c>
      <c r="AJ538" s="12" t="s">
        <v>645</v>
      </c>
      <c r="AK538" s="12"/>
      <c r="AL538" s="12" t="s">
        <v>643</v>
      </c>
      <c r="AN538" s="1">
        <v>213133</v>
      </c>
      <c r="AP538" s="1">
        <v>440741</v>
      </c>
      <c r="AR538" s="1">
        <v>0</v>
      </c>
      <c r="AT538" s="1">
        <v>207861</v>
      </c>
      <c r="AV538" s="1">
        <v>226998</v>
      </c>
      <c r="AX538" s="1">
        <v>0</v>
      </c>
      <c r="AZ538" s="20">
        <f t="shared" si="50"/>
        <v>5800524</v>
      </c>
      <c r="BB538" s="1">
        <v>72827</v>
      </c>
      <c r="BH538" s="1">
        <v>0</v>
      </c>
      <c r="BJ538" s="20">
        <f t="shared" si="48"/>
        <v>5873351</v>
      </c>
      <c r="BL538" s="20">
        <f>'Gov Fd Rv'!AO538-'Gov Fnd Exp'!BJ538</f>
        <v>-59901</v>
      </c>
      <c r="BN538" s="1">
        <v>1239992</v>
      </c>
      <c r="BP538" s="1">
        <v>0</v>
      </c>
      <c r="BR538" s="1">
        <v>0</v>
      </c>
      <c r="BT538" s="20">
        <f t="shared" si="49"/>
        <v>1180091</v>
      </c>
      <c r="BU538" s="20"/>
      <c r="BV538" s="20">
        <f>BT538-'Gov Fd BS'!AA538</f>
        <v>0</v>
      </c>
    </row>
    <row r="539" spans="1:74">
      <c r="A539" s="12" t="s">
        <v>347</v>
      </c>
      <c r="B539" s="12"/>
      <c r="C539" s="12" t="s">
        <v>28</v>
      </c>
      <c r="D539" s="12"/>
      <c r="E539" s="13">
        <v>47092</v>
      </c>
      <c r="G539" s="1">
        <v>7073758</v>
      </c>
      <c r="I539" s="1">
        <v>1718682</v>
      </c>
      <c r="K539" s="1">
        <v>0</v>
      </c>
      <c r="M539" s="1">
        <v>0</v>
      </c>
      <c r="O539" s="1">
        <v>611398</v>
      </c>
      <c r="Q539" s="1">
        <v>633593</v>
      </c>
      <c r="S539" s="1">
        <v>19815</v>
      </c>
      <c r="U539" s="1">
        <v>1332967</v>
      </c>
      <c r="W539" s="1">
        <v>474226</v>
      </c>
      <c r="Y539" s="1">
        <v>1768</v>
      </c>
      <c r="AA539" s="1">
        <v>1371162</v>
      </c>
      <c r="AC539" s="1">
        <v>893597</v>
      </c>
      <c r="AE539" s="1">
        <v>12601</v>
      </c>
      <c r="AG539" s="1">
        <v>0</v>
      </c>
      <c r="AI539" s="1">
        <v>652347</v>
      </c>
      <c r="AJ539" s="12" t="s">
        <v>347</v>
      </c>
      <c r="AK539" s="12"/>
      <c r="AL539" s="12" t="s">
        <v>28</v>
      </c>
      <c r="AN539" s="1">
        <v>471217</v>
      </c>
      <c r="AP539" s="1">
        <v>286388</v>
      </c>
      <c r="AR539" s="1">
        <v>0</v>
      </c>
      <c r="AT539" s="1">
        <v>955000</v>
      </c>
      <c r="AV539" s="1">
        <v>455845</v>
      </c>
      <c r="AX539" s="1">
        <v>0</v>
      </c>
      <c r="AZ539" s="20">
        <f t="shared" si="50"/>
        <v>16964364</v>
      </c>
      <c r="BB539" s="1">
        <v>190898</v>
      </c>
      <c r="BH539" s="1">
        <v>0</v>
      </c>
      <c r="BJ539" s="20">
        <f t="shared" si="48"/>
        <v>17155262</v>
      </c>
      <c r="BL539" s="20">
        <f>'Gov Fd Rv'!AO539-'Gov Fnd Exp'!BJ539</f>
        <v>-276874</v>
      </c>
      <c r="BN539" s="1">
        <v>11940665</v>
      </c>
      <c r="BP539" s="1">
        <v>0</v>
      </c>
      <c r="BR539" s="1">
        <v>0</v>
      </c>
      <c r="BT539" s="20">
        <f t="shared" si="49"/>
        <v>11663791</v>
      </c>
      <c r="BU539" s="20"/>
      <c r="BV539" s="20">
        <f>BT539-'Gov Fd BS'!AA539</f>
        <v>0</v>
      </c>
    </row>
    <row r="540" spans="1:74">
      <c r="A540" s="12" t="s">
        <v>760</v>
      </c>
      <c r="B540" s="12"/>
      <c r="C540" s="12" t="s">
        <v>49</v>
      </c>
      <c r="D540" s="12"/>
      <c r="E540" s="13">
        <v>48652</v>
      </c>
      <c r="G540" s="1">
        <v>11098127</v>
      </c>
      <c r="I540" s="1">
        <v>3110103</v>
      </c>
      <c r="K540" s="1">
        <v>2086503</v>
      </c>
      <c r="M540" s="1">
        <v>1001</v>
      </c>
      <c r="O540" s="1">
        <v>1169763</v>
      </c>
      <c r="Q540" s="1">
        <v>815876</v>
      </c>
      <c r="S540" s="1">
        <v>27058</v>
      </c>
      <c r="U540" s="1">
        <v>2184704</v>
      </c>
      <c r="W540" s="1">
        <v>800208</v>
      </c>
      <c r="Y540" s="1">
        <v>0</v>
      </c>
      <c r="AA540" s="1">
        <v>2245922</v>
      </c>
      <c r="AC540" s="1">
        <v>3019361</v>
      </c>
      <c r="AE540" s="1">
        <v>117295</v>
      </c>
      <c r="AG540" s="1">
        <v>1352536</v>
      </c>
      <c r="AI540" s="1">
        <v>89402</v>
      </c>
      <c r="AJ540" s="12" t="s">
        <v>493</v>
      </c>
      <c r="AK540" s="12"/>
      <c r="AL540" s="12" t="s">
        <v>49</v>
      </c>
      <c r="AN540" s="1">
        <v>630908</v>
      </c>
      <c r="AP540" s="1">
        <v>4772170</v>
      </c>
      <c r="AR540" s="1">
        <v>0</v>
      </c>
      <c r="AT540" s="1">
        <v>25000000</v>
      </c>
      <c r="AV540" s="1">
        <v>1281410</v>
      </c>
      <c r="AX540" s="1">
        <v>521548</v>
      </c>
      <c r="AZ540" s="20">
        <f t="shared" si="50"/>
        <v>60323895</v>
      </c>
      <c r="BB540" s="1">
        <v>3851769</v>
      </c>
      <c r="BH540" s="1">
        <v>0</v>
      </c>
      <c r="BJ540" s="20">
        <f t="shared" si="48"/>
        <v>64175664</v>
      </c>
      <c r="BL540" s="20">
        <f>'Gov Fd Rv'!AO540-'Gov Fnd Exp'!BJ540</f>
        <v>16815893</v>
      </c>
      <c r="BN540" s="1">
        <v>23590409</v>
      </c>
      <c r="BP540" s="1">
        <v>0</v>
      </c>
      <c r="BR540" s="1">
        <v>0</v>
      </c>
      <c r="BT540" s="20">
        <f t="shared" si="49"/>
        <v>40406302</v>
      </c>
      <c r="BU540" s="20"/>
      <c r="BV540" s="20">
        <f>BT540-'Gov Fd BS'!AA540</f>
        <v>0</v>
      </c>
    </row>
    <row r="541" spans="1:74">
      <c r="A541" s="12" t="s">
        <v>375</v>
      </c>
      <c r="B541" s="12"/>
      <c r="C541" s="12" t="s">
        <v>32</v>
      </c>
      <c r="D541" s="12"/>
      <c r="E541" s="13">
        <v>44867</v>
      </c>
      <c r="G541" s="1">
        <v>33724423</v>
      </c>
      <c r="I541" s="1">
        <v>7247973</v>
      </c>
      <c r="K541" s="1">
        <v>0</v>
      </c>
      <c r="M541" s="1">
        <v>250459</v>
      </c>
      <c r="O541" s="1">
        <v>4807402</v>
      </c>
      <c r="Q541" s="1">
        <v>5299766</v>
      </c>
      <c r="S541" s="1">
        <v>47091</v>
      </c>
      <c r="U541" s="1">
        <v>5143203</v>
      </c>
      <c r="W541" s="1">
        <v>1703972</v>
      </c>
      <c r="Y541" s="1">
        <v>87396</v>
      </c>
      <c r="AA541" s="1">
        <v>7953025</v>
      </c>
      <c r="AC541" s="1">
        <v>5028674</v>
      </c>
      <c r="AE541" s="1">
        <v>2318348</v>
      </c>
      <c r="AG541" s="1">
        <v>0</v>
      </c>
      <c r="AI541" s="1">
        <v>3631291</v>
      </c>
      <c r="AJ541" s="12" t="s">
        <v>375</v>
      </c>
      <c r="AK541" s="12"/>
      <c r="AL541" s="12" t="s">
        <v>32</v>
      </c>
      <c r="AN541" s="1">
        <v>1483023</v>
      </c>
      <c r="AP541" s="1">
        <v>1385772</v>
      </c>
      <c r="AR541" s="1">
        <v>0</v>
      </c>
      <c r="AT541" s="1">
        <v>2511431</v>
      </c>
      <c r="AV541" s="1">
        <v>2051585</v>
      </c>
      <c r="AX541" s="1">
        <v>0</v>
      </c>
      <c r="AZ541" s="20">
        <f t="shared" si="50"/>
        <v>84674834</v>
      </c>
      <c r="BB541" s="1">
        <v>3102692</v>
      </c>
      <c r="BH541" s="1">
        <v>0</v>
      </c>
      <c r="BJ541" s="20">
        <f t="shared" si="48"/>
        <v>87777526</v>
      </c>
      <c r="BL541" s="20">
        <f>'Gov Fd Rv'!AO541-'Gov Fnd Exp'!BJ541</f>
        <v>725792</v>
      </c>
      <c r="BN541" s="1">
        <v>61925596</v>
      </c>
      <c r="BP541" s="1">
        <v>0</v>
      </c>
      <c r="BR541" s="1">
        <v>0</v>
      </c>
      <c r="BT541" s="20">
        <f t="shared" si="49"/>
        <v>62651388</v>
      </c>
      <c r="BU541" s="20"/>
      <c r="BV541" s="20">
        <f>BT541-'Gov Fd BS'!AA541</f>
        <v>0</v>
      </c>
    </row>
    <row r="542" spans="1:74">
      <c r="A542" s="12" t="s">
        <v>454</v>
      </c>
      <c r="B542" s="12"/>
      <c r="C542" s="12" t="s">
        <v>117</v>
      </c>
      <c r="D542" s="12"/>
      <c r="E542" s="13">
        <v>44875</v>
      </c>
      <c r="G542" s="1">
        <v>34206575</v>
      </c>
      <c r="I542" s="1">
        <v>8946696</v>
      </c>
      <c r="K542" s="1">
        <v>2200271</v>
      </c>
      <c r="M542" s="1">
        <f>52272+1682695</f>
        <v>1734967</v>
      </c>
      <c r="O542" s="1">
        <v>5790967</v>
      </c>
      <c r="Q542" s="1">
        <v>4957257</v>
      </c>
      <c r="S542" s="1">
        <v>26884</v>
      </c>
      <c r="U542" s="1">
        <v>8736588</v>
      </c>
      <c r="W542" s="1">
        <v>1729267</v>
      </c>
      <c r="Y542" s="1">
        <v>190572</v>
      </c>
      <c r="AA542" s="1">
        <v>18839729</v>
      </c>
      <c r="AC542" s="1">
        <v>5273090</v>
      </c>
      <c r="AE542" s="1">
        <v>1206456</v>
      </c>
      <c r="AG542" s="1">
        <v>2068218</v>
      </c>
      <c r="AI542" s="1">
        <v>1089442</v>
      </c>
      <c r="AJ542" s="12" t="s">
        <v>454</v>
      </c>
      <c r="AK542" s="12"/>
      <c r="AL542" s="12" t="s">
        <v>117</v>
      </c>
      <c r="AN542" s="1">
        <v>2256782</v>
      </c>
      <c r="AP542" s="1">
        <v>18646795</v>
      </c>
      <c r="AR542" s="1">
        <v>0</v>
      </c>
      <c r="AT542" s="1">
        <v>19953102</v>
      </c>
      <c r="AV542" s="1">
        <v>5132149</v>
      </c>
      <c r="AX542" s="1">
        <v>0</v>
      </c>
      <c r="AZ542" s="20">
        <f t="shared" si="50"/>
        <v>142985807</v>
      </c>
      <c r="BB542" s="1">
        <v>380559</v>
      </c>
      <c r="BH542" s="1">
        <v>0</v>
      </c>
      <c r="BJ542" s="20">
        <f t="shared" si="48"/>
        <v>143366366</v>
      </c>
      <c r="BL542" s="20">
        <f>'Gov Fd Rv'!AO542-'Gov Fnd Exp'!BJ542</f>
        <v>-51268681</v>
      </c>
      <c r="BN542" s="1">
        <v>101804360</v>
      </c>
      <c r="BP542" s="1">
        <v>24294</v>
      </c>
      <c r="BR542" s="1">
        <v>0</v>
      </c>
      <c r="BT542" s="20">
        <f t="shared" si="49"/>
        <v>50559973</v>
      </c>
      <c r="BU542" s="20"/>
      <c r="BV542" s="20">
        <f>BT542-'Gov Fd BS'!AA542</f>
        <v>0</v>
      </c>
    </row>
    <row r="543" spans="1:74">
      <c r="A543" s="12" t="s">
        <v>426</v>
      </c>
      <c r="B543" s="12"/>
      <c r="C543" s="12" t="s">
        <v>420</v>
      </c>
      <c r="D543" s="12"/>
      <c r="E543" s="13">
        <v>47969</v>
      </c>
      <c r="G543" s="1">
        <v>4114558</v>
      </c>
      <c r="I543" s="1">
        <v>1276385</v>
      </c>
      <c r="K543" s="1">
        <v>216724</v>
      </c>
      <c r="M543" s="1">
        <v>0</v>
      </c>
      <c r="O543" s="1">
        <v>305753</v>
      </c>
      <c r="Q543" s="1">
        <v>298281</v>
      </c>
      <c r="S543" s="1">
        <v>73953</v>
      </c>
      <c r="U543" s="1">
        <v>641001</v>
      </c>
      <c r="W543" s="1">
        <v>345575</v>
      </c>
      <c r="Y543" s="1">
        <v>0</v>
      </c>
      <c r="AA543" s="1">
        <v>980915</v>
      </c>
      <c r="AC543" s="1">
        <v>849962</v>
      </c>
      <c r="AE543" s="1">
        <v>98120</v>
      </c>
      <c r="AG543" s="1">
        <v>396447</v>
      </c>
      <c r="AI543" s="1">
        <v>2600</v>
      </c>
      <c r="AJ543" s="12" t="s">
        <v>426</v>
      </c>
      <c r="AK543" s="12"/>
      <c r="AL543" s="12" t="s">
        <v>420</v>
      </c>
      <c r="AN543" s="1">
        <v>218104</v>
      </c>
      <c r="AP543" s="1">
        <v>0</v>
      </c>
      <c r="AR543" s="1">
        <v>0</v>
      </c>
      <c r="AT543" s="1">
        <v>62400</v>
      </c>
      <c r="AV543" s="1">
        <v>97600</v>
      </c>
      <c r="AX543" s="1">
        <v>0</v>
      </c>
      <c r="AZ543" s="20">
        <f t="shared" si="50"/>
        <v>9978378</v>
      </c>
      <c r="BB543" s="1">
        <v>28099</v>
      </c>
      <c r="BH543" s="1">
        <v>0</v>
      </c>
      <c r="BJ543" s="20">
        <f t="shared" si="48"/>
        <v>10006477</v>
      </c>
      <c r="BL543" s="20">
        <f>'Gov Fd Rv'!AO543-'Gov Fnd Exp'!BJ543</f>
        <v>-682667</v>
      </c>
      <c r="BN543" s="1">
        <v>4957682</v>
      </c>
      <c r="BP543" s="1">
        <v>0</v>
      </c>
      <c r="BR543" s="1">
        <v>0</v>
      </c>
      <c r="BT543" s="20">
        <f t="shared" si="49"/>
        <v>4275015</v>
      </c>
      <c r="BU543" s="20"/>
      <c r="BV543" s="20">
        <f>BT543-'Gov Fd BS'!AA543</f>
        <v>0</v>
      </c>
    </row>
    <row r="544" spans="1:74">
      <c r="A544" s="17" t="s">
        <v>900</v>
      </c>
      <c r="B544" s="12"/>
      <c r="C544" s="12" t="s">
        <v>227</v>
      </c>
      <c r="D544" s="12"/>
      <c r="E544" s="13">
        <v>46151</v>
      </c>
      <c r="G544" s="1">
        <v>13937917</v>
      </c>
      <c r="I544" s="1">
        <v>2861799</v>
      </c>
      <c r="K544" s="1">
        <v>0</v>
      </c>
      <c r="M544" s="1">
        <v>1039921</v>
      </c>
      <c r="O544" s="1">
        <v>1947694</v>
      </c>
      <c r="Q544" s="1">
        <v>2074441</v>
      </c>
      <c r="S544" s="1">
        <v>56906</v>
      </c>
      <c r="U544" s="1">
        <v>2160736</v>
      </c>
      <c r="W544" s="1">
        <v>1278196</v>
      </c>
      <c r="Y544" s="1">
        <v>1330</v>
      </c>
      <c r="AA544" s="1">
        <v>2643581</v>
      </c>
      <c r="AC544" s="1">
        <v>2313932</v>
      </c>
      <c r="AE544" s="1">
        <v>100370</v>
      </c>
      <c r="AG544" s="1">
        <v>1054247</v>
      </c>
      <c r="AI544" s="1">
        <v>44752</v>
      </c>
      <c r="AJ544" s="17" t="s">
        <v>900</v>
      </c>
      <c r="AK544" s="12"/>
      <c r="AL544" s="12" t="s">
        <v>227</v>
      </c>
      <c r="AN544" s="1">
        <v>645371</v>
      </c>
      <c r="AP544" s="1">
        <v>6593045</v>
      </c>
      <c r="AR544" s="1">
        <v>0</v>
      </c>
      <c r="AT544" s="1">
        <v>2797669</v>
      </c>
      <c r="AV544" s="1">
        <v>1552645</v>
      </c>
      <c r="AX544" s="1">
        <v>537274</v>
      </c>
      <c r="AZ544" s="20">
        <f t="shared" si="50"/>
        <v>43641826</v>
      </c>
      <c r="BB544" s="1">
        <v>10129167</v>
      </c>
      <c r="BH544" s="1">
        <v>0</v>
      </c>
      <c r="BJ544" s="20">
        <f t="shared" si="48"/>
        <v>53770993</v>
      </c>
      <c r="BL544" s="20">
        <f>'Gov Fd Rv'!AO544-'Gov Fnd Exp'!BJ544</f>
        <v>42085533</v>
      </c>
      <c r="BN544" s="1">
        <v>14314749</v>
      </c>
      <c r="BP544" s="1">
        <v>0</v>
      </c>
      <c r="BR544" s="1">
        <v>0</v>
      </c>
      <c r="BT544" s="20">
        <f t="shared" si="49"/>
        <v>56400282</v>
      </c>
      <c r="BU544" s="20"/>
      <c r="BV544" s="20">
        <f>BT544-'Gov Fd BS'!AA544</f>
        <v>0</v>
      </c>
    </row>
    <row r="545" spans="1:74">
      <c r="A545" s="12" t="s">
        <v>596</v>
      </c>
      <c r="B545" s="12"/>
      <c r="C545" s="12" t="s">
        <v>63</v>
      </c>
      <c r="D545" s="12"/>
      <c r="E545" s="13">
        <v>44883</v>
      </c>
      <c r="G545" s="1">
        <v>14016780</v>
      </c>
      <c r="I545" s="1">
        <v>3079948</v>
      </c>
      <c r="K545" s="1">
        <v>928144</v>
      </c>
      <c r="M545" s="1">
        <v>47488</v>
      </c>
      <c r="O545" s="1">
        <v>1297310</v>
      </c>
      <c r="Q545" s="1">
        <v>642306</v>
      </c>
      <c r="S545" s="1">
        <v>31469</v>
      </c>
      <c r="U545" s="1">
        <v>1443709</v>
      </c>
      <c r="W545" s="1">
        <v>638862</v>
      </c>
      <c r="Y545" s="1">
        <v>49229</v>
      </c>
      <c r="AA545" s="1">
        <v>1307208</v>
      </c>
      <c r="AC545" s="1">
        <v>1557321</v>
      </c>
      <c r="AE545" s="1">
        <v>266809</v>
      </c>
      <c r="AG545" s="1">
        <v>0</v>
      </c>
      <c r="AI545" s="1">
        <v>657679</v>
      </c>
      <c r="AJ545" s="12" t="s">
        <v>596</v>
      </c>
      <c r="AK545" s="12"/>
      <c r="AL545" s="12" t="s">
        <v>63</v>
      </c>
      <c r="AN545" s="1">
        <v>808215</v>
      </c>
      <c r="AP545" s="1">
        <v>808782</v>
      </c>
      <c r="AR545" s="1">
        <v>0</v>
      </c>
      <c r="AT545" s="1">
        <v>680000</v>
      </c>
      <c r="AV545" s="1">
        <v>1283365</v>
      </c>
      <c r="AX545" s="1">
        <v>0</v>
      </c>
      <c r="AZ545" s="20">
        <f t="shared" si="50"/>
        <v>29544624</v>
      </c>
      <c r="BB545" s="1">
        <v>0</v>
      </c>
      <c r="BH545" s="1">
        <v>0</v>
      </c>
      <c r="BJ545" s="20">
        <f t="shared" si="48"/>
        <v>29544624</v>
      </c>
      <c r="BL545" s="20">
        <f>'Gov Fd Rv'!AO545-'Gov Fnd Exp'!BJ545</f>
        <v>618181</v>
      </c>
      <c r="BN545" s="1">
        <v>4583485</v>
      </c>
      <c r="BP545" s="1">
        <v>0</v>
      </c>
      <c r="BR545" s="1">
        <v>0</v>
      </c>
      <c r="BT545" s="20">
        <f t="shared" si="49"/>
        <v>5201666</v>
      </c>
      <c r="BU545" s="20"/>
      <c r="BV545" s="20">
        <f>BT545-'Gov Fd BS'!AA545</f>
        <v>0</v>
      </c>
    </row>
    <row r="546" spans="1:74">
      <c r="A546" s="12" t="s">
        <v>527</v>
      </c>
      <c r="B546" s="12"/>
      <c r="C546" s="12" t="s">
        <v>54</v>
      </c>
      <c r="D546" s="12"/>
      <c r="E546" s="13">
        <v>49098</v>
      </c>
      <c r="G546" s="1">
        <v>15195597</v>
      </c>
      <c r="I546" s="1">
        <v>3458924</v>
      </c>
      <c r="K546" s="1">
        <v>726690</v>
      </c>
      <c r="M546" s="1">
        <v>310466</v>
      </c>
      <c r="O546" s="1">
        <v>1199907</v>
      </c>
      <c r="Q546" s="1">
        <v>1450909</v>
      </c>
      <c r="S546" s="1">
        <v>129569</v>
      </c>
      <c r="U546" s="1">
        <v>3430744</v>
      </c>
      <c r="W546" s="1">
        <v>717441</v>
      </c>
      <c r="Y546" s="1">
        <v>207981</v>
      </c>
      <c r="AA546" s="1">
        <v>3406545</v>
      </c>
      <c r="AC546" s="1">
        <v>2094794</v>
      </c>
      <c r="AE546" s="1">
        <v>183326</v>
      </c>
      <c r="AG546" s="1">
        <v>1155844</v>
      </c>
      <c r="AI546" s="1">
        <v>12657</v>
      </c>
      <c r="AJ546" s="12" t="s">
        <v>527</v>
      </c>
      <c r="AK546" s="12"/>
      <c r="AL546" s="12" t="s">
        <v>54</v>
      </c>
      <c r="AN546" s="1">
        <v>1003301</v>
      </c>
      <c r="AP546" s="1">
        <f>22813389+125088</f>
        <v>22938477</v>
      </c>
      <c r="AR546" s="1">
        <v>0</v>
      </c>
      <c r="AT546" s="1">
        <v>1249658</v>
      </c>
      <c r="AV546" s="1">
        <v>1647516</v>
      </c>
      <c r="AX546" s="1">
        <v>0</v>
      </c>
      <c r="AZ546" s="20">
        <f t="shared" si="50"/>
        <v>60520346</v>
      </c>
      <c r="BB546" s="1">
        <v>1054410</v>
      </c>
      <c r="BH546" s="1">
        <v>0</v>
      </c>
      <c r="BJ546" s="20">
        <f t="shared" si="48"/>
        <v>61574756</v>
      </c>
      <c r="BL546" s="20">
        <f>'Gov Fd Rv'!AO546-'Gov Fnd Exp'!BJ546</f>
        <v>-20100494</v>
      </c>
      <c r="BN546" s="1">
        <v>32694626</v>
      </c>
      <c r="BP546" s="1">
        <v>-1520</v>
      </c>
      <c r="BR546" s="1">
        <v>0</v>
      </c>
      <c r="BT546" s="20">
        <f t="shared" si="49"/>
        <v>12592612</v>
      </c>
      <c r="BU546" s="20"/>
      <c r="BV546" s="20">
        <f>BT546-'Gov Fd BS'!AA546</f>
        <v>0</v>
      </c>
    </row>
    <row r="547" spans="1:74">
      <c r="A547" s="12" t="s">
        <v>250</v>
      </c>
      <c r="B547" s="12"/>
      <c r="C547" s="12" t="s">
        <v>17</v>
      </c>
      <c r="D547" s="12"/>
      <c r="E547" s="13">
        <v>46243</v>
      </c>
      <c r="G547" s="1">
        <v>12540412</v>
      </c>
      <c r="I547" s="1">
        <v>3864005</v>
      </c>
      <c r="K547" s="1">
        <v>558824</v>
      </c>
      <c r="M547" s="1">
        <f>5726+53653+894598</f>
        <v>953977</v>
      </c>
      <c r="O547" s="1">
        <v>2010920</v>
      </c>
      <c r="Q547" s="1">
        <v>1457785</v>
      </c>
      <c r="S547" s="1">
        <v>80432</v>
      </c>
      <c r="U547" s="1">
        <v>2837829</v>
      </c>
      <c r="W547" s="1">
        <v>573787</v>
      </c>
      <c r="Y547" s="1">
        <v>64641</v>
      </c>
      <c r="AA547" s="1">
        <v>3337637</v>
      </c>
      <c r="AC547" s="1">
        <v>1449089</v>
      </c>
      <c r="AE547" s="1">
        <v>153046</v>
      </c>
      <c r="AG547" s="1">
        <v>0</v>
      </c>
      <c r="AI547" s="1">
        <v>1509499</v>
      </c>
      <c r="AJ547" s="12" t="s">
        <v>250</v>
      </c>
      <c r="AK547" s="12"/>
      <c r="AL547" s="12" t="s">
        <v>17</v>
      </c>
      <c r="AN547" s="1">
        <v>569860</v>
      </c>
      <c r="AP547" s="1">
        <v>55310</v>
      </c>
      <c r="AR547" s="1">
        <v>2288009</v>
      </c>
      <c r="AT547" s="1">
        <v>470000</v>
      </c>
      <c r="AV547" s="1">
        <v>823744</v>
      </c>
      <c r="AX547" s="1">
        <v>0</v>
      </c>
      <c r="AZ547" s="20">
        <f t="shared" si="50"/>
        <v>35598806</v>
      </c>
      <c r="BB547" s="1">
        <v>731380</v>
      </c>
      <c r="BH547" s="1">
        <v>0</v>
      </c>
      <c r="BJ547" s="20">
        <f t="shared" si="48"/>
        <v>36330186</v>
      </c>
      <c r="BL547" s="20">
        <f>'Gov Fd Rv'!AO547-'Gov Fnd Exp'!BJ547</f>
        <v>-1216430</v>
      </c>
      <c r="BN547" s="1">
        <v>7350546</v>
      </c>
      <c r="BP547" s="1">
        <v>0</v>
      </c>
      <c r="BR547" s="1">
        <v>0</v>
      </c>
      <c r="BT547" s="20">
        <f t="shared" si="49"/>
        <v>6134116</v>
      </c>
      <c r="BU547" s="20"/>
      <c r="BV547" s="20">
        <f>BT547-'Gov Fd BS'!AA547</f>
        <v>0</v>
      </c>
    </row>
    <row r="548" spans="1:74">
      <c r="A548" s="12" t="s">
        <v>910</v>
      </c>
      <c r="B548" s="12"/>
      <c r="C548" s="12" t="s">
        <v>32</v>
      </c>
      <c r="D548" s="12"/>
      <c r="E548" s="13">
        <v>47399</v>
      </c>
      <c r="G548" s="1">
        <v>9844001</v>
      </c>
      <c r="I548" s="1">
        <v>3307617</v>
      </c>
      <c r="K548" s="1">
        <v>8273</v>
      </c>
      <c r="M548" s="1">
        <v>75457</v>
      </c>
      <c r="O548" s="1">
        <v>1355783</v>
      </c>
      <c r="Q548" s="1">
        <v>1557671</v>
      </c>
      <c r="S548" s="1">
        <v>41760</v>
      </c>
      <c r="U548" s="1">
        <v>1549466</v>
      </c>
      <c r="W548" s="1">
        <v>653625</v>
      </c>
      <c r="Y548" s="1">
        <v>5850</v>
      </c>
      <c r="AA548" s="1">
        <v>2002127</v>
      </c>
      <c r="AC548" s="1">
        <v>1331619</v>
      </c>
      <c r="AE548" s="1">
        <v>868178</v>
      </c>
      <c r="AG548" s="1">
        <v>0</v>
      </c>
      <c r="AI548" s="1">
        <v>784078</v>
      </c>
      <c r="AJ548" s="12" t="s">
        <v>910</v>
      </c>
      <c r="AK548" s="12"/>
      <c r="AL548" s="12" t="s">
        <v>32</v>
      </c>
      <c r="AN548" s="1">
        <v>447592</v>
      </c>
      <c r="AP548" s="1">
        <v>370842</v>
      </c>
      <c r="AR548" s="1">
        <v>0</v>
      </c>
      <c r="AT548" s="1">
        <v>0</v>
      </c>
      <c r="AV548" s="1">
        <v>0</v>
      </c>
      <c r="AX548" s="1">
        <v>0</v>
      </c>
      <c r="AZ548" s="20">
        <f t="shared" si="50"/>
        <v>24203939</v>
      </c>
      <c r="BB548" s="1">
        <v>59976</v>
      </c>
      <c r="BH548" s="1">
        <v>0</v>
      </c>
      <c r="BJ548" s="20">
        <f t="shared" si="48"/>
        <v>24263915</v>
      </c>
      <c r="BL548" s="20">
        <f>'Gov Fd Rv'!AO548-'Gov Fnd Exp'!BJ548</f>
        <v>2127043</v>
      </c>
      <c r="BN548" s="1">
        <v>9083250</v>
      </c>
      <c r="BP548" s="1">
        <v>0</v>
      </c>
      <c r="BR548" s="1">
        <v>0</v>
      </c>
      <c r="BT548" s="20">
        <f t="shared" si="49"/>
        <v>11210293</v>
      </c>
      <c r="BU548" s="20"/>
      <c r="BV548" s="20">
        <f>BT548-'Gov Fd BS'!AA548</f>
        <v>0</v>
      </c>
    </row>
    <row r="549" spans="1:74">
      <c r="A549" s="12" t="s">
        <v>568</v>
      </c>
      <c r="B549" s="12"/>
      <c r="C549" s="12" t="s">
        <v>60</v>
      </c>
      <c r="D549" s="12"/>
      <c r="E549" s="13">
        <v>44891</v>
      </c>
      <c r="G549" s="1">
        <v>11249457</v>
      </c>
      <c r="I549" s="1">
        <v>4922866</v>
      </c>
      <c r="K549" s="1">
        <v>215195</v>
      </c>
      <c r="M549" s="1">
        <v>66230</v>
      </c>
      <c r="O549" s="1">
        <v>1158644</v>
      </c>
      <c r="Q549" s="1">
        <v>1782420</v>
      </c>
      <c r="S549" s="1">
        <v>33188</v>
      </c>
      <c r="U549" s="1">
        <v>1793585</v>
      </c>
      <c r="W549" s="1">
        <v>567914</v>
      </c>
      <c r="Y549" s="1">
        <v>58573</v>
      </c>
      <c r="AA549" s="1">
        <v>2364542</v>
      </c>
      <c r="AC549" s="1">
        <v>859803</v>
      </c>
      <c r="AE549" s="1">
        <v>19671</v>
      </c>
      <c r="AG549" s="1">
        <v>861985</v>
      </c>
      <c r="AI549" s="1">
        <v>200618</v>
      </c>
      <c r="AJ549" s="12" t="s">
        <v>568</v>
      </c>
      <c r="AK549" s="12"/>
      <c r="AL549" s="12" t="s">
        <v>60</v>
      </c>
      <c r="AN549" s="1">
        <v>698056</v>
      </c>
      <c r="AP549" s="1">
        <v>192025</v>
      </c>
      <c r="AR549" s="1">
        <v>0</v>
      </c>
      <c r="AT549" s="1">
        <v>635000</v>
      </c>
      <c r="AV549" s="1">
        <v>363920</v>
      </c>
      <c r="AX549" s="1">
        <v>0</v>
      </c>
      <c r="AZ549" s="20">
        <f t="shared" si="50"/>
        <v>28043692</v>
      </c>
      <c r="BB549" s="1">
        <v>256154</v>
      </c>
      <c r="BH549" s="1">
        <v>0</v>
      </c>
      <c r="BJ549" s="20">
        <f t="shared" si="48"/>
        <v>28299846</v>
      </c>
      <c r="BL549" s="20">
        <f>'Gov Fd Rv'!AO549-'Gov Fnd Exp'!BJ549</f>
        <v>8437</v>
      </c>
      <c r="BN549" s="1">
        <v>4345643</v>
      </c>
      <c r="BP549" s="1">
        <v>0</v>
      </c>
      <c r="BR549" s="1">
        <v>0</v>
      </c>
      <c r="BT549" s="20">
        <f t="shared" si="49"/>
        <v>4354080</v>
      </c>
      <c r="BU549" s="20"/>
      <c r="BV549" s="20">
        <f>BT549-'Gov Fd BS'!AA549</f>
        <v>0</v>
      </c>
    </row>
    <row r="550" spans="1:74">
      <c r="A550" s="12" t="s">
        <v>491</v>
      </c>
      <c r="B550" s="12"/>
      <c r="C550" s="12" t="s">
        <v>48</v>
      </c>
      <c r="D550" s="12"/>
      <c r="E550" s="13">
        <v>45617</v>
      </c>
      <c r="G550" s="1">
        <v>13507084</v>
      </c>
      <c r="I550" s="1">
        <v>0</v>
      </c>
      <c r="K550" s="1">
        <v>0</v>
      </c>
      <c r="M550" s="1">
        <v>0</v>
      </c>
      <c r="O550" s="1">
        <v>857595</v>
      </c>
      <c r="Q550" s="1">
        <v>1131918</v>
      </c>
      <c r="S550" s="1">
        <v>28782</v>
      </c>
      <c r="U550" s="1">
        <v>1487604</v>
      </c>
      <c r="W550" s="1">
        <v>550052</v>
      </c>
      <c r="Y550" s="1">
        <v>0</v>
      </c>
      <c r="AA550" s="1">
        <v>2138281</v>
      </c>
      <c r="AC550" s="1">
        <v>988945</v>
      </c>
      <c r="AE550" s="1">
        <v>433346</v>
      </c>
      <c r="AG550" s="1">
        <v>0</v>
      </c>
      <c r="AI550" s="1">
        <f>8256+814259</f>
        <v>822515</v>
      </c>
      <c r="AJ550" s="12" t="s">
        <v>491</v>
      </c>
      <c r="AK550" s="12"/>
      <c r="AL550" s="12" t="s">
        <v>48</v>
      </c>
      <c r="AN550" s="1">
        <v>1167615</v>
      </c>
      <c r="AP550" s="1">
        <v>318293</v>
      </c>
      <c r="AR550" s="1">
        <v>0</v>
      </c>
      <c r="AT550" s="1">
        <v>997792</v>
      </c>
      <c r="AV550" s="1">
        <v>800210</v>
      </c>
      <c r="AX550" s="1">
        <v>0</v>
      </c>
      <c r="AZ550" s="20">
        <f t="shared" si="50"/>
        <v>25230032</v>
      </c>
      <c r="BB550" s="1">
        <v>58500</v>
      </c>
      <c r="BH550" s="1">
        <v>0</v>
      </c>
      <c r="BJ550" s="20">
        <f t="shared" si="48"/>
        <v>25288532</v>
      </c>
      <c r="BL550" s="20">
        <f>'Gov Fd Rv'!AO550-'Gov Fnd Exp'!BJ550</f>
        <v>895157</v>
      </c>
      <c r="BN550" s="1">
        <v>1633709</v>
      </c>
      <c r="BP550" s="1">
        <v>1293</v>
      </c>
      <c r="BR550" s="1">
        <v>0</v>
      </c>
      <c r="BT550" s="20">
        <f t="shared" si="49"/>
        <v>2530159</v>
      </c>
      <c r="BU550" s="20"/>
      <c r="BV550" s="20">
        <f>BT550-'Gov Fd BS'!AA550</f>
        <v>0</v>
      </c>
    </row>
    <row r="551" spans="1:74">
      <c r="A551" s="12" t="s">
        <v>455</v>
      </c>
      <c r="B551" s="12"/>
      <c r="C551" s="12" t="s">
        <v>117</v>
      </c>
      <c r="D551" s="12"/>
      <c r="E551" s="13">
        <v>44909</v>
      </c>
      <c r="G551" s="1">
        <v>251020566</v>
      </c>
      <c r="I551" s="1">
        <v>0</v>
      </c>
      <c r="K551" s="1">
        <v>0</v>
      </c>
      <c r="M551" s="1">
        <v>0</v>
      </c>
      <c r="O551" s="1">
        <v>138912335</v>
      </c>
      <c r="Q551" s="1">
        <v>0</v>
      </c>
      <c r="S551" s="1">
        <v>0</v>
      </c>
      <c r="U551" s="1">
        <v>0</v>
      </c>
      <c r="W551" s="1">
        <v>0</v>
      </c>
      <c r="Y551" s="1">
        <v>0</v>
      </c>
      <c r="AA551" s="1">
        <v>0</v>
      </c>
      <c r="AC551" s="1">
        <v>0</v>
      </c>
      <c r="AE551" s="1">
        <v>0</v>
      </c>
      <c r="AG551" s="1">
        <v>25184615</v>
      </c>
      <c r="AI551" s="1">
        <v>0</v>
      </c>
      <c r="AJ551" s="12" t="s">
        <v>455</v>
      </c>
      <c r="AK551" s="12"/>
      <c r="AL551" s="12" t="s">
        <v>117</v>
      </c>
      <c r="AN551" s="1">
        <v>5289492</v>
      </c>
      <c r="AP551" s="1">
        <v>20583735</v>
      </c>
      <c r="AR551" s="1">
        <v>0</v>
      </c>
      <c r="AT551" s="1">
        <v>7835000</v>
      </c>
      <c r="AV551" s="1">
        <v>8361259</v>
      </c>
      <c r="AX551" s="1">
        <v>0</v>
      </c>
      <c r="AZ551" s="20">
        <f t="shared" si="50"/>
        <v>457187002</v>
      </c>
      <c r="BB551" s="1">
        <v>8429486</v>
      </c>
      <c r="BH551" s="1">
        <v>0</v>
      </c>
      <c r="BJ551" s="20">
        <f t="shared" si="48"/>
        <v>465616488</v>
      </c>
      <c r="BL551" s="20">
        <f>'Gov Fd Rv'!AO551-'Gov Fnd Exp'!BJ551</f>
        <v>32932428</v>
      </c>
      <c r="BN551" s="1">
        <v>120114473</v>
      </c>
      <c r="BP551" s="1">
        <v>0</v>
      </c>
      <c r="BR551" s="1">
        <v>0</v>
      </c>
      <c r="BT551" s="20">
        <f t="shared" si="49"/>
        <v>153046901</v>
      </c>
      <c r="BU551" s="20"/>
      <c r="BV551" s="20">
        <f>BT551-'Gov Fd BS'!AA551</f>
        <v>0</v>
      </c>
    </row>
    <row r="552" spans="1:74" hidden="1">
      <c r="A552" s="12" t="s">
        <v>952</v>
      </c>
      <c r="B552" s="12"/>
      <c r="C552" s="12" t="s">
        <v>117</v>
      </c>
      <c r="D552" s="12"/>
      <c r="E552" s="13"/>
      <c r="AJ552" s="12" t="s">
        <v>952</v>
      </c>
      <c r="AK552" s="12"/>
      <c r="AL552" s="12" t="s">
        <v>117</v>
      </c>
      <c r="AZ552" s="20">
        <f t="shared" si="50"/>
        <v>0</v>
      </c>
      <c r="BJ552" s="20">
        <f t="shared" si="48"/>
        <v>0</v>
      </c>
      <c r="BL552" s="20">
        <f>'Gov Fd Rv'!AO552-'Gov Fnd Exp'!BJ552</f>
        <v>0</v>
      </c>
      <c r="BT552" s="20">
        <f t="shared" si="49"/>
        <v>0</v>
      </c>
      <c r="BU552" s="20"/>
      <c r="BV552" s="20">
        <f>BT552-'Gov Fd BS'!AA552</f>
        <v>0</v>
      </c>
    </row>
    <row r="553" spans="1:74">
      <c r="A553" s="12" t="s">
        <v>902</v>
      </c>
      <c r="B553" s="12"/>
      <c r="C553" s="12" t="s">
        <v>39</v>
      </c>
      <c r="D553" s="12"/>
      <c r="E553" s="13">
        <v>44917</v>
      </c>
      <c r="G553" s="1">
        <v>3616116</v>
      </c>
      <c r="I553" s="1">
        <v>1187239</v>
      </c>
      <c r="K553" s="1">
        <v>120849</v>
      </c>
      <c r="M553" s="1">
        <f>78743+44966</f>
        <v>123709</v>
      </c>
      <c r="O553" s="1">
        <v>345415</v>
      </c>
      <c r="Q553" s="1">
        <v>269498</v>
      </c>
      <c r="S553" s="1">
        <v>9694</v>
      </c>
      <c r="U553" s="1">
        <v>943991</v>
      </c>
      <c r="W553" s="1">
        <v>296592</v>
      </c>
      <c r="Y553" s="1">
        <v>61326</v>
      </c>
      <c r="AA553" s="1">
        <v>1013798</v>
      </c>
      <c r="AC553" s="1">
        <v>151335</v>
      </c>
      <c r="AE553" s="1">
        <v>766</v>
      </c>
      <c r="AG553" s="1">
        <v>0</v>
      </c>
      <c r="AI553" s="1">
        <v>384882</v>
      </c>
      <c r="AJ553" s="12" t="s">
        <v>902</v>
      </c>
      <c r="AK553" s="12"/>
      <c r="AL553" s="12" t="s">
        <v>39</v>
      </c>
      <c r="AN553" s="1">
        <v>270999</v>
      </c>
      <c r="AP553" s="1">
        <v>0</v>
      </c>
      <c r="AR553" s="1">
        <v>0</v>
      </c>
      <c r="AT553" s="1">
        <v>9273</v>
      </c>
      <c r="AV553" s="1">
        <v>1794</v>
      </c>
      <c r="AX553" s="1">
        <v>0</v>
      </c>
      <c r="AZ553" s="20">
        <f t="shared" si="50"/>
        <v>8807276</v>
      </c>
      <c r="BB553" s="1">
        <v>25000</v>
      </c>
      <c r="BH553" s="1">
        <v>0</v>
      </c>
      <c r="BJ553" s="20">
        <f t="shared" si="48"/>
        <v>8832276</v>
      </c>
      <c r="BL553" s="20">
        <f>'Gov Fd Rv'!AO553-'Gov Fnd Exp'!BJ553</f>
        <v>-342006</v>
      </c>
      <c r="BN553" s="1">
        <v>2715861</v>
      </c>
      <c r="BP553" s="1">
        <v>0</v>
      </c>
      <c r="BR553" s="1">
        <v>0</v>
      </c>
      <c r="BT553" s="20">
        <f t="shared" si="49"/>
        <v>2373855</v>
      </c>
      <c r="BU553" s="20"/>
      <c r="BV553" s="20">
        <f>BT553-'Gov Fd BS'!AA553</f>
        <v>0</v>
      </c>
    </row>
    <row r="554" spans="1:74">
      <c r="A554" s="12" t="s">
        <v>242</v>
      </c>
      <c r="B554" s="12"/>
      <c r="C554" s="12" t="s">
        <v>240</v>
      </c>
      <c r="D554" s="12"/>
      <c r="E554" s="13">
        <v>46201</v>
      </c>
      <c r="G554" s="1">
        <v>4661080</v>
      </c>
      <c r="I554" s="1">
        <v>1354188</v>
      </c>
      <c r="K554" s="1">
        <v>213747</v>
      </c>
      <c r="M554" s="1">
        <v>42640</v>
      </c>
      <c r="O554" s="1">
        <v>327827</v>
      </c>
      <c r="Q554" s="1">
        <v>243095</v>
      </c>
      <c r="S554" s="1">
        <v>43536</v>
      </c>
      <c r="U554" s="1">
        <v>779892</v>
      </c>
      <c r="W554" s="1">
        <v>283538</v>
      </c>
      <c r="Y554" s="1">
        <v>7837</v>
      </c>
      <c r="AA554" s="1">
        <v>1071190</v>
      </c>
      <c r="AC554" s="1">
        <v>895774</v>
      </c>
      <c r="AE554" s="1">
        <v>196189</v>
      </c>
      <c r="AG554" s="1">
        <v>456010</v>
      </c>
      <c r="AI554" s="1">
        <v>4382</v>
      </c>
      <c r="AJ554" s="12" t="s">
        <v>242</v>
      </c>
      <c r="AK554" s="12"/>
      <c r="AL554" s="12" t="s">
        <v>240</v>
      </c>
      <c r="AN554" s="1">
        <v>419315</v>
      </c>
      <c r="AP554" s="1">
        <v>0</v>
      </c>
      <c r="AR554" s="1">
        <v>0</v>
      </c>
      <c r="AT554" s="1">
        <v>205000</v>
      </c>
      <c r="AV554" s="1">
        <v>201629</v>
      </c>
      <c r="AX554" s="1">
        <v>0</v>
      </c>
      <c r="AZ554" s="20">
        <f t="shared" si="50"/>
        <v>11406869</v>
      </c>
      <c r="BB554" s="1">
        <v>163942</v>
      </c>
      <c r="BH554" s="1">
        <v>0</v>
      </c>
      <c r="BJ554" s="20">
        <f t="shared" si="48"/>
        <v>11570811</v>
      </c>
      <c r="BL554" s="20">
        <f>'Gov Fd Rv'!AO554-'Gov Fnd Exp'!BJ554</f>
        <v>-368730</v>
      </c>
      <c r="BN554" s="1">
        <v>1764315</v>
      </c>
      <c r="BP554" s="1">
        <v>0</v>
      </c>
      <c r="BR554" s="1">
        <v>0</v>
      </c>
      <c r="BT554" s="20">
        <f t="shared" si="49"/>
        <v>1395585</v>
      </c>
      <c r="BU554" s="20"/>
      <c r="BV554" s="20">
        <f>BT554-'Gov Fd BS'!AA554</f>
        <v>0</v>
      </c>
    </row>
    <row r="555" spans="1:74">
      <c r="A555" s="12" t="s">
        <v>541</v>
      </c>
      <c r="B555" s="12"/>
      <c r="C555" s="12" t="s">
        <v>57</v>
      </c>
      <c r="D555" s="12"/>
      <c r="E555" s="13">
        <v>91397</v>
      </c>
      <c r="G555" s="1">
        <v>5044756</v>
      </c>
      <c r="I555" s="1">
        <v>934033</v>
      </c>
      <c r="K555" s="1">
        <v>100166</v>
      </c>
      <c r="M555" s="1">
        <v>0</v>
      </c>
      <c r="O555" s="1">
        <v>575182</v>
      </c>
      <c r="Q555" s="1">
        <v>474073</v>
      </c>
      <c r="S555" s="1">
        <v>21801</v>
      </c>
      <c r="U555" s="1">
        <v>1095215</v>
      </c>
      <c r="W555" s="1">
        <v>223974</v>
      </c>
      <c r="Y555" s="1">
        <v>0</v>
      </c>
      <c r="AA555" s="1">
        <v>821871</v>
      </c>
      <c r="AC555" s="1">
        <v>472047</v>
      </c>
      <c r="AE555" s="1">
        <v>29200</v>
      </c>
      <c r="AG555" s="1">
        <v>0</v>
      </c>
      <c r="AI555" s="1">
        <v>437126</v>
      </c>
      <c r="AJ555" s="12" t="s">
        <v>541</v>
      </c>
      <c r="AK555" s="12"/>
      <c r="AL555" s="12" t="s">
        <v>57</v>
      </c>
      <c r="AN555" s="1">
        <v>384929</v>
      </c>
      <c r="AP555" s="1">
        <v>0</v>
      </c>
      <c r="AR555" s="1">
        <v>0</v>
      </c>
      <c r="AT555" s="1">
        <v>320000</v>
      </c>
      <c r="AV555" s="1">
        <v>9455</v>
      </c>
      <c r="AX555" s="1">
        <v>0</v>
      </c>
      <c r="AZ555" s="20">
        <f t="shared" si="50"/>
        <v>10943828</v>
      </c>
      <c r="BB555" s="1">
        <v>321401</v>
      </c>
      <c r="BH555" s="1">
        <v>0</v>
      </c>
      <c r="BJ555" s="20">
        <f t="shared" si="48"/>
        <v>11265229</v>
      </c>
      <c r="BL555" s="20">
        <f>'Gov Fd Rv'!AO555-'Gov Fnd Exp'!BJ555</f>
        <v>-334942</v>
      </c>
      <c r="BN555" s="1">
        <v>4169366</v>
      </c>
      <c r="BP555" s="1">
        <v>0</v>
      </c>
      <c r="BR555" s="1">
        <v>0</v>
      </c>
      <c r="BT555" s="20">
        <f t="shared" si="49"/>
        <v>3834424</v>
      </c>
      <c r="BU555" s="20"/>
      <c r="BV555" s="20">
        <f>BT555-'Gov Fd BS'!AA555</f>
        <v>0</v>
      </c>
    </row>
    <row r="556" spans="1:74">
      <c r="A556" s="12" t="s">
        <v>216</v>
      </c>
      <c r="B556" s="12"/>
      <c r="C556" s="12" t="s">
        <v>13</v>
      </c>
      <c r="D556" s="12"/>
      <c r="E556" s="13">
        <v>45922</v>
      </c>
      <c r="G556" s="1">
        <v>3633994</v>
      </c>
      <c r="I556" s="1">
        <v>1914563</v>
      </c>
      <c r="K556" s="1">
        <v>71393</v>
      </c>
      <c r="M556" s="1">
        <f>36670+726954</f>
        <v>763624</v>
      </c>
      <c r="O556" s="1">
        <v>686274</v>
      </c>
      <c r="Q556" s="1">
        <v>549046</v>
      </c>
      <c r="S556" s="1">
        <v>79398</v>
      </c>
      <c r="U556" s="1">
        <v>771594</v>
      </c>
      <c r="W556" s="1">
        <v>275952</v>
      </c>
      <c r="Y556" s="1">
        <v>0</v>
      </c>
      <c r="AA556" s="1">
        <v>981671</v>
      </c>
      <c r="AC556" s="1">
        <v>562908</v>
      </c>
      <c r="AE556" s="1">
        <v>17984</v>
      </c>
      <c r="AG556" s="1">
        <v>0</v>
      </c>
      <c r="AI556" s="1">
        <v>462795</v>
      </c>
      <c r="AJ556" s="12" t="s">
        <v>216</v>
      </c>
      <c r="AK556" s="12"/>
      <c r="AL556" s="12" t="s">
        <v>13</v>
      </c>
      <c r="AN556" s="1">
        <v>160253</v>
      </c>
      <c r="AP556" s="1">
        <v>8040</v>
      </c>
      <c r="AR556" s="1">
        <v>0</v>
      </c>
      <c r="AT556" s="1">
        <v>115202</v>
      </c>
      <c r="AV556" s="1">
        <v>33179</v>
      </c>
      <c r="AX556" s="1">
        <v>0</v>
      </c>
      <c r="AZ556" s="20">
        <f t="shared" si="50"/>
        <v>11087870</v>
      </c>
      <c r="BB556" s="1">
        <v>12310</v>
      </c>
      <c r="BH556" s="1">
        <v>0</v>
      </c>
      <c r="BJ556" s="20">
        <f t="shared" si="48"/>
        <v>11100180</v>
      </c>
      <c r="BL556" s="20">
        <f>'Gov Fd Rv'!AO556-'Gov Fnd Exp'!BJ556</f>
        <v>527730</v>
      </c>
      <c r="BN556" s="1">
        <v>116396</v>
      </c>
      <c r="BP556" s="1">
        <v>0</v>
      </c>
      <c r="BR556" s="1">
        <v>0</v>
      </c>
      <c r="BT556" s="20">
        <f t="shared" si="49"/>
        <v>644126</v>
      </c>
      <c r="BU556" s="20"/>
      <c r="BV556" s="20">
        <f>BT556-'Gov Fd BS'!AA556</f>
        <v>0</v>
      </c>
    </row>
    <row r="557" spans="1:74">
      <c r="A557" s="12" t="s">
        <v>514</v>
      </c>
      <c r="B557" s="12"/>
      <c r="C557" s="12" t="s">
        <v>51</v>
      </c>
      <c r="D557" s="12"/>
      <c r="E557" s="13">
        <v>48876</v>
      </c>
      <c r="G557" s="1">
        <v>11783055</v>
      </c>
      <c r="I557" s="1">
        <v>3085405</v>
      </c>
      <c r="K557" s="1">
        <v>343257</v>
      </c>
      <c r="M557" s="1">
        <v>14778</v>
      </c>
      <c r="O557" s="1">
        <v>819286</v>
      </c>
      <c r="Q557" s="1">
        <v>1231646</v>
      </c>
      <c r="S557" s="1">
        <v>1589316</v>
      </c>
      <c r="U557" s="1">
        <v>2227372</v>
      </c>
      <c r="W557" s="1">
        <v>535810</v>
      </c>
      <c r="Y557" s="1">
        <v>0</v>
      </c>
      <c r="AA557" s="1">
        <v>2586678</v>
      </c>
      <c r="AC557" s="1">
        <v>1703795</v>
      </c>
      <c r="AE557" s="1">
        <v>307327</v>
      </c>
      <c r="AG557" s="1">
        <v>1185112</v>
      </c>
      <c r="AI557" s="1">
        <v>1345</v>
      </c>
      <c r="AJ557" s="12" t="s">
        <v>514</v>
      </c>
      <c r="AK557" s="12"/>
      <c r="AL557" s="12" t="s">
        <v>51</v>
      </c>
      <c r="AN557" s="1">
        <v>14761</v>
      </c>
      <c r="AP557" s="1">
        <v>1036595</v>
      </c>
      <c r="AR557" s="1">
        <v>0</v>
      </c>
      <c r="AT557" s="1">
        <v>379854</v>
      </c>
      <c r="AV557" s="1">
        <v>747158</v>
      </c>
      <c r="AX557" s="1">
        <v>0</v>
      </c>
      <c r="AZ557" s="20">
        <f t="shared" si="50"/>
        <v>29592550</v>
      </c>
      <c r="BB557" s="1">
        <v>0</v>
      </c>
      <c r="BH557" s="1">
        <v>0</v>
      </c>
      <c r="BJ557" s="20">
        <f t="shared" si="48"/>
        <v>29592550</v>
      </c>
      <c r="BL557" s="20">
        <f>'Gov Fd Rv'!AO557-'Gov Fnd Exp'!BJ557</f>
        <v>-508190</v>
      </c>
      <c r="BN557" s="1">
        <v>4632909</v>
      </c>
      <c r="BP557" s="1">
        <v>0</v>
      </c>
      <c r="BR557" s="1">
        <v>0</v>
      </c>
      <c r="BT557" s="20">
        <f t="shared" si="49"/>
        <v>4124719</v>
      </c>
      <c r="BU557" s="20"/>
      <c r="BV557" s="20">
        <f>BT557-'Gov Fd BS'!AA557</f>
        <v>0</v>
      </c>
    </row>
    <row r="558" spans="1:74" hidden="1">
      <c r="A558" s="17" t="s">
        <v>859</v>
      </c>
      <c r="B558" s="12"/>
      <c r="C558" s="12" t="s">
        <v>21</v>
      </c>
      <c r="D558" s="12"/>
      <c r="E558" s="13">
        <v>46680</v>
      </c>
      <c r="AJ558" s="17" t="s">
        <v>859</v>
      </c>
      <c r="AK558" s="12"/>
      <c r="AL558" s="12" t="s">
        <v>21</v>
      </c>
      <c r="AZ558" s="20">
        <f t="shared" si="50"/>
        <v>0</v>
      </c>
      <c r="BJ558" s="20">
        <f t="shared" si="48"/>
        <v>0</v>
      </c>
      <c r="BL558" s="20">
        <f>'Gov Fd Rv'!AO558-'Gov Fnd Exp'!BJ558</f>
        <v>0</v>
      </c>
      <c r="BT558" s="20">
        <f t="shared" si="49"/>
        <v>0</v>
      </c>
      <c r="BU558" s="20"/>
      <c r="BV558" s="20">
        <f>BT558-'Gov Fd BS'!AA558</f>
        <v>0</v>
      </c>
    </row>
    <row r="559" spans="1:74" hidden="1">
      <c r="A559" s="17" t="s">
        <v>933</v>
      </c>
      <c r="B559" s="12"/>
      <c r="C559" s="12" t="s">
        <v>71</v>
      </c>
      <c r="D559" s="12"/>
      <c r="E559" s="13">
        <v>50591</v>
      </c>
      <c r="AJ559" s="17" t="s">
        <v>933</v>
      </c>
      <c r="AK559" s="12"/>
      <c r="AL559" s="12" t="s">
        <v>71</v>
      </c>
      <c r="AZ559" s="20">
        <f t="shared" si="50"/>
        <v>0</v>
      </c>
      <c r="BJ559" s="20">
        <f t="shared" si="48"/>
        <v>0</v>
      </c>
      <c r="BL559" s="20">
        <f>'Gov Fd Rv'!AO559-'Gov Fnd Exp'!BJ559</f>
        <v>0</v>
      </c>
      <c r="BT559" s="20">
        <f t="shared" si="49"/>
        <v>0</v>
      </c>
      <c r="BU559" s="20"/>
      <c r="BV559" s="20">
        <f>BT559-'Gov Fd BS'!AA559</f>
        <v>0</v>
      </c>
    </row>
    <row r="560" spans="1:74">
      <c r="A560" s="12" t="s">
        <v>505</v>
      </c>
      <c r="B560" s="12"/>
      <c r="C560" s="12" t="s">
        <v>50</v>
      </c>
      <c r="D560" s="12"/>
      <c r="E560" s="13">
        <v>48694</v>
      </c>
      <c r="G560" s="1">
        <v>16745607</v>
      </c>
      <c r="I560" s="1">
        <v>4670027</v>
      </c>
      <c r="K560" s="1">
        <v>0</v>
      </c>
      <c r="M560" s="1">
        <v>824641</v>
      </c>
      <c r="O560" s="1">
        <v>2202682</v>
      </c>
      <c r="Q560" s="1">
        <v>2094894</v>
      </c>
      <c r="S560" s="1">
        <v>50415</v>
      </c>
      <c r="U560" s="1">
        <v>2358583</v>
      </c>
      <c r="W560" s="1">
        <v>623377</v>
      </c>
      <c r="Y560" s="1">
        <v>578275</v>
      </c>
      <c r="AA560" s="1">
        <v>3376876</v>
      </c>
      <c r="AC560" s="1">
        <v>1491018</v>
      </c>
      <c r="AE560" s="1">
        <v>1736597</v>
      </c>
      <c r="AG560" s="1">
        <v>0</v>
      </c>
      <c r="AI560" s="1">
        <v>2174086</v>
      </c>
      <c r="AJ560" s="12" t="s">
        <v>505</v>
      </c>
      <c r="AK560" s="12"/>
      <c r="AL560" s="12" t="s">
        <v>50</v>
      </c>
      <c r="AN560" s="1">
        <v>501411</v>
      </c>
      <c r="AP560" s="1">
        <v>2573793</v>
      </c>
      <c r="AR560" s="1">
        <v>0</v>
      </c>
      <c r="AT560" s="1">
        <v>740000</v>
      </c>
      <c r="AV560" s="1">
        <v>1724964</v>
      </c>
      <c r="AX560" s="1">
        <v>0</v>
      </c>
      <c r="AZ560" s="20">
        <f t="shared" si="50"/>
        <v>44467246</v>
      </c>
      <c r="BB560" s="1">
        <v>448118</v>
      </c>
      <c r="BH560" s="1">
        <v>0</v>
      </c>
      <c r="BJ560" s="20">
        <f t="shared" si="48"/>
        <v>44915364</v>
      </c>
      <c r="BL560" s="20">
        <f>'Gov Fd Rv'!AO560-'Gov Fnd Exp'!BJ560</f>
        <v>-1124444</v>
      </c>
      <c r="BN560" s="1">
        <v>18054049</v>
      </c>
      <c r="BP560" s="1">
        <v>0</v>
      </c>
      <c r="BR560" s="1">
        <v>0</v>
      </c>
      <c r="BT560" s="20">
        <f t="shared" si="49"/>
        <v>16929605</v>
      </c>
      <c r="BU560" s="20"/>
      <c r="BV560" s="20">
        <f>BT560-'Gov Fd BS'!AA560</f>
        <v>0</v>
      </c>
    </row>
    <row r="561" spans="1:74">
      <c r="A561" s="12" t="s">
        <v>492</v>
      </c>
      <c r="B561" s="12"/>
      <c r="C561" s="12" t="s">
        <v>48</v>
      </c>
      <c r="D561" s="12"/>
      <c r="E561" s="13">
        <v>44925</v>
      </c>
      <c r="G561" s="1">
        <v>23205828</v>
      </c>
      <c r="I561" s="1">
        <v>5820169</v>
      </c>
      <c r="K561" s="1">
        <v>18504</v>
      </c>
      <c r="M561" s="1">
        <v>2101992</v>
      </c>
      <c r="O561" s="1">
        <v>2097302</v>
      </c>
      <c r="Q561" s="1">
        <v>1084779</v>
      </c>
      <c r="S561" s="1">
        <v>710876</v>
      </c>
      <c r="U561" s="1">
        <v>3414772</v>
      </c>
      <c r="W561" s="1">
        <v>527309</v>
      </c>
      <c r="Y561" s="1">
        <v>620840</v>
      </c>
      <c r="AA561" s="1">
        <v>3479693</v>
      </c>
      <c r="AC561" s="1">
        <v>1742197</v>
      </c>
      <c r="AE561" s="1">
        <v>56622</v>
      </c>
      <c r="AG561" s="1">
        <v>0</v>
      </c>
      <c r="AI561" s="1">
        <v>2902272</v>
      </c>
      <c r="AJ561" s="12" t="s">
        <v>492</v>
      </c>
      <c r="AK561" s="12"/>
      <c r="AL561" s="12" t="s">
        <v>48</v>
      </c>
      <c r="AN561" s="1">
        <v>163822</v>
      </c>
      <c r="AP561" s="1">
        <v>1855034</v>
      </c>
      <c r="AR561" s="1">
        <v>0</v>
      </c>
      <c r="AT561" s="1">
        <v>712669</v>
      </c>
      <c r="AV561" s="1">
        <v>844103</v>
      </c>
      <c r="AX561" s="1">
        <v>0</v>
      </c>
      <c r="AZ561" s="20">
        <f t="shared" si="50"/>
        <v>51358783</v>
      </c>
      <c r="BB561" s="1">
        <v>62054</v>
      </c>
      <c r="BH561" s="1">
        <v>18000</v>
      </c>
      <c r="BJ561" s="20">
        <f t="shared" si="48"/>
        <v>51438837</v>
      </c>
      <c r="BL561" s="20">
        <f>'Gov Fd Rv'!AO561-'Gov Fnd Exp'!BJ561</f>
        <v>484061</v>
      </c>
      <c r="BN561" s="1">
        <v>12800517</v>
      </c>
      <c r="BP561" s="1">
        <v>0</v>
      </c>
      <c r="BR561" s="1">
        <v>0</v>
      </c>
      <c r="BT561" s="20">
        <f t="shared" si="49"/>
        <v>13284578</v>
      </c>
      <c r="BU561" s="20"/>
      <c r="BV561" s="20">
        <f>BT561-'Gov Fd BS'!AA561</f>
        <v>0</v>
      </c>
    </row>
    <row r="562" spans="1:74">
      <c r="A562" s="12" t="s">
        <v>624</v>
      </c>
      <c r="B562" s="12"/>
      <c r="C562" s="12" t="s">
        <v>65</v>
      </c>
      <c r="D562" s="12"/>
      <c r="E562" s="13">
        <v>50302</v>
      </c>
      <c r="G562" s="1">
        <v>5709025</v>
      </c>
      <c r="I562" s="1">
        <v>857556</v>
      </c>
      <c r="K562" s="1">
        <v>144963</v>
      </c>
      <c r="M562" s="1">
        <v>996464</v>
      </c>
      <c r="O562" s="1">
        <v>673127</v>
      </c>
      <c r="Q562" s="1">
        <v>840665</v>
      </c>
      <c r="S562" s="1">
        <v>19272</v>
      </c>
      <c r="U562" s="1">
        <v>1003845</v>
      </c>
      <c r="W562" s="1">
        <v>362785</v>
      </c>
      <c r="Y562" s="1">
        <v>0</v>
      </c>
      <c r="AA562" s="1">
        <v>995804</v>
      </c>
      <c r="AC562" s="1">
        <v>794127</v>
      </c>
      <c r="AE562" s="1">
        <v>99277</v>
      </c>
      <c r="AG562" s="1">
        <v>523717</v>
      </c>
      <c r="AI562" s="1">
        <v>7327</v>
      </c>
      <c r="AJ562" s="12" t="s">
        <v>624</v>
      </c>
      <c r="AK562" s="12"/>
      <c r="AL562" s="12" t="s">
        <v>65</v>
      </c>
      <c r="AN562" s="1">
        <v>390755</v>
      </c>
      <c r="AP562" s="1">
        <v>197418</v>
      </c>
      <c r="AR562" s="1">
        <v>0</v>
      </c>
      <c r="AT562" s="1">
        <v>572960</v>
      </c>
      <c r="AV562" s="1">
        <v>89597</v>
      </c>
      <c r="AX562" s="1">
        <v>0</v>
      </c>
      <c r="AZ562" s="20">
        <f t="shared" si="50"/>
        <v>14278684</v>
      </c>
      <c r="BB562" s="1">
        <v>30247</v>
      </c>
      <c r="BH562" s="1">
        <v>0</v>
      </c>
      <c r="BJ562" s="20">
        <f t="shared" si="48"/>
        <v>14308931</v>
      </c>
      <c r="BL562" s="20">
        <f>'Gov Fd Rv'!AO562-'Gov Fnd Exp'!BJ562</f>
        <v>47804</v>
      </c>
      <c r="BN562" s="1">
        <v>2315938</v>
      </c>
      <c r="BP562" s="1">
        <v>-8153</v>
      </c>
      <c r="BR562" s="1">
        <v>0</v>
      </c>
      <c r="BT562" s="20">
        <f t="shared" si="49"/>
        <v>2355589</v>
      </c>
      <c r="BU562" s="20"/>
      <c r="BV562" s="20">
        <f>BT562-'Gov Fd BS'!AA562</f>
        <v>0</v>
      </c>
    </row>
    <row r="563" spans="1:74">
      <c r="A563" s="12" t="s">
        <v>585</v>
      </c>
      <c r="B563" s="12"/>
      <c r="C563" s="12" t="s">
        <v>62</v>
      </c>
      <c r="D563" s="12"/>
      <c r="E563" s="13">
        <v>49957</v>
      </c>
      <c r="G563" s="1">
        <v>5513992</v>
      </c>
      <c r="I563" s="1">
        <v>1690422</v>
      </c>
      <c r="K563" s="1">
        <v>201766</v>
      </c>
      <c r="M563" s="1">
        <v>16026</v>
      </c>
      <c r="O563" s="1">
        <v>697081</v>
      </c>
      <c r="Q563" s="1">
        <v>408192</v>
      </c>
      <c r="S563" s="1">
        <v>14358</v>
      </c>
      <c r="U563" s="1">
        <v>1080351</v>
      </c>
      <c r="W563" s="1">
        <v>349371</v>
      </c>
      <c r="Y563" s="1">
        <v>45525</v>
      </c>
      <c r="AA563" s="1">
        <v>965699</v>
      </c>
      <c r="AC563" s="1">
        <v>888220</v>
      </c>
      <c r="AE563" s="1">
        <v>20770</v>
      </c>
      <c r="AG563" s="1">
        <v>0</v>
      </c>
      <c r="AI563" s="1">
        <v>520602</v>
      </c>
      <c r="AJ563" s="12" t="s">
        <v>585</v>
      </c>
      <c r="AK563" s="12"/>
      <c r="AL563" s="12" t="s">
        <v>62</v>
      </c>
      <c r="AN563" s="1">
        <v>655908</v>
      </c>
      <c r="AP563" s="1">
        <v>1961878</v>
      </c>
      <c r="AR563" s="1">
        <v>0</v>
      </c>
      <c r="AT563" s="1">
        <v>460599</v>
      </c>
      <c r="AV563" s="1">
        <v>555210</v>
      </c>
      <c r="AX563" s="1">
        <v>0</v>
      </c>
      <c r="AZ563" s="20">
        <f t="shared" si="50"/>
        <v>16045970</v>
      </c>
      <c r="BB563" s="1">
        <v>93112</v>
      </c>
      <c r="BH563" s="1">
        <v>0</v>
      </c>
      <c r="BJ563" s="20">
        <f t="shared" ref="BJ563:BJ564" si="51">AZ563+BB563+BH563</f>
        <v>16139082</v>
      </c>
      <c r="BL563" s="20">
        <f>'Gov Fd Rv'!AO563-'Gov Fnd Exp'!BJ563</f>
        <v>6843993</v>
      </c>
      <c r="BN563" s="1">
        <v>3487889</v>
      </c>
      <c r="BP563" s="1">
        <v>0</v>
      </c>
      <c r="BR563" s="1">
        <v>0</v>
      </c>
      <c r="BT563" s="20">
        <f t="shared" ref="BT563:BT564" si="52">BL563+BN563+BP563+BR563</f>
        <v>10331882</v>
      </c>
      <c r="BU563" s="20"/>
      <c r="BV563" s="20">
        <f>BT563-'Gov Fd BS'!AA563</f>
        <v>0</v>
      </c>
    </row>
    <row r="564" spans="1:74" hidden="1">
      <c r="A564" s="17" t="s">
        <v>865</v>
      </c>
      <c r="B564" s="12"/>
      <c r="C564" s="12" t="s">
        <v>57</v>
      </c>
      <c r="D564" s="12"/>
      <c r="E564" s="13">
        <v>49296</v>
      </c>
      <c r="AJ564" s="17" t="s">
        <v>865</v>
      </c>
      <c r="AK564" s="12"/>
      <c r="AL564" s="12" t="s">
        <v>57</v>
      </c>
      <c r="AZ564" s="20">
        <f t="shared" si="50"/>
        <v>0</v>
      </c>
      <c r="BJ564" s="20">
        <f t="shared" si="51"/>
        <v>0</v>
      </c>
      <c r="BL564" s="20">
        <f>'Gov Fd Rv'!AO564-'Gov Fnd Exp'!BJ564</f>
        <v>0</v>
      </c>
      <c r="BT564" s="20">
        <f t="shared" si="52"/>
        <v>0</v>
      </c>
      <c r="BU564" s="20"/>
      <c r="BV564" s="20">
        <f>BT564-'Gov Fd BS'!AA564</f>
        <v>0</v>
      </c>
    </row>
    <row r="565" spans="1:74">
      <c r="A565" s="12" t="s">
        <v>597</v>
      </c>
      <c r="B565" s="12"/>
      <c r="C565" s="12" t="s">
        <v>63</v>
      </c>
      <c r="D565" s="12"/>
      <c r="E565" s="13">
        <v>50070</v>
      </c>
      <c r="G565" s="20">
        <v>20624972</v>
      </c>
      <c r="H565" s="20"/>
      <c r="I565" s="20">
        <v>2904399</v>
      </c>
      <c r="J565" s="20"/>
      <c r="K565" s="20">
        <v>313703</v>
      </c>
      <c r="L565" s="20"/>
      <c r="M565" s="20">
        <v>61741</v>
      </c>
      <c r="N565" s="20"/>
      <c r="O565" s="20">
        <v>2712163</v>
      </c>
      <c r="P565" s="20"/>
      <c r="Q565" s="20">
        <v>2364537</v>
      </c>
      <c r="R565" s="20"/>
      <c r="S565" s="20">
        <v>339020</v>
      </c>
      <c r="T565" s="20"/>
      <c r="U565" s="20">
        <v>3150408</v>
      </c>
      <c r="V565" s="20"/>
      <c r="W565" s="20">
        <v>1126088</v>
      </c>
      <c r="X565" s="20"/>
      <c r="Y565" s="20">
        <v>96131</v>
      </c>
      <c r="Z565" s="20"/>
      <c r="AA565" s="20">
        <v>4734987</v>
      </c>
      <c r="AB565" s="20"/>
      <c r="AC565" s="20">
        <v>2711926</v>
      </c>
      <c r="AD565" s="20"/>
      <c r="AE565" s="20">
        <v>819332</v>
      </c>
      <c r="AF565" s="20"/>
      <c r="AG565" s="20">
        <v>1407658</v>
      </c>
      <c r="AH565" s="20"/>
      <c r="AI565" s="20">
        <v>2056</v>
      </c>
      <c r="AJ565" s="12" t="s">
        <v>597</v>
      </c>
      <c r="AK565" s="12"/>
      <c r="AL565" s="12" t="s">
        <v>63</v>
      </c>
      <c r="AN565" s="20">
        <v>1159361</v>
      </c>
      <c r="AO565" s="20"/>
      <c r="AP565" s="20">
        <v>611143</v>
      </c>
      <c r="AQ565" s="20"/>
      <c r="AR565" s="20">
        <v>0</v>
      </c>
      <c r="AS565" s="20"/>
      <c r="AT565" s="20">
        <v>2380804</v>
      </c>
      <c r="AU565" s="20"/>
      <c r="AV565" s="20">
        <v>1161519</v>
      </c>
      <c r="AW565" s="20"/>
      <c r="AX565" s="20">
        <v>0</v>
      </c>
      <c r="AY565" s="20"/>
      <c r="AZ565" s="20">
        <f t="shared" ref="AZ565:AZ574" si="53">SUM(G565:AX565)</f>
        <v>48681948</v>
      </c>
      <c r="BA565" s="20"/>
      <c r="BB565" s="20">
        <v>0</v>
      </c>
      <c r="BC565" s="20"/>
      <c r="BD565" s="20"/>
      <c r="BE565" s="20"/>
      <c r="BF565" s="20"/>
      <c r="BG565" s="20"/>
      <c r="BH565" s="20">
        <v>0</v>
      </c>
      <c r="BI565" s="20"/>
      <c r="BJ565" s="20">
        <f t="shared" ref="BJ565:BJ631" si="54">AZ565+BB565+BH565</f>
        <v>48681948</v>
      </c>
      <c r="BK565" s="20"/>
      <c r="BL565" s="20">
        <f>'Gov Fd Rv'!AO565-'Gov Fnd Exp'!BJ565</f>
        <v>-537586</v>
      </c>
      <c r="BM565" s="20"/>
      <c r="BN565" s="20">
        <v>34801357</v>
      </c>
      <c r="BO565" s="20"/>
      <c r="BP565" s="20">
        <v>0</v>
      </c>
      <c r="BQ565" s="20"/>
      <c r="BR565" s="20">
        <v>0</v>
      </c>
      <c r="BS565" s="20"/>
      <c r="BT565" s="20">
        <f t="shared" ref="BT565:BT631" si="55">BL565+BN565+BP565+BR565</f>
        <v>34263771</v>
      </c>
      <c r="BU565" s="72"/>
      <c r="BV565" s="72">
        <f>BT565-'Gov Fd BS'!AA565</f>
        <v>0</v>
      </c>
    </row>
    <row r="566" spans="1:74" hidden="1">
      <c r="A566" s="12" t="s">
        <v>931</v>
      </c>
      <c r="B566" s="12"/>
      <c r="C566" s="12" t="s">
        <v>15</v>
      </c>
      <c r="D566" s="12"/>
      <c r="E566" s="13">
        <v>46011</v>
      </c>
      <c r="AJ566" s="12" t="s">
        <v>931</v>
      </c>
      <c r="AK566" s="12"/>
      <c r="AL566" s="12" t="s">
        <v>15</v>
      </c>
      <c r="AZ566" s="20">
        <f t="shared" si="53"/>
        <v>0</v>
      </c>
      <c r="BJ566" s="20">
        <f t="shared" si="54"/>
        <v>0</v>
      </c>
      <c r="BL566" s="20">
        <f>'Gov Fd Rv'!AO566-'Gov Fnd Exp'!BJ566</f>
        <v>0</v>
      </c>
      <c r="BT566" s="20">
        <f t="shared" si="55"/>
        <v>0</v>
      </c>
      <c r="BU566" s="20"/>
      <c r="BV566" s="20">
        <f>BT566-'Gov Fd BS'!AA566</f>
        <v>0</v>
      </c>
    </row>
    <row r="567" spans="1:74">
      <c r="A567" s="12" t="s">
        <v>553</v>
      </c>
      <c r="B567" s="12"/>
      <c r="C567" s="12" t="s">
        <v>58</v>
      </c>
      <c r="D567" s="12"/>
      <c r="E567" s="13">
        <v>49536</v>
      </c>
      <c r="G567" s="1">
        <v>9282166</v>
      </c>
      <c r="I567" s="1">
        <v>1354676</v>
      </c>
      <c r="K567" s="1">
        <v>9847</v>
      </c>
      <c r="M567" s="1">
        <v>0</v>
      </c>
      <c r="O567" s="1">
        <v>886056</v>
      </c>
      <c r="Q567" s="1">
        <v>558500</v>
      </c>
      <c r="S567" s="1">
        <v>771923</v>
      </c>
      <c r="U567" s="1">
        <v>1091059</v>
      </c>
      <c r="W567" s="1">
        <v>441132</v>
      </c>
      <c r="Y567" s="1">
        <v>39316</v>
      </c>
      <c r="AA567" s="1">
        <v>1428196</v>
      </c>
      <c r="AC567" s="1">
        <v>872726</v>
      </c>
      <c r="AE567" s="1">
        <v>6859</v>
      </c>
      <c r="AG567" s="1">
        <v>0</v>
      </c>
      <c r="AI567" s="1">
        <v>922140</v>
      </c>
      <c r="AJ567" s="12" t="s">
        <v>553</v>
      </c>
      <c r="AK567" s="12"/>
      <c r="AL567" s="12" t="s">
        <v>58</v>
      </c>
      <c r="AN567" s="1">
        <v>210338</v>
      </c>
      <c r="AP567" s="1">
        <v>321031</v>
      </c>
      <c r="AR567" s="1">
        <v>0</v>
      </c>
      <c r="AT567" s="1">
        <v>423295</v>
      </c>
      <c r="AV567" s="1">
        <v>157199</v>
      </c>
      <c r="AX567" s="1">
        <v>0</v>
      </c>
      <c r="AZ567" s="20">
        <f t="shared" si="53"/>
        <v>18776459</v>
      </c>
      <c r="BB567" s="1">
        <v>401015</v>
      </c>
      <c r="BH567" s="1">
        <v>0</v>
      </c>
      <c r="BJ567" s="20">
        <f t="shared" si="54"/>
        <v>19177474</v>
      </c>
      <c r="BL567" s="20">
        <f>'Gov Fd Rv'!AO567-'Gov Fnd Exp'!BJ567</f>
        <v>1759173</v>
      </c>
      <c r="BN567" s="1">
        <v>9669087</v>
      </c>
      <c r="BP567" s="1">
        <v>0</v>
      </c>
      <c r="BR567" s="1">
        <v>0</v>
      </c>
      <c r="BT567" s="20">
        <f t="shared" si="55"/>
        <v>11428260</v>
      </c>
      <c r="BU567" s="20"/>
      <c r="BV567" s="20">
        <f>BT567-'Gov Fd BS'!AA567</f>
        <v>0</v>
      </c>
    </row>
    <row r="568" spans="1:74">
      <c r="A568" s="12" t="s">
        <v>270</v>
      </c>
      <c r="B568" s="12"/>
      <c r="C568" s="12" t="s">
        <v>114</v>
      </c>
      <c r="D568" s="12"/>
      <c r="E568" s="13">
        <v>46458</v>
      </c>
      <c r="G568" s="1">
        <v>5788741</v>
      </c>
      <c r="I568" s="1">
        <v>1852566</v>
      </c>
      <c r="K568" s="1">
        <v>206153</v>
      </c>
      <c r="M568" s="1">
        <f>10003+27321</f>
        <v>37324</v>
      </c>
      <c r="O568" s="1">
        <v>326610</v>
      </c>
      <c r="Q568" s="1">
        <v>530738</v>
      </c>
      <c r="S568" s="1">
        <v>61572</v>
      </c>
      <c r="U568" s="1">
        <v>914063</v>
      </c>
      <c r="W568" s="1">
        <v>266411</v>
      </c>
      <c r="Y568" s="1">
        <v>126515</v>
      </c>
      <c r="AA568" s="1">
        <v>1074142</v>
      </c>
      <c r="AC568" s="1">
        <v>781787</v>
      </c>
      <c r="AE568" s="1">
        <v>16418</v>
      </c>
      <c r="AG568" s="1">
        <v>591178</v>
      </c>
      <c r="AI568" s="1">
        <v>1669</v>
      </c>
      <c r="AJ568" s="12" t="s">
        <v>270</v>
      </c>
      <c r="AK568" s="12"/>
      <c r="AL568" s="12" t="s">
        <v>114</v>
      </c>
      <c r="AN568" s="1">
        <v>503674</v>
      </c>
      <c r="AP568" s="1">
        <v>3352</v>
      </c>
      <c r="AR568" s="1">
        <v>0</v>
      </c>
      <c r="AT568" s="1">
        <v>22049</v>
      </c>
      <c r="AV568" s="1">
        <v>4064</v>
      </c>
      <c r="AX568" s="1">
        <v>0</v>
      </c>
      <c r="AZ568" s="20">
        <f t="shared" si="53"/>
        <v>13109026</v>
      </c>
      <c r="BB568" s="1">
        <v>0</v>
      </c>
      <c r="BH568" s="1">
        <v>0</v>
      </c>
      <c r="BJ568" s="20">
        <f t="shared" si="54"/>
        <v>13109026</v>
      </c>
      <c r="BL568" s="20">
        <f>'Gov Fd Rv'!AO568-'Gov Fnd Exp'!BJ568</f>
        <v>95138</v>
      </c>
      <c r="BN568" s="1">
        <v>3797805</v>
      </c>
      <c r="BP568" s="1">
        <v>0</v>
      </c>
      <c r="BR568" s="1">
        <v>0</v>
      </c>
      <c r="BT568" s="20">
        <f t="shared" si="55"/>
        <v>3892943</v>
      </c>
      <c r="BU568" s="20"/>
      <c r="BV568" s="20">
        <f>BT568-'Gov Fd BS'!AA568</f>
        <v>0</v>
      </c>
    </row>
    <row r="569" spans="1:74">
      <c r="A569" s="12" t="s">
        <v>341</v>
      </c>
      <c r="B569" s="12"/>
      <c r="C569" s="12" t="s">
        <v>27</v>
      </c>
      <c r="D569" s="12"/>
      <c r="E569" s="13">
        <v>44933</v>
      </c>
      <c r="G569" s="1">
        <v>39752398</v>
      </c>
      <c r="I569" s="1">
        <v>8024239</v>
      </c>
      <c r="K569" s="1">
        <v>150195</v>
      </c>
      <c r="M569" s="1">
        <v>0</v>
      </c>
      <c r="O569" s="1">
        <v>4486380</v>
      </c>
      <c r="Q569" s="1">
        <v>6143969</v>
      </c>
      <c r="S569" s="1">
        <v>38944</v>
      </c>
      <c r="U569" s="1">
        <v>4644971</v>
      </c>
      <c r="W569" s="1">
        <v>1656579</v>
      </c>
      <c r="Y569" s="1">
        <v>684110</v>
      </c>
      <c r="AA569" s="1">
        <v>6694266</v>
      </c>
      <c r="AC569" s="1">
        <v>1739324</v>
      </c>
      <c r="AE569" s="1">
        <v>2803610</v>
      </c>
      <c r="AG569" s="1">
        <v>1501433</v>
      </c>
      <c r="AI569" s="1">
        <v>2712538</v>
      </c>
      <c r="AJ569" s="12" t="s">
        <v>341</v>
      </c>
      <c r="AK569" s="12"/>
      <c r="AL569" s="12" t="s">
        <v>27</v>
      </c>
      <c r="AN569" s="1">
        <v>2955740</v>
      </c>
      <c r="AP569" s="1">
        <v>3201249</v>
      </c>
      <c r="AR569" s="1">
        <v>0</v>
      </c>
      <c r="AT569" s="1">
        <v>1790000</v>
      </c>
      <c r="AV569" s="1">
        <v>1228746</v>
      </c>
      <c r="AX569" s="1">
        <v>0</v>
      </c>
      <c r="AZ569" s="20">
        <f t="shared" si="53"/>
        <v>90208691</v>
      </c>
      <c r="BB569" s="1">
        <v>990404</v>
      </c>
      <c r="BH569" s="1">
        <v>0</v>
      </c>
      <c r="BJ569" s="20">
        <f t="shared" si="54"/>
        <v>91199095</v>
      </c>
      <c r="BL569" s="20">
        <f>'Gov Fd Rv'!AO569-'Gov Fnd Exp'!BJ569</f>
        <v>1471925</v>
      </c>
      <c r="BN569" s="1">
        <v>55915884</v>
      </c>
      <c r="BP569" s="1">
        <v>0</v>
      </c>
      <c r="BR569" s="1">
        <v>0</v>
      </c>
      <c r="BT569" s="20">
        <f t="shared" si="55"/>
        <v>57387809</v>
      </c>
      <c r="BU569" s="20"/>
      <c r="BV569" s="20">
        <f>BT569-'Gov Fd BS'!AA569</f>
        <v>0</v>
      </c>
    </row>
    <row r="570" spans="1:74" hidden="1">
      <c r="A570" s="17" t="s">
        <v>866</v>
      </c>
      <c r="B570" s="12"/>
      <c r="C570" s="12" t="s">
        <v>653</v>
      </c>
      <c r="D570" s="12"/>
      <c r="E570" s="13">
        <v>45625</v>
      </c>
      <c r="AJ570" s="17" t="s">
        <v>866</v>
      </c>
      <c r="AK570" s="12"/>
      <c r="AL570" s="12" t="s">
        <v>653</v>
      </c>
      <c r="AZ570" s="20">
        <f t="shared" si="53"/>
        <v>0</v>
      </c>
      <c r="BJ570" s="20">
        <f t="shared" si="54"/>
        <v>0</v>
      </c>
      <c r="BL570" s="20">
        <f>'Gov Fd Rv'!AO570-'Gov Fnd Exp'!BJ570</f>
        <v>0</v>
      </c>
      <c r="BT570" s="20">
        <f t="shared" si="55"/>
        <v>0</v>
      </c>
      <c r="BU570" s="20"/>
      <c r="BV570" s="20">
        <f>BT570-'Gov Fd BS'!AA570</f>
        <v>0</v>
      </c>
    </row>
    <row r="571" spans="1:74" hidden="1">
      <c r="A571" s="17" t="s">
        <v>867</v>
      </c>
      <c r="B571" s="12"/>
      <c r="C571" s="12" t="s">
        <v>383</v>
      </c>
      <c r="D571" s="12"/>
      <c r="E571" s="13">
        <v>47522</v>
      </c>
      <c r="AJ571" s="17" t="s">
        <v>867</v>
      </c>
      <c r="AK571" s="12"/>
      <c r="AL571" s="12" t="s">
        <v>383</v>
      </c>
      <c r="AZ571" s="20">
        <f t="shared" si="53"/>
        <v>0</v>
      </c>
      <c r="BJ571" s="20">
        <f t="shared" si="54"/>
        <v>0</v>
      </c>
      <c r="BL571" s="20">
        <f>'Gov Fd Rv'!AO571-'Gov Fnd Exp'!BJ571</f>
        <v>0</v>
      </c>
      <c r="BT571" s="20">
        <f t="shared" si="55"/>
        <v>0</v>
      </c>
      <c r="BU571" s="20"/>
      <c r="BV571" s="20">
        <f>BT571-'Gov Fd BS'!AA571</f>
        <v>0</v>
      </c>
    </row>
    <row r="572" spans="1:74">
      <c r="A572" s="12" t="s">
        <v>243</v>
      </c>
      <c r="B572" s="12"/>
      <c r="C572" s="12" t="s">
        <v>240</v>
      </c>
      <c r="D572" s="12"/>
      <c r="E572" s="13">
        <v>44941</v>
      </c>
      <c r="G572" s="1">
        <v>11331928</v>
      </c>
      <c r="I572" s="1">
        <v>4304701</v>
      </c>
      <c r="K572" s="1">
        <v>347168</v>
      </c>
      <c r="M572" s="1">
        <v>41960</v>
      </c>
      <c r="O572" s="1">
        <v>1387707</v>
      </c>
      <c r="Q572" s="1">
        <v>665198</v>
      </c>
      <c r="S572" s="1">
        <v>19598</v>
      </c>
      <c r="U572" s="1">
        <v>2059030</v>
      </c>
      <c r="W572" s="1">
        <v>292983</v>
      </c>
      <c r="Y572" s="1">
        <v>353482</v>
      </c>
      <c r="AA572" s="1">
        <v>1779546</v>
      </c>
      <c r="AC572" s="1">
        <v>864768</v>
      </c>
      <c r="AE572" s="1">
        <v>358548</v>
      </c>
      <c r="AG572" s="1">
        <v>923210</v>
      </c>
      <c r="AI572" s="1">
        <v>107339</v>
      </c>
      <c r="AJ572" s="12" t="s">
        <v>243</v>
      </c>
      <c r="AK572" s="12"/>
      <c r="AL572" s="12" t="s">
        <v>240</v>
      </c>
      <c r="AN572" s="1">
        <v>717771</v>
      </c>
      <c r="AP572" s="1">
        <f>275778+381864</f>
        <v>657642</v>
      </c>
      <c r="AR572" s="1">
        <v>0</v>
      </c>
      <c r="AT572" s="1">
        <v>140215</v>
      </c>
      <c r="AV572" s="1">
        <v>80327</v>
      </c>
      <c r="AX572" s="1">
        <v>0</v>
      </c>
      <c r="AZ572" s="20">
        <f t="shared" si="53"/>
        <v>26433121</v>
      </c>
      <c r="BB572" s="1">
        <v>1778</v>
      </c>
      <c r="BH572" s="1">
        <v>0</v>
      </c>
      <c r="BJ572" s="20">
        <f t="shared" si="54"/>
        <v>26434899</v>
      </c>
      <c r="BL572" s="20">
        <f>'Gov Fd Rv'!AO572-'Gov Fnd Exp'!BJ572</f>
        <v>390776</v>
      </c>
      <c r="BN572" s="1">
        <v>5290809</v>
      </c>
      <c r="BP572" s="1">
        <v>2724</v>
      </c>
      <c r="BR572" s="1">
        <v>0</v>
      </c>
      <c r="BT572" s="20">
        <f t="shared" si="55"/>
        <v>5684309</v>
      </c>
      <c r="BU572" s="20"/>
      <c r="BV572" s="20">
        <f>BT572-'Gov Fd BS'!AA572</f>
        <v>0</v>
      </c>
    </row>
    <row r="573" spans="1:74" hidden="1">
      <c r="A573" s="17" t="s">
        <v>868</v>
      </c>
      <c r="B573" s="12"/>
      <c r="C573" s="12" t="s">
        <v>59</v>
      </c>
      <c r="D573" s="12"/>
      <c r="E573" s="13">
        <v>49643</v>
      </c>
      <c r="AJ573" s="17" t="s">
        <v>868</v>
      </c>
      <c r="AK573" s="12"/>
      <c r="AL573" s="12" t="s">
        <v>59</v>
      </c>
      <c r="AZ573" s="20">
        <f t="shared" si="53"/>
        <v>0</v>
      </c>
      <c r="BJ573" s="20">
        <f t="shared" si="54"/>
        <v>0</v>
      </c>
      <c r="BL573" s="20">
        <f>'Gov Fd Rv'!AO573-'Gov Fnd Exp'!BJ573</f>
        <v>0</v>
      </c>
      <c r="BT573" s="20">
        <f t="shared" si="55"/>
        <v>0</v>
      </c>
      <c r="BU573" s="20"/>
      <c r="BV573" s="20">
        <f>BT573-'Gov Fd BS'!AA573</f>
        <v>0</v>
      </c>
    </row>
    <row r="574" spans="1:74">
      <c r="A574" s="12" t="s">
        <v>506</v>
      </c>
      <c r="B574" s="12"/>
      <c r="C574" s="12" t="s">
        <v>50</v>
      </c>
      <c r="D574" s="12"/>
      <c r="E574" s="13">
        <v>48744</v>
      </c>
      <c r="G574" s="1">
        <v>8258256</v>
      </c>
      <c r="I574" s="1">
        <v>1595923</v>
      </c>
      <c r="K574" s="1">
        <v>415276</v>
      </c>
      <c r="M574" s="1">
        <v>563912</v>
      </c>
      <c r="O574" s="1">
        <v>1039622</v>
      </c>
      <c r="Q574" s="1">
        <v>1444531</v>
      </c>
      <c r="S574" s="1">
        <v>29685</v>
      </c>
      <c r="U574" s="1">
        <v>1512326</v>
      </c>
      <c r="W574" s="1">
        <v>331165</v>
      </c>
      <c r="Y574" s="1">
        <v>23044</v>
      </c>
      <c r="AA574" s="1">
        <v>1933987</v>
      </c>
      <c r="AC574" s="1">
        <v>919303</v>
      </c>
      <c r="AE574" s="1">
        <v>633296</v>
      </c>
      <c r="AG574" s="1">
        <v>709218</v>
      </c>
      <c r="AI574" s="1">
        <v>0</v>
      </c>
      <c r="AJ574" s="12" t="s">
        <v>506</v>
      </c>
      <c r="AK574" s="12"/>
      <c r="AL574" s="12" t="s">
        <v>50</v>
      </c>
      <c r="AN574" s="1">
        <v>636748</v>
      </c>
      <c r="AP574" s="1">
        <v>90598</v>
      </c>
      <c r="AR574" s="1">
        <v>0</v>
      </c>
      <c r="AT574" s="1">
        <v>136107</v>
      </c>
      <c r="AV574" s="1">
        <v>50751</v>
      </c>
      <c r="AX574" s="1">
        <v>65773</v>
      </c>
      <c r="AZ574" s="20">
        <f t="shared" si="53"/>
        <v>20389521</v>
      </c>
      <c r="BB574" s="1">
        <v>78060</v>
      </c>
      <c r="BH574" s="1">
        <v>0</v>
      </c>
      <c r="BJ574" s="20">
        <f t="shared" si="54"/>
        <v>20467581</v>
      </c>
      <c r="BL574" s="20">
        <f>'Gov Fd Rv'!AO574-'Gov Fnd Exp'!BJ574</f>
        <v>-1485551</v>
      </c>
      <c r="BN574" s="1">
        <v>6098512</v>
      </c>
      <c r="BP574" s="1">
        <v>1786</v>
      </c>
      <c r="BR574" s="1">
        <v>0</v>
      </c>
      <c r="BT574" s="20">
        <f t="shared" si="55"/>
        <v>4614747</v>
      </c>
      <c r="BU574" s="20"/>
      <c r="BV574" s="20">
        <f>BT574-'Gov Fd BS'!AA574</f>
        <v>0</v>
      </c>
    </row>
    <row r="575" spans="1:74">
      <c r="A575" s="12" t="s">
        <v>382</v>
      </c>
      <c r="B575" s="12"/>
      <c r="C575" s="12" t="s">
        <v>33</v>
      </c>
      <c r="D575" s="12"/>
      <c r="E575" s="13">
        <v>47464</v>
      </c>
      <c r="G575" s="1">
        <v>4660376</v>
      </c>
      <c r="I575" s="1">
        <v>588672</v>
      </c>
      <c r="K575" s="1">
        <v>188420</v>
      </c>
      <c r="M575" s="1">
        <v>0</v>
      </c>
      <c r="O575" s="1">
        <v>699476</v>
      </c>
      <c r="Q575" s="1">
        <v>330555</v>
      </c>
      <c r="S575" s="1">
        <v>50514</v>
      </c>
      <c r="U575" s="1">
        <v>782180</v>
      </c>
      <c r="W575" s="1">
        <v>381030</v>
      </c>
      <c r="Y575" s="1">
        <v>0</v>
      </c>
      <c r="AA575" s="1">
        <v>1130561</v>
      </c>
      <c r="AC575" s="1">
        <v>451113</v>
      </c>
      <c r="AE575" s="1">
        <v>31972</v>
      </c>
      <c r="AG575" s="1">
        <v>0</v>
      </c>
      <c r="AI575" s="1">
        <v>261220</v>
      </c>
      <c r="AJ575" s="12" t="s">
        <v>382</v>
      </c>
      <c r="AK575" s="12"/>
      <c r="AL575" s="12" t="s">
        <v>33</v>
      </c>
      <c r="AN575" s="1">
        <v>409828</v>
      </c>
      <c r="AP575" s="1">
        <v>128471</v>
      </c>
      <c r="AR575" s="1">
        <v>0</v>
      </c>
      <c r="AT575" s="1">
        <v>340000</v>
      </c>
      <c r="AV575" s="1">
        <f>244853+225000</f>
        <v>469853</v>
      </c>
      <c r="AX575" s="1">
        <v>142138</v>
      </c>
      <c r="AZ575" s="20">
        <f t="shared" ref="AZ575:AZ594" si="56">SUM(G575:AX575)</f>
        <v>11046379</v>
      </c>
      <c r="BB575" s="1">
        <v>63086</v>
      </c>
      <c r="BH575" s="1">
        <v>6817693</v>
      </c>
      <c r="BJ575" s="20">
        <f t="shared" si="54"/>
        <v>17927158</v>
      </c>
      <c r="BL575" s="20">
        <f>'Gov Fd Rv'!AO575-'Gov Fnd Exp'!BJ575</f>
        <v>637047</v>
      </c>
      <c r="BN575" s="1">
        <v>6839950</v>
      </c>
      <c r="BP575" s="1">
        <v>0</v>
      </c>
      <c r="BR575" s="1">
        <v>0</v>
      </c>
      <c r="BT575" s="20">
        <f t="shared" si="55"/>
        <v>7476997</v>
      </c>
      <c r="BU575" s="20"/>
      <c r="BV575" s="20">
        <f>BT575-'Gov Fd BS'!AA575</f>
        <v>0</v>
      </c>
    </row>
    <row r="576" spans="1:74">
      <c r="A576" s="12" t="s">
        <v>629</v>
      </c>
      <c r="B576" s="12"/>
      <c r="C576" s="12" t="s">
        <v>67</v>
      </c>
      <c r="D576" s="12"/>
      <c r="E576" s="13">
        <v>44966</v>
      </c>
      <c r="G576" s="1">
        <v>10589509</v>
      </c>
      <c r="I576" s="1">
        <v>2770330</v>
      </c>
      <c r="K576" s="1">
        <v>1056</v>
      </c>
      <c r="M576" s="1">
        <v>0</v>
      </c>
      <c r="O576" s="1">
        <v>965324</v>
      </c>
      <c r="Q576" s="1">
        <v>1249995</v>
      </c>
      <c r="S576" s="1">
        <v>45118</v>
      </c>
      <c r="U576" s="1">
        <v>1676553</v>
      </c>
      <c r="W576" s="1">
        <v>555289</v>
      </c>
      <c r="Y576" s="1">
        <v>0</v>
      </c>
      <c r="AA576" s="1">
        <v>2008769</v>
      </c>
      <c r="AC576" s="1">
        <v>354404</v>
      </c>
      <c r="AE576" s="1">
        <v>284669</v>
      </c>
      <c r="AG576" s="1">
        <v>0</v>
      </c>
      <c r="AI576" s="1">
        <v>1012708</v>
      </c>
      <c r="AJ576" s="12" t="s">
        <v>629</v>
      </c>
      <c r="AK576" s="12"/>
      <c r="AL576" s="12" t="s">
        <v>67</v>
      </c>
      <c r="AN576" s="1">
        <v>550262</v>
      </c>
      <c r="AP576" s="1">
        <v>488974</v>
      </c>
      <c r="AR576" s="1">
        <v>0</v>
      </c>
      <c r="AT576" s="1">
        <v>339920</v>
      </c>
      <c r="AV576" s="1">
        <v>1505916</v>
      </c>
      <c r="AX576" s="1">
        <v>0</v>
      </c>
      <c r="AZ576" s="20">
        <f t="shared" si="56"/>
        <v>24398796</v>
      </c>
      <c r="BB576" s="1">
        <v>0</v>
      </c>
      <c r="BH576" s="1">
        <v>0</v>
      </c>
      <c r="BJ576" s="20">
        <f t="shared" si="54"/>
        <v>24398796</v>
      </c>
      <c r="BL576" s="20">
        <f>'Gov Fd Rv'!AO576-'Gov Fnd Exp'!BJ576</f>
        <v>711553</v>
      </c>
      <c r="BN576" s="1">
        <v>7049953</v>
      </c>
      <c r="BP576" s="1">
        <v>0</v>
      </c>
      <c r="BR576" s="1">
        <v>0</v>
      </c>
      <c r="BT576" s="20">
        <f t="shared" si="55"/>
        <v>7761506</v>
      </c>
      <c r="BU576" s="20"/>
      <c r="BV576" s="20">
        <f>BT576-'Gov Fd BS'!AA576</f>
        <v>0</v>
      </c>
    </row>
    <row r="577" spans="1:74">
      <c r="A577" s="12" t="s">
        <v>507</v>
      </c>
      <c r="B577" s="12"/>
      <c r="C577" s="12" t="s">
        <v>50</v>
      </c>
      <c r="D577" s="12"/>
      <c r="E577" s="13">
        <v>44958</v>
      </c>
      <c r="G577" s="1">
        <v>17596664</v>
      </c>
      <c r="I577" s="1">
        <v>4383819</v>
      </c>
      <c r="K577" s="1">
        <v>567326</v>
      </c>
      <c r="M577" s="1">
        <v>1667234</v>
      </c>
      <c r="O577" s="1">
        <v>2778659</v>
      </c>
      <c r="Q577" s="1">
        <v>2328229</v>
      </c>
      <c r="S577" s="1">
        <v>104125</v>
      </c>
      <c r="U577" s="1">
        <v>2429147</v>
      </c>
      <c r="W577" s="1">
        <v>1097731</v>
      </c>
      <c r="Y577" s="1">
        <v>0</v>
      </c>
      <c r="AA577" s="1">
        <v>2611089</v>
      </c>
      <c r="AC577" s="1">
        <v>1457709</v>
      </c>
      <c r="AE577" s="1">
        <v>1495083</v>
      </c>
      <c r="AG577" s="1">
        <v>0</v>
      </c>
      <c r="AI577" s="1">
        <v>1836996</v>
      </c>
      <c r="AJ577" s="12" t="s">
        <v>507</v>
      </c>
      <c r="AK577" s="12"/>
      <c r="AL577" s="12" t="s">
        <v>50</v>
      </c>
      <c r="AN577" s="1">
        <v>517071</v>
      </c>
      <c r="AP577" s="1">
        <v>4353245</v>
      </c>
      <c r="AR577" s="1">
        <v>0</v>
      </c>
      <c r="AT577" s="1">
        <v>146259</v>
      </c>
      <c r="AV577" s="1">
        <v>1758916</v>
      </c>
      <c r="AX577" s="1">
        <v>287685</v>
      </c>
      <c r="AZ577" s="20">
        <f t="shared" si="56"/>
        <v>47416987</v>
      </c>
      <c r="BB577" s="1">
        <v>65525</v>
      </c>
      <c r="BH577" s="1">
        <v>0</v>
      </c>
      <c r="BJ577" s="20">
        <f t="shared" si="54"/>
        <v>47482512</v>
      </c>
      <c r="BL577" s="20">
        <f>'Gov Fd Rv'!AO577-'Gov Fnd Exp'!BJ577</f>
        <v>16429730</v>
      </c>
      <c r="BN577" s="1">
        <v>40162722</v>
      </c>
      <c r="BP577" s="1">
        <v>0</v>
      </c>
      <c r="BR577" s="1">
        <v>0</v>
      </c>
      <c r="BT577" s="20">
        <f t="shared" si="55"/>
        <v>56592452</v>
      </c>
      <c r="BU577" s="20"/>
      <c r="BV577" s="20">
        <f>BT577-'Gov Fd BS'!AA577</f>
        <v>0</v>
      </c>
    </row>
    <row r="578" spans="1:74" hidden="1">
      <c r="A578" s="17" t="s">
        <v>870</v>
      </c>
      <c r="B578" s="12"/>
      <c r="C578" s="12" t="s">
        <v>33</v>
      </c>
      <c r="D578" s="12"/>
      <c r="E578" s="13">
        <v>47472</v>
      </c>
      <c r="AJ578" s="17" t="s">
        <v>870</v>
      </c>
      <c r="AK578" s="12"/>
      <c r="AL578" s="12" t="s">
        <v>33</v>
      </c>
      <c r="AZ578" s="20">
        <f t="shared" si="56"/>
        <v>0</v>
      </c>
      <c r="BJ578" s="20">
        <f t="shared" si="54"/>
        <v>0</v>
      </c>
      <c r="BL578" s="20">
        <f>'Gov Fd Rv'!AO578-'Gov Fnd Exp'!BJ578</f>
        <v>0</v>
      </c>
      <c r="BT578" s="20">
        <f t="shared" si="55"/>
        <v>0</v>
      </c>
      <c r="BU578" s="20"/>
      <c r="BV578" s="20">
        <f>BT578-'Gov Fd BS'!AA578</f>
        <v>0</v>
      </c>
    </row>
    <row r="579" spans="1:74">
      <c r="A579" s="12" t="s">
        <v>320</v>
      </c>
      <c r="B579" s="12"/>
      <c r="C579" s="12" t="s">
        <v>24</v>
      </c>
      <c r="D579" s="12"/>
      <c r="E579" s="13">
        <v>46821</v>
      </c>
      <c r="G579" s="1">
        <v>8888675</v>
      </c>
      <c r="I579" s="1">
        <v>2115358</v>
      </c>
      <c r="K579" s="1">
        <v>334828</v>
      </c>
      <c r="M579" s="1">
        <v>1588315</v>
      </c>
      <c r="O579" s="1">
        <v>1441481</v>
      </c>
      <c r="Q579" s="1">
        <v>2032243</v>
      </c>
      <c r="S579" s="1">
        <v>162564</v>
      </c>
      <c r="U579" s="1">
        <v>1801881</v>
      </c>
      <c r="W579" s="1">
        <v>568045</v>
      </c>
      <c r="Y579" s="1">
        <v>98766</v>
      </c>
      <c r="AA579" s="1">
        <v>2025454</v>
      </c>
      <c r="AC579" s="1">
        <v>1334494</v>
      </c>
      <c r="AE579" s="1">
        <v>56679</v>
      </c>
      <c r="AG579" s="1">
        <v>764522</v>
      </c>
      <c r="AI579" s="1">
        <v>58392</v>
      </c>
      <c r="AJ579" s="12" t="s">
        <v>320</v>
      </c>
      <c r="AK579" s="12"/>
      <c r="AL579" s="12" t="s">
        <v>24</v>
      </c>
      <c r="AN579" s="1">
        <v>727495</v>
      </c>
      <c r="AP579" s="1">
        <f>137996+2303256</f>
        <v>2441252</v>
      </c>
      <c r="AR579" s="1">
        <v>0</v>
      </c>
      <c r="AT579" s="1">
        <v>1169253</v>
      </c>
      <c r="AV579" s="1">
        <v>344853</v>
      </c>
      <c r="AX579" s="1">
        <v>0</v>
      </c>
      <c r="AZ579" s="20">
        <f t="shared" si="56"/>
        <v>27954550</v>
      </c>
      <c r="BB579" s="1">
        <v>0</v>
      </c>
      <c r="BH579" s="1">
        <v>0</v>
      </c>
      <c r="BJ579" s="20">
        <f t="shared" si="54"/>
        <v>27954550</v>
      </c>
      <c r="BL579" s="20">
        <f>'Gov Fd Rv'!AO579-'Gov Fnd Exp'!BJ579</f>
        <v>1775777</v>
      </c>
      <c r="BN579" s="1">
        <v>12124971</v>
      </c>
      <c r="BP579" s="1">
        <v>-5372</v>
      </c>
      <c r="BR579" s="1">
        <v>0</v>
      </c>
      <c r="BT579" s="20">
        <f t="shared" si="55"/>
        <v>13895376</v>
      </c>
      <c r="BU579" s="20"/>
      <c r="BV579" s="20">
        <f>BT579-'Gov Fd BS'!AA579</f>
        <v>0</v>
      </c>
    </row>
    <row r="580" spans="1:74" hidden="1">
      <c r="A580" s="17" t="s">
        <v>871</v>
      </c>
      <c r="B580" s="17"/>
      <c r="C580" s="17" t="s">
        <v>21</v>
      </c>
      <c r="D580" s="12"/>
      <c r="E580" s="13"/>
      <c r="AJ580" s="17" t="s">
        <v>871</v>
      </c>
      <c r="AK580" s="17"/>
      <c r="AL580" s="17" t="s">
        <v>21</v>
      </c>
      <c r="AZ580" s="20">
        <f t="shared" si="56"/>
        <v>0</v>
      </c>
      <c r="BJ580" s="20">
        <f t="shared" si="54"/>
        <v>0</v>
      </c>
      <c r="BL580" s="20">
        <f>'Gov Fd Rv'!AO580-'Gov Fnd Exp'!BJ580</f>
        <v>0</v>
      </c>
      <c r="BT580" s="20">
        <f t="shared" si="55"/>
        <v>0</v>
      </c>
      <c r="BU580" s="20"/>
      <c r="BV580" s="20">
        <f>BT580-'Gov Fd BS'!AA580</f>
        <v>0</v>
      </c>
    </row>
    <row r="581" spans="1:74">
      <c r="A581" s="12" t="s">
        <v>630</v>
      </c>
      <c r="B581" s="12"/>
      <c r="C581" s="12" t="s">
        <v>68</v>
      </c>
      <c r="D581" s="12"/>
      <c r="E581" s="13">
        <v>50393</v>
      </c>
      <c r="G581" s="1">
        <v>9751402</v>
      </c>
      <c r="I581" s="1">
        <v>3305781</v>
      </c>
      <c r="K581" s="1">
        <v>254330</v>
      </c>
      <c r="M581" s="1">
        <f>169104+1196834</f>
        <v>1365938</v>
      </c>
      <c r="O581" s="1">
        <v>2454712</v>
      </c>
      <c r="Q581" s="1">
        <v>1347551</v>
      </c>
      <c r="S581" s="1">
        <v>374827</v>
      </c>
      <c r="U581" s="1">
        <v>2548207</v>
      </c>
      <c r="W581" s="1">
        <v>351801</v>
      </c>
      <c r="Y581" s="1">
        <v>0</v>
      </c>
      <c r="AA581" s="1">
        <v>2383591</v>
      </c>
      <c r="AC581" s="1">
        <v>2211991</v>
      </c>
      <c r="AE581" s="1">
        <v>392851</v>
      </c>
      <c r="AG581" s="1">
        <v>0</v>
      </c>
      <c r="AI581" s="1">
        <v>1157077</v>
      </c>
      <c r="AJ581" s="12" t="s">
        <v>630</v>
      </c>
      <c r="AK581" s="12"/>
      <c r="AL581" s="12" t="s">
        <v>68</v>
      </c>
      <c r="AN581" s="1">
        <v>259886</v>
      </c>
      <c r="AP581" s="1">
        <v>140224</v>
      </c>
      <c r="AR581" s="1">
        <v>0</v>
      </c>
      <c r="AT581" s="1">
        <v>398873</v>
      </c>
      <c r="AV581" s="1">
        <v>355963</v>
      </c>
      <c r="AX581" s="1">
        <v>0</v>
      </c>
      <c r="AZ581" s="20">
        <f t="shared" si="56"/>
        <v>29055005</v>
      </c>
      <c r="BB581" s="1">
        <v>0</v>
      </c>
      <c r="BH581" s="1">
        <v>0</v>
      </c>
      <c r="BJ581" s="20">
        <f t="shared" si="54"/>
        <v>29055005</v>
      </c>
      <c r="BL581" s="20">
        <f>'Gov Fd Rv'!AO581-'Gov Fnd Exp'!BJ581</f>
        <v>565576</v>
      </c>
      <c r="BN581" s="1">
        <v>13711901</v>
      </c>
      <c r="BP581" s="1">
        <v>0</v>
      </c>
      <c r="BR581" s="1">
        <v>0</v>
      </c>
      <c r="BT581" s="20">
        <f t="shared" si="55"/>
        <v>14277477</v>
      </c>
      <c r="BU581" s="20"/>
      <c r="BV581" s="20">
        <f>BT581-'Gov Fd BS'!AA581</f>
        <v>0</v>
      </c>
    </row>
    <row r="582" spans="1:74">
      <c r="A582" s="12" t="s">
        <v>483</v>
      </c>
      <c r="B582" s="12"/>
      <c r="C582" s="12" t="s">
        <v>47</v>
      </c>
      <c r="D582" s="12"/>
      <c r="E582" s="13">
        <v>44974</v>
      </c>
      <c r="G582" s="1">
        <v>17868934</v>
      </c>
      <c r="I582" s="1">
        <v>3101002</v>
      </c>
      <c r="K582" s="1">
        <v>1927513</v>
      </c>
      <c r="M582" s="1">
        <f>23128+152738+974978</f>
        <v>1150844</v>
      </c>
      <c r="O582" s="1">
        <v>2560704</v>
      </c>
      <c r="Q582" s="1">
        <v>1584254</v>
      </c>
      <c r="S582" s="1">
        <v>482635</v>
      </c>
      <c r="U582" s="1">
        <v>3444571</v>
      </c>
      <c r="W582" s="1">
        <v>388493</v>
      </c>
      <c r="Y582" s="1">
        <v>0</v>
      </c>
      <c r="AA582" s="1">
        <v>3521525</v>
      </c>
      <c r="AC582" s="1">
        <v>1641419</v>
      </c>
      <c r="AE582" s="1">
        <v>1126215</v>
      </c>
      <c r="AG582" s="1">
        <v>1373536</v>
      </c>
      <c r="AI582" s="1">
        <v>276055</v>
      </c>
      <c r="AJ582" s="12" t="s">
        <v>483</v>
      </c>
      <c r="AK582" s="12"/>
      <c r="AL582" s="12" t="s">
        <v>47</v>
      </c>
      <c r="AN582" s="1">
        <v>1004111</v>
      </c>
      <c r="AP582" s="1">
        <v>7242935</v>
      </c>
      <c r="AR582" s="1">
        <v>0</v>
      </c>
      <c r="AT582" s="1">
        <v>1715000</v>
      </c>
      <c r="AV582" s="1">
        <v>3684512</v>
      </c>
      <c r="AX582" s="1">
        <f>84+71105</f>
        <v>71189</v>
      </c>
      <c r="AZ582" s="20">
        <f t="shared" si="56"/>
        <v>54165447</v>
      </c>
      <c r="BB582" s="1">
        <v>19003348</v>
      </c>
      <c r="BH582" s="1">
        <v>0</v>
      </c>
      <c r="BJ582" s="20">
        <f t="shared" si="54"/>
        <v>73168795</v>
      </c>
      <c r="BL582" s="20">
        <f>'Gov Fd Rv'!AO582-'Gov Fnd Exp'!BJ582</f>
        <v>85254321</v>
      </c>
      <c r="BN582" s="1">
        <v>18849450</v>
      </c>
      <c r="BP582" s="1">
        <v>0</v>
      </c>
      <c r="BR582" s="1">
        <v>15769214</v>
      </c>
      <c r="BT582" s="20">
        <f t="shared" si="55"/>
        <v>119872985</v>
      </c>
      <c r="BU582" s="20"/>
      <c r="BV582" s="20">
        <f>BT582-'Gov Fd BS'!AA582</f>
        <v>0</v>
      </c>
    </row>
    <row r="583" spans="1:74">
      <c r="A583" s="12" t="s">
        <v>616</v>
      </c>
      <c r="B583" s="12"/>
      <c r="C583" s="12" t="s">
        <v>64</v>
      </c>
      <c r="D583" s="12"/>
      <c r="E583" s="13">
        <v>44990</v>
      </c>
      <c r="G583" s="1">
        <v>28528740</v>
      </c>
      <c r="I583" s="1">
        <v>10009291</v>
      </c>
      <c r="K583" s="1">
        <v>182857</v>
      </c>
      <c r="M583" s="1">
        <v>2773656</v>
      </c>
      <c r="O583" s="1">
        <v>3341277</v>
      </c>
      <c r="Q583" s="1">
        <v>5369689</v>
      </c>
      <c r="S583" s="1">
        <v>65711</v>
      </c>
      <c r="U583" s="1">
        <v>5287664</v>
      </c>
      <c r="W583" s="1">
        <v>1049050</v>
      </c>
      <c r="Y583" s="1">
        <v>725556</v>
      </c>
      <c r="AA583" s="1">
        <v>7725979</v>
      </c>
      <c r="AC583" s="1">
        <v>2789808</v>
      </c>
      <c r="AE583" s="1">
        <v>1351071</v>
      </c>
      <c r="AG583" s="1">
        <v>3032658</v>
      </c>
      <c r="AI583" s="1">
        <v>540177</v>
      </c>
      <c r="AJ583" s="12" t="s">
        <v>616</v>
      </c>
      <c r="AK583" s="12"/>
      <c r="AL583" s="12" t="s">
        <v>64</v>
      </c>
      <c r="AN583" s="1">
        <v>1160912</v>
      </c>
      <c r="AP583" s="1">
        <v>25992132</v>
      </c>
      <c r="AR583" s="1">
        <v>0</v>
      </c>
      <c r="AT583" s="1">
        <v>738750</v>
      </c>
      <c r="AV583" s="1">
        <v>1686914</v>
      </c>
      <c r="AX583" s="1">
        <v>0</v>
      </c>
      <c r="AZ583" s="20">
        <f t="shared" si="56"/>
        <v>102351892</v>
      </c>
      <c r="BB583" s="1">
        <v>189929</v>
      </c>
      <c r="BH583" s="1">
        <v>0</v>
      </c>
      <c r="BJ583" s="20">
        <f t="shared" si="54"/>
        <v>102541821</v>
      </c>
      <c r="BL583" s="20">
        <f>'Gov Fd Rv'!AO583-'Gov Fnd Exp'!BJ583</f>
        <v>-23338667</v>
      </c>
      <c r="BN583" s="1">
        <v>64097558</v>
      </c>
      <c r="BP583" s="1">
        <v>53900</v>
      </c>
      <c r="BR583" s="1">
        <v>0</v>
      </c>
      <c r="BT583" s="20">
        <f t="shared" si="55"/>
        <v>40812791</v>
      </c>
      <c r="BU583" s="20"/>
      <c r="BV583" s="20">
        <f>BT583-'Gov Fd BS'!AA583</f>
        <v>0</v>
      </c>
    </row>
    <row r="584" spans="1:74">
      <c r="A584" s="12" t="s">
        <v>638</v>
      </c>
      <c r="B584" s="12"/>
      <c r="C584" s="12" t="s">
        <v>70</v>
      </c>
      <c r="D584" s="12"/>
      <c r="E584" s="13">
        <v>50500</v>
      </c>
      <c r="G584" s="1">
        <v>11240474</v>
      </c>
      <c r="I584" s="1">
        <v>2006883</v>
      </c>
      <c r="K584" s="1">
        <v>100486</v>
      </c>
      <c r="M584" s="1">
        <v>15397</v>
      </c>
      <c r="O584" s="1">
        <v>671698</v>
      </c>
      <c r="Q584" s="1">
        <v>749283</v>
      </c>
      <c r="S584" s="1">
        <v>158453</v>
      </c>
      <c r="U584" s="1">
        <v>1392714</v>
      </c>
      <c r="W584" s="1">
        <v>617243</v>
      </c>
      <c r="Y584" s="1">
        <v>8313</v>
      </c>
      <c r="AA584" s="1">
        <v>1747177</v>
      </c>
      <c r="AC584" s="1">
        <v>1985795</v>
      </c>
      <c r="AE584" s="1">
        <v>14486</v>
      </c>
      <c r="AG584" s="1">
        <v>0</v>
      </c>
      <c r="AI584" s="1">
        <v>3522</v>
      </c>
      <c r="AJ584" s="12" t="s">
        <v>638</v>
      </c>
      <c r="AK584" s="12"/>
      <c r="AL584" s="12" t="s">
        <v>70</v>
      </c>
      <c r="AN584" s="1">
        <v>556193</v>
      </c>
      <c r="AP584" s="1">
        <v>203393</v>
      </c>
      <c r="AR584" s="1">
        <v>0</v>
      </c>
      <c r="AT584" s="1">
        <v>0</v>
      </c>
      <c r="AV584" s="1">
        <v>0</v>
      </c>
      <c r="AX584" s="1">
        <v>0</v>
      </c>
      <c r="AZ584" s="20">
        <f t="shared" si="56"/>
        <v>21471510</v>
      </c>
      <c r="BB584" s="1">
        <v>319301</v>
      </c>
      <c r="BH584" s="1">
        <v>0</v>
      </c>
      <c r="BJ584" s="20">
        <f t="shared" si="54"/>
        <v>21790811</v>
      </c>
      <c r="BL584" s="20">
        <f>'Gov Fd Rv'!AO584-'Gov Fnd Exp'!BJ584</f>
        <v>777827</v>
      </c>
      <c r="BN584" s="1">
        <v>2222605</v>
      </c>
      <c r="BP584" s="1">
        <v>0</v>
      </c>
      <c r="BR584" s="1">
        <v>0</v>
      </c>
      <c r="BT584" s="20">
        <f t="shared" si="55"/>
        <v>3000432</v>
      </c>
      <c r="BU584" s="20"/>
      <c r="BV584" s="20">
        <f>BT584-'Gov Fd BS'!AA584</f>
        <v>0</v>
      </c>
    </row>
    <row r="585" spans="1:74">
      <c r="A585" s="12" t="s">
        <v>307</v>
      </c>
      <c r="B585" s="12"/>
      <c r="C585" s="12" t="s">
        <v>20</v>
      </c>
      <c r="D585" s="12"/>
      <c r="E585" s="12">
        <v>45005</v>
      </c>
      <c r="G585" s="1">
        <v>15755896</v>
      </c>
      <c r="I585" s="1">
        <v>3883046</v>
      </c>
      <c r="K585" s="1">
        <v>307131</v>
      </c>
      <c r="M585" s="1">
        <v>0</v>
      </c>
      <c r="O585" s="1">
        <v>1402528</v>
      </c>
      <c r="Q585" s="1">
        <v>2560776</v>
      </c>
      <c r="S585" s="1">
        <v>80105</v>
      </c>
      <c r="U585" s="1">
        <v>3079515</v>
      </c>
      <c r="W585" s="1">
        <v>934533</v>
      </c>
      <c r="Y585" s="1">
        <v>1065127</v>
      </c>
      <c r="AA585" s="1">
        <v>3699305</v>
      </c>
      <c r="AC585" s="1">
        <v>1024212</v>
      </c>
      <c r="AE585" s="1">
        <v>333156</v>
      </c>
      <c r="AG585" s="1">
        <v>1038877</v>
      </c>
      <c r="AI585" s="1">
        <v>74226</v>
      </c>
      <c r="AJ585" s="12" t="s">
        <v>307</v>
      </c>
      <c r="AK585" s="12"/>
      <c r="AL585" s="12" t="s">
        <v>20</v>
      </c>
      <c r="AN585" s="1">
        <v>206482</v>
      </c>
      <c r="AP585" s="1">
        <v>472144</v>
      </c>
      <c r="AR585" s="1">
        <v>0</v>
      </c>
      <c r="AT585" s="1">
        <v>1034049</v>
      </c>
      <c r="AV585" s="1">
        <v>990925</v>
      </c>
      <c r="AX585" s="1">
        <v>0</v>
      </c>
      <c r="AZ585" s="20">
        <f t="shared" si="56"/>
        <v>37942033</v>
      </c>
      <c r="BB585" s="1">
        <v>403295</v>
      </c>
      <c r="BH585" s="1">
        <v>0</v>
      </c>
      <c r="BJ585" s="20">
        <f t="shared" si="54"/>
        <v>38345328</v>
      </c>
      <c r="BL585" s="20">
        <f>'Gov Fd Rv'!AO585-'Gov Fnd Exp'!BJ585</f>
        <v>-676278</v>
      </c>
      <c r="BN585" s="1">
        <v>4772459</v>
      </c>
      <c r="BP585" s="1">
        <v>0</v>
      </c>
      <c r="BR585" s="1">
        <v>0</v>
      </c>
      <c r="BT585" s="20">
        <f t="shared" si="55"/>
        <v>4096181</v>
      </c>
      <c r="BU585" s="20"/>
      <c r="BV585" s="20">
        <f>BT585-'Gov Fd BS'!AA585</f>
        <v>0</v>
      </c>
    </row>
    <row r="586" spans="1:74">
      <c r="A586" s="12" t="s">
        <v>328</v>
      </c>
      <c r="B586" s="12"/>
      <c r="C586" s="12" t="s">
        <v>26</v>
      </c>
      <c r="D586" s="12"/>
      <c r="E586" s="13">
        <v>45013</v>
      </c>
      <c r="G586" s="1">
        <v>9906440</v>
      </c>
      <c r="I586" s="1">
        <v>3192455</v>
      </c>
      <c r="K586" s="1">
        <v>6991</v>
      </c>
      <c r="M586" s="1">
        <v>33110</v>
      </c>
      <c r="O586" s="1">
        <v>892518</v>
      </c>
      <c r="Q586" s="1">
        <v>963265</v>
      </c>
      <c r="S586" s="1">
        <v>22217</v>
      </c>
      <c r="U586" s="1">
        <v>1818656</v>
      </c>
      <c r="W586" s="1">
        <v>578514</v>
      </c>
      <c r="Y586" s="1">
        <v>0</v>
      </c>
      <c r="AA586" s="1">
        <v>1951148</v>
      </c>
      <c r="AC586" s="1">
        <v>735714</v>
      </c>
      <c r="AE586" s="1">
        <v>254611</v>
      </c>
      <c r="AG586" s="1">
        <v>904530</v>
      </c>
      <c r="AI586" s="1">
        <v>0</v>
      </c>
      <c r="AJ586" s="12" t="s">
        <v>328</v>
      </c>
      <c r="AK586" s="12"/>
      <c r="AL586" s="12" t="s">
        <v>26</v>
      </c>
      <c r="AN586" s="1">
        <v>561403</v>
      </c>
      <c r="AP586" s="1">
        <v>2863076</v>
      </c>
      <c r="AR586" s="1">
        <v>0</v>
      </c>
      <c r="AT586" s="1">
        <v>438959</v>
      </c>
      <c r="AV586" s="1">
        <v>892914</v>
      </c>
      <c r="AX586" s="1">
        <v>0</v>
      </c>
      <c r="AZ586" s="20">
        <f t="shared" si="56"/>
        <v>26016521</v>
      </c>
      <c r="BB586" s="1">
        <v>2325411</v>
      </c>
      <c r="BH586" s="1">
        <v>0</v>
      </c>
      <c r="BJ586" s="20">
        <f t="shared" si="54"/>
        <v>28341932</v>
      </c>
      <c r="BL586" s="20">
        <f>'Gov Fd Rv'!AO586-'Gov Fnd Exp'!BJ586</f>
        <v>-1855372</v>
      </c>
      <c r="BN586" s="1">
        <v>5286201</v>
      </c>
      <c r="BP586" s="1">
        <v>0</v>
      </c>
      <c r="BR586" s="1">
        <v>0</v>
      </c>
      <c r="BT586" s="20">
        <f t="shared" si="55"/>
        <v>3430829</v>
      </c>
      <c r="BU586" s="20"/>
      <c r="BV586" s="20">
        <f>BT586-'Gov Fd BS'!AA586</f>
        <v>0</v>
      </c>
    </row>
    <row r="587" spans="1:74">
      <c r="A587" s="12" t="s">
        <v>456</v>
      </c>
      <c r="B587" s="12"/>
      <c r="C587" s="12" t="s">
        <v>117</v>
      </c>
      <c r="D587" s="12"/>
      <c r="E587" s="13">
        <v>48231</v>
      </c>
      <c r="G587" s="1">
        <v>31011320</v>
      </c>
      <c r="I587" s="1">
        <v>10015788</v>
      </c>
      <c r="K587" s="1">
        <v>2829813</v>
      </c>
      <c r="M587" s="1">
        <f>71867+3554070</f>
        <v>3625937</v>
      </c>
      <c r="O587" s="1">
        <v>4194714</v>
      </c>
      <c r="Q587" s="1">
        <v>3902289</v>
      </c>
      <c r="S587" s="1">
        <v>160595</v>
      </c>
      <c r="U587" s="1">
        <v>4902152</v>
      </c>
      <c r="W587" s="1">
        <v>1436619</v>
      </c>
      <c r="Y587" s="1">
        <v>677827</v>
      </c>
      <c r="AA587" s="1">
        <v>9457503</v>
      </c>
      <c r="AC587" s="1">
        <v>3037394</v>
      </c>
      <c r="AE587" s="1">
        <v>1506085</v>
      </c>
      <c r="AG587" s="1">
        <v>2327718</v>
      </c>
      <c r="AI587" s="1">
        <v>1226144</v>
      </c>
      <c r="AJ587" s="12" t="s">
        <v>456</v>
      </c>
      <c r="AK587" s="12"/>
      <c r="AL587" s="12" t="s">
        <v>117</v>
      </c>
      <c r="AN587" s="1">
        <v>1192438</v>
      </c>
      <c r="AP587" s="1">
        <v>2295891</v>
      </c>
      <c r="AR587" s="1">
        <v>0</v>
      </c>
      <c r="AT587" s="1">
        <v>0</v>
      </c>
      <c r="AV587" s="1">
        <v>96630</v>
      </c>
      <c r="AX587" s="1">
        <v>0</v>
      </c>
      <c r="AZ587" s="20">
        <f t="shared" si="56"/>
        <v>83896857</v>
      </c>
      <c r="BB587" s="1">
        <v>671984</v>
      </c>
      <c r="BH587" s="1">
        <v>0</v>
      </c>
      <c r="BJ587" s="20">
        <f t="shared" si="54"/>
        <v>84568841</v>
      </c>
      <c r="BL587" s="20">
        <f>'Gov Fd Rv'!AO587-'Gov Fnd Exp'!BJ587</f>
        <v>-2232495</v>
      </c>
      <c r="BN587" s="1">
        <v>30993476</v>
      </c>
      <c r="BP587" s="1">
        <v>0</v>
      </c>
      <c r="BR587" s="1">
        <v>0</v>
      </c>
      <c r="BT587" s="20">
        <f t="shared" si="55"/>
        <v>28760981</v>
      </c>
      <c r="BU587" s="20"/>
      <c r="BV587" s="20">
        <f>BT587-'Gov Fd BS'!AA587</f>
        <v>0</v>
      </c>
    </row>
    <row r="588" spans="1:74">
      <c r="A588" s="12" t="s">
        <v>565</v>
      </c>
      <c r="B588" s="12"/>
      <c r="C588" s="12" t="s">
        <v>59</v>
      </c>
      <c r="D588" s="12"/>
      <c r="E588" s="13">
        <v>49650</v>
      </c>
      <c r="G588" s="1">
        <v>6497102</v>
      </c>
      <c r="I588" s="1">
        <v>2117339</v>
      </c>
      <c r="K588" s="1">
        <v>98200</v>
      </c>
      <c r="M588" s="1">
        <v>150861</v>
      </c>
      <c r="O588" s="1">
        <v>823763</v>
      </c>
      <c r="Q588" s="1">
        <v>930516</v>
      </c>
      <c r="S588" s="1">
        <v>80460</v>
      </c>
      <c r="U588" s="1">
        <v>1092972</v>
      </c>
      <c r="W588" s="1">
        <v>289706</v>
      </c>
      <c r="Y588" s="1">
        <v>0</v>
      </c>
      <c r="AA588" s="1">
        <v>1507116</v>
      </c>
      <c r="AC588" s="1">
        <v>848417</v>
      </c>
      <c r="AE588" s="1">
        <v>0</v>
      </c>
      <c r="AG588" s="1">
        <v>766914</v>
      </c>
      <c r="AI588" s="1">
        <v>0</v>
      </c>
      <c r="AJ588" s="12" t="s">
        <v>565</v>
      </c>
      <c r="AK588" s="12"/>
      <c r="AL588" s="12" t="s">
        <v>59</v>
      </c>
      <c r="AN588" s="1">
        <v>346086</v>
      </c>
      <c r="AP588" s="1">
        <v>2113108</v>
      </c>
      <c r="AR588" s="1">
        <v>0</v>
      </c>
      <c r="AT588" s="1">
        <v>314655</v>
      </c>
      <c r="AV588" s="1">
        <v>39423</v>
      </c>
      <c r="AX588" s="1">
        <v>0</v>
      </c>
      <c r="AZ588" s="20">
        <f t="shared" si="56"/>
        <v>18016638</v>
      </c>
      <c r="BB588" s="1">
        <v>369939</v>
      </c>
      <c r="BH588" s="1">
        <v>0</v>
      </c>
      <c r="BJ588" s="20">
        <f t="shared" si="54"/>
        <v>18386577</v>
      </c>
      <c r="BL588" s="20">
        <f>'Gov Fd Rv'!AO588-'Gov Fnd Exp'!BJ588</f>
        <v>3200023</v>
      </c>
      <c r="BN588" s="1">
        <v>4532755</v>
      </c>
      <c r="BP588" s="1">
        <v>0</v>
      </c>
      <c r="BR588" s="1">
        <v>0</v>
      </c>
      <c r="BT588" s="20">
        <f t="shared" si="55"/>
        <v>7732778</v>
      </c>
      <c r="BU588" s="20"/>
      <c r="BV588" s="20">
        <f>BT588-'Gov Fd BS'!AA588</f>
        <v>0</v>
      </c>
    </row>
    <row r="589" spans="1:74">
      <c r="A589" s="12" t="s">
        <v>539</v>
      </c>
      <c r="B589" s="12"/>
      <c r="C589" s="12" t="s">
        <v>56</v>
      </c>
      <c r="D589" s="12"/>
      <c r="E589" s="13">
        <v>49247</v>
      </c>
      <c r="G589" s="1">
        <v>5534915</v>
      </c>
      <c r="I589" s="1">
        <v>1752742</v>
      </c>
      <c r="K589" s="1">
        <v>53054</v>
      </c>
      <c r="M589" s="1">
        <v>21849</v>
      </c>
      <c r="O589" s="1">
        <v>449548</v>
      </c>
      <c r="Q589" s="1">
        <v>418714</v>
      </c>
      <c r="S589" s="1">
        <v>31940</v>
      </c>
      <c r="U589" s="1">
        <v>852586</v>
      </c>
      <c r="W589" s="1">
        <v>346804</v>
      </c>
      <c r="Y589" s="1">
        <v>27787</v>
      </c>
      <c r="AA589" s="1">
        <v>1087751</v>
      </c>
      <c r="AC589" s="1">
        <v>986359</v>
      </c>
      <c r="AE589" s="1">
        <v>16192</v>
      </c>
      <c r="AG589" s="1">
        <v>338178</v>
      </c>
      <c r="AI589" s="1">
        <v>104663</v>
      </c>
      <c r="AJ589" s="12" t="s">
        <v>539</v>
      </c>
      <c r="AK589" s="12"/>
      <c r="AL589" s="12" t="s">
        <v>56</v>
      </c>
      <c r="AN589" s="1">
        <v>327048</v>
      </c>
      <c r="AP589" s="1">
        <v>1296579</v>
      </c>
      <c r="AR589" s="1">
        <v>0</v>
      </c>
      <c r="AT589" s="1">
        <v>445043</v>
      </c>
      <c r="AV589" s="1">
        <v>366978</v>
      </c>
      <c r="AX589" s="1">
        <v>0</v>
      </c>
      <c r="AZ589" s="20">
        <f t="shared" si="56"/>
        <v>14458730</v>
      </c>
      <c r="BB589" s="1">
        <v>19113</v>
      </c>
      <c r="BH589" s="1">
        <v>0</v>
      </c>
      <c r="BJ589" s="20">
        <f t="shared" si="54"/>
        <v>14477843</v>
      </c>
      <c r="BL589" s="20">
        <f>'Gov Fd Rv'!AO589-'Gov Fnd Exp'!BJ589</f>
        <v>-245310</v>
      </c>
      <c r="BN589" s="1">
        <v>3378624</v>
      </c>
      <c r="BP589" s="1">
        <v>21140</v>
      </c>
      <c r="BR589" s="1">
        <v>0</v>
      </c>
      <c r="BT589" s="20">
        <f t="shared" si="55"/>
        <v>3154454</v>
      </c>
      <c r="BU589" s="20"/>
      <c r="BV589" s="20">
        <f>BT589-'Gov Fd BS'!AA589</f>
        <v>0</v>
      </c>
    </row>
    <row r="590" spans="1:74">
      <c r="A590" s="12" t="s">
        <v>348</v>
      </c>
      <c r="B590" s="12"/>
      <c r="C590" s="12" t="s">
        <v>28</v>
      </c>
      <c r="D590" s="12"/>
      <c r="E590" s="13">
        <v>45641</v>
      </c>
      <c r="G590" s="1">
        <v>7336658</v>
      </c>
      <c r="I590" s="1">
        <v>1851127</v>
      </c>
      <c r="K590" s="1">
        <v>265175</v>
      </c>
      <c r="M590" s="1">
        <v>902017</v>
      </c>
      <c r="O590" s="1">
        <v>626760</v>
      </c>
      <c r="Q590" s="1">
        <v>710990</v>
      </c>
      <c r="S590" s="1">
        <v>62392</v>
      </c>
      <c r="U590" s="1">
        <v>1241601</v>
      </c>
      <c r="W590" s="1">
        <v>395213</v>
      </c>
      <c r="Y590" s="1">
        <v>67436</v>
      </c>
      <c r="AA590" s="1">
        <v>1450095</v>
      </c>
      <c r="AC590" s="1">
        <v>953061</v>
      </c>
      <c r="AE590" s="1">
        <v>68320</v>
      </c>
      <c r="AG590" s="1">
        <v>729288</v>
      </c>
      <c r="AI590" s="1">
        <v>0</v>
      </c>
      <c r="AJ590" s="12" t="s">
        <v>348</v>
      </c>
      <c r="AK590" s="12"/>
      <c r="AL590" s="12" t="s">
        <v>28</v>
      </c>
      <c r="AN590" s="1">
        <v>612760</v>
      </c>
      <c r="AP590" s="1">
        <v>9907321</v>
      </c>
      <c r="AR590" s="1">
        <v>0</v>
      </c>
      <c r="AT590" s="1">
        <v>1060000</v>
      </c>
      <c r="AV590" s="1">
        <v>1101215</v>
      </c>
      <c r="AX590" s="1">
        <v>0</v>
      </c>
      <c r="AZ590" s="20">
        <f t="shared" si="56"/>
        <v>29341429</v>
      </c>
      <c r="BB590" s="1">
        <v>1315081</v>
      </c>
      <c r="BH590" s="1">
        <v>0</v>
      </c>
      <c r="BJ590" s="20">
        <f t="shared" si="54"/>
        <v>30656510</v>
      </c>
      <c r="BL590" s="20">
        <f>'Gov Fd Rv'!AO590-'Gov Fnd Exp'!BJ590</f>
        <v>-8377653</v>
      </c>
      <c r="BN590" s="1">
        <v>22225968</v>
      </c>
      <c r="BP590" s="1">
        <v>0</v>
      </c>
      <c r="BR590" s="1">
        <v>0</v>
      </c>
      <c r="BT590" s="20">
        <f t="shared" si="55"/>
        <v>13848315</v>
      </c>
      <c r="BU590" s="20"/>
      <c r="BV590" s="20">
        <f>BT590-'Gov Fd BS'!AA590</f>
        <v>0</v>
      </c>
    </row>
    <row r="591" spans="1:74">
      <c r="A591" s="12" t="s">
        <v>530</v>
      </c>
      <c r="B591" s="12"/>
      <c r="C591" s="12" t="s">
        <v>55</v>
      </c>
      <c r="D591" s="12"/>
      <c r="E591" s="13">
        <v>49148</v>
      </c>
      <c r="G591" s="1">
        <v>8314969</v>
      </c>
      <c r="I591" s="1">
        <v>2187559</v>
      </c>
      <c r="K591" s="1">
        <v>170982</v>
      </c>
      <c r="M591" s="1">
        <v>108451</v>
      </c>
      <c r="O591" s="1">
        <v>885028</v>
      </c>
      <c r="Q591" s="1">
        <v>1318218</v>
      </c>
      <c r="S591" s="1">
        <v>43644</v>
      </c>
      <c r="U591" s="1">
        <v>1159966</v>
      </c>
      <c r="W591" s="1">
        <v>449963</v>
      </c>
      <c r="Y591" s="1">
        <v>0</v>
      </c>
      <c r="AA591" s="1">
        <v>2187923</v>
      </c>
      <c r="AC591" s="1">
        <v>1317964</v>
      </c>
      <c r="AE591" s="1">
        <v>4310</v>
      </c>
      <c r="AG591" s="1">
        <v>809823</v>
      </c>
      <c r="AI591" s="1">
        <v>68117</v>
      </c>
      <c r="AJ591" s="12" t="s">
        <v>530</v>
      </c>
      <c r="AK591" s="12"/>
      <c r="AL591" s="12" t="s">
        <v>55</v>
      </c>
      <c r="AN591" s="1">
        <v>487365</v>
      </c>
      <c r="AP591" s="1">
        <v>20543</v>
      </c>
      <c r="AR591" s="1">
        <v>0</v>
      </c>
      <c r="AT591" s="1">
        <v>512662</v>
      </c>
      <c r="AV591" s="1">
        <v>321141</v>
      </c>
      <c r="AX591" s="1">
        <v>0</v>
      </c>
      <c r="AZ591" s="20">
        <f t="shared" si="56"/>
        <v>20368628</v>
      </c>
      <c r="BB591" s="1">
        <v>177234</v>
      </c>
      <c r="BH591" s="1">
        <v>0</v>
      </c>
      <c r="BJ591" s="20">
        <f t="shared" si="54"/>
        <v>20545862</v>
      </c>
      <c r="BL591" s="20">
        <f>'Gov Fd Rv'!AO591-'Gov Fnd Exp'!BJ591</f>
        <v>-1014436</v>
      </c>
      <c r="BN591" s="1">
        <v>3271622</v>
      </c>
      <c r="BP591" s="1">
        <v>0</v>
      </c>
      <c r="BR591" s="1">
        <v>0</v>
      </c>
      <c r="BT591" s="20">
        <f t="shared" si="55"/>
        <v>2257186</v>
      </c>
      <c r="BU591" s="20"/>
      <c r="BV591" s="20">
        <f>BT591-'Gov Fd BS'!AA591</f>
        <v>0</v>
      </c>
    </row>
    <row r="592" spans="1:74" hidden="1">
      <c r="A592" s="17" t="s">
        <v>881</v>
      </c>
      <c r="B592" s="12"/>
      <c r="C592" s="12" t="s">
        <v>69</v>
      </c>
      <c r="D592" s="12"/>
      <c r="E592" s="13">
        <v>50468</v>
      </c>
      <c r="AJ592" s="17" t="s">
        <v>881</v>
      </c>
      <c r="AK592" s="12"/>
      <c r="AL592" s="12" t="s">
        <v>69</v>
      </c>
      <c r="AZ592" s="20">
        <f t="shared" si="56"/>
        <v>0</v>
      </c>
      <c r="BJ592" s="20">
        <f t="shared" si="54"/>
        <v>0</v>
      </c>
      <c r="BL592" s="20">
        <f>'Gov Fd Rv'!AO592-'Gov Fnd Exp'!BJ592</f>
        <v>0</v>
      </c>
      <c r="BT592" s="20">
        <f t="shared" si="55"/>
        <v>0</v>
      </c>
      <c r="BU592" s="20"/>
      <c r="BV592" s="20">
        <f>BT592-'Gov Fd BS'!AA592</f>
        <v>0</v>
      </c>
    </row>
    <row r="593" spans="1:74" hidden="1">
      <c r="A593" s="17" t="s">
        <v>746</v>
      </c>
      <c r="B593" s="12"/>
      <c r="C593" s="12" t="s">
        <v>523</v>
      </c>
      <c r="D593" s="12"/>
      <c r="E593" s="13">
        <v>49031</v>
      </c>
      <c r="AJ593" s="17" t="s">
        <v>746</v>
      </c>
      <c r="AK593" s="12"/>
      <c r="AL593" s="12" t="s">
        <v>523</v>
      </c>
      <c r="AZ593" s="20">
        <f t="shared" si="56"/>
        <v>0</v>
      </c>
      <c r="BJ593" s="20">
        <f t="shared" si="54"/>
        <v>0</v>
      </c>
      <c r="BL593" s="20">
        <f>'Gov Fd Rv'!AO593-'Gov Fnd Exp'!BJ593</f>
        <v>0</v>
      </c>
      <c r="BT593" s="20">
        <f t="shared" si="55"/>
        <v>0</v>
      </c>
      <c r="BU593" s="20"/>
      <c r="BV593" s="20">
        <f>BT593-'Gov Fd BS'!AA593</f>
        <v>0</v>
      </c>
    </row>
    <row r="594" spans="1:74" hidden="1">
      <c r="A594" s="17" t="s">
        <v>789</v>
      </c>
      <c r="B594" s="12"/>
      <c r="C594" s="12" t="s">
        <v>14</v>
      </c>
      <c r="D594" s="12"/>
      <c r="E594" s="13">
        <v>45971</v>
      </c>
      <c r="AJ594" s="17" t="s">
        <v>789</v>
      </c>
      <c r="AK594" s="12"/>
      <c r="AL594" s="12" t="s">
        <v>14</v>
      </c>
      <c r="AZ594" s="20">
        <f t="shared" si="56"/>
        <v>0</v>
      </c>
      <c r="BJ594" s="20">
        <f t="shared" si="54"/>
        <v>0</v>
      </c>
      <c r="BL594" s="20">
        <f>'Gov Fd Rv'!AO594-'Gov Fnd Exp'!BJ594</f>
        <v>0</v>
      </c>
      <c r="BT594" s="20">
        <f t="shared" si="55"/>
        <v>0</v>
      </c>
      <c r="BU594" s="20"/>
      <c r="BV594" s="20">
        <f>BT594-'Gov Fd BS'!AA594</f>
        <v>0</v>
      </c>
    </row>
    <row r="595" spans="1:74">
      <c r="A595" s="17"/>
      <c r="B595" s="12"/>
      <c r="C595" s="12"/>
      <c r="D595" s="12"/>
      <c r="E595" s="13"/>
      <c r="AJ595" s="17"/>
      <c r="AK595" s="12"/>
      <c r="AL595" s="12"/>
      <c r="AZ595" s="20"/>
      <c r="BJ595" s="20"/>
      <c r="BL595" s="20"/>
      <c r="BT595" s="20"/>
      <c r="BU595" s="20"/>
      <c r="BV595" s="20"/>
    </row>
    <row r="596" spans="1:74">
      <c r="A596" s="17"/>
      <c r="B596" s="12"/>
      <c r="C596" s="12"/>
      <c r="D596" s="12"/>
      <c r="E596" s="13"/>
      <c r="AI596" s="20" t="s">
        <v>709</v>
      </c>
      <c r="AJ596" s="17"/>
      <c r="AK596" s="12"/>
      <c r="AL596" s="12"/>
      <c r="AZ596" s="20"/>
      <c r="BJ596" s="20"/>
      <c r="BL596" s="20"/>
      <c r="BT596" s="20" t="s">
        <v>709</v>
      </c>
      <c r="BU596" s="20"/>
      <c r="BV596" s="20"/>
    </row>
    <row r="597" spans="1:74">
      <c r="A597" s="17"/>
      <c r="B597" s="12"/>
      <c r="C597" s="12"/>
      <c r="D597" s="12"/>
      <c r="E597" s="13"/>
      <c r="AJ597" s="17"/>
      <c r="AK597" s="12"/>
      <c r="AL597" s="12"/>
      <c r="AZ597" s="20"/>
      <c r="BJ597" s="20"/>
      <c r="BL597" s="20"/>
      <c r="BT597" s="20"/>
      <c r="BU597" s="20"/>
      <c r="BV597" s="20"/>
    </row>
    <row r="598" spans="1:74">
      <c r="A598" s="12" t="s">
        <v>617</v>
      </c>
      <c r="B598" s="12"/>
      <c r="C598" s="12" t="s">
        <v>64</v>
      </c>
      <c r="D598" s="12"/>
      <c r="E598" s="13">
        <v>50252</v>
      </c>
      <c r="G598" s="16">
        <v>3959507</v>
      </c>
      <c r="H598" s="16"/>
      <c r="I598" s="16">
        <v>1235724</v>
      </c>
      <c r="J598" s="16"/>
      <c r="K598" s="16">
        <v>0</v>
      </c>
      <c r="L598" s="16"/>
      <c r="M598" s="16">
        <v>455569</v>
      </c>
      <c r="N598" s="16"/>
      <c r="O598" s="16">
        <v>444713</v>
      </c>
      <c r="P598" s="16"/>
      <c r="Q598" s="16">
        <v>228188</v>
      </c>
      <c r="R598" s="16"/>
      <c r="S598" s="16">
        <v>19664</v>
      </c>
      <c r="T598" s="16"/>
      <c r="U598" s="16">
        <v>789916</v>
      </c>
      <c r="V598" s="16"/>
      <c r="W598" s="16">
        <v>292570</v>
      </c>
      <c r="X598" s="16"/>
      <c r="Y598" s="16">
        <v>11459</v>
      </c>
      <c r="Z598" s="16"/>
      <c r="AA598" s="16">
        <v>1313715</v>
      </c>
      <c r="AB598" s="16"/>
      <c r="AC598" s="16">
        <v>399567</v>
      </c>
      <c r="AD598" s="16"/>
      <c r="AE598" s="16">
        <v>6859</v>
      </c>
      <c r="AF598" s="16"/>
      <c r="AG598" s="16">
        <v>320861</v>
      </c>
      <c r="AH598" s="16"/>
      <c r="AI598" s="16">
        <v>1323</v>
      </c>
      <c r="AJ598" s="12" t="s">
        <v>617</v>
      </c>
      <c r="AK598" s="12"/>
      <c r="AL598" s="12" t="s">
        <v>64</v>
      </c>
      <c r="AN598" s="16">
        <v>380326</v>
      </c>
      <c r="AO598" s="16"/>
      <c r="AP598" s="16">
        <v>0</v>
      </c>
      <c r="AQ598" s="16"/>
      <c r="AR598" s="16">
        <v>0</v>
      </c>
      <c r="AS598" s="16"/>
      <c r="AT598" s="16">
        <v>257233</v>
      </c>
      <c r="AU598" s="16"/>
      <c r="AV598" s="16">
        <v>110175</v>
      </c>
      <c r="AW598" s="16"/>
      <c r="AX598" s="16">
        <v>0</v>
      </c>
      <c r="AY598" s="16"/>
      <c r="AZ598" s="72">
        <f t="shared" ref="AZ598:AZ633" si="57">SUM(G598:AX598)</f>
        <v>10227369</v>
      </c>
      <c r="BA598" s="16"/>
      <c r="BB598" s="16">
        <v>55500</v>
      </c>
      <c r="BC598" s="16"/>
      <c r="BD598" s="16"/>
      <c r="BE598" s="16"/>
      <c r="BF598" s="16"/>
      <c r="BG598" s="16"/>
      <c r="BH598" s="16">
        <v>0</v>
      </c>
      <c r="BI598" s="16"/>
      <c r="BJ598" s="72">
        <f t="shared" si="54"/>
        <v>10282869</v>
      </c>
      <c r="BK598" s="16"/>
      <c r="BL598" s="72">
        <f>'Gov Fd Rv'!AO598-'Gov Fnd Exp'!BJ598</f>
        <v>-458861</v>
      </c>
      <c r="BM598" s="16"/>
      <c r="BN598" s="16">
        <v>1636295</v>
      </c>
      <c r="BO598" s="16"/>
      <c r="BP598" s="16">
        <v>0</v>
      </c>
      <c r="BQ598" s="16"/>
      <c r="BR598" s="16">
        <v>0</v>
      </c>
      <c r="BS598" s="16"/>
      <c r="BT598" s="72">
        <f t="shared" si="55"/>
        <v>1177434</v>
      </c>
      <c r="BU598" s="20"/>
      <c r="BV598" s="20">
        <f>BT598-'Gov Fd BS'!AA598</f>
        <v>0</v>
      </c>
    </row>
    <row r="599" spans="1:74">
      <c r="A599" s="12" t="s">
        <v>448</v>
      </c>
      <c r="B599" s="12"/>
      <c r="C599" s="12" t="s">
        <v>44</v>
      </c>
      <c r="D599" s="12"/>
      <c r="E599" s="13">
        <v>45658</v>
      </c>
      <c r="G599" s="1">
        <v>6164580</v>
      </c>
      <c r="I599" s="1">
        <v>1449083</v>
      </c>
      <c r="K599" s="1">
        <v>90382</v>
      </c>
      <c r="M599" s="1">
        <v>71</v>
      </c>
      <c r="O599" s="1">
        <v>479756</v>
      </c>
      <c r="Q599" s="1">
        <v>822418</v>
      </c>
      <c r="S599" s="1">
        <v>24305</v>
      </c>
      <c r="U599" s="1">
        <v>1216520</v>
      </c>
      <c r="W599" s="1">
        <v>358372</v>
      </c>
      <c r="Y599" s="1">
        <v>0</v>
      </c>
      <c r="AA599" s="1">
        <v>1023303</v>
      </c>
      <c r="AC599" s="1">
        <v>679493</v>
      </c>
      <c r="AE599" s="1">
        <v>110593</v>
      </c>
      <c r="AG599" s="1">
        <v>0</v>
      </c>
      <c r="AI599" s="1">
        <v>492420</v>
      </c>
      <c r="AJ599" s="12" t="s">
        <v>448</v>
      </c>
      <c r="AK599" s="12"/>
      <c r="AL599" s="12" t="s">
        <v>44</v>
      </c>
      <c r="AN599" s="1">
        <v>430010</v>
      </c>
      <c r="AP599" s="1">
        <v>147090</v>
      </c>
      <c r="AR599" s="1">
        <v>0</v>
      </c>
      <c r="AT599" s="1">
        <v>0</v>
      </c>
      <c r="AV599" s="1">
        <v>0</v>
      </c>
      <c r="AX599" s="1">
        <v>0</v>
      </c>
      <c r="AZ599" s="20">
        <f t="shared" si="57"/>
        <v>13488396</v>
      </c>
      <c r="BB599" s="1">
        <v>527685</v>
      </c>
      <c r="BH599" s="1">
        <v>0</v>
      </c>
      <c r="BJ599" s="20">
        <f t="shared" si="54"/>
        <v>14016081</v>
      </c>
      <c r="BL599" s="20">
        <f>'Gov Fd Rv'!AO599-'Gov Fnd Exp'!BJ599</f>
        <v>390351</v>
      </c>
      <c r="BN599" s="1">
        <v>4798934</v>
      </c>
      <c r="BP599" s="1">
        <v>0</v>
      </c>
      <c r="BR599" s="1">
        <v>0</v>
      </c>
      <c r="BT599" s="20">
        <f t="shared" si="55"/>
        <v>5189285</v>
      </c>
      <c r="BU599" s="20"/>
      <c r="BV599" s="20">
        <f>BT599-'Gov Fd BS'!AA599</f>
        <v>0</v>
      </c>
    </row>
    <row r="600" spans="1:74">
      <c r="A600" s="12" t="s">
        <v>409</v>
      </c>
      <c r="B600" s="12"/>
      <c r="C600" s="12" t="s">
        <v>38</v>
      </c>
      <c r="D600" s="12"/>
      <c r="E600" s="13">
        <v>45021</v>
      </c>
      <c r="G600" s="1">
        <v>6932219</v>
      </c>
      <c r="I600" s="1">
        <v>2391947</v>
      </c>
      <c r="K600" s="1">
        <v>87096</v>
      </c>
      <c r="M600" s="1">
        <v>70340</v>
      </c>
      <c r="O600" s="1">
        <v>781534</v>
      </c>
      <c r="Q600" s="1">
        <v>1114309</v>
      </c>
      <c r="S600" s="1">
        <v>194761</v>
      </c>
      <c r="U600" s="1">
        <v>1366562</v>
      </c>
      <c r="W600" s="1">
        <v>441757</v>
      </c>
      <c r="Y600" s="1">
        <v>0</v>
      </c>
      <c r="AA600" s="1">
        <v>1614461</v>
      </c>
      <c r="AC600" s="1">
        <v>838551</v>
      </c>
      <c r="AE600" s="1">
        <v>106505</v>
      </c>
      <c r="AG600" s="1">
        <v>762705</v>
      </c>
      <c r="AI600" s="1">
        <v>38521</v>
      </c>
      <c r="AJ600" s="12" t="s">
        <v>409</v>
      </c>
      <c r="AK600" s="12"/>
      <c r="AL600" s="12" t="s">
        <v>38</v>
      </c>
      <c r="AN600" s="1">
        <v>317233</v>
      </c>
      <c r="AP600" s="1">
        <v>3620504</v>
      </c>
      <c r="AR600" s="1">
        <v>0</v>
      </c>
      <c r="AT600" s="1">
        <v>135000</v>
      </c>
      <c r="AV600" s="1">
        <v>136413</v>
      </c>
      <c r="AX600" s="1">
        <v>0</v>
      </c>
      <c r="AZ600" s="20">
        <f t="shared" si="57"/>
        <v>20950418</v>
      </c>
      <c r="BB600" s="1">
        <v>0</v>
      </c>
      <c r="BH600" s="1">
        <v>0</v>
      </c>
      <c r="BJ600" s="20">
        <f t="shared" si="54"/>
        <v>20950418</v>
      </c>
      <c r="BL600" s="20">
        <f>'Gov Fd Rv'!AO600-'Gov Fnd Exp'!BJ600</f>
        <v>-2603640</v>
      </c>
      <c r="BN600" s="1">
        <v>11047317</v>
      </c>
      <c r="BP600" s="1">
        <v>0</v>
      </c>
      <c r="BR600" s="1">
        <v>0</v>
      </c>
      <c r="BT600" s="20">
        <f t="shared" si="55"/>
        <v>8443677</v>
      </c>
      <c r="BU600" s="20"/>
      <c r="BV600" s="20">
        <f>BT600-'Gov Fd BS'!AA600</f>
        <v>0</v>
      </c>
    </row>
    <row r="601" spans="1:74">
      <c r="A601" s="12" t="s">
        <v>271</v>
      </c>
      <c r="B601" s="12"/>
      <c r="C601" s="12" t="s">
        <v>114</v>
      </c>
      <c r="D601" s="12"/>
      <c r="E601" s="13">
        <v>45039</v>
      </c>
      <c r="G601" s="1">
        <v>4168720</v>
      </c>
      <c r="I601" s="1">
        <v>885673</v>
      </c>
      <c r="K601" s="1">
        <v>174338</v>
      </c>
      <c r="M601" s="1">
        <v>220610</v>
      </c>
      <c r="O601" s="1">
        <v>314864</v>
      </c>
      <c r="Q601" s="1">
        <v>430707</v>
      </c>
      <c r="S601" s="1">
        <v>14088</v>
      </c>
      <c r="U601" s="1">
        <v>738644</v>
      </c>
      <c r="W601" s="1">
        <v>243556</v>
      </c>
      <c r="Y601" s="1">
        <v>0</v>
      </c>
      <c r="AA601" s="1">
        <v>931038</v>
      </c>
      <c r="AC601" s="1">
        <v>125526</v>
      </c>
      <c r="AE601" s="1">
        <v>33</v>
      </c>
      <c r="AG601" s="1">
        <v>404439</v>
      </c>
      <c r="AI601" s="1">
        <v>6649</v>
      </c>
      <c r="AJ601" s="12" t="s">
        <v>271</v>
      </c>
      <c r="AK601" s="12"/>
      <c r="AL601" s="12" t="s">
        <v>114</v>
      </c>
      <c r="AN601" s="1">
        <v>256446</v>
      </c>
      <c r="AP601" s="1">
        <v>28229</v>
      </c>
      <c r="AR601" s="1">
        <v>0</v>
      </c>
      <c r="AT601" s="1">
        <v>119827</v>
      </c>
      <c r="AV601" s="1">
        <v>57333</v>
      </c>
      <c r="AX601" s="1">
        <v>0</v>
      </c>
      <c r="AZ601" s="20">
        <f t="shared" si="57"/>
        <v>9120720</v>
      </c>
      <c r="BB601" s="1">
        <v>0</v>
      </c>
      <c r="BH601" s="1">
        <v>0</v>
      </c>
      <c r="BJ601" s="20">
        <f t="shared" si="54"/>
        <v>9120720</v>
      </c>
      <c r="BL601" s="20">
        <f>'Gov Fd Rv'!AO601-'Gov Fnd Exp'!BJ601</f>
        <v>547610</v>
      </c>
      <c r="BN601" s="1">
        <v>2893425</v>
      </c>
      <c r="BP601" s="1">
        <v>0</v>
      </c>
      <c r="BR601" s="1">
        <v>0</v>
      </c>
      <c r="BT601" s="20">
        <f t="shared" si="55"/>
        <v>3441035</v>
      </c>
      <c r="BU601" s="20"/>
      <c r="BV601" s="20">
        <f>BT601-'Gov Fd BS'!AA601</f>
        <v>0</v>
      </c>
    </row>
    <row r="602" spans="1:74">
      <c r="A602" s="12" t="s">
        <v>471</v>
      </c>
      <c r="B602" s="12"/>
      <c r="C602" s="12" t="s">
        <v>45</v>
      </c>
      <c r="D602" s="12"/>
      <c r="E602" s="13">
        <v>48389</v>
      </c>
      <c r="G602" s="1">
        <v>8951381</v>
      </c>
      <c r="I602" s="1">
        <v>2630373</v>
      </c>
      <c r="K602" s="1">
        <v>417790</v>
      </c>
      <c r="M602" s="1">
        <v>46751</v>
      </c>
      <c r="O602" s="1">
        <v>1141852</v>
      </c>
      <c r="Q602" s="1">
        <v>1178251</v>
      </c>
      <c r="S602" s="1">
        <v>37549</v>
      </c>
      <c r="U602" s="1">
        <v>1552100</v>
      </c>
      <c r="W602" s="1">
        <v>450022</v>
      </c>
      <c r="Y602" s="1">
        <v>26287</v>
      </c>
      <c r="AA602" s="1">
        <v>1939198</v>
      </c>
      <c r="AC602" s="1">
        <v>1328187</v>
      </c>
      <c r="AE602" s="1">
        <v>283350</v>
      </c>
      <c r="AG602" s="1">
        <v>870116</v>
      </c>
      <c r="AI602" s="1">
        <v>53230</v>
      </c>
      <c r="AJ602" s="12" t="s">
        <v>471</v>
      </c>
      <c r="AK602" s="12"/>
      <c r="AL602" s="12" t="s">
        <v>45</v>
      </c>
      <c r="AN602" s="1">
        <v>591393</v>
      </c>
      <c r="AP602" s="1">
        <v>12649</v>
      </c>
      <c r="AR602" s="1">
        <v>0</v>
      </c>
      <c r="AT602" s="1">
        <v>425000</v>
      </c>
      <c r="AV602" s="1">
        <v>234500</v>
      </c>
      <c r="AX602" s="1">
        <v>0</v>
      </c>
      <c r="AZ602" s="20">
        <f t="shared" si="57"/>
        <v>22169979</v>
      </c>
      <c r="BB602" s="1">
        <v>75595</v>
      </c>
      <c r="BH602" s="1">
        <v>0</v>
      </c>
      <c r="BJ602" s="20">
        <f t="shared" si="54"/>
        <v>22245574</v>
      </c>
      <c r="BL602" s="20">
        <f>'Gov Fd Rv'!AO602-'Gov Fnd Exp'!BJ602</f>
        <v>266338</v>
      </c>
      <c r="BN602" s="1">
        <v>3616021</v>
      </c>
      <c r="BP602" s="1">
        <v>6928</v>
      </c>
      <c r="BR602" s="1">
        <v>0</v>
      </c>
      <c r="BT602" s="20">
        <f t="shared" si="55"/>
        <v>3889287</v>
      </c>
      <c r="BU602" s="20"/>
      <c r="BV602" s="20">
        <f>BT602-'Gov Fd BS'!AA602</f>
        <v>0</v>
      </c>
    </row>
    <row r="603" spans="1:74">
      <c r="A603" s="17" t="s">
        <v>880</v>
      </c>
      <c r="B603" s="17"/>
      <c r="C603" s="17" t="s">
        <v>50</v>
      </c>
      <c r="D603" s="12"/>
      <c r="E603" s="13"/>
      <c r="G603" s="1">
        <v>14637611</v>
      </c>
      <c r="I603" s="1">
        <v>5549263</v>
      </c>
      <c r="K603" s="1">
        <v>196389</v>
      </c>
      <c r="M603" s="1">
        <v>2356138</v>
      </c>
      <c r="O603" s="1">
        <v>2598228</v>
      </c>
      <c r="Q603" s="1">
        <v>2411528</v>
      </c>
      <c r="S603" s="1">
        <v>31454</v>
      </c>
      <c r="U603" s="1">
        <v>2990465</v>
      </c>
      <c r="W603" s="1">
        <v>676451</v>
      </c>
      <c r="Y603" s="1">
        <v>491769</v>
      </c>
      <c r="AA603" s="1">
        <v>3311557</v>
      </c>
      <c r="AC603" s="1">
        <v>2327181</v>
      </c>
      <c r="AE603" s="1">
        <v>216492</v>
      </c>
      <c r="AG603" s="1">
        <v>1322466</v>
      </c>
      <c r="AI603" s="1">
        <v>108729</v>
      </c>
      <c r="AJ603" s="17" t="s">
        <v>880</v>
      </c>
      <c r="AK603" s="17"/>
      <c r="AL603" s="17" t="s">
        <v>50</v>
      </c>
      <c r="AN603" s="1">
        <v>666142</v>
      </c>
      <c r="AP603" s="1">
        <v>2471938</v>
      </c>
      <c r="AR603" s="1">
        <v>0</v>
      </c>
      <c r="AT603" s="1">
        <v>366726</v>
      </c>
      <c r="AV603" s="1">
        <v>59333</v>
      </c>
      <c r="AX603" s="1">
        <v>0</v>
      </c>
      <c r="AZ603" s="20">
        <f t="shared" si="57"/>
        <v>42789860</v>
      </c>
      <c r="BB603" s="1">
        <v>0</v>
      </c>
      <c r="BH603" s="1">
        <v>0</v>
      </c>
      <c r="BJ603" s="20">
        <f t="shared" si="54"/>
        <v>42789860</v>
      </c>
      <c r="BL603" s="20">
        <f>'Gov Fd Rv'!AO603-'Gov Fnd Exp'!BJ603</f>
        <v>1614482</v>
      </c>
      <c r="BN603" s="1">
        <v>13076361</v>
      </c>
      <c r="BP603" s="1">
        <v>0</v>
      </c>
      <c r="BR603" s="1">
        <v>0</v>
      </c>
      <c r="BT603" s="20">
        <f t="shared" si="55"/>
        <v>14690843</v>
      </c>
      <c r="BU603" s="20"/>
      <c r="BV603" s="20">
        <f>BT603-'Gov Fd BS'!AA603</f>
        <v>0</v>
      </c>
    </row>
    <row r="604" spans="1:74">
      <c r="A604" s="12" t="s">
        <v>257</v>
      </c>
      <c r="B604" s="12"/>
      <c r="C604" s="12" t="s">
        <v>115</v>
      </c>
      <c r="D604" s="12"/>
      <c r="E604" s="13">
        <v>46359</v>
      </c>
      <c r="G604" s="1">
        <v>35276417</v>
      </c>
      <c r="I604" s="1">
        <v>11953388</v>
      </c>
      <c r="K604" s="1">
        <v>215040</v>
      </c>
      <c r="M604" s="1">
        <v>0</v>
      </c>
      <c r="O604" s="1">
        <v>5024780</v>
      </c>
      <c r="Q604" s="1">
        <v>2881163</v>
      </c>
      <c r="S604" s="1">
        <v>80113</v>
      </c>
      <c r="U604" s="1">
        <v>5598499</v>
      </c>
      <c r="W604" s="1">
        <v>1538979</v>
      </c>
      <c r="Y604" s="1">
        <v>49970</v>
      </c>
      <c r="AA604" s="1">
        <v>6042915</v>
      </c>
      <c r="AC604" s="1">
        <v>7264900</v>
      </c>
      <c r="AE604" s="1">
        <v>1455072</v>
      </c>
      <c r="AG604" s="1">
        <v>0</v>
      </c>
      <c r="AI604" s="1">
        <f>2537375+249</f>
        <v>2537624</v>
      </c>
      <c r="AJ604" s="12" t="s">
        <v>257</v>
      </c>
      <c r="AK604" s="12"/>
      <c r="AL604" s="12" t="s">
        <v>115</v>
      </c>
      <c r="AN604" s="1">
        <v>1435163</v>
      </c>
      <c r="AP604" s="1">
        <v>19700596</v>
      </c>
      <c r="AR604" s="1">
        <v>0</v>
      </c>
      <c r="AT604" s="1">
        <v>1888472</v>
      </c>
      <c r="AV604" s="1">
        <v>1748625</v>
      </c>
      <c r="AX604" s="1">
        <v>0</v>
      </c>
      <c r="AZ604" s="20">
        <f t="shared" si="57"/>
        <v>104691716</v>
      </c>
      <c r="BB604" s="1">
        <v>0</v>
      </c>
      <c r="BH604" s="1">
        <v>0</v>
      </c>
      <c r="BJ604" s="20">
        <f t="shared" si="54"/>
        <v>104691716</v>
      </c>
      <c r="BL604" s="20">
        <f>'Gov Fd Rv'!AO604-'Gov Fnd Exp'!BJ604</f>
        <v>-17883247</v>
      </c>
      <c r="BN604" s="1">
        <v>29149130</v>
      </c>
      <c r="BP604" s="1">
        <v>0</v>
      </c>
      <c r="BR604" s="1">
        <v>0</v>
      </c>
      <c r="BT604" s="20">
        <f t="shared" si="55"/>
        <v>11265883</v>
      </c>
      <c r="BU604" s="20"/>
      <c r="BV604" s="20">
        <f>BT604-'Gov Fd BS'!AA604</f>
        <v>0</v>
      </c>
    </row>
    <row r="605" spans="1:74">
      <c r="A605" s="12" t="s">
        <v>356</v>
      </c>
      <c r="B605" s="12"/>
      <c r="C605" s="12" t="s">
        <v>30</v>
      </c>
      <c r="D605" s="12"/>
      <c r="E605" s="13">
        <v>47225</v>
      </c>
      <c r="G605" s="1">
        <v>9542008</v>
      </c>
      <c r="I605" s="1">
        <v>3507252</v>
      </c>
      <c r="K605" s="1">
        <v>289587</v>
      </c>
      <c r="M605" s="1">
        <f>24156+505827</f>
        <v>529983</v>
      </c>
      <c r="O605" s="1">
        <v>2004415</v>
      </c>
      <c r="Q605" s="1">
        <v>806586</v>
      </c>
      <c r="S605" s="1">
        <v>60289</v>
      </c>
      <c r="U605" s="1">
        <v>1854627</v>
      </c>
      <c r="W605" s="1">
        <v>661796</v>
      </c>
      <c r="Y605" s="1">
        <v>348028</v>
      </c>
      <c r="AA605" s="1">
        <v>2168602</v>
      </c>
      <c r="AC605" s="1">
        <v>1862795</v>
      </c>
      <c r="AE605" s="1">
        <v>77592</v>
      </c>
      <c r="AG605" s="1">
        <v>0</v>
      </c>
      <c r="AI605" s="1">
        <f>414139+1257</f>
        <v>415396</v>
      </c>
      <c r="AJ605" s="12" t="s">
        <v>356</v>
      </c>
      <c r="AK605" s="12"/>
      <c r="AL605" s="12" t="s">
        <v>30</v>
      </c>
      <c r="AN605" s="1">
        <v>926430</v>
      </c>
      <c r="AP605" s="1">
        <v>1329590</v>
      </c>
      <c r="AR605" s="1">
        <v>0</v>
      </c>
      <c r="AT605" s="1">
        <v>2688069</v>
      </c>
      <c r="AV605" s="1">
        <v>421750</v>
      </c>
      <c r="AX605" s="1">
        <v>0</v>
      </c>
      <c r="AZ605" s="20">
        <f t="shared" si="57"/>
        <v>29494795</v>
      </c>
      <c r="BB605" s="1">
        <v>217453</v>
      </c>
      <c r="BH605" s="1">
        <v>0</v>
      </c>
      <c r="BJ605" s="20">
        <f t="shared" si="54"/>
        <v>29712248</v>
      </c>
      <c r="BL605" s="20">
        <f>'Gov Fd Rv'!AO605-'Gov Fnd Exp'!BJ605</f>
        <v>-825343</v>
      </c>
      <c r="BN605" s="1">
        <v>6826245</v>
      </c>
      <c r="BP605" s="1">
        <v>0</v>
      </c>
      <c r="BR605" s="1">
        <v>0</v>
      </c>
      <c r="BT605" s="20">
        <f t="shared" si="55"/>
        <v>6000902</v>
      </c>
      <c r="BU605" s="20"/>
      <c r="BV605" s="20">
        <f>BT605-'Gov Fd BS'!AA605</f>
        <v>0</v>
      </c>
    </row>
    <row r="606" spans="1:74">
      <c r="A606" s="12" t="s">
        <v>402</v>
      </c>
      <c r="B606" s="12"/>
      <c r="C606" s="12" t="s">
        <v>36</v>
      </c>
      <c r="D606" s="12"/>
      <c r="E606" s="13">
        <v>47696</v>
      </c>
      <c r="G606" s="1">
        <v>10788173</v>
      </c>
      <c r="I606" s="1">
        <v>3413610</v>
      </c>
      <c r="K606" s="1">
        <v>298971</v>
      </c>
      <c r="M606" s="1">
        <v>0</v>
      </c>
      <c r="O606" s="1">
        <v>740737</v>
      </c>
      <c r="Q606" s="1">
        <v>841835</v>
      </c>
      <c r="S606" s="1">
        <v>64784</v>
      </c>
      <c r="U606" s="1">
        <v>1910103</v>
      </c>
      <c r="W606" s="1">
        <v>517766</v>
      </c>
      <c r="Y606" s="1">
        <v>1440</v>
      </c>
      <c r="AA606" s="1">
        <v>2211293</v>
      </c>
      <c r="AC606" s="1">
        <v>1694429</v>
      </c>
      <c r="AE606" s="1">
        <v>79936</v>
      </c>
      <c r="AG606" s="1">
        <v>1009269</v>
      </c>
      <c r="AI606" s="1">
        <v>405</v>
      </c>
      <c r="AJ606" s="12" t="s">
        <v>402</v>
      </c>
      <c r="AK606" s="12"/>
      <c r="AL606" s="12" t="s">
        <v>36</v>
      </c>
      <c r="AN606" s="1">
        <v>490714</v>
      </c>
      <c r="AP606" s="1">
        <v>223081</v>
      </c>
      <c r="AR606" s="1">
        <v>0</v>
      </c>
      <c r="AT606" s="1">
        <v>713718</v>
      </c>
      <c r="AV606" s="1">
        <v>473398</v>
      </c>
      <c r="AX606" s="1">
        <v>0</v>
      </c>
      <c r="AZ606" s="20">
        <f t="shared" si="57"/>
        <v>25473662</v>
      </c>
      <c r="BB606" s="1">
        <v>0</v>
      </c>
      <c r="BH606" s="1">
        <v>0</v>
      </c>
      <c r="BJ606" s="20">
        <f t="shared" si="54"/>
        <v>25473662</v>
      </c>
      <c r="BL606" s="20">
        <f>'Gov Fd Rv'!AO606-'Gov Fnd Exp'!BJ606</f>
        <v>873598</v>
      </c>
      <c r="BN606" s="1">
        <v>9492394</v>
      </c>
      <c r="BP606" s="1">
        <v>0</v>
      </c>
      <c r="BR606" s="1">
        <v>0</v>
      </c>
      <c r="BT606" s="20">
        <f t="shared" si="55"/>
        <v>10365992</v>
      </c>
      <c r="BU606" s="20"/>
      <c r="BV606" s="20">
        <f>BT606-'Gov Fd BS'!AA606</f>
        <v>0</v>
      </c>
    </row>
    <row r="607" spans="1:74">
      <c r="A607" s="12" t="s">
        <v>244</v>
      </c>
      <c r="B607" s="12"/>
      <c r="C607" s="12" t="s">
        <v>240</v>
      </c>
      <c r="D607" s="12"/>
      <c r="E607" s="13">
        <v>46219</v>
      </c>
      <c r="G607" s="1">
        <v>4940530</v>
      </c>
      <c r="I607" s="1">
        <v>1945222</v>
      </c>
      <c r="K607" s="1">
        <v>179849</v>
      </c>
      <c r="M607" s="1">
        <v>418753</v>
      </c>
      <c r="O607" s="1">
        <v>729888</v>
      </c>
      <c r="Q607" s="1">
        <v>717094</v>
      </c>
      <c r="S607" s="1">
        <v>38552</v>
      </c>
      <c r="U607" s="1">
        <v>837112</v>
      </c>
      <c r="W607" s="1">
        <v>398661</v>
      </c>
      <c r="Y607" s="1">
        <v>0</v>
      </c>
      <c r="AA607" s="1">
        <v>1106426</v>
      </c>
      <c r="AC607" s="1">
        <v>728418</v>
      </c>
      <c r="AE607" s="1">
        <v>291269</v>
      </c>
      <c r="AG607" s="1">
        <v>518564</v>
      </c>
      <c r="AI607" s="1">
        <v>4573</v>
      </c>
      <c r="AJ607" s="12" t="s">
        <v>244</v>
      </c>
      <c r="AK607" s="12"/>
      <c r="AL607" s="12" t="s">
        <v>240</v>
      </c>
      <c r="AN607" s="1">
        <v>535170</v>
      </c>
      <c r="AP607" s="1">
        <v>14764</v>
      </c>
      <c r="AR607" s="1">
        <v>0</v>
      </c>
      <c r="AT607" s="1">
        <v>216424</v>
      </c>
      <c r="AV607" s="1">
        <v>13390</v>
      </c>
      <c r="AX607" s="1">
        <v>0</v>
      </c>
      <c r="AZ607" s="20">
        <f t="shared" si="57"/>
        <v>13634659</v>
      </c>
      <c r="BB607" s="1">
        <v>19050</v>
      </c>
      <c r="BH607" s="1">
        <v>0</v>
      </c>
      <c r="BJ607" s="20">
        <f t="shared" si="54"/>
        <v>13653709</v>
      </c>
      <c r="BL607" s="20">
        <f>'Gov Fd Rv'!AO607-'Gov Fnd Exp'!BJ607</f>
        <v>-1088074</v>
      </c>
      <c r="BN607" s="1">
        <v>3236671</v>
      </c>
      <c r="BP607" s="1">
        <v>0</v>
      </c>
      <c r="BR607" s="1">
        <v>0</v>
      </c>
      <c r="BT607" s="20">
        <f t="shared" si="55"/>
        <v>2148597</v>
      </c>
      <c r="BU607" s="20"/>
      <c r="BV607" s="20">
        <f>BT607-'Gov Fd BS'!AA607</f>
        <v>0</v>
      </c>
    </row>
    <row r="608" spans="1:74">
      <c r="A608" s="12" t="s">
        <v>515</v>
      </c>
      <c r="B608" s="12"/>
      <c r="C608" s="12" t="s">
        <v>51</v>
      </c>
      <c r="D608" s="12"/>
      <c r="E608" s="13">
        <v>48884</v>
      </c>
      <c r="G608" s="1">
        <v>7353995</v>
      </c>
      <c r="I608" s="1">
        <v>2339838</v>
      </c>
      <c r="K608" s="1">
        <v>230958</v>
      </c>
      <c r="M608" s="1">
        <v>167401</v>
      </c>
      <c r="O608" s="1">
        <v>396566</v>
      </c>
      <c r="Q608" s="1">
        <v>917168</v>
      </c>
      <c r="S608" s="1">
        <v>17834</v>
      </c>
      <c r="U608" s="1">
        <v>1386439</v>
      </c>
      <c r="W608" s="1">
        <v>416351</v>
      </c>
      <c r="Y608" s="1">
        <v>0</v>
      </c>
      <c r="AA608" s="1">
        <v>1394199</v>
      </c>
      <c r="AC608" s="1">
        <v>829649</v>
      </c>
      <c r="AE608" s="1">
        <v>72529</v>
      </c>
      <c r="AG608" s="1">
        <v>621559</v>
      </c>
      <c r="AI608" s="1">
        <v>17446</v>
      </c>
      <c r="AJ608" s="12" t="s">
        <v>515</v>
      </c>
      <c r="AK608" s="12"/>
      <c r="AL608" s="12" t="s">
        <v>51</v>
      </c>
      <c r="AN608" s="1">
        <v>207598</v>
      </c>
      <c r="AP608" s="1">
        <v>174622</v>
      </c>
      <c r="AR608" s="1">
        <v>0</v>
      </c>
      <c r="AT608" s="1">
        <v>417697</v>
      </c>
      <c r="AV608" s="1">
        <v>1069249</v>
      </c>
      <c r="AX608" s="1">
        <v>0</v>
      </c>
      <c r="AZ608" s="20">
        <f t="shared" si="57"/>
        <v>18031098</v>
      </c>
      <c r="BB608" s="1">
        <v>70000</v>
      </c>
      <c r="BH608" s="1">
        <v>0</v>
      </c>
      <c r="BJ608" s="20">
        <f t="shared" si="54"/>
        <v>18101098</v>
      </c>
      <c r="BL608" s="20">
        <f>'Gov Fd Rv'!AO608-'Gov Fnd Exp'!BJ608</f>
        <v>45875</v>
      </c>
      <c r="BN608" s="1">
        <v>3469081</v>
      </c>
      <c r="BP608" s="1">
        <v>0</v>
      </c>
      <c r="BR608" s="1">
        <v>0</v>
      </c>
      <c r="BT608" s="20">
        <f t="shared" si="55"/>
        <v>3514956</v>
      </c>
      <c r="BU608" s="20"/>
      <c r="BV608" s="20">
        <f>BT608-'Gov Fd BS'!AA608</f>
        <v>0</v>
      </c>
    </row>
    <row r="609" spans="1:74">
      <c r="A609" s="12" t="s">
        <v>225</v>
      </c>
      <c r="B609" s="12"/>
      <c r="C609" s="12" t="s">
        <v>77</v>
      </c>
      <c r="D609" s="12"/>
      <c r="E609" s="13">
        <v>46060</v>
      </c>
      <c r="G609" s="1">
        <v>14581326</v>
      </c>
      <c r="I609" s="1">
        <v>3852285</v>
      </c>
      <c r="K609" s="1">
        <v>384613</v>
      </c>
      <c r="M609" s="1">
        <v>3274</v>
      </c>
      <c r="O609" s="1">
        <v>685038</v>
      </c>
      <c r="Q609" s="1">
        <v>1420869</v>
      </c>
      <c r="S609" s="1">
        <v>19962</v>
      </c>
      <c r="U609" s="1">
        <v>2041708</v>
      </c>
      <c r="W609" s="1">
        <v>560881</v>
      </c>
      <c r="Y609" s="1">
        <v>0</v>
      </c>
      <c r="AA609" s="1">
        <v>3115637</v>
      </c>
      <c r="AC609" s="1">
        <v>2087277</v>
      </c>
      <c r="AE609" s="1">
        <v>329933</v>
      </c>
      <c r="AG609" s="1">
        <v>0</v>
      </c>
      <c r="AI609" s="1">
        <v>16760</v>
      </c>
      <c r="AJ609" s="12" t="s">
        <v>225</v>
      </c>
      <c r="AK609" s="12"/>
      <c r="AL609" s="12" t="s">
        <v>77</v>
      </c>
      <c r="AN609" s="1">
        <v>773966</v>
      </c>
      <c r="AP609" s="1">
        <v>722701</v>
      </c>
      <c r="AR609" s="1">
        <v>0</v>
      </c>
      <c r="AT609" s="1">
        <v>348000</v>
      </c>
      <c r="AV609" s="1">
        <v>276255</v>
      </c>
      <c r="AX609" s="1">
        <v>0</v>
      </c>
      <c r="AZ609" s="20">
        <f t="shared" si="57"/>
        <v>31220485</v>
      </c>
      <c r="BB609" s="1">
        <v>0</v>
      </c>
      <c r="BH609" s="1">
        <v>0</v>
      </c>
      <c r="BJ609" s="20">
        <f t="shared" si="54"/>
        <v>31220485</v>
      </c>
      <c r="BL609" s="20">
        <f>'Gov Fd Rv'!AO609-'Gov Fnd Exp'!BJ609</f>
        <v>-426661</v>
      </c>
      <c r="BN609" s="1">
        <v>4757281</v>
      </c>
      <c r="BP609" s="1">
        <v>0</v>
      </c>
      <c r="BR609" s="1">
        <v>0</v>
      </c>
      <c r="BT609" s="20">
        <f t="shared" si="55"/>
        <v>4330620</v>
      </c>
      <c r="BU609" s="20"/>
      <c r="BV609" s="20">
        <f>BT609-'Gov Fd BS'!AA609</f>
        <v>0</v>
      </c>
    </row>
    <row r="610" spans="1:74">
      <c r="A610" s="12" t="s">
        <v>531</v>
      </c>
      <c r="B610" s="12"/>
      <c r="C610" s="12" t="s">
        <v>55</v>
      </c>
      <c r="D610" s="12"/>
      <c r="E610" s="13">
        <v>49155</v>
      </c>
      <c r="G610" s="1">
        <v>3149366</v>
      </c>
      <c r="I610" s="1">
        <v>1750707</v>
      </c>
      <c r="K610" s="1">
        <v>0</v>
      </c>
      <c r="M610" s="1">
        <v>693964</v>
      </c>
      <c r="O610" s="1">
        <v>366808</v>
      </c>
      <c r="Q610" s="1">
        <v>459417</v>
      </c>
      <c r="S610" s="1">
        <v>34645</v>
      </c>
      <c r="U610" s="1">
        <v>778082</v>
      </c>
      <c r="W610" s="1">
        <v>279813</v>
      </c>
      <c r="Y610" s="1">
        <v>0</v>
      </c>
      <c r="AA610" s="1">
        <v>937537</v>
      </c>
      <c r="AC610" s="1">
        <v>824442</v>
      </c>
      <c r="AE610" s="1">
        <v>125649</v>
      </c>
      <c r="AG610" s="1">
        <v>0</v>
      </c>
      <c r="AI610" s="1">
        <v>389271</v>
      </c>
      <c r="AJ610" s="12" t="s">
        <v>531</v>
      </c>
      <c r="AK610" s="12"/>
      <c r="AL610" s="12" t="s">
        <v>55</v>
      </c>
      <c r="AN610" s="1">
        <v>165015</v>
      </c>
      <c r="AP610" s="1">
        <v>487066</v>
      </c>
      <c r="AR610" s="1">
        <v>52000</v>
      </c>
      <c r="AT610" s="1">
        <v>45000</v>
      </c>
      <c r="AV610" s="1">
        <v>37361</v>
      </c>
      <c r="AX610" s="1">
        <v>0</v>
      </c>
      <c r="AZ610" s="20">
        <f t="shared" si="57"/>
        <v>10576143</v>
      </c>
      <c r="BB610" s="1">
        <v>40000</v>
      </c>
      <c r="BH610" s="1">
        <v>0</v>
      </c>
      <c r="BJ610" s="20">
        <f t="shared" si="54"/>
        <v>10616143</v>
      </c>
      <c r="BL610" s="20">
        <f>'Gov Fd Rv'!AO610-'Gov Fnd Exp'!BJ610</f>
        <v>-417439</v>
      </c>
      <c r="BN610" s="1">
        <v>5481247</v>
      </c>
      <c r="BP610" s="1">
        <v>0</v>
      </c>
      <c r="BR610" s="1">
        <v>0</v>
      </c>
      <c r="BT610" s="20">
        <f t="shared" si="55"/>
        <v>5063808</v>
      </c>
      <c r="BU610" s="20"/>
      <c r="BV610" s="20">
        <f>BT610-'Gov Fd BS'!AA610</f>
        <v>0</v>
      </c>
    </row>
    <row r="611" spans="1:74" ht="12" customHeight="1">
      <c r="A611" s="12" t="s">
        <v>407</v>
      </c>
      <c r="B611" s="12"/>
      <c r="C611" s="12" t="s">
        <v>37</v>
      </c>
      <c r="D611" s="12"/>
      <c r="E611" s="13">
        <v>47746</v>
      </c>
      <c r="G611" s="1">
        <v>5310657</v>
      </c>
      <c r="I611" s="1">
        <v>1732080</v>
      </c>
      <c r="K611" s="1">
        <v>160217</v>
      </c>
      <c r="M611" s="1">
        <v>266694</v>
      </c>
      <c r="O611" s="1">
        <v>209687</v>
      </c>
      <c r="Q611" s="1">
        <v>686964</v>
      </c>
      <c r="S611" s="1">
        <v>79331</v>
      </c>
      <c r="U611" s="1">
        <v>878301</v>
      </c>
      <c r="W611" s="1">
        <v>419134</v>
      </c>
      <c r="Y611" s="1">
        <v>27852</v>
      </c>
      <c r="AA611" s="1">
        <v>1070772</v>
      </c>
      <c r="AC611" s="1">
        <v>854985</v>
      </c>
      <c r="AE611" s="1">
        <v>37857</v>
      </c>
      <c r="AG611" s="1">
        <v>420621</v>
      </c>
      <c r="AI611" s="1">
        <v>176300</v>
      </c>
      <c r="AJ611" s="12" t="s">
        <v>407</v>
      </c>
      <c r="AK611" s="12"/>
      <c r="AL611" s="12" t="s">
        <v>37</v>
      </c>
      <c r="AN611" s="1">
        <v>436287</v>
      </c>
      <c r="AP611" s="1">
        <v>2642</v>
      </c>
      <c r="AR611" s="1">
        <v>0</v>
      </c>
      <c r="AT611" s="1">
        <v>167640</v>
      </c>
      <c r="AV611" s="1">
        <v>150540</v>
      </c>
      <c r="AX611" s="1">
        <v>0</v>
      </c>
      <c r="AZ611" s="20">
        <f t="shared" si="57"/>
        <v>13088561</v>
      </c>
      <c r="BB611" s="1">
        <v>55365</v>
      </c>
      <c r="BH611" s="1">
        <v>0</v>
      </c>
      <c r="BJ611" s="20">
        <f t="shared" si="54"/>
        <v>13143926</v>
      </c>
      <c r="BL611" s="20">
        <f>'Gov Fd Rv'!AO611-'Gov Fnd Exp'!BJ611</f>
        <v>-102559</v>
      </c>
      <c r="BN611" s="1">
        <v>1515904</v>
      </c>
      <c r="BP611" s="1">
        <v>0</v>
      </c>
      <c r="BR611" s="1">
        <v>0</v>
      </c>
      <c r="BT611" s="20">
        <f t="shared" si="55"/>
        <v>1413345</v>
      </c>
      <c r="BU611" s="20"/>
      <c r="BV611" s="20">
        <f>BT611-'Gov Fd BS'!AA611</f>
        <v>0</v>
      </c>
    </row>
    <row r="612" spans="1:74">
      <c r="A612" s="12" t="s">
        <v>407</v>
      </c>
      <c r="B612" s="12"/>
      <c r="C612" s="12" t="s">
        <v>45</v>
      </c>
      <c r="D612" s="12"/>
      <c r="E612" s="12">
        <v>48397</v>
      </c>
      <c r="G612" s="1">
        <v>3154730</v>
      </c>
      <c r="I612" s="1">
        <v>706549</v>
      </c>
      <c r="K612" s="1">
        <v>118031</v>
      </c>
      <c r="M612" s="1">
        <v>5700</v>
      </c>
      <c r="O612" s="1">
        <v>362624</v>
      </c>
      <c r="Q612" s="1">
        <v>354426</v>
      </c>
      <c r="S612" s="1">
        <v>23209</v>
      </c>
      <c r="U612" s="1">
        <v>655927</v>
      </c>
      <c r="W612" s="1">
        <v>232346</v>
      </c>
      <c r="Y612" s="1">
        <v>25478</v>
      </c>
      <c r="AA612" s="1">
        <v>536354</v>
      </c>
      <c r="AC612" s="1">
        <v>478406</v>
      </c>
      <c r="AE612" s="1">
        <v>18204</v>
      </c>
      <c r="AG612" s="1">
        <v>222890</v>
      </c>
      <c r="AI612" s="1">
        <v>0</v>
      </c>
      <c r="AJ612" s="12" t="s">
        <v>407</v>
      </c>
      <c r="AK612" s="12"/>
      <c r="AL612" s="12" t="s">
        <v>45</v>
      </c>
      <c r="AN612" s="1">
        <v>345572</v>
      </c>
      <c r="AP612" s="1">
        <v>6339871</v>
      </c>
      <c r="AR612" s="1">
        <v>0</v>
      </c>
      <c r="AT612" s="1">
        <v>11509951</v>
      </c>
      <c r="AV612" s="1">
        <v>545856</v>
      </c>
      <c r="AX612" s="1">
        <v>0</v>
      </c>
      <c r="AZ612" s="20">
        <f t="shared" si="57"/>
        <v>25636124</v>
      </c>
      <c r="BB612" s="1">
        <v>445030</v>
      </c>
      <c r="BH612" s="1">
        <v>0</v>
      </c>
      <c r="BJ612" s="20">
        <f t="shared" si="54"/>
        <v>26081154</v>
      </c>
      <c r="BL612" s="20">
        <f>'Gov Fd Rv'!AO612-'Gov Fnd Exp'!BJ612</f>
        <v>2105931</v>
      </c>
      <c r="BN612" s="1">
        <v>15025129</v>
      </c>
      <c r="BP612" s="1">
        <v>0</v>
      </c>
      <c r="BR612" s="1">
        <v>0</v>
      </c>
      <c r="BT612" s="20">
        <f t="shared" si="55"/>
        <v>17131060</v>
      </c>
      <c r="BU612" s="20"/>
      <c r="BV612" s="20">
        <f>BT612-'Gov Fd BS'!AA612</f>
        <v>0</v>
      </c>
    </row>
    <row r="613" spans="1:74" s="16" customFormat="1">
      <c r="A613" s="14" t="s">
        <v>342</v>
      </c>
      <c r="B613" s="14"/>
      <c r="C613" s="14" t="s">
        <v>27</v>
      </c>
      <c r="D613" s="14"/>
      <c r="E613" s="14">
        <v>45047</v>
      </c>
      <c r="G613" s="1">
        <v>66266194</v>
      </c>
      <c r="H613" s="1"/>
      <c r="I613" s="1">
        <v>20453616</v>
      </c>
      <c r="J613" s="1"/>
      <c r="K613" s="1">
        <v>523561</v>
      </c>
      <c r="L613" s="1"/>
      <c r="M613" s="1">
        <v>4401401</v>
      </c>
      <c r="N613" s="1"/>
      <c r="O613" s="1">
        <v>11270648</v>
      </c>
      <c r="P613" s="1"/>
      <c r="Q613" s="1">
        <v>5298758</v>
      </c>
      <c r="R613" s="1"/>
      <c r="S613" s="1">
        <v>1651416</v>
      </c>
      <c r="T613" s="1"/>
      <c r="U613" s="1">
        <v>10825911</v>
      </c>
      <c r="V613" s="1"/>
      <c r="W613" s="1">
        <v>2948045</v>
      </c>
      <c r="X613" s="1"/>
      <c r="Y613" s="1">
        <v>903218</v>
      </c>
      <c r="Z613" s="1"/>
      <c r="AA613" s="1">
        <v>13878489</v>
      </c>
      <c r="AB613" s="1"/>
      <c r="AC613" s="1">
        <v>7947634</v>
      </c>
      <c r="AD613" s="1"/>
      <c r="AE613" s="1">
        <v>2422504</v>
      </c>
      <c r="AF613" s="1"/>
      <c r="AG613" s="1">
        <v>600</v>
      </c>
      <c r="AH613" s="1"/>
      <c r="AI613" s="1">
        <v>982797</v>
      </c>
      <c r="AJ613" s="14" t="s">
        <v>342</v>
      </c>
      <c r="AK613" s="14"/>
      <c r="AL613" s="14" t="s">
        <v>27</v>
      </c>
      <c r="AN613" s="1">
        <v>2998384</v>
      </c>
      <c r="AO613" s="1"/>
      <c r="AP613" s="1">
        <v>1947983</v>
      </c>
      <c r="AQ613" s="1"/>
      <c r="AR613" s="1">
        <v>0</v>
      </c>
      <c r="AS613" s="1"/>
      <c r="AT613" s="1">
        <v>7095000</v>
      </c>
      <c r="AU613" s="1"/>
      <c r="AV613" s="1">
        <v>4420045</v>
      </c>
      <c r="AW613" s="1"/>
      <c r="AX613" s="1">
        <v>0</v>
      </c>
      <c r="AY613" s="1"/>
      <c r="AZ613" s="20">
        <f t="shared" si="57"/>
        <v>166236204</v>
      </c>
      <c r="BA613" s="1"/>
      <c r="BB613" s="1">
        <v>2726719</v>
      </c>
      <c r="BC613" s="1"/>
      <c r="BD613" s="1"/>
      <c r="BE613" s="1"/>
      <c r="BF613" s="1"/>
      <c r="BG613" s="1"/>
      <c r="BH613" s="1">
        <v>0</v>
      </c>
      <c r="BI613" s="1"/>
      <c r="BJ613" s="20">
        <f t="shared" si="54"/>
        <v>168962923</v>
      </c>
      <c r="BK613" s="1"/>
      <c r="BL613" s="20">
        <f>'Gov Fd Rv'!AO613-'Gov Fnd Exp'!BJ613</f>
        <v>33052543</v>
      </c>
      <c r="BM613" s="1"/>
      <c r="BN613" s="1">
        <v>28301806</v>
      </c>
      <c r="BO613" s="1"/>
      <c r="BP613" s="1">
        <v>0</v>
      </c>
      <c r="BQ613" s="1"/>
      <c r="BR613" s="1">
        <v>0</v>
      </c>
      <c r="BS613" s="1"/>
      <c r="BT613" s="20">
        <f t="shared" si="55"/>
        <v>61354349</v>
      </c>
      <c r="BU613" s="20"/>
      <c r="BV613" s="20">
        <f>BT613-'Gov Fd BS'!AA613</f>
        <v>0</v>
      </c>
    </row>
    <row r="614" spans="1:74">
      <c r="A614" s="12" t="s">
        <v>528</v>
      </c>
      <c r="B614" s="12"/>
      <c r="C614" s="12" t="s">
        <v>54</v>
      </c>
      <c r="D614" s="12"/>
      <c r="E614" s="13">
        <v>49106</v>
      </c>
      <c r="G614" s="1">
        <v>6332505</v>
      </c>
      <c r="I614" s="1">
        <v>1815485</v>
      </c>
      <c r="K614" s="1">
        <v>55394</v>
      </c>
      <c r="M614" s="1">
        <v>16024</v>
      </c>
      <c r="O614" s="1">
        <v>525902</v>
      </c>
      <c r="Q614" s="1">
        <v>612432</v>
      </c>
      <c r="S614" s="1">
        <v>201473</v>
      </c>
      <c r="U614" s="1">
        <v>1431424</v>
      </c>
      <c r="W614" s="1">
        <v>490331</v>
      </c>
      <c r="Y614" s="1">
        <v>58214</v>
      </c>
      <c r="AA614" s="1">
        <v>1002230</v>
      </c>
      <c r="AC614" s="1">
        <v>970664</v>
      </c>
      <c r="AE614" s="1">
        <v>33702</v>
      </c>
      <c r="AG614" s="1">
        <v>0</v>
      </c>
      <c r="AI614" s="1">
        <v>459225</v>
      </c>
      <c r="AJ614" s="12" t="s">
        <v>528</v>
      </c>
      <c r="AK614" s="12"/>
      <c r="AL614" s="12" t="s">
        <v>54</v>
      </c>
      <c r="AN614" s="1">
        <v>380661</v>
      </c>
      <c r="AP614" s="1">
        <v>197742</v>
      </c>
      <c r="AR614" s="1">
        <v>0</v>
      </c>
      <c r="AT614" s="1">
        <v>379784</v>
      </c>
      <c r="AV614" s="1">
        <v>201100</v>
      </c>
      <c r="AX614" s="1">
        <v>0</v>
      </c>
      <c r="AZ614" s="20">
        <f t="shared" si="57"/>
        <v>15164292</v>
      </c>
      <c r="BB614" s="1">
        <v>37954</v>
      </c>
      <c r="BH614" s="1">
        <v>0</v>
      </c>
      <c r="BJ614" s="20">
        <f t="shared" si="54"/>
        <v>15202246</v>
      </c>
      <c r="BL614" s="20">
        <f>'Gov Fd Rv'!AO614-'Gov Fnd Exp'!BJ614</f>
        <v>737504</v>
      </c>
      <c r="BN614" s="1">
        <v>3095638</v>
      </c>
      <c r="BP614" s="1">
        <v>0</v>
      </c>
      <c r="BR614" s="1">
        <v>0</v>
      </c>
      <c r="BT614" s="20">
        <f t="shared" si="55"/>
        <v>3833142</v>
      </c>
      <c r="BU614" s="20"/>
      <c r="BV614" s="20">
        <f>BT614-'Gov Fd BS'!AA614</f>
        <v>0</v>
      </c>
    </row>
    <row r="615" spans="1:74">
      <c r="A615" s="12" t="s">
        <v>308</v>
      </c>
      <c r="B615" s="12"/>
      <c r="C615" s="12" t="s">
        <v>20</v>
      </c>
      <c r="D615" s="12"/>
      <c r="E615" s="13">
        <v>45062</v>
      </c>
      <c r="G615" s="1">
        <v>22074806</v>
      </c>
      <c r="I615" s="1">
        <v>4871042</v>
      </c>
      <c r="K615" s="1">
        <v>271866</v>
      </c>
      <c r="M615" s="1">
        <f>58582+1262671</f>
        <v>1321253</v>
      </c>
      <c r="O615" s="1">
        <v>3444392</v>
      </c>
      <c r="Q615" s="1">
        <v>3411558</v>
      </c>
      <c r="S615" s="1">
        <v>25952</v>
      </c>
      <c r="U615" s="1">
        <v>2975946</v>
      </c>
      <c r="W615" s="1">
        <v>1183863</v>
      </c>
      <c r="Y615" s="1">
        <v>349305</v>
      </c>
      <c r="AA615" s="1">
        <v>4450026</v>
      </c>
      <c r="AC615" s="1">
        <v>4628794</v>
      </c>
      <c r="AE615" s="1">
        <v>153295</v>
      </c>
      <c r="AG615" s="1">
        <v>1200931</v>
      </c>
      <c r="AI615" s="1">
        <v>748294</v>
      </c>
      <c r="AJ615" s="12" t="s">
        <v>308</v>
      </c>
      <c r="AK615" s="12"/>
      <c r="AL615" s="12" t="s">
        <v>20</v>
      </c>
      <c r="AN615" s="1">
        <v>1632120</v>
      </c>
      <c r="AP615" s="1">
        <v>536858</v>
      </c>
      <c r="AR615" s="1">
        <v>0</v>
      </c>
      <c r="AT615" s="1">
        <v>1978966</v>
      </c>
      <c r="AV615" s="1">
        <v>847164</v>
      </c>
      <c r="AX615" s="1">
        <v>0</v>
      </c>
      <c r="AZ615" s="20">
        <f t="shared" si="57"/>
        <v>56106431</v>
      </c>
      <c r="BB615" s="1">
        <v>10000</v>
      </c>
      <c r="BH615" s="1">
        <v>0</v>
      </c>
      <c r="BJ615" s="20">
        <f t="shared" si="54"/>
        <v>56116431</v>
      </c>
      <c r="BL615" s="20">
        <f>'Gov Fd Rv'!AO615-'Gov Fnd Exp'!BJ615</f>
        <v>1857746</v>
      </c>
      <c r="BN615" s="1">
        <v>23665104</v>
      </c>
      <c r="BP615" s="1">
        <v>0</v>
      </c>
      <c r="BR615" s="1">
        <v>0</v>
      </c>
      <c r="BT615" s="20">
        <f t="shared" si="55"/>
        <v>25522850</v>
      </c>
      <c r="BU615" s="20"/>
      <c r="BV615" s="20">
        <f>BT615-'Gov Fd BS'!AA615</f>
        <v>0</v>
      </c>
    </row>
    <row r="616" spans="1:74">
      <c r="A616" s="12" t="s">
        <v>566</v>
      </c>
      <c r="B616" s="12"/>
      <c r="C616" s="12" t="s">
        <v>59</v>
      </c>
      <c r="D616" s="12"/>
      <c r="E616" s="13">
        <v>49668</v>
      </c>
      <c r="G616" s="1">
        <v>6811887</v>
      </c>
      <c r="I616" s="1">
        <v>1438378</v>
      </c>
      <c r="K616" s="1">
        <v>5192</v>
      </c>
      <c r="M616" s="1">
        <v>29310</v>
      </c>
      <c r="O616" s="1">
        <v>715072</v>
      </c>
      <c r="Q616" s="1">
        <v>792206</v>
      </c>
      <c r="S616" s="1">
        <v>74055</v>
      </c>
      <c r="U616" s="1">
        <v>965991</v>
      </c>
      <c r="W616" s="1">
        <v>346095</v>
      </c>
      <c r="Y616" s="1">
        <v>0</v>
      </c>
      <c r="AA616" s="1">
        <v>1095769</v>
      </c>
      <c r="AC616" s="1">
        <v>476943</v>
      </c>
      <c r="AE616" s="1">
        <v>111185</v>
      </c>
      <c r="AG616" s="1">
        <v>505485</v>
      </c>
      <c r="AI616" s="1">
        <v>151611</v>
      </c>
      <c r="AJ616" s="12" t="s">
        <v>566</v>
      </c>
      <c r="AK616" s="12"/>
      <c r="AL616" s="12" t="s">
        <v>59</v>
      </c>
      <c r="AN616" s="1">
        <v>577115</v>
      </c>
      <c r="AP616" s="1">
        <v>212596</v>
      </c>
      <c r="AR616" s="1">
        <v>0</v>
      </c>
      <c r="AT616" s="1">
        <v>282000</v>
      </c>
      <c r="AV616" s="1">
        <v>437132</v>
      </c>
      <c r="AX616" s="1">
        <v>0</v>
      </c>
      <c r="AZ616" s="20">
        <f t="shared" si="57"/>
        <v>15028022</v>
      </c>
      <c r="BB616" s="1">
        <v>172080</v>
      </c>
      <c r="BH616" s="1">
        <v>0</v>
      </c>
      <c r="BJ616" s="20">
        <f t="shared" si="54"/>
        <v>15200102</v>
      </c>
      <c r="BL616" s="20">
        <f>'Gov Fd Rv'!AO616-'Gov Fnd Exp'!BJ616</f>
        <v>250619</v>
      </c>
      <c r="BN616" s="1">
        <v>3257595</v>
      </c>
      <c r="BP616" s="1">
        <v>0</v>
      </c>
      <c r="BR616" s="1">
        <v>0</v>
      </c>
      <c r="BT616" s="20">
        <f t="shared" si="55"/>
        <v>3508214</v>
      </c>
      <c r="BU616" s="20"/>
      <c r="BV616" s="20">
        <f>BT616-'Gov Fd BS'!AA616</f>
        <v>0</v>
      </c>
    </row>
    <row r="617" spans="1:74">
      <c r="A617" s="12" t="s">
        <v>343</v>
      </c>
      <c r="B617" s="12"/>
      <c r="C617" s="12" t="s">
        <v>27</v>
      </c>
      <c r="D617" s="12"/>
      <c r="E617" s="13">
        <v>45070</v>
      </c>
      <c r="G617" s="1">
        <v>14117713</v>
      </c>
      <c r="I617" s="1">
        <v>6274621</v>
      </c>
      <c r="K617" s="1">
        <v>726107</v>
      </c>
      <c r="M617" s="1">
        <v>239942</v>
      </c>
      <c r="O617" s="1">
        <v>1682755</v>
      </c>
      <c r="Q617" s="1">
        <v>1668856</v>
      </c>
      <c r="S617" s="1">
        <v>112128</v>
      </c>
      <c r="U617" s="1">
        <v>2835747</v>
      </c>
      <c r="W617" s="1">
        <v>0</v>
      </c>
      <c r="Y617" s="1">
        <v>754350</v>
      </c>
      <c r="AA617" s="1">
        <v>2668134</v>
      </c>
      <c r="AC617" s="1">
        <v>1297835</v>
      </c>
      <c r="AE617" s="1">
        <v>497001</v>
      </c>
      <c r="AG617" s="1">
        <v>0</v>
      </c>
      <c r="AI617" s="1">
        <v>220154</v>
      </c>
      <c r="AJ617" s="12" t="s">
        <v>343</v>
      </c>
      <c r="AK617" s="12"/>
      <c r="AL617" s="12" t="s">
        <v>27</v>
      </c>
      <c r="AN617" s="1">
        <v>660934</v>
      </c>
      <c r="AP617" s="1">
        <v>2398631</v>
      </c>
      <c r="AR617" s="1">
        <v>0</v>
      </c>
      <c r="AT617" s="1">
        <v>1111548</v>
      </c>
      <c r="AV617" s="1">
        <v>1325883</v>
      </c>
      <c r="AX617" s="1">
        <v>0</v>
      </c>
      <c r="AZ617" s="20">
        <f t="shared" si="57"/>
        <v>38592339</v>
      </c>
      <c r="BB617" s="1">
        <v>337436</v>
      </c>
      <c r="BH617" s="1">
        <v>0</v>
      </c>
      <c r="BJ617" s="20">
        <f t="shared" si="54"/>
        <v>38929775</v>
      </c>
      <c r="BL617" s="20">
        <f>'Gov Fd Rv'!AO617-'Gov Fnd Exp'!BJ617</f>
        <v>5418638</v>
      </c>
      <c r="BN617" s="1">
        <v>50338554</v>
      </c>
      <c r="BP617" s="1">
        <v>0</v>
      </c>
      <c r="BR617" s="1">
        <v>0</v>
      </c>
      <c r="BT617" s="20">
        <f t="shared" si="55"/>
        <v>55757192</v>
      </c>
      <c r="BU617" s="20"/>
      <c r="BV617" s="20">
        <f>BT617-'Gov Fd BS'!AA617</f>
        <v>0</v>
      </c>
    </row>
    <row r="618" spans="1:74" hidden="1">
      <c r="A618" s="17" t="s">
        <v>744</v>
      </c>
      <c r="B618" s="12"/>
      <c r="C618" s="12" t="s">
        <v>41</v>
      </c>
      <c r="D618" s="12"/>
      <c r="E618" s="13">
        <v>45088</v>
      </c>
      <c r="AJ618" s="17" t="s">
        <v>744</v>
      </c>
      <c r="AK618" s="12"/>
      <c r="AL618" s="12" t="s">
        <v>41</v>
      </c>
      <c r="AZ618" s="20">
        <f t="shared" si="57"/>
        <v>0</v>
      </c>
      <c r="BJ618" s="20">
        <f t="shared" si="54"/>
        <v>0</v>
      </c>
      <c r="BL618" s="20">
        <f>'Gov Fd Rv'!AO618-'Gov Fnd Exp'!BJ618</f>
        <v>0</v>
      </c>
      <c r="BT618" s="20">
        <f t="shared" si="55"/>
        <v>0</v>
      </c>
      <c r="BU618" s="20"/>
      <c r="BV618" s="20">
        <f>BT618-'Gov Fd BS'!AA618</f>
        <v>0</v>
      </c>
    </row>
    <row r="619" spans="1:74">
      <c r="A619" s="12" t="s">
        <v>408</v>
      </c>
      <c r="B619" s="12"/>
      <c r="C619" s="12" t="s">
        <v>37</v>
      </c>
      <c r="D619" s="12"/>
      <c r="E619" s="13">
        <v>45096</v>
      </c>
      <c r="G619" s="1">
        <v>7860226</v>
      </c>
      <c r="I619" s="1">
        <v>1711699</v>
      </c>
      <c r="K619" s="1">
        <v>199217</v>
      </c>
      <c r="M619" s="1">
        <v>2364486</v>
      </c>
      <c r="O619" s="1">
        <v>780629</v>
      </c>
      <c r="Q619" s="1">
        <v>714353</v>
      </c>
      <c r="S619" s="1">
        <v>521318</v>
      </c>
      <c r="U619" s="1">
        <v>1838157</v>
      </c>
      <c r="W619" s="1">
        <v>369025</v>
      </c>
      <c r="Y619" s="1">
        <v>82826</v>
      </c>
      <c r="AA619" s="1">
        <v>1509713</v>
      </c>
      <c r="AC619" s="1">
        <v>1016449</v>
      </c>
      <c r="AE619" s="1">
        <v>4372</v>
      </c>
      <c r="AG619" s="1">
        <v>846173</v>
      </c>
      <c r="AI619" s="1">
        <v>160247</v>
      </c>
      <c r="AJ619" s="12" t="s">
        <v>408</v>
      </c>
      <c r="AK619" s="12"/>
      <c r="AL619" s="12" t="s">
        <v>37</v>
      </c>
      <c r="AN619" s="1">
        <v>676897</v>
      </c>
      <c r="AP619" s="1">
        <v>317139</v>
      </c>
      <c r="AR619" s="1">
        <v>0</v>
      </c>
      <c r="AT619" s="1">
        <v>233355</v>
      </c>
      <c r="AV619" s="1">
        <v>159820</v>
      </c>
      <c r="AX619" s="1">
        <v>0</v>
      </c>
      <c r="AZ619" s="20">
        <f t="shared" si="57"/>
        <v>21366101</v>
      </c>
      <c r="BB619" s="1">
        <v>58248</v>
      </c>
      <c r="BH619" s="1">
        <v>0</v>
      </c>
      <c r="BJ619" s="20">
        <f t="shared" si="54"/>
        <v>21424349</v>
      </c>
      <c r="BL619" s="20">
        <f>'Gov Fd Rv'!AO619-'Gov Fnd Exp'!BJ619</f>
        <v>-1293676</v>
      </c>
      <c r="BN619" s="1">
        <v>3624839</v>
      </c>
      <c r="BP619" s="1">
        <v>0</v>
      </c>
      <c r="BR619" s="1">
        <v>0</v>
      </c>
      <c r="BT619" s="20">
        <f t="shared" si="55"/>
        <v>2331163</v>
      </c>
      <c r="BU619" s="20"/>
      <c r="BV619" s="20">
        <f>BT619-'Gov Fd BS'!AA619</f>
        <v>0</v>
      </c>
    </row>
    <row r="620" spans="1:74">
      <c r="A620" s="12" t="s">
        <v>258</v>
      </c>
      <c r="B620" s="12"/>
      <c r="C620" s="12" t="s">
        <v>115</v>
      </c>
      <c r="D620" s="12"/>
      <c r="E620" s="13">
        <v>46367</v>
      </c>
      <c r="G620" s="1">
        <v>4823737</v>
      </c>
      <c r="I620" s="1">
        <v>1440683</v>
      </c>
      <c r="K620" s="1">
        <v>91067</v>
      </c>
      <c r="M620" s="1">
        <v>26325</v>
      </c>
      <c r="O620" s="1">
        <v>266001</v>
      </c>
      <c r="Q620" s="1">
        <v>556292</v>
      </c>
      <c r="S620" s="1">
        <v>22913</v>
      </c>
      <c r="U620" s="1">
        <v>588740</v>
      </c>
      <c r="W620" s="1">
        <v>322463</v>
      </c>
      <c r="Y620" s="1">
        <v>0</v>
      </c>
      <c r="AA620" s="1">
        <v>1090210</v>
      </c>
      <c r="AC620" s="1">
        <v>547166</v>
      </c>
      <c r="AE620" s="1">
        <v>142551</v>
      </c>
      <c r="AG620" s="1">
        <v>449928</v>
      </c>
      <c r="AI620" s="1">
        <v>22225</v>
      </c>
      <c r="AJ620" s="12" t="s">
        <v>258</v>
      </c>
      <c r="AK620" s="12"/>
      <c r="AL620" s="12" t="s">
        <v>115</v>
      </c>
      <c r="AN620" s="1">
        <v>340143</v>
      </c>
      <c r="AP620" s="1">
        <v>519694</v>
      </c>
      <c r="AR620" s="1">
        <v>0</v>
      </c>
      <c r="AT620" s="1">
        <v>255483</v>
      </c>
      <c r="AV620" s="1">
        <v>104240</v>
      </c>
      <c r="AX620" s="1">
        <v>0</v>
      </c>
      <c r="AZ620" s="20">
        <f t="shared" si="57"/>
        <v>11609861</v>
      </c>
      <c r="BB620" s="1">
        <v>364400</v>
      </c>
      <c r="BH620" s="1">
        <v>0</v>
      </c>
      <c r="BJ620" s="20">
        <f t="shared" si="54"/>
        <v>11974261</v>
      </c>
      <c r="BL620" s="20">
        <f>'Gov Fd Rv'!AO620-'Gov Fnd Exp'!BJ620</f>
        <v>-898722</v>
      </c>
      <c r="BN620" s="1">
        <v>3291748</v>
      </c>
      <c r="BP620" s="1">
        <v>0</v>
      </c>
      <c r="BR620" s="1">
        <v>0</v>
      </c>
      <c r="BT620" s="20">
        <f t="shared" si="55"/>
        <v>2393026</v>
      </c>
      <c r="BU620" s="20"/>
      <c r="BV620" s="20">
        <f>BT620-'Gov Fd BS'!AA620</f>
        <v>0</v>
      </c>
    </row>
    <row r="621" spans="1:74">
      <c r="A621" s="12" t="s">
        <v>418</v>
      </c>
      <c r="B621" s="12"/>
      <c r="C621" s="12" t="s">
        <v>41</v>
      </c>
      <c r="D621" s="12"/>
      <c r="E621" s="13">
        <v>45104</v>
      </c>
      <c r="G621" s="1">
        <v>39766951</v>
      </c>
      <c r="I621" s="1">
        <v>15153713</v>
      </c>
      <c r="K621" s="1">
        <v>1463285</v>
      </c>
      <c r="M621" s="1">
        <v>350576</v>
      </c>
      <c r="O621" s="1">
        <v>7158080</v>
      </c>
      <c r="Q621" s="1">
        <v>3636526</v>
      </c>
      <c r="S621" s="1">
        <v>479626</v>
      </c>
      <c r="U621" s="1">
        <v>5429137</v>
      </c>
      <c r="W621" s="1">
        <v>1729884</v>
      </c>
      <c r="Y621" s="1">
        <v>413385</v>
      </c>
      <c r="AA621" s="1">
        <v>9225299</v>
      </c>
      <c r="AC621" s="1">
        <v>6916360</v>
      </c>
      <c r="AE621" s="1">
        <v>1361550</v>
      </c>
      <c r="AG621" s="1">
        <v>2449685</v>
      </c>
      <c r="AI621" s="1">
        <v>1266352</v>
      </c>
      <c r="AJ621" s="12" t="s">
        <v>418</v>
      </c>
      <c r="AK621" s="12"/>
      <c r="AL621" s="12" t="s">
        <v>41</v>
      </c>
      <c r="AN621" s="1">
        <v>2223622</v>
      </c>
      <c r="AP621" s="1">
        <v>18107</v>
      </c>
      <c r="AR621" s="1">
        <v>0</v>
      </c>
      <c r="AT621" s="1">
        <v>285000</v>
      </c>
      <c r="AV621" s="1">
        <v>45231</v>
      </c>
      <c r="AX621" s="1">
        <v>0</v>
      </c>
      <c r="AZ621" s="20">
        <f t="shared" si="57"/>
        <v>99372369</v>
      </c>
      <c r="BB621" s="1">
        <v>2213936</v>
      </c>
      <c r="BH621" s="1">
        <v>0</v>
      </c>
      <c r="BJ621" s="20">
        <f t="shared" si="54"/>
        <v>101586305</v>
      </c>
      <c r="BL621" s="20">
        <f>'Gov Fd Rv'!AO621-'Gov Fnd Exp'!BJ621</f>
        <v>-3650370</v>
      </c>
      <c r="BN621" s="1">
        <v>15823240</v>
      </c>
      <c r="BP621" s="1">
        <v>0</v>
      </c>
      <c r="BR621" s="1">
        <v>0</v>
      </c>
      <c r="BT621" s="20">
        <f t="shared" si="55"/>
        <v>12172870</v>
      </c>
      <c r="BU621" s="20"/>
      <c r="BV621" s="20">
        <f>BT621-'Gov Fd BS'!AA621</f>
        <v>0</v>
      </c>
    </row>
    <row r="622" spans="1:74">
      <c r="A622" s="12" t="s">
        <v>262</v>
      </c>
      <c r="B622" s="12"/>
      <c r="C622" s="12" t="s">
        <v>18</v>
      </c>
      <c r="D622" s="12"/>
      <c r="E622" s="13">
        <v>45112</v>
      </c>
      <c r="G622" s="1">
        <v>13144176</v>
      </c>
      <c r="I622" s="1">
        <v>2896640</v>
      </c>
      <c r="K622" s="1">
        <v>285287</v>
      </c>
      <c r="M622" s="1">
        <v>473174</v>
      </c>
      <c r="O622" s="1">
        <v>1484440</v>
      </c>
      <c r="Q622" s="1">
        <v>2079556</v>
      </c>
      <c r="S622" s="1">
        <v>80684</v>
      </c>
      <c r="U622" s="1">
        <v>1478284</v>
      </c>
      <c r="W622" s="1">
        <v>690255</v>
      </c>
      <c r="Y622" s="1">
        <v>425649</v>
      </c>
      <c r="AA622" s="1">
        <v>1998178</v>
      </c>
      <c r="AC622" s="1">
        <v>1142255</v>
      </c>
      <c r="AE622" s="1">
        <v>212762</v>
      </c>
      <c r="AG622" s="1">
        <v>0</v>
      </c>
      <c r="AI622" s="1">
        <v>1315028</v>
      </c>
      <c r="AJ622" s="12" t="s">
        <v>262</v>
      </c>
      <c r="AK622" s="12"/>
      <c r="AL622" s="12" t="s">
        <v>18</v>
      </c>
      <c r="AN622" s="1">
        <v>563696</v>
      </c>
      <c r="AP622" s="1">
        <v>154687</v>
      </c>
      <c r="AR622" s="1">
        <v>0</v>
      </c>
      <c r="AT622" s="1">
        <v>1302000</v>
      </c>
      <c r="AV622" s="1">
        <v>346905</v>
      </c>
      <c r="AX622" s="1">
        <v>0</v>
      </c>
      <c r="AZ622" s="20">
        <f t="shared" si="57"/>
        <v>30073656</v>
      </c>
      <c r="BB622" s="1">
        <v>287430</v>
      </c>
      <c r="BH622" s="1">
        <v>0</v>
      </c>
      <c r="BJ622" s="20">
        <f t="shared" si="54"/>
        <v>30361086</v>
      </c>
      <c r="BL622" s="20">
        <f>'Gov Fd Rv'!AO622-'Gov Fnd Exp'!BJ622</f>
        <v>-446993</v>
      </c>
      <c r="BN622" s="1">
        <v>8261257</v>
      </c>
      <c r="BP622" s="1">
        <v>0</v>
      </c>
      <c r="BR622" s="1">
        <v>0</v>
      </c>
      <c r="BT622" s="20">
        <f t="shared" si="55"/>
        <v>7814264</v>
      </c>
      <c r="BU622" s="20"/>
      <c r="BV622" s="20">
        <f>BT622-'Gov Fd BS'!AA622</f>
        <v>0</v>
      </c>
    </row>
    <row r="623" spans="1:74">
      <c r="A623" s="12" t="s">
        <v>540</v>
      </c>
      <c r="B623" s="12"/>
      <c r="C623" s="12" t="s">
        <v>56</v>
      </c>
      <c r="D623" s="12"/>
      <c r="E623" s="13">
        <v>45666</v>
      </c>
      <c r="G623" s="1">
        <v>3699344</v>
      </c>
      <c r="I623" s="1">
        <v>1785946</v>
      </c>
      <c r="K623" s="1">
        <v>74412</v>
      </c>
      <c r="M623" s="1">
        <v>19662</v>
      </c>
      <c r="O623" s="1">
        <v>532323</v>
      </c>
      <c r="Q623" s="1">
        <v>661015</v>
      </c>
      <c r="S623" s="1">
        <v>26915</v>
      </c>
      <c r="U623" s="1">
        <v>650481</v>
      </c>
      <c r="W623" s="1">
        <v>192784</v>
      </c>
      <c r="Y623" s="1">
        <v>13815</v>
      </c>
      <c r="AA623" s="1">
        <v>804785</v>
      </c>
      <c r="AC623" s="1">
        <v>379756</v>
      </c>
      <c r="AE623" s="1">
        <v>33029</v>
      </c>
      <c r="AG623" s="1">
        <v>342233</v>
      </c>
      <c r="AI623" s="1">
        <v>0</v>
      </c>
      <c r="AJ623" s="12" t="s">
        <v>540</v>
      </c>
      <c r="AK623" s="12"/>
      <c r="AL623" s="12" t="s">
        <v>56</v>
      </c>
      <c r="AN623" s="1">
        <v>239125</v>
      </c>
      <c r="AP623" s="1">
        <v>91137</v>
      </c>
      <c r="AR623" s="1">
        <v>0</v>
      </c>
      <c r="AT623" s="1">
        <v>65936</v>
      </c>
      <c r="AV623" s="1">
        <v>36164</v>
      </c>
      <c r="AX623" s="1">
        <v>0</v>
      </c>
      <c r="AZ623" s="20">
        <f t="shared" si="57"/>
        <v>9648862</v>
      </c>
      <c r="BB623" s="1">
        <v>42425</v>
      </c>
      <c r="BH623" s="1">
        <v>0</v>
      </c>
      <c r="BJ623" s="20">
        <f t="shared" si="54"/>
        <v>9691287</v>
      </c>
      <c r="BL623" s="20">
        <f>'Gov Fd Rv'!AO623-'Gov Fnd Exp'!BJ623</f>
        <v>516670</v>
      </c>
      <c r="BN623" s="1">
        <v>756906</v>
      </c>
      <c r="BP623" s="1">
        <v>144</v>
      </c>
      <c r="BR623" s="1">
        <v>0</v>
      </c>
      <c r="BT623" s="20">
        <f>BL623+BN623+BP623+BR623</f>
        <v>1273720</v>
      </c>
      <c r="BU623" s="20"/>
      <c r="BV623" s="20">
        <f>BT623-'Gov Fd BS'!AA623</f>
        <v>0</v>
      </c>
    </row>
    <row r="624" spans="1:74">
      <c r="A624" s="12" t="s">
        <v>376</v>
      </c>
      <c r="B624" s="12"/>
      <c r="C624" s="12" t="s">
        <v>32</v>
      </c>
      <c r="D624" s="12"/>
      <c r="E624" s="13">
        <v>44081</v>
      </c>
      <c r="G624" s="1">
        <v>18747188</v>
      </c>
      <c r="I624" s="1">
        <v>6410015</v>
      </c>
      <c r="K624" s="1">
        <v>312622</v>
      </c>
      <c r="M624" s="1">
        <v>2885</v>
      </c>
      <c r="O624" s="1">
        <v>2449809</v>
      </c>
      <c r="Q624" s="1">
        <v>3591859</v>
      </c>
      <c r="S624" s="1">
        <v>268609</v>
      </c>
      <c r="U624" s="1">
        <v>3796513</v>
      </c>
      <c r="W624" s="1">
        <v>801229</v>
      </c>
      <c r="Y624" s="1">
        <v>221167</v>
      </c>
      <c r="AA624" s="1">
        <v>3719716</v>
      </c>
      <c r="AC624" s="1">
        <v>2153485</v>
      </c>
      <c r="AE624" s="1">
        <v>912380</v>
      </c>
      <c r="AG624" s="1">
        <v>0</v>
      </c>
      <c r="AI624" s="1">
        <v>1772463</v>
      </c>
      <c r="AJ624" s="12" t="s">
        <v>376</v>
      </c>
      <c r="AK624" s="12"/>
      <c r="AL624" s="12" t="s">
        <v>32</v>
      </c>
      <c r="AN624" s="1">
        <v>786810</v>
      </c>
      <c r="AP624" s="1">
        <v>0</v>
      </c>
      <c r="AR624" s="1">
        <v>0</v>
      </c>
      <c r="AT624" s="1">
        <v>361975</v>
      </c>
      <c r="AV624" s="1">
        <v>193042</v>
      </c>
      <c r="AX624" s="1">
        <v>0</v>
      </c>
      <c r="AZ624" s="20">
        <f t="shared" si="57"/>
        <v>46501767</v>
      </c>
      <c r="BB624" s="1">
        <v>0</v>
      </c>
      <c r="BH624" s="1">
        <v>0</v>
      </c>
      <c r="BJ624" s="20">
        <f t="shared" si="54"/>
        <v>46501767</v>
      </c>
      <c r="BL624" s="20">
        <f>'Gov Fd Rv'!AO624-'Gov Fnd Exp'!BJ624</f>
        <v>1907346</v>
      </c>
      <c r="BN624" s="1">
        <v>6404607</v>
      </c>
      <c r="BP624" s="1">
        <v>0</v>
      </c>
      <c r="BR624" s="1">
        <v>0</v>
      </c>
      <c r="BT624" s="20">
        <f t="shared" ref="BT624:BT628" si="58">BL624+BN624+BP624+BR624</f>
        <v>8311953</v>
      </c>
      <c r="BU624" s="20"/>
      <c r="BV624" s="20">
        <f>BT624-'Gov Fd BS'!AA624</f>
        <v>0</v>
      </c>
    </row>
    <row r="625" spans="1:74">
      <c r="A625" s="12" t="s">
        <v>639</v>
      </c>
      <c r="B625" s="12"/>
      <c r="C625" s="12" t="s">
        <v>70</v>
      </c>
      <c r="D625" s="12"/>
      <c r="E625" s="13">
        <v>50518</v>
      </c>
      <c r="G625" s="1">
        <v>2880688</v>
      </c>
      <c r="I625" s="1">
        <v>572882</v>
      </c>
      <c r="K625" s="1">
        <v>157586</v>
      </c>
      <c r="M625" s="1">
        <v>0</v>
      </c>
      <c r="O625" s="1">
        <v>202859</v>
      </c>
      <c r="Q625" s="1">
        <v>503954</v>
      </c>
      <c r="S625" s="1">
        <v>20870</v>
      </c>
      <c r="U625" s="1">
        <v>441728</v>
      </c>
      <c r="W625" s="1">
        <v>609913</v>
      </c>
      <c r="Y625" s="1">
        <v>0</v>
      </c>
      <c r="AA625" s="1">
        <v>591703</v>
      </c>
      <c r="AC625" s="1">
        <v>374316</v>
      </c>
      <c r="AE625" s="1">
        <v>33282</v>
      </c>
      <c r="AG625" s="1">
        <v>0</v>
      </c>
      <c r="AI625" s="1">
        <v>233541</v>
      </c>
      <c r="AJ625" s="12" t="s">
        <v>639</v>
      </c>
      <c r="AK625" s="12"/>
      <c r="AL625" s="12" t="s">
        <v>70</v>
      </c>
      <c r="AN625" s="1">
        <v>238924</v>
      </c>
      <c r="AP625" s="1">
        <v>3632</v>
      </c>
      <c r="AR625" s="1">
        <v>0</v>
      </c>
      <c r="AT625" s="1">
        <v>160000</v>
      </c>
      <c r="AV625" s="1">
        <v>260340</v>
      </c>
      <c r="AX625" s="1">
        <v>0</v>
      </c>
      <c r="AZ625" s="20">
        <f t="shared" si="57"/>
        <v>7286218</v>
      </c>
      <c r="BB625" s="1">
        <v>100000</v>
      </c>
      <c r="BH625" s="1">
        <v>0</v>
      </c>
      <c r="BJ625" s="20">
        <f t="shared" si="54"/>
        <v>7386218</v>
      </c>
      <c r="BL625" s="20">
        <f>'Gov Fd Rv'!AO625-'Gov Fnd Exp'!BJ625</f>
        <v>1499052</v>
      </c>
      <c r="BN625" s="1">
        <v>6033079</v>
      </c>
      <c r="BP625" s="1">
        <v>0</v>
      </c>
      <c r="BR625" s="1">
        <v>0</v>
      </c>
      <c r="BT625" s="20">
        <f t="shared" si="58"/>
        <v>7532131</v>
      </c>
      <c r="BU625" s="20"/>
      <c r="BV625" s="20">
        <f>BT625-'Gov Fd BS'!AA625</f>
        <v>0</v>
      </c>
    </row>
    <row r="626" spans="1:74">
      <c r="A626" s="12" t="s">
        <v>558</v>
      </c>
      <c r="B626" s="12"/>
      <c r="C626" s="12" t="s">
        <v>79</v>
      </c>
      <c r="D626" s="12"/>
      <c r="E626" s="13">
        <v>49577</v>
      </c>
      <c r="G626" s="1">
        <v>4923382</v>
      </c>
      <c r="I626" s="1">
        <v>986770</v>
      </c>
      <c r="K626" s="1">
        <v>7717</v>
      </c>
      <c r="M626" s="1">
        <v>5362</v>
      </c>
      <c r="O626" s="1">
        <v>589380</v>
      </c>
      <c r="Q626" s="1">
        <v>176642</v>
      </c>
      <c r="S626" s="1">
        <v>46079</v>
      </c>
      <c r="U626" s="1">
        <v>878007</v>
      </c>
      <c r="W626" s="1">
        <v>297282</v>
      </c>
      <c r="Y626" s="1">
        <v>0</v>
      </c>
      <c r="AA626" s="1">
        <v>823941</v>
      </c>
      <c r="AC626" s="1">
        <v>543055</v>
      </c>
      <c r="AE626" s="1">
        <v>2</v>
      </c>
      <c r="AG626" s="1">
        <v>349630</v>
      </c>
      <c r="AI626" s="1">
        <v>47029</v>
      </c>
      <c r="AJ626" s="12" t="s">
        <v>558</v>
      </c>
      <c r="AK626" s="12"/>
      <c r="AL626" s="12" t="s">
        <v>79</v>
      </c>
      <c r="AN626" s="1">
        <v>350831</v>
      </c>
      <c r="AP626" s="1">
        <v>0</v>
      </c>
      <c r="AR626" s="1">
        <v>0</v>
      </c>
      <c r="AT626" s="1">
        <v>64497</v>
      </c>
      <c r="AV626" s="1">
        <v>12167</v>
      </c>
      <c r="AX626" s="1">
        <v>0</v>
      </c>
      <c r="AZ626" s="20">
        <f t="shared" si="57"/>
        <v>10101773</v>
      </c>
      <c r="BB626" s="1">
        <v>0</v>
      </c>
      <c r="BH626" s="1">
        <v>0</v>
      </c>
      <c r="BJ626" s="20">
        <f t="shared" si="54"/>
        <v>10101773</v>
      </c>
      <c r="BL626" s="20">
        <f>'Gov Fd Rv'!AO626-'Gov Fnd Exp'!BJ626</f>
        <v>791971</v>
      </c>
      <c r="BN626" s="1">
        <v>910305</v>
      </c>
      <c r="BP626" s="1">
        <v>0</v>
      </c>
      <c r="BR626" s="1">
        <v>0</v>
      </c>
      <c r="BT626" s="20">
        <f t="shared" si="58"/>
        <v>1702276</v>
      </c>
      <c r="BU626" s="20"/>
      <c r="BV626" s="20">
        <f>BT626-'Gov Fd BS'!AA626</f>
        <v>0</v>
      </c>
    </row>
    <row r="627" spans="1:74">
      <c r="A627" s="12" t="s">
        <v>598</v>
      </c>
      <c r="B627" s="12"/>
      <c r="C627" s="12" t="s">
        <v>63</v>
      </c>
      <c r="D627" s="12"/>
      <c r="E627" s="12">
        <v>49973</v>
      </c>
      <c r="G627" s="1">
        <v>10564207</v>
      </c>
      <c r="I627" s="1">
        <v>3296536</v>
      </c>
      <c r="K627" s="1">
        <v>328427</v>
      </c>
      <c r="M627" s="1">
        <v>471318</v>
      </c>
      <c r="O627" s="1">
        <v>1311042</v>
      </c>
      <c r="Q627" s="1">
        <v>572218</v>
      </c>
      <c r="S627" s="1">
        <v>29298</v>
      </c>
      <c r="U627" s="1">
        <v>2112935</v>
      </c>
      <c r="W627" s="1">
        <v>659898</v>
      </c>
      <c r="Y627" s="1">
        <v>44202</v>
      </c>
      <c r="AA627" s="1">
        <v>2005273</v>
      </c>
      <c r="AC627" s="1">
        <v>1567578</v>
      </c>
      <c r="AE627" s="1">
        <v>191061</v>
      </c>
      <c r="AG627" s="1">
        <v>724566</v>
      </c>
      <c r="AI627" s="1">
        <v>19606</v>
      </c>
      <c r="AJ627" s="12" t="s">
        <v>598</v>
      </c>
      <c r="AK627" s="12"/>
      <c r="AL627" s="12" t="s">
        <v>63</v>
      </c>
      <c r="AN627" s="1">
        <v>717215</v>
      </c>
      <c r="AP627" s="1">
        <v>1047236</v>
      </c>
      <c r="AR627" s="1">
        <v>0</v>
      </c>
      <c r="AT627" s="1">
        <v>1007330</v>
      </c>
      <c r="AV627" s="1">
        <v>721232</v>
      </c>
      <c r="AX627" s="1">
        <v>0</v>
      </c>
      <c r="AZ627" s="20">
        <f t="shared" si="57"/>
        <v>27391178</v>
      </c>
      <c r="BB627" s="1">
        <v>93225</v>
      </c>
      <c r="BH627" s="1">
        <v>0</v>
      </c>
      <c r="BJ627" s="20">
        <f t="shared" si="54"/>
        <v>27484403</v>
      </c>
      <c r="BL627" s="20">
        <f>'Gov Fd Rv'!AO627-'Gov Fnd Exp'!BJ627</f>
        <v>-1469413</v>
      </c>
      <c r="BN627" s="1">
        <v>10293134</v>
      </c>
      <c r="BP627" s="1">
        <v>0</v>
      </c>
      <c r="BR627" s="1">
        <v>0</v>
      </c>
      <c r="BT627" s="20">
        <f t="shared" si="58"/>
        <v>8823721</v>
      </c>
      <c r="BU627" s="20"/>
      <c r="BV627" s="20">
        <f>BT627-'Gov Fd BS'!AA627</f>
        <v>0</v>
      </c>
    </row>
    <row r="628" spans="1:74">
      <c r="A628" s="12" t="s">
        <v>745</v>
      </c>
      <c r="B628" s="12"/>
      <c r="C628" s="12" t="s">
        <v>71</v>
      </c>
      <c r="D628" s="12"/>
      <c r="E628" s="13">
        <v>45138</v>
      </c>
      <c r="G628" s="1">
        <v>17877456</v>
      </c>
      <c r="I628" s="1">
        <v>5468251</v>
      </c>
      <c r="K628" s="1">
        <v>399225</v>
      </c>
      <c r="M628" s="1">
        <f>280470+2670042</f>
        <v>2950512</v>
      </c>
      <c r="O628" s="1">
        <v>2056972</v>
      </c>
      <c r="Q628" s="1">
        <v>2322247</v>
      </c>
      <c r="S628" s="1">
        <v>125732</v>
      </c>
      <c r="U628" s="1">
        <v>3026927</v>
      </c>
      <c r="W628" s="1">
        <v>940910</v>
      </c>
      <c r="Y628" s="1">
        <v>228479</v>
      </c>
      <c r="AA628" s="1">
        <v>4425480</v>
      </c>
      <c r="AC628" s="1">
        <v>2020133</v>
      </c>
      <c r="AE628" s="1">
        <v>897241</v>
      </c>
      <c r="AG628" s="1">
        <v>0</v>
      </c>
      <c r="AI628" s="1">
        <v>382582</v>
      </c>
      <c r="AJ628" s="12" t="s">
        <v>745</v>
      </c>
      <c r="AK628" s="12"/>
      <c r="AL628" s="12" t="s">
        <v>71</v>
      </c>
      <c r="AN628" s="1">
        <v>560824</v>
      </c>
      <c r="AP628" s="1">
        <v>1451323</v>
      </c>
      <c r="AR628" s="1">
        <v>0</v>
      </c>
      <c r="AT628" s="1">
        <v>1198556</v>
      </c>
      <c r="AV628" s="1">
        <v>1865880</v>
      </c>
      <c r="AX628" s="1">
        <v>0</v>
      </c>
      <c r="AZ628" s="20">
        <f t="shared" si="57"/>
        <v>48198730</v>
      </c>
      <c r="BB628" s="1">
        <v>270225</v>
      </c>
      <c r="BH628" s="1">
        <v>0</v>
      </c>
      <c r="BJ628" s="20">
        <f t="shared" si="54"/>
        <v>48468955</v>
      </c>
      <c r="BL628" s="20">
        <f>'Gov Fd Rv'!AO628-'Gov Fnd Exp'!BJ628</f>
        <v>-2462819</v>
      </c>
      <c r="BN628" s="1">
        <v>19208241</v>
      </c>
      <c r="BP628" s="1">
        <v>0</v>
      </c>
      <c r="BR628" s="1">
        <v>0</v>
      </c>
      <c r="BT628" s="20">
        <f t="shared" si="58"/>
        <v>16745422</v>
      </c>
      <c r="BU628" s="20"/>
      <c r="BV628" s="20">
        <f>BT628-'Gov Fd BS'!AA628</f>
        <v>0</v>
      </c>
    </row>
    <row r="629" spans="1:74">
      <c r="A629" s="12" t="s">
        <v>344</v>
      </c>
      <c r="B629" s="12"/>
      <c r="C629" s="12" t="s">
        <v>27</v>
      </c>
      <c r="D629" s="12"/>
      <c r="E629" s="13">
        <v>46524</v>
      </c>
      <c r="G629" s="1">
        <v>57948216</v>
      </c>
      <c r="I629" s="1">
        <v>13856077</v>
      </c>
      <c r="K629" s="1">
        <v>1293121</v>
      </c>
      <c r="M629" s="1">
        <v>1863</v>
      </c>
      <c r="O629" s="1">
        <v>6100288</v>
      </c>
      <c r="Q629" s="1">
        <v>10554071</v>
      </c>
      <c r="S629" s="1">
        <v>63247</v>
      </c>
      <c r="U629" s="1">
        <v>8936424</v>
      </c>
      <c r="W629" s="1">
        <v>0</v>
      </c>
      <c r="Y629" s="1">
        <v>2669962</v>
      </c>
      <c r="AA629" s="1">
        <v>13133901</v>
      </c>
      <c r="AC629" s="1">
        <v>3908111</v>
      </c>
      <c r="AE629" s="1">
        <v>1367924</v>
      </c>
      <c r="AG629" s="1">
        <v>3324916</v>
      </c>
      <c r="AI629" s="1">
        <v>1446845</v>
      </c>
      <c r="AJ629" s="12" t="s">
        <v>344</v>
      </c>
      <c r="AK629" s="12"/>
      <c r="AL629" s="12" t="s">
        <v>27</v>
      </c>
      <c r="AN629" s="1">
        <v>2470673</v>
      </c>
      <c r="AP629" s="1">
        <v>3351787</v>
      </c>
      <c r="AR629" s="1">
        <v>0</v>
      </c>
      <c r="AT629" s="1">
        <v>5850000</v>
      </c>
      <c r="AV629" s="1">
        <v>2495815</v>
      </c>
      <c r="AX629" s="1">
        <v>0</v>
      </c>
      <c r="AZ629" s="20">
        <f t="shared" si="57"/>
        <v>138773241</v>
      </c>
      <c r="BB629" s="1">
        <v>1323502</v>
      </c>
      <c r="BH629" s="1">
        <v>0</v>
      </c>
      <c r="BJ629" s="20">
        <f t="shared" si="54"/>
        <v>140096743</v>
      </c>
      <c r="BL629" s="20">
        <f>'Gov Fd Rv'!AO629-'Gov Fnd Exp'!BJ629</f>
        <v>-2858740</v>
      </c>
      <c r="BN629" s="1">
        <v>71518565</v>
      </c>
      <c r="BP629" s="1">
        <v>0</v>
      </c>
      <c r="BR629" s="1">
        <v>0</v>
      </c>
      <c r="BT629" s="20">
        <f t="shared" si="55"/>
        <v>68659825</v>
      </c>
      <c r="BU629" s="20"/>
      <c r="BV629" s="20">
        <f>BT629-'Gov Fd BS'!AA629</f>
        <v>0</v>
      </c>
    </row>
    <row r="630" spans="1:74">
      <c r="A630" s="12" t="s">
        <v>279</v>
      </c>
      <c r="B630" s="12"/>
      <c r="C630" s="12" t="s">
        <v>113</v>
      </c>
      <c r="D630" s="12"/>
      <c r="E630" s="13">
        <v>45146</v>
      </c>
      <c r="G630" s="1">
        <v>4644083</v>
      </c>
      <c r="I630" s="1">
        <v>1534515</v>
      </c>
      <c r="K630" s="1">
        <v>3947</v>
      </c>
      <c r="M630" s="1">
        <v>534911</v>
      </c>
      <c r="O630" s="1">
        <v>1152388</v>
      </c>
      <c r="Q630" s="1">
        <v>335768</v>
      </c>
      <c r="S630" s="1">
        <v>6607</v>
      </c>
      <c r="U630" s="1">
        <v>820801</v>
      </c>
      <c r="W630" s="1">
        <v>358506</v>
      </c>
      <c r="Y630" s="1">
        <v>13590</v>
      </c>
      <c r="AA630" s="1">
        <v>744843</v>
      </c>
      <c r="AC630" s="1">
        <v>637192</v>
      </c>
      <c r="AE630" s="1">
        <v>60344</v>
      </c>
      <c r="AG630" s="1">
        <v>503032</v>
      </c>
      <c r="AI630" s="1">
        <v>600</v>
      </c>
      <c r="AJ630" s="12" t="s">
        <v>279</v>
      </c>
      <c r="AK630" s="12"/>
      <c r="AL630" s="12" t="s">
        <v>113</v>
      </c>
      <c r="AN630" s="1">
        <v>331563</v>
      </c>
      <c r="AP630" s="1">
        <f>195783+33100</f>
        <v>228883</v>
      </c>
      <c r="AR630" s="1">
        <v>0</v>
      </c>
      <c r="AT630" s="1">
        <v>241110</v>
      </c>
      <c r="AV630" s="1">
        <v>259058</v>
      </c>
      <c r="AX630" s="1">
        <v>0</v>
      </c>
      <c r="AZ630" s="20">
        <f t="shared" si="57"/>
        <v>12411741</v>
      </c>
      <c r="BB630" s="1">
        <v>53384</v>
      </c>
      <c r="BH630" s="1">
        <v>0</v>
      </c>
      <c r="BJ630" s="20">
        <f t="shared" si="54"/>
        <v>12465125</v>
      </c>
      <c r="BL630" s="20">
        <f>'Gov Fd Rv'!AO630-'Gov Fnd Exp'!BJ630</f>
        <v>-478966</v>
      </c>
      <c r="BN630" s="1">
        <v>2513377</v>
      </c>
      <c r="BP630" s="1">
        <v>0</v>
      </c>
      <c r="BR630" s="1">
        <v>0</v>
      </c>
      <c r="BT630" s="20">
        <f t="shared" si="55"/>
        <v>2034411</v>
      </c>
      <c r="BU630" s="20"/>
      <c r="BV630" s="20">
        <f>BT630-'Gov Fd BS'!AA630</f>
        <v>0</v>
      </c>
    </row>
    <row r="631" spans="1:74">
      <c r="A631" s="12" t="s">
        <v>377</v>
      </c>
      <c r="B631" s="12"/>
      <c r="C631" s="12" t="s">
        <v>32</v>
      </c>
      <c r="D631" s="12"/>
      <c r="E631" s="13">
        <v>45153</v>
      </c>
      <c r="G631" s="1">
        <v>10558526</v>
      </c>
      <c r="I631" s="1">
        <v>2326820</v>
      </c>
      <c r="K631" s="1">
        <v>122359</v>
      </c>
      <c r="M631" s="1">
        <v>15148</v>
      </c>
      <c r="O631" s="1">
        <v>1673073</v>
      </c>
      <c r="Q631" s="1">
        <v>1142444</v>
      </c>
      <c r="S631" s="1">
        <v>98636</v>
      </c>
      <c r="U631" s="1">
        <v>1489509</v>
      </c>
      <c r="W631" s="1">
        <v>973652</v>
      </c>
      <c r="Y631" s="1">
        <v>1198</v>
      </c>
      <c r="AA631" s="1">
        <v>2108345</v>
      </c>
      <c r="AC631" s="1">
        <v>380603</v>
      </c>
      <c r="AE631" s="1">
        <v>129176</v>
      </c>
      <c r="AG631" s="1">
        <v>0</v>
      </c>
      <c r="AI631" s="1">
        <v>630454</v>
      </c>
      <c r="AJ631" s="12" t="s">
        <v>377</v>
      </c>
      <c r="AK631" s="12"/>
      <c r="AL631" s="12" t="s">
        <v>32</v>
      </c>
      <c r="AN631" s="1">
        <v>758517</v>
      </c>
      <c r="AP631" s="1">
        <v>1558500</v>
      </c>
      <c r="AR631" s="1">
        <v>0</v>
      </c>
      <c r="AT631" s="1">
        <v>1028100</v>
      </c>
      <c r="AV631" s="1">
        <v>977193</v>
      </c>
      <c r="AX631" s="1">
        <v>0</v>
      </c>
      <c r="AZ631" s="20">
        <f t="shared" si="57"/>
        <v>25972253</v>
      </c>
      <c r="BB631" s="1">
        <v>225000</v>
      </c>
      <c r="BH631" s="1">
        <v>0</v>
      </c>
      <c r="BJ631" s="20">
        <f t="shared" si="54"/>
        <v>26197253</v>
      </c>
      <c r="BL631" s="20">
        <f>'Gov Fd Rv'!AO631-'Gov Fnd Exp'!BJ631</f>
        <v>158523</v>
      </c>
      <c r="BN631" s="1">
        <v>16368552</v>
      </c>
      <c r="BP631" s="1">
        <v>0</v>
      </c>
      <c r="BR631" s="1">
        <v>0</v>
      </c>
      <c r="BT631" s="20">
        <f t="shared" si="55"/>
        <v>16527075</v>
      </c>
      <c r="BU631" s="20"/>
      <c r="BV631" s="20">
        <f>BT631-'Gov Fd BS'!AA631</f>
        <v>0</v>
      </c>
    </row>
    <row r="632" spans="1:74">
      <c r="A632" s="12" t="s">
        <v>359</v>
      </c>
      <c r="B632" s="12"/>
      <c r="C632" s="12" t="s">
        <v>116</v>
      </c>
      <c r="D632" s="12"/>
      <c r="E632" s="13">
        <v>45674</v>
      </c>
      <c r="G632" s="1">
        <v>3742764</v>
      </c>
      <c r="I632" s="1">
        <v>796696</v>
      </c>
      <c r="K632" s="1">
        <v>0</v>
      </c>
      <c r="M632" s="1">
        <f>2527+16418+155300</f>
        <v>174245</v>
      </c>
      <c r="O632" s="1">
        <v>456480</v>
      </c>
      <c r="Q632" s="1">
        <v>567783</v>
      </c>
      <c r="S632" s="1">
        <v>46503</v>
      </c>
      <c r="U632" s="1">
        <v>785997</v>
      </c>
      <c r="W632" s="1">
        <v>340736</v>
      </c>
      <c r="Y632" s="1">
        <v>0</v>
      </c>
      <c r="AA632" s="1">
        <v>768500</v>
      </c>
      <c r="AC632" s="1">
        <v>202521</v>
      </c>
      <c r="AE632" s="1">
        <v>36276</v>
      </c>
      <c r="AG632" s="1">
        <v>0</v>
      </c>
      <c r="AI632" s="1">
        <v>236551</v>
      </c>
      <c r="AJ632" s="12" t="s">
        <v>359</v>
      </c>
      <c r="AK632" s="12"/>
      <c r="AL632" s="12" t="s">
        <v>116</v>
      </c>
      <c r="AN632" s="1">
        <v>307405</v>
      </c>
      <c r="AP632" s="1">
        <v>578240</v>
      </c>
      <c r="AR632" s="1">
        <v>0</v>
      </c>
      <c r="AT632" s="1">
        <v>153000</v>
      </c>
      <c r="AV632" s="1">
        <v>165067</v>
      </c>
      <c r="AX632" s="1">
        <v>0</v>
      </c>
      <c r="AZ632" s="20">
        <f t="shared" si="57"/>
        <v>9358764</v>
      </c>
      <c r="BB632" s="1">
        <v>26000</v>
      </c>
      <c r="BH632" s="1">
        <v>0</v>
      </c>
      <c r="BJ632" s="20">
        <f t="shared" ref="BJ632:BJ635" si="59">AZ632+BB632+BH632</f>
        <v>9384764</v>
      </c>
      <c r="BL632" s="20">
        <f>'Gov Fd Rv'!AO632-'Gov Fnd Exp'!BJ632</f>
        <v>-982866</v>
      </c>
      <c r="BN632" s="1">
        <v>3540350</v>
      </c>
      <c r="BP632" s="1">
        <v>0</v>
      </c>
      <c r="BR632" s="1">
        <v>0</v>
      </c>
      <c r="BT632" s="20">
        <f t="shared" ref="BT632:BT635" si="60">BL632+BN632+BP632+BR632</f>
        <v>2557484</v>
      </c>
      <c r="BU632" s="20"/>
      <c r="BV632" s="20">
        <f>BT632-'Gov Fd BS'!AA632</f>
        <v>0</v>
      </c>
    </row>
    <row r="633" spans="1:74">
      <c r="A633" s="12" t="s">
        <v>472</v>
      </c>
      <c r="B633" s="12"/>
      <c r="C633" s="12" t="s">
        <v>45</v>
      </c>
      <c r="D633" s="12"/>
      <c r="E633" s="13">
        <v>45161</v>
      </c>
      <c r="G633" s="1">
        <v>51250240</v>
      </c>
      <c r="I633" s="1">
        <v>14295683</v>
      </c>
      <c r="K633" s="1">
        <v>3136224</v>
      </c>
      <c r="M633" s="1">
        <f>447563+9684992</f>
        <v>10132555</v>
      </c>
      <c r="O633" s="1">
        <v>6274782</v>
      </c>
      <c r="Q633" s="1">
        <v>9487369</v>
      </c>
      <c r="S633" s="1">
        <v>1557559</v>
      </c>
      <c r="U633" s="1">
        <v>4928274</v>
      </c>
      <c r="W633" s="1">
        <v>1481143</v>
      </c>
      <c r="Y633" s="1">
        <v>805656</v>
      </c>
      <c r="AA633" s="1">
        <v>10938659</v>
      </c>
      <c r="AC633" s="1">
        <v>5215334</v>
      </c>
      <c r="AE633" s="1">
        <v>741186</v>
      </c>
      <c r="AG633" s="1">
        <v>1624112</v>
      </c>
      <c r="AI633" s="1">
        <v>3387458</v>
      </c>
      <c r="AJ633" s="12" t="s">
        <v>472</v>
      </c>
      <c r="AK633" s="12"/>
      <c r="AL633" s="12" t="s">
        <v>45</v>
      </c>
      <c r="AN633" s="1">
        <v>394999</v>
      </c>
      <c r="AP633" s="1">
        <v>11440726</v>
      </c>
      <c r="AR633" s="1">
        <v>0</v>
      </c>
      <c r="AT633" s="1">
        <v>1157152</v>
      </c>
      <c r="AV633" s="1">
        <v>1365765</v>
      </c>
      <c r="AX633" s="1">
        <v>0</v>
      </c>
      <c r="AZ633" s="20">
        <f t="shared" si="57"/>
        <v>139614876</v>
      </c>
      <c r="BB633" s="1">
        <v>82053</v>
      </c>
      <c r="BH633" s="1">
        <v>0</v>
      </c>
      <c r="BJ633" s="20">
        <f t="shared" si="59"/>
        <v>139696929</v>
      </c>
      <c r="BL633" s="20">
        <f>'Gov Fd Rv'!AO633-'Gov Fnd Exp'!BJ633</f>
        <v>-2793108</v>
      </c>
      <c r="BN633" s="1">
        <v>24153644</v>
      </c>
      <c r="BP633" s="1">
        <v>0</v>
      </c>
      <c r="BR633" s="1">
        <v>0</v>
      </c>
      <c r="BT633" s="20">
        <f t="shared" si="60"/>
        <v>21360536</v>
      </c>
      <c r="BU633" s="20"/>
      <c r="BV633" s="20">
        <f>BT633-'Gov Fd BS'!AA633</f>
        <v>0</v>
      </c>
    </row>
    <row r="634" spans="1:74">
      <c r="A634" s="12" t="s">
        <v>554</v>
      </c>
      <c r="B634" s="12"/>
      <c r="C634" s="12" t="s">
        <v>58</v>
      </c>
      <c r="D634" s="12"/>
      <c r="E634" s="13">
        <v>49544</v>
      </c>
      <c r="G634" s="1">
        <v>6569358</v>
      </c>
      <c r="I634" s="1">
        <v>1796851</v>
      </c>
      <c r="K634" s="1">
        <v>9752</v>
      </c>
      <c r="M634" s="1">
        <v>61269</v>
      </c>
      <c r="O634" s="1">
        <v>543049</v>
      </c>
      <c r="Q634" s="1">
        <v>430339</v>
      </c>
      <c r="S634" s="1">
        <v>155841</v>
      </c>
      <c r="U634" s="1">
        <v>759208</v>
      </c>
      <c r="W634" s="1">
        <v>419612</v>
      </c>
      <c r="Y634" s="1">
        <v>0</v>
      </c>
      <c r="AA634" s="1">
        <v>1327035</v>
      </c>
      <c r="AC634" s="1">
        <v>1055757</v>
      </c>
      <c r="AE634" s="1">
        <v>150257</v>
      </c>
      <c r="AG634" s="1">
        <v>0</v>
      </c>
      <c r="AI634" s="1">
        <v>659002</v>
      </c>
      <c r="AJ634" s="12" t="s">
        <v>554</v>
      </c>
      <c r="AK634" s="12"/>
      <c r="AL634" s="12" t="s">
        <v>58</v>
      </c>
      <c r="AN634" s="1">
        <v>458565</v>
      </c>
      <c r="AP634" s="1">
        <v>265586</v>
      </c>
      <c r="AR634" s="1">
        <v>0</v>
      </c>
      <c r="AT634" s="1">
        <v>352201</v>
      </c>
      <c r="AV634" s="1">
        <v>235848</v>
      </c>
      <c r="AX634" s="1">
        <v>0</v>
      </c>
      <c r="AZ634" s="20">
        <f t="shared" ref="AZ634:AZ635" si="61">SUM(G634:AX634)</f>
        <v>15249530</v>
      </c>
      <c r="BB634" s="1">
        <v>0</v>
      </c>
      <c r="BH634" s="1">
        <v>0</v>
      </c>
      <c r="BJ634" s="20">
        <f t="shared" si="59"/>
        <v>15249530</v>
      </c>
      <c r="BL634" s="20">
        <f>'Gov Fd Rv'!AO634-'Gov Fnd Exp'!BJ634</f>
        <v>-332549</v>
      </c>
      <c r="BN634" s="1">
        <v>6240847</v>
      </c>
      <c r="BP634" s="1">
        <v>0</v>
      </c>
      <c r="BR634" s="1">
        <v>0</v>
      </c>
      <c r="BT634" s="20">
        <f t="shared" si="60"/>
        <v>5908298</v>
      </c>
      <c r="BU634" s="20"/>
      <c r="BV634" s="20">
        <f>BT634-'Gov Fd BS'!AA634</f>
        <v>0</v>
      </c>
    </row>
    <row r="635" spans="1:74">
      <c r="A635" s="12" t="s">
        <v>516</v>
      </c>
      <c r="B635" s="12"/>
      <c r="C635" s="12" t="s">
        <v>51</v>
      </c>
      <c r="D635" s="12"/>
      <c r="E635" s="13">
        <v>45179</v>
      </c>
      <c r="G635" s="1">
        <v>16426695</v>
      </c>
      <c r="I635" s="1">
        <v>7166514</v>
      </c>
      <c r="K635" s="1">
        <v>460628</v>
      </c>
      <c r="M635" s="1">
        <v>213722</v>
      </c>
      <c r="O635" s="1">
        <v>2528745</v>
      </c>
      <c r="Q635" s="1">
        <v>4673985</v>
      </c>
      <c r="S635" s="1">
        <v>102997</v>
      </c>
      <c r="U635" s="1">
        <v>2340055</v>
      </c>
      <c r="W635" s="1">
        <v>715608</v>
      </c>
      <c r="Y635" s="1">
        <v>0</v>
      </c>
      <c r="AA635" s="1">
        <v>3649004</v>
      </c>
      <c r="AC635" s="1">
        <v>1320919</v>
      </c>
      <c r="AE635" s="1">
        <v>2862362</v>
      </c>
      <c r="AG635" s="1">
        <v>1806739</v>
      </c>
      <c r="AI635" s="1">
        <v>281719</v>
      </c>
      <c r="AJ635" s="12" t="s">
        <v>516</v>
      </c>
      <c r="AK635" s="12"/>
      <c r="AL635" s="12" t="s">
        <v>51</v>
      </c>
      <c r="AN635" s="1">
        <v>482924</v>
      </c>
      <c r="AP635" s="1">
        <v>31420764</v>
      </c>
      <c r="AR635" s="1">
        <v>0</v>
      </c>
      <c r="AT635" s="1">
        <v>803593</v>
      </c>
      <c r="AV635" s="1">
        <v>1506298</v>
      </c>
      <c r="AX635" s="1">
        <v>0</v>
      </c>
      <c r="AZ635" s="20">
        <f t="shared" si="61"/>
        <v>78763271</v>
      </c>
      <c r="BB635" s="1">
        <v>30059</v>
      </c>
      <c r="BH635" s="1">
        <v>0</v>
      </c>
      <c r="BJ635" s="20">
        <f t="shared" si="59"/>
        <v>78793330</v>
      </c>
      <c r="BL635" s="20">
        <f>'Gov Fd Rv'!AO635-'Gov Fnd Exp'!BJ635</f>
        <v>-4862135</v>
      </c>
      <c r="BN635" s="1">
        <v>21759674</v>
      </c>
      <c r="BP635" s="1">
        <v>0</v>
      </c>
      <c r="BR635" s="1">
        <v>0</v>
      </c>
      <c r="BT635" s="20">
        <f t="shared" si="60"/>
        <v>16897539</v>
      </c>
      <c r="BU635" s="20"/>
      <c r="BV635" s="20">
        <f>BT635-'Gov Fd BS'!AA635</f>
        <v>0</v>
      </c>
    </row>
    <row r="636" spans="1:74">
      <c r="A636" s="12"/>
      <c r="B636" s="12"/>
      <c r="C636" s="12"/>
      <c r="D636" s="12"/>
      <c r="AI636" s="20"/>
    </row>
    <row r="637" spans="1:74">
      <c r="A637" s="12"/>
      <c r="B637" s="12"/>
      <c r="C637" s="12"/>
      <c r="D637" s="12"/>
      <c r="AI637" s="20" t="s">
        <v>709</v>
      </c>
    </row>
    <row r="638" spans="1:74">
      <c r="A638" s="12"/>
      <c r="B638" s="12"/>
      <c r="C638" s="12"/>
      <c r="D638" s="12"/>
    </row>
    <row r="641" spans="2:6">
      <c r="E641" s="1"/>
    </row>
    <row r="642" spans="2:6">
      <c r="B642" s="18"/>
      <c r="C642" s="18"/>
      <c r="D642" s="18"/>
      <c r="F642" s="18"/>
    </row>
  </sheetData>
  <mergeCells count="3">
    <mergeCell ref="AT6:AV6"/>
    <mergeCell ref="O6:Q6"/>
    <mergeCell ref="S6:AE6"/>
  </mergeCells>
  <pageMargins left="0.9" right="0.75" top="0.5" bottom="0.5" header="0.25" footer="0.25"/>
  <pageSetup scale="77" firstPageNumber="168" pageOrder="overThenDown" orientation="portrait" useFirstPageNumber="1" r:id="rId1"/>
  <headerFooter scaleWithDoc="0" alignWithMargins="0">
    <oddFooter>&amp;C&amp;"Times New Roman,Regular"&amp;11&amp;P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St of Net Assets - GA</vt:lpstr>
      <vt:lpstr>St of Activites - GA Rev</vt:lpstr>
      <vt:lpstr>St of Activities - GA Exp</vt:lpstr>
      <vt:lpstr>Gen Fd BS</vt:lpstr>
      <vt:lpstr>GenRev</vt:lpstr>
      <vt:lpstr>GenExp</vt:lpstr>
      <vt:lpstr>Gov Fd BS</vt:lpstr>
      <vt:lpstr>Gov Fd Rv</vt:lpstr>
      <vt:lpstr>Gov Fnd Exp</vt:lpstr>
      <vt:lpstr>LT _Lia - GA</vt:lpstr>
      <vt:lpstr>'Gen Fd BS'!Print_Area</vt:lpstr>
      <vt:lpstr>GenExp!Print_Area</vt:lpstr>
      <vt:lpstr>GenRev!Print_Area</vt:lpstr>
      <vt:lpstr>'Gov Fd BS'!Print_Area</vt:lpstr>
      <vt:lpstr>'Gov Fd Rv'!Print_Area</vt:lpstr>
      <vt:lpstr>'Gov Fnd Exp'!Print_Area</vt:lpstr>
      <vt:lpstr>'LT _Lia - GA'!Print_Area</vt:lpstr>
      <vt:lpstr>'St of Activites - GA Rev'!Print_Area</vt:lpstr>
      <vt:lpstr>'St of Activities - GA Exp'!Print_Area</vt:lpstr>
      <vt:lpstr>'St of Net Assets - GA'!Print_Area</vt:lpstr>
      <vt:lpstr>'Gen Fd BS'!Print_Titles</vt:lpstr>
      <vt:lpstr>GenExp!Print_Titles</vt:lpstr>
      <vt:lpstr>GenRev!Print_Titles</vt:lpstr>
      <vt:lpstr>'Gov Fd BS'!Print_Titles</vt:lpstr>
      <vt:lpstr>'Gov Fd Rv'!Print_Titles</vt:lpstr>
      <vt:lpstr>'Gov Fnd Exp'!Print_Titles</vt:lpstr>
      <vt:lpstr>'LT _Lia - GA'!Print_Titles</vt:lpstr>
      <vt:lpstr>'St of Activites - GA Rev'!Print_Titles</vt:lpstr>
      <vt:lpstr>'St of Activities - GA Exp'!Print_Titles</vt:lpstr>
      <vt:lpstr>'St of Net Assets - GA'!Print_Titles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Sarah E. Ramsey Mckee</cp:lastModifiedBy>
  <cp:lastPrinted>2012-07-20T12:47:43Z</cp:lastPrinted>
  <dcterms:created xsi:type="dcterms:W3CDTF">2002-06-04T12:17:39Z</dcterms:created>
  <dcterms:modified xsi:type="dcterms:W3CDTF">2012-07-25T14:22:46Z</dcterms:modified>
</cp:coreProperties>
</file>